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72" yWindow="60" windowWidth="12120" windowHeight="8088" tabRatio="869" activeTab="5"/>
  </bookViews>
  <sheets>
    <sheet name="St of Net Assets - GA" sheetId="16" r:id="rId1"/>
    <sheet name="St of Activites - GA Rev" sheetId="15" r:id="rId2"/>
    <sheet name="St of Activities - GA Exp" sheetId="17" r:id="rId3"/>
    <sheet name="Gen Fd BS" sheetId="14" r:id="rId4"/>
    <sheet name="GenRev" sheetId="1" r:id="rId5"/>
    <sheet name="GenExp" sheetId="2" r:id="rId6"/>
    <sheet name="Gov Fd BS" sheetId="26" r:id="rId7"/>
    <sheet name="Gov Fd Rv" sheetId="22" r:id="rId8"/>
    <sheet name="Gov Fnd Exp" sheetId="25" r:id="rId9"/>
    <sheet name="LT _Lia - GA" sheetId="10" r:id="rId10"/>
    <sheet name="Sheet1" sheetId="27" r:id="rId11"/>
    <sheet name="Sheet2" sheetId="28" r:id="rId12"/>
  </sheets>
  <externalReferences>
    <externalReference r:id="rId13"/>
  </externalReferences>
  <definedNames>
    <definedName name="_xlnm.Print_Area" localSheetId="3">'Gen Fd BS'!$A$1:$AA$599</definedName>
    <definedName name="_xlnm.Print_Area" localSheetId="5">GenExp!$A$1:$BS$602</definedName>
    <definedName name="_xlnm.Print_Area" localSheetId="4">GenRev!$A$1:$AM$603</definedName>
    <definedName name="_xlnm.Print_Area" localSheetId="6">'Gov Fd BS'!$A$1:$AA$595</definedName>
    <definedName name="_xlnm.Print_Area" localSheetId="7">'Gov Fd Rv'!$A$1:$AU$598</definedName>
    <definedName name="_xlnm.Print_Area" localSheetId="8">'Gov Fnd Exp'!$A$1:$BT$601</definedName>
    <definedName name="_xlnm.Print_Area" localSheetId="9">'LT _Lia - GA'!$A$1:$U$603</definedName>
    <definedName name="_xlnm.Print_Area" localSheetId="1">'St of Activites - GA Rev'!$A$1:$AI$588</definedName>
    <definedName name="_xlnm.Print_Area" localSheetId="2">'St of Activities - GA Exp'!$A$1:$BC$592</definedName>
    <definedName name="_xlnm.Print_Area" localSheetId="0">'St of Net Assets - GA'!$A$1:$AA$591</definedName>
    <definedName name="_xlnm.Print_Titles" localSheetId="3">'Gen Fd BS'!$1:$10</definedName>
    <definedName name="_xlnm.Print_Titles" localSheetId="5">GenExp!$1:$10</definedName>
    <definedName name="_xlnm.Print_Titles" localSheetId="4">GenRev!$1:$10</definedName>
    <definedName name="_xlnm.Print_Titles" localSheetId="6">'Gov Fd BS'!$1:$9</definedName>
    <definedName name="_xlnm.Print_Titles" localSheetId="7">'Gov Fd Rv'!$1:$9</definedName>
    <definedName name="_xlnm.Print_Titles" localSheetId="8">'Gov Fnd Exp'!$1:$9</definedName>
    <definedName name="_xlnm.Print_Titles" localSheetId="9">'LT _Lia - GA'!$1:$9</definedName>
    <definedName name="_xlnm.Print_Titles" localSheetId="1">'St of Activites - GA Rev'!$1:$10</definedName>
    <definedName name="_xlnm.Print_Titles" localSheetId="2">'St of Activities - GA Exp'!$1:$10</definedName>
    <definedName name="_xlnm.Print_Titles" localSheetId="0">'St of Net Assets - GA'!$1:$10</definedName>
  </definedNames>
  <calcPr calcId="125725"/>
</workbook>
</file>

<file path=xl/calcChain.xml><?xml version="1.0" encoding="utf-8"?>
<calcChain xmlns="http://schemas.openxmlformats.org/spreadsheetml/2006/main">
  <c r="W518" i="22"/>
  <c r="Y516" i="26"/>
  <c r="U516"/>
  <c r="U520" i="14"/>
  <c r="I507" i="16"/>
  <c r="X524" i="10"/>
  <c r="U191" i="26"/>
  <c r="Y31"/>
  <c r="U31"/>
  <c r="BN440" i="25"/>
  <c r="Y440" i="26"/>
  <c r="U440"/>
  <c r="M379" i="25"/>
  <c r="Y377" i="26"/>
  <c r="U377"/>
  <c r="W296" i="22"/>
  <c r="O287" i="15"/>
  <c r="I286" i="16"/>
  <c r="AG31" i="1"/>
  <c r="U31" i="14"/>
  <c r="O28" i="15"/>
  <c r="I28" i="16"/>
  <c r="U205" i="14"/>
  <c r="Y46" i="26"/>
  <c r="U46" i="14"/>
  <c r="O41" i="15"/>
  <c r="I41" i="16"/>
  <c r="W204" i="1"/>
  <c r="O204"/>
  <c r="U204" i="14"/>
  <c r="S193" i="15"/>
  <c r="I188" i="16"/>
  <c r="Q601" i="10"/>
  <c r="S601"/>
  <c r="W593" i="22"/>
  <c r="Y593" i="26"/>
  <c r="U593"/>
  <c r="G593"/>
  <c r="S586" i="15"/>
  <c r="I585" i="16"/>
  <c r="I195"/>
  <c r="W193" i="22"/>
  <c r="Y191" i="26"/>
  <c r="I179" i="16"/>
  <c r="S554" i="10"/>
  <c r="G588"/>
  <c r="Y578" i="26"/>
  <c r="W574" i="22"/>
  <c r="Y572" i="26"/>
  <c r="U572"/>
  <c r="U576" i="14"/>
  <c r="S565" i="15"/>
  <c r="I566" i="16"/>
  <c r="O565" i="15"/>
  <c r="I263" i="16"/>
  <c r="K319" i="22"/>
  <c r="W319"/>
  <c r="Y319" i="26"/>
  <c r="U319"/>
  <c r="K321" i="1"/>
  <c r="U321" i="14"/>
  <c r="AW307" i="17"/>
  <c r="O310" i="15"/>
  <c r="I309" i="16"/>
  <c r="AD218"/>
  <c r="W218"/>
  <c r="M218"/>
  <c r="G218"/>
  <c r="W213" i="22"/>
  <c r="Y213" i="26"/>
  <c r="W215" i="1"/>
  <c r="AD536" i="16"/>
  <c r="W536"/>
  <c r="M536"/>
  <c r="G536"/>
  <c r="W287" i="22"/>
  <c r="Y285" i="26"/>
  <c r="U285"/>
  <c r="I277" i="16"/>
  <c r="G296" i="10"/>
  <c r="K293" i="22"/>
  <c r="W293"/>
  <c r="Y291" i="26"/>
  <c r="U291"/>
  <c r="U295" i="14"/>
  <c r="O284" i="15"/>
  <c r="I283" i="16"/>
  <c r="AD268"/>
  <c r="W268"/>
  <c r="M268"/>
  <c r="G268"/>
  <c r="U229" i="26"/>
  <c r="Y203"/>
  <c r="O194" i="15"/>
  <c r="I189" i="16"/>
  <c r="G207" i="10"/>
  <c r="AK204" i="22"/>
  <c r="BH204" i="25"/>
  <c r="W204" i="22"/>
  <c r="Y204" i="26"/>
  <c r="AA204"/>
  <c r="U204"/>
  <c r="W206" i="1"/>
  <c r="Y206"/>
  <c r="AA195" i="15"/>
  <c r="O195"/>
  <c r="I190" i="16"/>
  <c r="G190"/>
  <c r="W120" i="22"/>
  <c r="U120" i="26"/>
  <c r="Y120"/>
  <c r="W122" i="1"/>
  <c r="U121" i="14"/>
  <c r="X94" i="10"/>
  <c r="W91" i="22"/>
  <c r="Y90" i="26"/>
  <c r="U90"/>
  <c r="AZ92" i="2"/>
  <c r="BJ92" s="1"/>
  <c r="W92" i="1"/>
  <c r="AK92"/>
  <c r="Y92"/>
  <c r="U92" i="14"/>
  <c r="AA92"/>
  <c r="O92"/>
  <c r="K92"/>
  <c r="AW79" i="17"/>
  <c r="O81" i="15"/>
  <c r="AG81"/>
  <c r="M81"/>
  <c r="W80" i="16"/>
  <c r="I80"/>
  <c r="G80"/>
  <c r="AD80"/>
  <c r="M80"/>
  <c r="X106" i="10"/>
  <c r="S106"/>
  <c r="AZ105" i="25"/>
  <c r="BJ105" s="1"/>
  <c r="AS105" i="22"/>
  <c r="K105"/>
  <c r="W105"/>
  <c r="Y105" s="1"/>
  <c r="AU105" s="1"/>
  <c r="Y103" i="26"/>
  <c r="U103"/>
  <c r="AZ107" i="2"/>
  <c r="BJ107"/>
  <c r="K107" i="1"/>
  <c r="AK107"/>
  <c r="Y107"/>
  <c r="U106" i="14"/>
  <c r="AA106" s="1"/>
  <c r="O106"/>
  <c r="K106"/>
  <c r="AW92" i="17"/>
  <c r="O96" i="15"/>
  <c r="AG96"/>
  <c r="M96"/>
  <c r="AD91" i="16"/>
  <c r="W91"/>
  <c r="M91"/>
  <c r="G91"/>
  <c r="X107" i="10"/>
  <c r="S107"/>
  <c r="AZ106" i="25"/>
  <c r="BJ106" s="1"/>
  <c r="AS106" i="22"/>
  <c r="W106"/>
  <c r="K106"/>
  <c r="Y106" s="1"/>
  <c r="AU106" s="1"/>
  <c r="Y104" i="26"/>
  <c r="W104"/>
  <c r="Q104"/>
  <c r="AZ108" i="2"/>
  <c r="BJ108" s="1"/>
  <c r="K108" i="1"/>
  <c r="Y108" s="1"/>
  <c r="U107" i="14"/>
  <c r="Q107"/>
  <c r="AA107"/>
  <c r="O107"/>
  <c r="K107"/>
  <c r="AW93" i="17"/>
  <c r="O97" i="15"/>
  <c r="O94"/>
  <c r="AG94"/>
  <c r="M97"/>
  <c r="I92" i="16"/>
  <c r="AD92"/>
  <c r="W92"/>
  <c r="M92"/>
  <c r="G92"/>
  <c r="U290" i="10"/>
  <c r="AP328" i="25"/>
  <c r="AP330" i="2"/>
  <c r="U562" i="14"/>
  <c r="I550" i="16"/>
  <c r="W530" i="22"/>
  <c r="Y528" i="26"/>
  <c r="W532" i="1"/>
  <c r="O521" i="15"/>
  <c r="AG521"/>
  <c r="K366" i="22"/>
  <c r="O366"/>
  <c r="W366"/>
  <c r="Y364" i="26"/>
  <c r="U364"/>
  <c r="O368" i="1"/>
  <c r="U368" i="14"/>
  <c r="AA368"/>
  <c r="O357" i="15"/>
  <c r="I356" i="16"/>
  <c r="G327" i="10"/>
  <c r="O313" i="15"/>
  <c r="AA261"/>
  <c r="I258" i="17"/>
  <c r="K249" i="22"/>
  <c r="Y249" i="26"/>
  <c r="I238" i="16"/>
  <c r="W173" i="22"/>
  <c r="W175" i="1"/>
  <c r="U174" i="14"/>
  <c r="O164" i="15"/>
  <c r="I161" i="16"/>
  <c r="I166"/>
  <c r="W167" i="22"/>
  <c r="Y167" i="26"/>
  <c r="U167"/>
  <c r="W169" i="1"/>
  <c r="U168" i="14"/>
  <c r="I168"/>
  <c r="I47" i="16"/>
  <c r="W24" i="22"/>
  <c r="Y24" i="26"/>
  <c r="U24"/>
  <c r="W24" i="1"/>
  <c r="O22" i="15"/>
  <c r="W22" i="16"/>
  <c r="I22"/>
  <c r="AA466"/>
  <c r="Y546" i="26"/>
  <c r="U546"/>
  <c r="U550" i="14"/>
  <c r="AA550"/>
  <c r="I538" i="16"/>
  <c r="X521" i="10"/>
  <c r="Q521"/>
  <c r="G521"/>
  <c r="S521" s="1"/>
  <c r="K515" i="22"/>
  <c r="Y515" s="1"/>
  <c r="W515"/>
  <c r="AS515"/>
  <c r="AS279"/>
  <c r="AZ513" i="25"/>
  <c r="BJ513"/>
  <c r="U513" i="26"/>
  <c r="Y513"/>
  <c r="G513"/>
  <c r="O513"/>
  <c r="K513"/>
  <c r="AZ515" i="2"/>
  <c r="BJ515" s="1"/>
  <c r="K517" i="1"/>
  <c r="Y517"/>
  <c r="W517"/>
  <c r="AK517"/>
  <c r="U517" i="14"/>
  <c r="AA517"/>
  <c r="O517"/>
  <c r="K517"/>
  <c r="O506" i="15"/>
  <c r="AW501" i="17"/>
  <c r="AG506" i="15"/>
  <c r="M506"/>
  <c r="AI506" s="1"/>
  <c r="AY501" i="17" s="1"/>
  <c r="BC501" s="1"/>
  <c r="BE501" s="1"/>
  <c r="I504" i="16"/>
  <c r="W504"/>
  <c r="AD504"/>
  <c r="M504"/>
  <c r="G504"/>
  <c r="Y277" i="26"/>
  <c r="U277"/>
  <c r="U281" i="14"/>
  <c r="I266" i="16"/>
  <c r="G160" i="10"/>
  <c r="X160"/>
  <c r="S160"/>
  <c r="AZ157" i="25"/>
  <c r="BJ157"/>
  <c r="AS157" i="22"/>
  <c r="W157"/>
  <c r="K157"/>
  <c r="Y157"/>
  <c r="AU157" s="1"/>
  <c r="Y157" i="26"/>
  <c r="U157"/>
  <c r="AA157"/>
  <c r="O157"/>
  <c r="K157"/>
  <c r="AZ159" i="2"/>
  <c r="BJ159" s="1"/>
  <c r="K159" i="1"/>
  <c r="W159"/>
  <c r="AK159"/>
  <c r="U158" i="14"/>
  <c r="AA158"/>
  <c r="O158"/>
  <c r="K158"/>
  <c r="O148" i="15"/>
  <c r="AW144" i="17"/>
  <c r="AG148" i="15"/>
  <c r="M148"/>
  <c r="I145" i="16"/>
  <c r="AD145"/>
  <c r="W145"/>
  <c r="M145"/>
  <c r="G145"/>
  <c r="Y113" i="26"/>
  <c r="U113"/>
  <c r="W113" i="22"/>
  <c r="X114" i="10"/>
  <c r="S114"/>
  <c r="AZ113" i="25"/>
  <c r="BJ113" s="1"/>
  <c r="AS113" i="22"/>
  <c r="Y113"/>
  <c r="K113" i="26"/>
  <c r="O113"/>
  <c r="AK115" i="1"/>
  <c r="Y115"/>
  <c r="U114" i="14"/>
  <c r="AA114"/>
  <c r="O114"/>
  <c r="K114"/>
  <c r="AW100" i="17"/>
  <c r="O104" i="15"/>
  <c r="AG104"/>
  <c r="AI104" s="1"/>
  <c r="AY100" i="17" s="1"/>
  <c r="BC100" s="1"/>
  <c r="BE100" s="1"/>
  <c r="M104" i="15"/>
  <c r="I99" i="16"/>
  <c r="AD99"/>
  <c r="W99"/>
  <c r="M99"/>
  <c r="G99"/>
  <c r="G11" i="10"/>
  <c r="S11"/>
  <c r="AZ11" i="25"/>
  <c r="BJ11" s="1"/>
  <c r="W11" i="22"/>
  <c r="Y11"/>
  <c r="AU11" s="1"/>
  <c r="Y11" i="26"/>
  <c r="U11"/>
  <c r="U11" i="14"/>
  <c r="W11" i="1"/>
  <c r="O11" i="15"/>
  <c r="I11" i="16"/>
  <c r="W153" i="22"/>
  <c r="Y153" i="26"/>
  <c r="U153"/>
  <c r="W155" i="1"/>
  <c r="U154" i="14"/>
  <c r="AA154"/>
  <c r="O144" i="15"/>
  <c r="I141" i="16"/>
  <c r="G141" s="1"/>
  <c r="G155" i="10"/>
  <c r="S155" s="1"/>
  <c r="AE152" i="22"/>
  <c r="W152"/>
  <c r="Y152" i="26"/>
  <c r="U152"/>
  <c r="W154" i="1"/>
  <c r="Y154"/>
  <c r="U153" i="14"/>
  <c r="AA143" i="15"/>
  <c r="S143"/>
  <c r="O143"/>
  <c r="I140" i="16"/>
  <c r="G154" i="10"/>
  <c r="S154" s="1"/>
  <c r="AK151" i="22"/>
  <c r="W151"/>
  <c r="Y151" i="26"/>
  <c r="U151"/>
  <c r="AA151"/>
  <c r="W153" i="1"/>
  <c r="U152" i="14"/>
  <c r="AA142" i="15"/>
  <c r="O142"/>
  <c r="I139" i="16"/>
  <c r="G139"/>
  <c r="M149" i="25"/>
  <c r="K149" i="22"/>
  <c r="W149"/>
  <c r="Y149" i="26"/>
  <c r="U149"/>
  <c r="AA149"/>
  <c r="K151" i="1"/>
  <c r="W151"/>
  <c r="U150" i="14"/>
  <c r="M136" i="17"/>
  <c r="AW136" s="1"/>
  <c r="O140" i="15"/>
  <c r="AG140" s="1"/>
  <c r="I137" i="16"/>
  <c r="AK147" i="22"/>
  <c r="W147"/>
  <c r="Y147" i="26"/>
  <c r="U147"/>
  <c r="AG149" i="1"/>
  <c r="W149"/>
  <c r="Y149"/>
  <c r="U148" i="14"/>
  <c r="AA138" i="15"/>
  <c r="O138"/>
  <c r="I135" i="16"/>
  <c r="K130" i="22"/>
  <c r="W130"/>
  <c r="Y130" i="26"/>
  <c r="U130"/>
  <c r="W132" i="1"/>
  <c r="U131" i="14"/>
  <c r="O121" i="15"/>
  <c r="I116" i="16"/>
  <c r="AA111" i="15"/>
  <c r="O111"/>
  <c r="I106" i="16"/>
  <c r="G106"/>
  <c r="AK119" i="22"/>
  <c r="K119"/>
  <c r="W119"/>
  <c r="Y119" i="26"/>
  <c r="U119"/>
  <c r="K121" i="1"/>
  <c r="W121"/>
  <c r="U120" i="14"/>
  <c r="O110" i="15"/>
  <c r="I105" i="16"/>
  <c r="G117" i="10"/>
  <c r="AK116" i="22"/>
  <c r="W116"/>
  <c r="K116"/>
  <c r="Y116" i="26"/>
  <c r="U116"/>
  <c r="G116"/>
  <c r="W118" i="1"/>
  <c r="U117" i="14"/>
  <c r="AA117"/>
  <c r="O107" i="15"/>
  <c r="AG107"/>
  <c r="I102" i="16"/>
  <c r="G102"/>
  <c r="Q112" i="10"/>
  <c r="W111" i="22"/>
  <c r="K111"/>
  <c r="Y111" i="26"/>
  <c r="U111"/>
  <c r="W113" i="1"/>
  <c r="U112" i="14"/>
  <c r="O102" i="15"/>
  <c r="AG102" s="1"/>
  <c r="I97" i="16"/>
  <c r="W104" i="22"/>
  <c r="Y102" i="26"/>
  <c r="U102"/>
  <c r="W105" i="1"/>
  <c r="U105" i="14"/>
  <c r="AA105"/>
  <c r="I90" i="16"/>
  <c r="G90"/>
  <c r="K154" i="22"/>
  <c r="W154"/>
  <c r="W156" i="1"/>
  <c r="Y154" i="26"/>
  <c r="U154"/>
  <c r="O154"/>
  <c r="K154"/>
  <c r="U155" i="14"/>
  <c r="O145" i="15"/>
  <c r="AG145"/>
  <c r="M142" i="16"/>
  <c r="I142"/>
  <c r="M161" i="10"/>
  <c r="AK158" i="22"/>
  <c r="W158"/>
  <c r="K158"/>
  <c r="AG160" i="1"/>
  <c r="W160"/>
  <c r="Y158" i="26"/>
  <c r="U158"/>
  <c r="U159" i="14"/>
  <c r="G162" i="10"/>
  <c r="M159" i="25"/>
  <c r="AK159" i="22"/>
  <c r="W159"/>
  <c r="M159"/>
  <c r="M161" i="2"/>
  <c r="AG161" i="1"/>
  <c r="AK161" s="1"/>
  <c r="M161"/>
  <c r="W161"/>
  <c r="Y159" i="26"/>
  <c r="U159"/>
  <c r="U160" i="14"/>
  <c r="AM146" i="17"/>
  <c r="M146"/>
  <c r="AA150" i="15"/>
  <c r="O150"/>
  <c r="I147" i="16"/>
  <c r="W160" i="22"/>
  <c r="Y160" i="26"/>
  <c r="W160"/>
  <c r="U160"/>
  <c r="G160"/>
  <c r="U161" i="14"/>
  <c r="AA151" i="15"/>
  <c r="AG151" s="1"/>
  <c r="I148" i="16"/>
  <c r="Q165" i="10"/>
  <c r="M162" i="25"/>
  <c r="W162" i="22"/>
  <c r="W164" i="1"/>
  <c r="Y162" i="26"/>
  <c r="U162"/>
  <c r="G162"/>
  <c r="U163" i="14"/>
  <c r="G163"/>
  <c r="K163"/>
  <c r="M149" i="17"/>
  <c r="AW149"/>
  <c r="O153" i="15"/>
  <c r="AG153"/>
  <c r="I150" i="16"/>
  <c r="X287" i="10"/>
  <c r="M274" i="25"/>
  <c r="W276" i="22"/>
  <c r="K276"/>
  <c r="W278" i="1"/>
  <c r="Y274" i="26"/>
  <c r="U274"/>
  <c r="G274"/>
  <c r="K274"/>
  <c r="U278" i="14"/>
  <c r="M264" i="17"/>
  <c r="O267" i="15"/>
  <c r="AG267"/>
  <c r="G342" i="10"/>
  <c r="AK337" i="22"/>
  <c r="W337"/>
  <c r="AG341" i="1"/>
  <c r="Y337" i="26"/>
  <c r="U337"/>
  <c r="U341" i="14"/>
  <c r="AA341"/>
  <c r="O330" i="15"/>
  <c r="AG330"/>
  <c r="I327" i="16"/>
  <c r="G327"/>
  <c r="W335" i="22"/>
  <c r="Y335" i="26"/>
  <c r="U335"/>
  <c r="U337" i="14"/>
  <c r="O328" i="15"/>
  <c r="AG328"/>
  <c r="I325" i="16"/>
  <c r="G325"/>
  <c r="W334" i="22"/>
  <c r="W336" i="1"/>
  <c r="Y334" i="26"/>
  <c r="U334"/>
  <c r="U336" i="14"/>
  <c r="O325" i="15"/>
  <c r="AG325" s="1"/>
  <c r="W333" i="22"/>
  <c r="W335" i="1"/>
  <c r="Y333" i="26"/>
  <c r="U333"/>
  <c r="U335" i="14"/>
  <c r="O324" i="15"/>
  <c r="I323" i="16"/>
  <c r="W332" i="22"/>
  <c r="K332"/>
  <c r="K334" i="1"/>
  <c r="Y332" i="26"/>
  <c r="U332"/>
  <c r="Q332"/>
  <c r="G332"/>
  <c r="U334" i="14"/>
  <c r="G334"/>
  <c r="O323" i="15"/>
  <c r="I322" i="16"/>
  <c r="G322"/>
  <c r="G334" i="10"/>
  <c r="W329" i="22"/>
  <c r="W331" i="1"/>
  <c r="Y331"/>
  <c r="Y329" i="26"/>
  <c r="U329"/>
  <c r="G329"/>
  <c r="U331" i="14"/>
  <c r="M317" i="17"/>
  <c r="I319" i="16"/>
  <c r="G333" i="10"/>
  <c r="S333"/>
  <c r="AN328" i="25"/>
  <c r="AK328" i="22"/>
  <c r="W328"/>
  <c r="AN330" i="2"/>
  <c r="W330" i="1"/>
  <c r="Y328" i="26"/>
  <c r="U328"/>
  <c r="G328"/>
  <c r="U330" i="14"/>
  <c r="AA330"/>
  <c r="O319" i="15"/>
  <c r="I318" i="16"/>
  <c r="G318" s="1"/>
  <c r="W325" i="22"/>
  <c r="Y325" i="26"/>
  <c r="U325"/>
  <c r="U327" i="14"/>
  <c r="O316" i="15"/>
  <c r="I315" i="16"/>
  <c r="G315"/>
  <c r="W324" i="22"/>
  <c r="W326" i="1"/>
  <c r="Y324" i="26"/>
  <c r="U324"/>
  <c r="AA324" s="1"/>
  <c r="G324"/>
  <c r="U326" i="14"/>
  <c r="AA326"/>
  <c r="O315" i="15"/>
  <c r="I314" i="16"/>
  <c r="K328" i="10"/>
  <c r="G328"/>
  <c r="Y323" i="26"/>
  <c r="U323"/>
  <c r="K323"/>
  <c r="U325" i="14"/>
  <c r="AA325" s="1"/>
  <c r="G325"/>
  <c r="O314" i="15"/>
  <c r="AG314"/>
  <c r="I313" i="16"/>
  <c r="M322" i="25"/>
  <c r="AK322" i="22"/>
  <c r="W322"/>
  <c r="M324" i="2"/>
  <c r="W324" i="1"/>
  <c r="Y322" i="26"/>
  <c r="U322"/>
  <c r="G322"/>
  <c r="U324" i="14"/>
  <c r="S313" i="15"/>
  <c r="M310" i="17"/>
  <c r="AW310" s="1"/>
  <c r="AE313" i="15"/>
  <c r="I312" i="16"/>
  <c r="G312"/>
  <c r="G326" i="10"/>
  <c r="AE321" i="22"/>
  <c r="W321"/>
  <c r="W323" i="1"/>
  <c r="Y321" i="26"/>
  <c r="U321"/>
  <c r="U323" i="14"/>
  <c r="S312" i="15"/>
  <c r="O312"/>
  <c r="I311" i="16"/>
  <c r="G325" i="10"/>
  <c r="W320" i="22"/>
  <c r="K320"/>
  <c r="Y320" i="26"/>
  <c r="U320"/>
  <c r="G320"/>
  <c r="U322" i="14"/>
  <c r="S311" i="15"/>
  <c r="O311"/>
  <c r="W317" i="22"/>
  <c r="W319" i="1"/>
  <c r="Y317" i="26"/>
  <c r="U317"/>
  <c r="G317"/>
  <c r="K317" s="1"/>
  <c r="U319" i="14"/>
  <c r="AA319" s="1"/>
  <c r="O308" i="15"/>
  <c r="I307" i="16"/>
  <c r="Q321" i="10"/>
  <c r="S321" s="1"/>
  <c r="M316" i="25"/>
  <c r="W318" i="1"/>
  <c r="Y316" i="22"/>
  <c r="W316"/>
  <c r="Y316" i="26"/>
  <c r="U316"/>
  <c r="U318" i="14"/>
  <c r="AA318" s="1"/>
  <c r="M304" i="17"/>
  <c r="O307" i="15"/>
  <c r="AG307"/>
  <c r="I306" i="16"/>
  <c r="G306"/>
  <c r="AK315" i="22"/>
  <c r="M315" i="25"/>
  <c r="W315" i="22"/>
  <c r="K315"/>
  <c r="M317" i="2"/>
  <c r="W317" i="1"/>
  <c r="Y315" i="26"/>
  <c r="U315"/>
  <c r="U317" i="14"/>
  <c r="M303" i="17"/>
  <c r="O306" i="15"/>
  <c r="W314" i="22"/>
  <c r="K314"/>
  <c r="W316" i="1"/>
  <c r="Y314" i="26"/>
  <c r="U314"/>
  <c r="U316" i="14"/>
  <c r="O305" i="15"/>
  <c r="AG305" s="1"/>
  <c r="AI313" i="25"/>
  <c r="M313"/>
  <c r="AK313" i="22"/>
  <c r="W313"/>
  <c r="AI315" i="2"/>
  <c r="W315" i="1"/>
  <c r="Y313" i="26"/>
  <c r="U313"/>
  <c r="U315" i="14"/>
  <c r="AM301" i="17"/>
  <c r="M301"/>
  <c r="O304" i="15"/>
  <c r="AG304"/>
  <c r="I303" i="16"/>
  <c r="G303"/>
  <c r="W312" i="22"/>
  <c r="Y312" i="26"/>
  <c r="U312"/>
  <c r="G312"/>
  <c r="K312" s="1"/>
  <c r="U314" i="14"/>
  <c r="AA303" i="15"/>
  <c r="O303"/>
  <c r="I302" i="16"/>
  <c r="O316" i="10"/>
  <c r="W311" i="22"/>
  <c r="K311"/>
  <c r="W313" i="1"/>
  <c r="K313"/>
  <c r="U311" i="26"/>
  <c r="Y311"/>
  <c r="G311"/>
  <c r="K311"/>
  <c r="U313" i="14"/>
  <c r="G313"/>
  <c r="O302" i="15"/>
  <c r="AK310" i="22"/>
  <c r="W310"/>
  <c r="AG312" i="1"/>
  <c r="W312"/>
  <c r="Y310" i="26"/>
  <c r="U310"/>
  <c r="AA310"/>
  <c r="I310"/>
  <c r="G310"/>
  <c r="K310" s="1"/>
  <c r="U312" i="14"/>
  <c r="O301" i="15"/>
  <c r="AG301"/>
  <c r="I300" i="16"/>
  <c r="Y308" i="26"/>
  <c r="U308"/>
  <c r="AA308"/>
  <c r="O308"/>
  <c r="K308"/>
  <c r="U310" i="14"/>
  <c r="O299" i="15"/>
  <c r="AG299" s="1"/>
  <c r="I298" i="16"/>
  <c r="Q311" i="10"/>
  <c r="M306" i="25"/>
  <c r="W306" i="22"/>
  <c r="W308" i="1"/>
  <c r="Y308" s="1"/>
  <c r="Y306" i="26"/>
  <c r="U306"/>
  <c r="U308" i="14"/>
  <c r="M294" i="17"/>
  <c r="AW294"/>
  <c r="O297" i="15"/>
  <c r="AG297"/>
  <c r="I296" i="16"/>
  <c r="W305" i="22"/>
  <c r="K305"/>
  <c r="W307" i="1"/>
  <c r="Y307" s="1"/>
  <c r="Y305" i="26"/>
  <c r="U305"/>
  <c r="G305"/>
  <c r="U307" i="14"/>
  <c r="O296" i="15"/>
  <c r="AG296" s="1"/>
  <c r="G309" i="10"/>
  <c r="S309" s="1"/>
  <c r="W304" i="22"/>
  <c r="K304"/>
  <c r="K306" i="1"/>
  <c r="W306"/>
  <c r="Y304" i="26"/>
  <c r="U304"/>
  <c r="U306" i="14"/>
  <c r="O295" i="15"/>
  <c r="Y302" i="26"/>
  <c r="U302"/>
  <c r="AK302" i="22"/>
  <c r="W302"/>
  <c r="W304" i="1"/>
  <c r="U304" i="14"/>
  <c r="O293" i="15"/>
  <c r="AG293" s="1"/>
  <c r="I292" i="16"/>
  <c r="G304" i="10"/>
  <c r="M301" i="25"/>
  <c r="W301" i="22"/>
  <c r="K301"/>
  <c r="Y301" s="1"/>
  <c r="W303" i="1"/>
  <c r="K303"/>
  <c r="Y301" i="26"/>
  <c r="U301"/>
  <c r="G301"/>
  <c r="U303" i="14"/>
  <c r="AA303"/>
  <c r="M289" i="17"/>
  <c r="O292" i="15"/>
  <c r="AG292" s="1"/>
  <c r="M303" i="10"/>
  <c r="G303"/>
  <c r="S303"/>
  <c r="W300" i="22"/>
  <c r="W302" i="1"/>
  <c r="Y300" i="26"/>
  <c r="U300"/>
  <c r="U302" i="14"/>
  <c r="AA302"/>
  <c r="O291" i="15"/>
  <c r="AG291"/>
  <c r="I290" i="16"/>
  <c r="G290"/>
  <c r="M299" i="25"/>
  <c r="W299" i="22"/>
  <c r="K299"/>
  <c r="W301" i="1"/>
  <c r="K301"/>
  <c r="Y299" i="26"/>
  <c r="U299"/>
  <c r="U301" i="14"/>
  <c r="AA301" s="1"/>
  <c r="M287" i="17"/>
  <c r="AW287" s="1"/>
  <c r="W298" i="22"/>
  <c r="K298"/>
  <c r="Y298" i="26"/>
  <c r="U298"/>
  <c r="G300" i="10"/>
  <c r="W297" i="22"/>
  <c r="Y297" i="26"/>
  <c r="U297"/>
  <c r="U299" i="14"/>
  <c r="AA288" i="15"/>
  <c r="O288"/>
  <c r="I287" i="16"/>
  <c r="Y296" i="26"/>
  <c r="U296"/>
  <c r="U298" i="14"/>
  <c r="I324" i="16"/>
  <c r="G324"/>
  <c r="AP340" i="25"/>
  <c r="AK342" i="22"/>
  <c r="W342"/>
  <c r="K342"/>
  <c r="AP342" i="2"/>
  <c r="AG344" i="1"/>
  <c r="W344"/>
  <c r="Y344"/>
  <c r="Y340" i="26"/>
  <c r="U340"/>
  <c r="U344" i="14"/>
  <c r="O333" i="15"/>
  <c r="G346" i="10"/>
  <c r="M341" i="25"/>
  <c r="AK343" i="22"/>
  <c r="W343"/>
  <c r="M343" i="2"/>
  <c r="AG345" i="1"/>
  <c r="W345"/>
  <c r="Y341" i="26"/>
  <c r="U341"/>
  <c r="G341"/>
  <c r="K341" s="1"/>
  <c r="U345" i="14"/>
  <c r="G345"/>
  <c r="AE334" i="15"/>
  <c r="M331" i="17"/>
  <c r="O334" i="15"/>
  <c r="AG334" s="1"/>
  <c r="I331" i="16"/>
  <c r="G331" s="1"/>
  <c r="G347" i="10"/>
  <c r="M342" i="25"/>
  <c r="AE344" i="22"/>
  <c r="W344"/>
  <c r="W346" i="1"/>
  <c r="Y346" s="1"/>
  <c r="Y342" i="26"/>
  <c r="U342"/>
  <c r="G342"/>
  <c r="U346" i="14"/>
  <c r="M332" i="17"/>
  <c r="AA335" i="15"/>
  <c r="O335"/>
  <c r="I332" i="16"/>
  <c r="M348" i="10"/>
  <c r="W345" i="22"/>
  <c r="K345"/>
  <c r="W347" i="1"/>
  <c r="Y347"/>
  <c r="Y343" i="26"/>
  <c r="U343"/>
  <c r="U347" i="14"/>
  <c r="O336" i="15"/>
  <c r="AG336" s="1"/>
  <c r="I349" i="10"/>
  <c r="G349"/>
  <c r="S349"/>
  <c r="W346" i="22"/>
  <c r="W348" i="1"/>
  <c r="Y348" s="1"/>
  <c r="Y344" i="26"/>
  <c r="U344"/>
  <c r="U348" i="14"/>
  <c r="AA348" s="1"/>
  <c r="G333" i="16"/>
  <c r="O337" i="15"/>
  <c r="AG337"/>
  <c r="I334" i="16"/>
  <c r="G334"/>
  <c r="AX348" i="25"/>
  <c r="K350" i="22"/>
  <c r="W350"/>
  <c r="W352" i="1"/>
  <c r="K352"/>
  <c r="Y348" i="26"/>
  <c r="U348"/>
  <c r="U352" i="14"/>
  <c r="I340" i="16"/>
  <c r="G340"/>
  <c r="W354" i="22"/>
  <c r="K354"/>
  <c r="W356" i="1"/>
  <c r="K356"/>
  <c r="Y352" i="26"/>
  <c r="U352"/>
  <c r="U356" i="14"/>
  <c r="AA356"/>
  <c r="O345" i="15"/>
  <c r="G361" i="10"/>
  <c r="S361" s="1"/>
  <c r="W358" i="22"/>
  <c r="W360" i="1"/>
  <c r="U356" i="26"/>
  <c r="Y356"/>
  <c r="U360" i="14"/>
  <c r="O349" i="15"/>
  <c r="AG349"/>
  <c r="I348" i="16"/>
  <c r="G348"/>
  <c r="M361" i="25"/>
  <c r="W363" i="22"/>
  <c r="K363"/>
  <c r="Y361" i="26"/>
  <c r="U361"/>
  <c r="U365" i="14"/>
  <c r="K365"/>
  <c r="M351" i="17"/>
  <c r="O354" i="15"/>
  <c r="W375" i="22"/>
  <c r="AI377" i="2"/>
  <c r="Y373" i="26"/>
  <c r="U373"/>
  <c r="Q373"/>
  <c r="O373" s="1"/>
  <c r="U377" i="14"/>
  <c r="Q377"/>
  <c r="O366" i="15"/>
  <c r="AG366" s="1"/>
  <c r="I365" i="16"/>
  <c r="G365" s="1"/>
  <c r="W381" i="22"/>
  <c r="Y379" i="26"/>
  <c r="U379"/>
  <c r="U383" i="14"/>
  <c r="AA383" s="1"/>
  <c r="O372" i="15"/>
  <c r="I371" i="16"/>
  <c r="G436" i="10"/>
  <c r="W431" i="22"/>
  <c r="W433" i="1"/>
  <c r="Y429" i="26"/>
  <c r="U429"/>
  <c r="G429"/>
  <c r="U433" i="14"/>
  <c r="G433"/>
  <c r="O422" i="15"/>
  <c r="I421" i="16"/>
  <c r="W436" i="22"/>
  <c r="W438" i="1"/>
  <c r="Y434" i="26"/>
  <c r="U434"/>
  <c r="G434"/>
  <c r="U438" i="14"/>
  <c r="AA438"/>
  <c r="G438"/>
  <c r="O427" i="15"/>
  <c r="AG427" s="1"/>
  <c r="I426" i="16"/>
  <c r="G426" s="1"/>
  <c r="W437" i="22"/>
  <c r="W439" i="1"/>
  <c r="Y435" i="26"/>
  <c r="U435"/>
  <c r="U439" i="14"/>
  <c r="I427" i="16"/>
  <c r="G427"/>
  <c r="K444" i="10"/>
  <c r="G444"/>
  <c r="AK439" i="22"/>
  <c r="Y437" i="26"/>
  <c r="U437"/>
  <c r="G437"/>
  <c r="AX437" i="25"/>
  <c r="AP437"/>
  <c r="AE439" i="22"/>
  <c r="W439"/>
  <c r="K439"/>
  <c r="AG441" i="1"/>
  <c r="W441"/>
  <c r="K441"/>
  <c r="U441" i="14"/>
  <c r="O430" i="15"/>
  <c r="AG430" s="1"/>
  <c r="W453" i="22"/>
  <c r="W455" i="1"/>
  <c r="Y451" i="26"/>
  <c r="U451"/>
  <c r="U455" i="14"/>
  <c r="AA455" s="1"/>
  <c r="O444" i="15"/>
  <c r="AG444" s="1"/>
  <c r="I443" i="16"/>
  <c r="G491" i="10"/>
  <c r="S491"/>
  <c r="W485" i="22"/>
  <c r="W487" i="1"/>
  <c r="Y483" i="26"/>
  <c r="U483"/>
  <c r="I483"/>
  <c r="K483"/>
  <c r="U487" i="14"/>
  <c r="O476" i="15"/>
  <c r="AG476" s="1"/>
  <c r="M475" i="16"/>
  <c r="I475"/>
  <c r="W502" i="22"/>
  <c r="Y502" i="26"/>
  <c r="U502"/>
  <c r="G502"/>
  <c r="K502"/>
  <c r="U504" i="14"/>
  <c r="AA504"/>
  <c r="G504"/>
  <c r="O493" i="15"/>
  <c r="I494" i="16"/>
  <c r="G494"/>
  <c r="W504" i="22"/>
  <c r="Y504" i="26"/>
  <c r="U504"/>
  <c r="G504"/>
  <c r="U506" i="14"/>
  <c r="G506"/>
  <c r="AA495" i="15"/>
  <c r="O495"/>
  <c r="I496" i="16"/>
  <c r="G496"/>
  <c r="AE589" i="22"/>
  <c r="W589"/>
  <c r="Y587" i="26"/>
  <c r="U587"/>
  <c r="U591" i="14"/>
  <c r="AA591"/>
  <c r="O580" i="15"/>
  <c r="AG580"/>
  <c r="I581" i="16"/>
  <c r="W595" i="22"/>
  <c r="W599" i="1"/>
  <c r="Y595" i="26"/>
  <c r="U595"/>
  <c r="U599" i="14"/>
  <c r="O588" i="15"/>
  <c r="I587" i="16"/>
  <c r="G587" s="1"/>
  <c r="W594" i="22"/>
  <c r="W598" i="1"/>
  <c r="Y594" i="26"/>
  <c r="U594"/>
  <c r="U598" i="14"/>
  <c r="AA598"/>
  <c r="O587" i="15"/>
  <c r="AG587"/>
  <c r="I586" i="16"/>
  <c r="W597" i="1"/>
  <c r="U597" i="14"/>
  <c r="AA597"/>
  <c r="AW582" i="17"/>
  <c r="O586" i="15"/>
  <c r="AG586" s="1"/>
  <c r="G585" i="16"/>
  <c r="W592" i="22"/>
  <c r="W596" i="1"/>
  <c r="Y592" i="26"/>
  <c r="U592"/>
  <c r="U596" i="14"/>
  <c r="AM581" i="17"/>
  <c r="AC585" i="15"/>
  <c r="O585"/>
  <c r="AG585" s="1"/>
  <c r="I584" i="16"/>
  <c r="W591" i="22"/>
  <c r="Y591" i="26"/>
  <c r="U591"/>
  <c r="U595" i="14"/>
  <c r="O584" i="15"/>
  <c r="AG584"/>
  <c r="I583" i="16"/>
  <c r="W590" i="22"/>
  <c r="K590"/>
  <c r="AG592" i="2"/>
  <c r="W594" i="1"/>
  <c r="Y590" i="26"/>
  <c r="U590"/>
  <c r="G590"/>
  <c r="K590" s="1"/>
  <c r="U592" i="14"/>
  <c r="O581" i="15"/>
  <c r="AG581"/>
  <c r="AE588" i="22"/>
  <c r="W588"/>
  <c r="W590" i="1"/>
  <c r="Y586" i="26"/>
  <c r="U586"/>
  <c r="U590" i="14"/>
  <c r="O579" i="15"/>
  <c r="AG579"/>
  <c r="I580" i="16"/>
  <c r="G580"/>
  <c r="W586" i="22"/>
  <c r="K586"/>
  <c r="W588" i="1"/>
  <c r="Y584" i="26"/>
  <c r="U584"/>
  <c r="U588" i="14"/>
  <c r="AA588"/>
  <c r="O577" i="15"/>
  <c r="AG577"/>
  <c r="W474" i="16"/>
  <c r="W585" i="22"/>
  <c r="AZ585" i="25"/>
  <c r="W587" i="1"/>
  <c r="Y583" i="26"/>
  <c r="U583"/>
  <c r="G583"/>
  <c r="U587" i="14"/>
  <c r="O576" i="15"/>
  <c r="AG576"/>
  <c r="I577" i="16"/>
  <c r="W584" i="22"/>
  <c r="W585" i="1"/>
  <c r="Y582" i="26"/>
  <c r="U582"/>
  <c r="U586" i="14"/>
  <c r="AA575" i="15"/>
  <c r="O575"/>
  <c r="AG575" s="1"/>
  <c r="I576" i="16"/>
  <c r="G576"/>
  <c r="M583" i="25"/>
  <c r="W583" i="22"/>
  <c r="K583"/>
  <c r="Y583" s="1"/>
  <c r="K585" i="1"/>
  <c r="Y581" i="26"/>
  <c r="U581"/>
  <c r="G581"/>
  <c r="K581"/>
  <c r="U585" i="14"/>
  <c r="M570" i="17"/>
  <c r="AW570" s="1"/>
  <c r="O574" i="15"/>
  <c r="I575" i="16"/>
  <c r="G590" i="10"/>
  <c r="AK582" i="22"/>
  <c r="W582"/>
  <c r="Y580" i="26"/>
  <c r="U580"/>
  <c r="U584" i="14"/>
  <c r="O573" i="15"/>
  <c r="I574" i="16"/>
  <c r="Q589" i="10"/>
  <c r="AA581" i="22"/>
  <c r="W581"/>
  <c r="W583" i="1"/>
  <c r="Y579" i="26"/>
  <c r="U579"/>
  <c r="U583" i="14"/>
  <c r="O572" i="15"/>
  <c r="AA572"/>
  <c r="AG572"/>
  <c r="I573" i="16"/>
  <c r="W580" i="22"/>
  <c r="W582" i="1"/>
  <c r="U578" i="26"/>
  <c r="U582" i="14"/>
  <c r="AA582"/>
  <c r="O571" i="15"/>
  <c r="AG571"/>
  <c r="I572" i="16"/>
  <c r="G572"/>
  <c r="AP579" i="25"/>
  <c r="W579" i="22"/>
  <c r="K579"/>
  <c r="W581" i="1"/>
  <c r="Y577" i="26"/>
  <c r="U577"/>
  <c r="U581" i="14"/>
  <c r="O570" i="15"/>
  <c r="AG570"/>
  <c r="I571" i="16"/>
  <c r="K577" i="22"/>
  <c r="K579" i="1"/>
  <c r="Y575" i="26"/>
  <c r="U575"/>
  <c r="U579" i="14"/>
  <c r="AC564" i="17"/>
  <c r="AA564"/>
  <c r="AW564" s="1"/>
  <c r="O568" i="15"/>
  <c r="AG568" s="1"/>
  <c r="I569" i="16"/>
  <c r="G569" s="1"/>
  <c r="G584" i="10"/>
  <c r="M576" i="22"/>
  <c r="W576"/>
  <c r="U578" i="14"/>
  <c r="AA578" s="1"/>
  <c r="Y574" i="26"/>
  <c r="U574"/>
  <c r="O574"/>
  <c r="I574"/>
  <c r="G574"/>
  <c r="M578" i="1"/>
  <c r="S567" i="15"/>
  <c r="O567"/>
  <c r="I568" i="16"/>
  <c r="W570" i="22"/>
  <c r="W572" i="1"/>
  <c r="Y568" i="26"/>
  <c r="U568"/>
  <c r="U572" i="14"/>
  <c r="AA561" i="15"/>
  <c r="O561"/>
  <c r="AG561"/>
  <c r="M575" i="25"/>
  <c r="W575" i="22"/>
  <c r="K575"/>
  <c r="W577" i="1"/>
  <c r="Y573" i="26"/>
  <c r="U573"/>
  <c r="U577" i="14"/>
  <c r="AU562" i="17"/>
  <c r="M562"/>
  <c r="O566" i="15"/>
  <c r="W572" i="22"/>
  <c r="W574" i="1"/>
  <c r="Y574" s="1"/>
  <c r="Y570" i="26"/>
  <c r="U570"/>
  <c r="U574" i="14"/>
  <c r="O563" i="15"/>
  <c r="AG563" s="1"/>
  <c r="AA564"/>
  <c r="I564" i="16"/>
  <c r="G564"/>
  <c r="W571" i="22"/>
  <c r="K571"/>
  <c r="K573" i="1"/>
  <c r="Y573"/>
  <c r="Y569" i="26"/>
  <c r="U569"/>
  <c r="U573" i="14"/>
  <c r="M558" i="17"/>
  <c r="AW558" s="1"/>
  <c r="O562" i="15"/>
  <c r="W569" i="22"/>
  <c r="G567" i="26"/>
  <c r="W571" i="1"/>
  <c r="Y571" s="1"/>
  <c r="Y567" i="26"/>
  <c r="U567"/>
  <c r="U571" i="14"/>
  <c r="I561" i="16"/>
  <c r="O560" i="15"/>
  <c r="AG560" s="1"/>
  <c r="AN568" i="25"/>
  <c r="W568" i="22"/>
  <c r="W570" i="1"/>
  <c r="Y570" s="1"/>
  <c r="Y566" i="26"/>
  <c r="U566"/>
  <c r="AA566"/>
  <c r="I566"/>
  <c r="K566"/>
  <c r="U570" i="14"/>
  <c r="AA570"/>
  <c r="I570"/>
  <c r="AA559" i="15"/>
  <c r="O559"/>
  <c r="AG559"/>
  <c r="I560" i="16"/>
  <c r="AP567" i="25"/>
  <c r="W567" i="22"/>
  <c r="K567"/>
  <c r="Y565" i="26"/>
  <c r="W565"/>
  <c r="U565"/>
  <c r="G565"/>
  <c r="U569" i="14"/>
  <c r="O558" i="15"/>
  <c r="Q574" i="10"/>
  <c r="G574"/>
  <c r="W566" i="22"/>
  <c r="W568" i="1"/>
  <c r="Y564" i="26"/>
  <c r="U564"/>
  <c r="AA564" s="1"/>
  <c r="U568" i="14"/>
  <c r="O556" i="15"/>
  <c r="O557"/>
  <c r="AG557" s="1"/>
  <c r="I558" i="16"/>
  <c r="G558" s="1"/>
  <c r="M573" i="10"/>
  <c r="S573" s="1"/>
  <c r="W565" i="22"/>
  <c r="W567" i="1"/>
  <c r="Y563" i="26"/>
  <c r="U563"/>
  <c r="U567" i="14"/>
  <c r="I557" i="16"/>
  <c r="G557"/>
  <c r="AP267" i="25"/>
  <c r="AE269" i="22"/>
  <c r="AK269"/>
  <c r="W269"/>
  <c r="K269"/>
  <c r="AP271" i="2"/>
  <c r="K271" i="1"/>
  <c r="Y267" i="26"/>
  <c r="U267"/>
  <c r="U271" i="14"/>
  <c r="AA271" s="1"/>
  <c r="S260" i="15"/>
  <c r="O260"/>
  <c r="AG260"/>
  <c r="W202" i="22"/>
  <c r="AK202"/>
  <c r="K202"/>
  <c r="Y202" i="26"/>
  <c r="U202"/>
  <c r="AG204" i="1"/>
  <c r="O204" i="14"/>
  <c r="M214" i="15"/>
  <c r="O193"/>
  <c r="AG193"/>
  <c r="U213" i="26"/>
  <c r="AA213"/>
  <c r="U215" i="14"/>
  <c r="AA215"/>
  <c r="O204" i="15"/>
  <c r="AG204"/>
  <c r="I199" i="16"/>
  <c r="G199"/>
  <c r="W251" i="22"/>
  <c r="U251" i="26"/>
  <c r="Y251"/>
  <c r="W253" i="1"/>
  <c r="U253" i="14"/>
  <c r="O242" i="15"/>
  <c r="AG242" s="1"/>
  <c r="I240" i="16"/>
  <c r="W250" i="22"/>
  <c r="K250"/>
  <c r="W252" i="1"/>
  <c r="Y250" i="26"/>
  <c r="U250"/>
  <c r="AA250"/>
  <c r="U252" i="14"/>
  <c r="O241" i="15"/>
  <c r="S15" i="10"/>
  <c r="S73"/>
  <c r="AK249" i="22"/>
  <c r="W249"/>
  <c r="AG251" i="1"/>
  <c r="U249" i="26"/>
  <c r="U251" i="14"/>
  <c r="AD237" i="16"/>
  <c r="W237"/>
  <c r="M237"/>
  <c r="G237"/>
  <c r="AD236"/>
  <c r="W236"/>
  <c r="M236"/>
  <c r="G236"/>
  <c r="AD235"/>
  <c r="W235"/>
  <c r="M235"/>
  <c r="I235"/>
  <c r="G235"/>
  <c r="AD234"/>
  <c r="W234"/>
  <c r="M234"/>
  <c r="I234"/>
  <c r="G234" s="1"/>
  <c r="AF234" s="1"/>
  <c r="W238"/>
  <c r="M238"/>
  <c r="G238"/>
  <c r="BE224" i="17"/>
  <c r="BE225"/>
  <c r="BE226"/>
  <c r="BE227"/>
  <c r="BE228"/>
  <c r="BE229"/>
  <c r="BE230"/>
  <c r="BE231"/>
  <c r="BE232"/>
  <c r="BE233"/>
  <c r="BE234"/>
  <c r="BE236"/>
  <c r="X253" i="10"/>
  <c r="M253"/>
  <c r="S253"/>
  <c r="X252"/>
  <c r="G252"/>
  <c r="S252" s="1"/>
  <c r="X251"/>
  <c r="K251"/>
  <c r="S251"/>
  <c r="X250"/>
  <c r="S250"/>
  <c r="X249"/>
  <c r="S249"/>
  <c r="X246"/>
  <c r="O246"/>
  <c r="S246" s="1"/>
  <c r="X245"/>
  <c r="S245"/>
  <c r="X244"/>
  <c r="S244"/>
  <c r="X243"/>
  <c r="S243"/>
  <c r="X242"/>
  <c r="O242"/>
  <c r="G242"/>
  <c r="S242" s="1"/>
  <c r="X241"/>
  <c r="S241"/>
  <c r="X240"/>
  <c r="G240"/>
  <c r="S240"/>
  <c r="X239"/>
  <c r="S239"/>
  <c r="BL248" i="25"/>
  <c r="BT248"/>
  <c r="BV248" s="1"/>
  <c r="AZ248"/>
  <c r="BJ248" s="1"/>
  <c r="BL247"/>
  <c r="BT247" s="1"/>
  <c r="BV247" s="1"/>
  <c r="AZ247"/>
  <c r="BJ247" s="1"/>
  <c r="BL246"/>
  <c r="BT246" s="1"/>
  <c r="BV246" s="1"/>
  <c r="AZ246"/>
  <c r="BJ246"/>
  <c r="BL245"/>
  <c r="BT245"/>
  <c r="BV245" s="1"/>
  <c r="AZ245"/>
  <c r="BJ245"/>
  <c r="BL244"/>
  <c r="BT244"/>
  <c r="BV244" s="1"/>
  <c r="AZ244"/>
  <c r="BJ244" s="1"/>
  <c r="BL243"/>
  <c r="BT243" s="1"/>
  <c r="BV243" s="1"/>
  <c r="M243"/>
  <c r="AZ243" s="1"/>
  <c r="BJ243" s="1"/>
  <c r="BL242"/>
  <c r="BT242"/>
  <c r="BV242" s="1"/>
  <c r="AZ242"/>
  <c r="BJ242"/>
  <c r="BL241"/>
  <c r="BT241"/>
  <c r="BV241" s="1"/>
  <c r="AZ241"/>
  <c r="BJ241" s="1"/>
  <c r="BL240"/>
  <c r="BT240" s="1"/>
  <c r="BV240" s="1"/>
  <c r="AZ240"/>
  <c r="BJ240" s="1"/>
  <c r="BL239"/>
  <c r="BT239" s="1"/>
  <c r="BV239" s="1"/>
  <c r="AZ239"/>
  <c r="BJ239"/>
  <c r="BL238"/>
  <c r="BT238"/>
  <c r="BV238" s="1"/>
  <c r="AP238"/>
  <c r="AZ238"/>
  <c r="BJ238" s="1"/>
  <c r="BL237"/>
  <c r="BT237" s="1"/>
  <c r="BV237" s="1"/>
  <c r="AP237"/>
  <c r="M237"/>
  <c r="BL236"/>
  <c r="BT236" s="1"/>
  <c r="BV236" s="1"/>
  <c r="AZ236"/>
  <c r="BJ236"/>
  <c r="AS248" i="22"/>
  <c r="W248"/>
  <c r="Y248" s="1"/>
  <c r="AU248" s="1"/>
  <c r="AS247"/>
  <c r="W247"/>
  <c r="K247"/>
  <c r="AK246"/>
  <c r="AS246" s="1"/>
  <c r="W246"/>
  <c r="Y246" s="1"/>
  <c r="AS245"/>
  <c r="W245"/>
  <c r="K245"/>
  <c r="Y245" s="1"/>
  <c r="AU245" s="1"/>
  <c r="AS244"/>
  <c r="W244"/>
  <c r="K244"/>
  <c r="AS243"/>
  <c r="W243"/>
  <c r="K243"/>
  <c r="AS242"/>
  <c r="Y242"/>
  <c r="AS241"/>
  <c r="Y241"/>
  <c r="AS240"/>
  <c r="W240"/>
  <c r="Y240" s="1"/>
  <c r="AU240" s="1"/>
  <c r="AK239"/>
  <c r="AS239"/>
  <c r="W239"/>
  <c r="Y239"/>
  <c r="AU239" s="1"/>
  <c r="AS238"/>
  <c r="W238"/>
  <c r="K238"/>
  <c r="AS237"/>
  <c r="O237"/>
  <c r="K237"/>
  <c r="AS236"/>
  <c r="W236"/>
  <c r="Y236"/>
  <c r="W248" i="26"/>
  <c r="U248"/>
  <c r="AA248" s="1"/>
  <c r="O248"/>
  <c r="K248"/>
  <c r="AC248"/>
  <c r="Y247"/>
  <c r="U247"/>
  <c r="AA247" s="1"/>
  <c r="O247"/>
  <c r="G247"/>
  <c r="Y246"/>
  <c r="U246"/>
  <c r="O246"/>
  <c r="K246"/>
  <c r="Y245"/>
  <c r="U245"/>
  <c r="O245"/>
  <c r="K245"/>
  <c r="Y244"/>
  <c r="U244"/>
  <c r="O244"/>
  <c r="G244"/>
  <c r="Y243"/>
  <c r="U243"/>
  <c r="O243"/>
  <c r="G243"/>
  <c r="K243"/>
  <c r="AC243" s="1"/>
  <c r="AA242"/>
  <c r="O242"/>
  <c r="K242"/>
  <c r="AA241"/>
  <c r="O241"/>
  <c r="K241"/>
  <c r="Y240"/>
  <c r="U240"/>
  <c r="AA240"/>
  <c r="O240"/>
  <c r="I240"/>
  <c r="G240"/>
  <c r="Y239"/>
  <c r="U239"/>
  <c r="O239"/>
  <c r="K239"/>
  <c r="Y238"/>
  <c r="U238"/>
  <c r="O238"/>
  <c r="G238"/>
  <c r="Y237"/>
  <c r="U237"/>
  <c r="O237"/>
  <c r="K237"/>
  <c r="Y236"/>
  <c r="U236"/>
  <c r="O236"/>
  <c r="K236"/>
  <c r="BL250" i="2"/>
  <c r="BS250" s="1"/>
  <c r="BU250" s="1"/>
  <c r="AZ250"/>
  <c r="BJ250"/>
  <c r="BL249"/>
  <c r="BS249"/>
  <c r="BU249" s="1"/>
  <c r="AZ249"/>
  <c r="BJ249"/>
  <c r="BL248"/>
  <c r="BS248"/>
  <c r="BU248" s="1"/>
  <c r="AA248"/>
  <c r="AZ248" s="1"/>
  <c r="BJ248" s="1"/>
  <c r="BL247"/>
  <c r="BS247"/>
  <c r="BU247" s="1"/>
  <c r="AZ247"/>
  <c r="BJ247" s="1"/>
  <c r="BL246"/>
  <c r="BS246" s="1"/>
  <c r="BU246" s="1"/>
  <c r="AZ246"/>
  <c r="BJ246" s="1"/>
  <c r="BL245"/>
  <c r="BS245" s="1"/>
  <c r="BU245" s="1"/>
  <c r="AX245"/>
  <c r="AZ245"/>
  <c r="BJ245" s="1"/>
  <c r="BL244"/>
  <c r="BS244" s="1"/>
  <c r="BU244" s="1"/>
  <c r="AZ244"/>
  <c r="BJ244"/>
  <c r="BL243"/>
  <c r="BS243"/>
  <c r="BU243" s="1"/>
  <c r="AZ243"/>
  <c r="BJ243"/>
  <c r="BL242"/>
  <c r="BS242"/>
  <c r="BU242" s="1"/>
  <c r="AZ242"/>
  <c r="BJ242" s="1"/>
  <c r="BL241"/>
  <c r="BS241" s="1"/>
  <c r="BU241" s="1"/>
  <c r="AZ241"/>
  <c r="BJ241" s="1"/>
  <c r="BL240"/>
  <c r="BS240" s="1"/>
  <c r="BU240" s="1"/>
  <c r="AZ240"/>
  <c r="BJ240"/>
  <c r="BL239"/>
  <c r="BS239"/>
  <c r="BU239" s="1"/>
  <c r="AP239"/>
  <c r="AZ239"/>
  <c r="BJ239" s="1"/>
  <c r="BL238"/>
  <c r="BS238" s="1"/>
  <c r="BU238" s="1"/>
  <c r="AZ238"/>
  <c r="BJ238" s="1"/>
  <c r="AK250" i="1"/>
  <c r="W250"/>
  <c r="Y250"/>
  <c r="AK249"/>
  <c r="Y249"/>
  <c r="AM249" s="1"/>
  <c r="AK248"/>
  <c r="AM248" s="1"/>
  <c r="W248"/>
  <c r="Y248"/>
  <c r="AK247"/>
  <c r="W247"/>
  <c r="K247"/>
  <c r="AK246"/>
  <c r="K246"/>
  <c r="Y246" s="1"/>
  <c r="AK245"/>
  <c r="W245"/>
  <c r="K245"/>
  <c r="AK244"/>
  <c r="Y244"/>
  <c r="AK243"/>
  <c r="Y243"/>
  <c r="AK242"/>
  <c r="W242"/>
  <c r="Y242" s="1"/>
  <c r="AG241"/>
  <c r="AK241" s="1"/>
  <c r="W241"/>
  <c r="Y241" s="1"/>
  <c r="AK240"/>
  <c r="K240"/>
  <c r="Y240"/>
  <c r="AK239"/>
  <c r="W239"/>
  <c r="O239"/>
  <c r="AK238"/>
  <c r="W238"/>
  <c r="Y238"/>
  <c r="U250" i="14"/>
  <c r="AA250"/>
  <c r="O250"/>
  <c r="K250"/>
  <c r="U249"/>
  <c r="AA249"/>
  <c r="O249"/>
  <c r="K249"/>
  <c r="U248"/>
  <c r="AA248"/>
  <c r="O248"/>
  <c r="K248"/>
  <c r="U247"/>
  <c r="AA247"/>
  <c r="O247"/>
  <c r="K247"/>
  <c r="U246"/>
  <c r="AA246"/>
  <c r="O246"/>
  <c r="K246"/>
  <c r="U245"/>
  <c r="AA245"/>
  <c r="O245"/>
  <c r="K245"/>
  <c r="AA244"/>
  <c r="O244"/>
  <c r="K244"/>
  <c r="AA243"/>
  <c r="O243"/>
  <c r="K243"/>
  <c r="U242"/>
  <c r="AA242"/>
  <c r="O242"/>
  <c r="K242"/>
  <c r="U241"/>
  <c r="AA241"/>
  <c r="O241"/>
  <c r="K241"/>
  <c r="U240"/>
  <c r="AA240"/>
  <c r="O240"/>
  <c r="G240"/>
  <c r="K240" s="1"/>
  <c r="AC240" s="1"/>
  <c r="U239"/>
  <c r="AA239"/>
  <c r="O239"/>
  <c r="K239"/>
  <c r="U238"/>
  <c r="AA238"/>
  <c r="O238"/>
  <c r="K238"/>
  <c r="AY236" i="17"/>
  <c r="BC236"/>
  <c r="AW236"/>
  <c r="AY235"/>
  <c r="BC235" s="1"/>
  <c r="BE235" s="1"/>
  <c r="AW235"/>
  <c r="AY234"/>
  <c r="BC234" s="1"/>
  <c r="AW234"/>
  <c r="AY233"/>
  <c r="BC233"/>
  <c r="AW233"/>
  <c r="AY232"/>
  <c r="BC232" s="1"/>
  <c r="AW232"/>
  <c r="AY231"/>
  <c r="BC231"/>
  <c r="M231"/>
  <c r="AW231"/>
  <c r="AY230"/>
  <c r="BC230"/>
  <c r="AW230"/>
  <c r="AY229"/>
  <c r="BC229" s="1"/>
  <c r="AW229"/>
  <c r="AY228"/>
  <c r="BC228"/>
  <c r="AW228"/>
  <c r="AY227"/>
  <c r="BC227" s="1"/>
  <c r="AW227"/>
  <c r="AY226"/>
  <c r="BC226"/>
  <c r="AW226"/>
  <c r="AY225"/>
  <c r="BC225" s="1"/>
  <c r="M225"/>
  <c r="AW225" s="1"/>
  <c r="AY224"/>
  <c r="BC224" s="1"/>
  <c r="AW224"/>
  <c r="AG239" i="15"/>
  <c r="M239"/>
  <c r="O238"/>
  <c r="AG238"/>
  <c r="M238"/>
  <c r="O237"/>
  <c r="AG237" s="1"/>
  <c r="AI237" s="1"/>
  <c r="M237"/>
  <c r="O236"/>
  <c r="AG236" s="1"/>
  <c r="AI236" s="1"/>
  <c r="M236"/>
  <c r="O235"/>
  <c r="AG235" s="1"/>
  <c r="AI235" s="1"/>
  <c r="M235"/>
  <c r="O234"/>
  <c r="AG234" s="1"/>
  <c r="AI234" s="1"/>
  <c r="M234"/>
  <c r="AG233"/>
  <c r="M233"/>
  <c r="AG232"/>
  <c r="M232"/>
  <c r="O231"/>
  <c r="AG231" s="1"/>
  <c r="M231"/>
  <c r="O230"/>
  <c r="AG230"/>
  <c r="AI230" s="1"/>
  <c r="M230"/>
  <c r="O229"/>
  <c r="AG229"/>
  <c r="M229"/>
  <c r="O227"/>
  <c r="AG227" s="1"/>
  <c r="AI227" s="1"/>
  <c r="M227"/>
  <c r="AD232" i="16"/>
  <c r="W232"/>
  <c r="M232"/>
  <c r="I232"/>
  <c r="G232"/>
  <c r="AD231"/>
  <c r="W231"/>
  <c r="M231"/>
  <c r="G231"/>
  <c r="AD230"/>
  <c r="W230"/>
  <c r="M230"/>
  <c r="G230"/>
  <c r="AD229"/>
  <c r="W229"/>
  <c r="M229"/>
  <c r="I229"/>
  <c r="G229" s="1"/>
  <c r="AF229" s="1"/>
  <c r="AD228"/>
  <c r="W228"/>
  <c r="M228"/>
  <c r="I228"/>
  <c r="G228" s="1"/>
  <c r="AF228" s="1"/>
  <c r="AD227"/>
  <c r="W227"/>
  <c r="M227"/>
  <c r="G227"/>
  <c r="AD225"/>
  <c r="W225"/>
  <c r="M225"/>
  <c r="I225"/>
  <c r="G225" s="1"/>
  <c r="AF225" s="1"/>
  <c r="AC241" i="14"/>
  <c r="K238" i="26"/>
  <c r="K244"/>
  <c r="Y562"/>
  <c r="U562"/>
  <c r="U564" i="25"/>
  <c r="W564" i="22"/>
  <c r="U566" i="2"/>
  <c r="W566" i="1"/>
  <c r="Y566"/>
  <c r="U566" i="14"/>
  <c r="U551" i="17"/>
  <c r="O555" i="15"/>
  <c r="AG555"/>
  <c r="I554" i="16"/>
  <c r="G554" s="1"/>
  <c r="G558" i="10"/>
  <c r="AA550" i="22"/>
  <c r="W550"/>
  <c r="Y550" s="1"/>
  <c r="Y548" i="26"/>
  <c r="U548"/>
  <c r="G548"/>
  <c r="I548"/>
  <c r="W552" i="1"/>
  <c r="Y552" s="1"/>
  <c r="U552" i="14"/>
  <c r="AA552" s="1"/>
  <c r="G552"/>
  <c r="S541" i="15"/>
  <c r="O541"/>
  <c r="W540" i="16"/>
  <c r="I540"/>
  <c r="G540" s="1"/>
  <c r="BB547" i="25"/>
  <c r="W549" i="22"/>
  <c r="Y547" i="26"/>
  <c r="U547"/>
  <c r="W551" i="1"/>
  <c r="Y551" s="1"/>
  <c r="U551" i="14"/>
  <c r="O540" i="15"/>
  <c r="AG540"/>
  <c r="I539" i="16"/>
  <c r="G539"/>
  <c r="Q238" i="10"/>
  <c r="G238"/>
  <c r="AK235" i="22"/>
  <c r="K235"/>
  <c r="W235"/>
  <c r="U235" i="26"/>
  <c r="Y235"/>
  <c r="W237" i="1"/>
  <c r="Y237" s="1"/>
  <c r="U237" i="14"/>
  <c r="AA237" s="1"/>
  <c r="O226" i="15"/>
  <c r="AG226" s="1"/>
  <c r="I224" i="16"/>
  <c r="G224" s="1"/>
  <c r="W234" i="22"/>
  <c r="Y234" i="26"/>
  <c r="U234"/>
  <c r="W236" i="1"/>
  <c r="U236" i="14"/>
  <c r="O225" i="15"/>
  <c r="AG225"/>
  <c r="I223" i="16"/>
  <c r="G223"/>
  <c r="K233" i="22"/>
  <c r="W233"/>
  <c r="Y233" i="26"/>
  <c r="U233"/>
  <c r="K235" i="1"/>
  <c r="W235"/>
  <c r="Y235"/>
  <c r="U235" i="14"/>
  <c r="AA235"/>
  <c r="O224" i="15"/>
  <c r="G222" i="16"/>
  <c r="W232" i="22"/>
  <c r="K232"/>
  <c r="Y232" i="26"/>
  <c r="U232"/>
  <c r="I232"/>
  <c r="K234" i="1"/>
  <c r="W234"/>
  <c r="Y234"/>
  <c r="U234" i="14"/>
  <c r="O223" i="15"/>
  <c r="I221" i="16"/>
  <c r="G221"/>
  <c r="Y231" i="26"/>
  <c r="U231"/>
  <c r="W231" i="22"/>
  <c r="W233" i="1"/>
  <c r="Y233" s="1"/>
  <c r="U233" i="14"/>
  <c r="O222" i="15"/>
  <c r="AG222"/>
  <c r="I220" i="16"/>
  <c r="G220"/>
  <c r="K233" i="10"/>
  <c r="K230" i="22"/>
  <c r="W230"/>
  <c r="Y230"/>
  <c r="U230" i="26"/>
  <c r="Y230"/>
  <c r="W232" i="1"/>
  <c r="U232" i="14"/>
  <c r="AA232" s="1"/>
  <c r="O221" i="15"/>
  <c r="I219" i="16"/>
  <c r="G219"/>
  <c r="W229" i="22"/>
  <c r="Y229" i="26"/>
  <c r="U231" i="14"/>
  <c r="AA220" i="15"/>
  <c r="O220"/>
  <c r="I217" i="16"/>
  <c r="G217" s="1"/>
  <c r="G230" i="10"/>
  <c r="U227" i="25"/>
  <c r="AZ227" s="1"/>
  <c r="BJ227" s="1"/>
  <c r="W227" i="22"/>
  <c r="Y227" i="26"/>
  <c r="U227"/>
  <c r="U229" i="2"/>
  <c r="AZ229" s="1"/>
  <c r="BJ229" s="1"/>
  <c r="AG229" i="1"/>
  <c r="AK229"/>
  <c r="U229" i="14"/>
  <c r="AA229"/>
  <c r="O219" i="15"/>
  <c r="U215" i="17"/>
  <c r="AW215" s="1"/>
  <c r="AA218" i="15"/>
  <c r="O218"/>
  <c r="AG218"/>
  <c r="I215" i="16"/>
  <c r="G215"/>
  <c r="K229" i="10"/>
  <c r="W226" i="22"/>
  <c r="AP226" i="25"/>
  <c r="K226" i="22"/>
  <c r="Y226" i="26"/>
  <c r="AP228" i="2"/>
  <c r="W228" i="1"/>
  <c r="K228"/>
  <c r="Y228" s="1"/>
  <c r="O217" i="15"/>
  <c r="G214" i="16"/>
  <c r="W225" i="22"/>
  <c r="Y225" i="26"/>
  <c r="U225"/>
  <c r="U227" i="14"/>
  <c r="AA227"/>
  <c r="O216" i="15"/>
  <c r="I213" i="16"/>
  <c r="G213" s="1"/>
  <c r="W224" i="22"/>
  <c r="Y224" i="26"/>
  <c r="U224"/>
  <c r="W226" i="1"/>
  <c r="O215" i="15"/>
  <c r="AA215"/>
  <c r="AG215"/>
  <c r="I212" i="16"/>
  <c r="Y219" i="26"/>
  <c r="U219"/>
  <c r="AE219" i="22"/>
  <c r="W219"/>
  <c r="W220" i="1"/>
  <c r="Y220" s="1"/>
  <c r="W221"/>
  <c r="U221" i="14"/>
  <c r="AA221"/>
  <c r="O210" i="15"/>
  <c r="AG210"/>
  <c r="G207" i="16"/>
  <c r="W214" i="22"/>
  <c r="W218"/>
  <c r="Y218" i="26"/>
  <c r="U218"/>
  <c r="U220" i="14"/>
  <c r="Y217" i="26"/>
  <c r="AA209" i="15"/>
  <c r="O209"/>
  <c r="I206" i="16"/>
  <c r="G206" s="1"/>
  <c r="G220" i="10"/>
  <c r="S220" s="1"/>
  <c r="U217" i="26"/>
  <c r="AA217" s="1"/>
  <c r="AG219" i="1"/>
  <c r="AK219" s="1"/>
  <c r="W219"/>
  <c r="U219" i="14"/>
  <c r="AA219"/>
  <c r="O208" i="15"/>
  <c r="S208"/>
  <c r="M205" i="16"/>
  <c r="I205"/>
  <c r="G205" s="1"/>
  <c r="Y214" i="26"/>
  <c r="U214"/>
  <c r="U216" i="14"/>
  <c r="AM202" i="17"/>
  <c r="AW202"/>
  <c r="I202" i="16"/>
  <c r="G202"/>
  <c r="M215" i="25"/>
  <c r="W215" i="22"/>
  <c r="Y215" i="26"/>
  <c r="U215"/>
  <c r="W217" i="1"/>
  <c r="Y217"/>
  <c r="U217" i="14"/>
  <c r="M203" i="17"/>
  <c r="O206" i="15"/>
  <c r="AG206"/>
  <c r="I203" i="16"/>
  <c r="G215" i="10"/>
  <c r="W212" i="22"/>
  <c r="Y212" i="26"/>
  <c r="U212"/>
  <c r="W214" i="1"/>
  <c r="Y214" s="1"/>
  <c r="U214" i="14"/>
  <c r="AA203" i="15"/>
  <c r="O203"/>
  <c r="AG203" s="1"/>
  <c r="I198" i="16"/>
  <c r="G198" s="1"/>
  <c r="Y209" i="26"/>
  <c r="U209"/>
  <c r="W209" i="22"/>
  <c r="W211" i="1"/>
  <c r="Y211"/>
  <c r="U211" i="14"/>
  <c r="AA211"/>
  <c r="AA200" i="15"/>
  <c r="AG200"/>
  <c r="G206" i="10"/>
  <c r="W203" i="22"/>
  <c r="U203" i="26"/>
  <c r="AA205" i="14"/>
  <c r="AG194" i="15"/>
  <c r="Q204" i="10"/>
  <c r="S204" s="1"/>
  <c r="AK201" i="22"/>
  <c r="K201"/>
  <c r="W201"/>
  <c r="Y199" i="26"/>
  <c r="U199"/>
  <c r="W203" i="14"/>
  <c r="O192" i="15"/>
  <c r="AG192" s="1"/>
  <c r="I187" i="16"/>
  <c r="G187" s="1"/>
  <c r="G203" i="10"/>
  <c r="M200" i="25"/>
  <c r="W200" i="22"/>
  <c r="Y198" i="26"/>
  <c r="U198"/>
  <c r="M202" i="2"/>
  <c r="U202" i="14"/>
  <c r="O191" i="15"/>
  <c r="AG191"/>
  <c r="M188" i="17"/>
  <c r="AW188" s="1"/>
  <c r="I186" i="16"/>
  <c r="G186" s="1"/>
  <c r="G202" i="10"/>
  <c r="K199" i="22"/>
  <c r="Y197" i="26"/>
  <c r="U197"/>
  <c r="U201" i="14"/>
  <c r="O190" i="15"/>
  <c r="AG190"/>
  <c r="I185" i="16"/>
  <c r="G185"/>
  <c r="Q199" i="10"/>
  <c r="W196" i="22"/>
  <c r="K196"/>
  <c r="Y194" i="26"/>
  <c r="U194"/>
  <c r="W198" i="1"/>
  <c r="Y198" s="1"/>
  <c r="U198" i="14"/>
  <c r="O187" i="15"/>
  <c r="I182" i="16"/>
  <c r="G182" s="1"/>
  <c r="W195" i="22"/>
  <c r="K195"/>
  <c r="W193" i="26"/>
  <c r="U193"/>
  <c r="W197" i="1"/>
  <c r="U197" i="14"/>
  <c r="AA197"/>
  <c r="O186" i="15"/>
  <c r="I181" i="16"/>
  <c r="G181" s="1"/>
  <c r="W206" i="22"/>
  <c r="Y206" i="26"/>
  <c r="U206"/>
  <c r="W208" i="1"/>
  <c r="U208" i="14"/>
  <c r="O197" i="15"/>
  <c r="AG197"/>
  <c r="I192" i="16"/>
  <c r="G192"/>
  <c r="G208" i="10"/>
  <c r="M205" i="25"/>
  <c r="W205" i="22"/>
  <c r="Y205" i="26"/>
  <c r="U205"/>
  <c r="U207" i="14"/>
  <c r="AA207" s="1"/>
  <c r="M193" i="17"/>
  <c r="AW193" s="1"/>
  <c r="O196" i="15"/>
  <c r="AG196" s="1"/>
  <c r="I191" i="16"/>
  <c r="U206" i="14"/>
  <c r="K206"/>
  <c r="AW192" i="17"/>
  <c r="AG195" i="15"/>
  <c r="AD190" i="16"/>
  <c r="W190"/>
  <c r="M210" i="10"/>
  <c r="K207" i="22"/>
  <c r="Y207" i="26"/>
  <c r="U207"/>
  <c r="Q207"/>
  <c r="I207"/>
  <c r="BH209" i="2"/>
  <c r="U209" i="14"/>
  <c r="AA209"/>
  <c r="AA198" i="15"/>
  <c r="O198"/>
  <c r="AG198" s="1"/>
  <c r="G213" i="10"/>
  <c r="W210" i="22"/>
  <c r="Y210" i="26"/>
  <c r="U210"/>
  <c r="W212" i="1"/>
  <c r="U212" i="14"/>
  <c r="O201" i="15"/>
  <c r="I196" i="16"/>
  <c r="G196"/>
  <c r="W211" i="22"/>
  <c r="Y211" i="26"/>
  <c r="U211"/>
  <c r="U213" i="14"/>
  <c r="AA213" s="1"/>
  <c r="M199" i="17"/>
  <c r="AW199" s="1"/>
  <c r="O202" i="15"/>
  <c r="AG202"/>
  <c r="I197" i="16"/>
  <c r="G197"/>
  <c r="U195" i="14"/>
  <c r="AI192" i="25"/>
  <c r="O183" i="15"/>
  <c r="O184"/>
  <c r="AG184" s="1"/>
  <c r="G179" i="16"/>
  <c r="G344" i="10"/>
  <c r="W339" i="22"/>
  <c r="Y339" i="26"/>
  <c r="U339"/>
  <c r="W343" i="1"/>
  <c r="U343" i="14"/>
  <c r="I329" i="16"/>
  <c r="X485" i="10"/>
  <c r="W478" i="22"/>
  <c r="AK478"/>
  <c r="K478"/>
  <c r="Y476" i="26"/>
  <c r="U476"/>
  <c r="U480" i="14"/>
  <c r="O469" i="15"/>
  <c r="AG469"/>
  <c r="G468" i="16"/>
  <c r="M350" i="10"/>
  <c r="G350"/>
  <c r="AK347" i="22"/>
  <c r="W347"/>
  <c r="Y345" i="26"/>
  <c r="U345"/>
  <c r="U349" i="14"/>
  <c r="O338" i="15"/>
  <c r="I335" i="16"/>
  <c r="G164" i="10"/>
  <c r="S164"/>
  <c r="M164"/>
  <c r="M161" i="25"/>
  <c r="W161" i="22"/>
  <c r="Y161" i="26"/>
  <c r="U161"/>
  <c r="W163" i="1"/>
  <c r="Y163" s="1"/>
  <c r="U162" i="14"/>
  <c r="AA162" s="1"/>
  <c r="O152" i="15"/>
  <c r="M148" i="17"/>
  <c r="AW148"/>
  <c r="I149" i="16"/>
  <c r="G149"/>
  <c r="W190" i="22"/>
  <c r="Y188" i="26"/>
  <c r="U188"/>
  <c r="U192" i="14"/>
  <c r="W192" i="1"/>
  <c r="Y192"/>
  <c r="O181" i="15"/>
  <c r="AG181"/>
  <c r="I176" i="16"/>
  <c r="W198" i="22"/>
  <c r="Y196" i="26"/>
  <c r="U196"/>
  <c r="W200" i="1"/>
  <c r="U200" i="14"/>
  <c r="O189" i="15"/>
  <c r="AG189"/>
  <c r="W587" i="22"/>
  <c r="Y585" i="26"/>
  <c r="U585"/>
  <c r="W589" i="1"/>
  <c r="Y589" s="1"/>
  <c r="U589" i="14"/>
  <c r="O578" i="15"/>
  <c r="AG578"/>
  <c r="I579" i="16"/>
  <c r="G579"/>
  <c r="K488" i="22"/>
  <c r="O488"/>
  <c r="Y486" i="26"/>
  <c r="U486"/>
  <c r="O490" i="1"/>
  <c r="U490" i="14"/>
  <c r="AA490" s="1"/>
  <c r="O479" i="15"/>
  <c r="AG479" s="1"/>
  <c r="I478" i="16"/>
  <c r="G479" i="10"/>
  <c r="AK473" i="22"/>
  <c r="O473"/>
  <c r="K473"/>
  <c r="Y471" i="26"/>
  <c r="U471"/>
  <c r="O475" i="1"/>
  <c r="U475" i="14"/>
  <c r="O464" i="15"/>
  <c r="AG464"/>
  <c r="G463" i="16"/>
  <c r="AA572" i="26"/>
  <c r="AG565" i="15"/>
  <c r="G566" i="16"/>
  <c r="W194" i="22"/>
  <c r="Y192" i="26"/>
  <c r="U192"/>
  <c r="AA192" s="1"/>
  <c r="U196" i="14"/>
  <c r="O185" i="15"/>
  <c r="AG185"/>
  <c r="I180" i="16"/>
  <c r="G180"/>
  <c r="AK217" i="22"/>
  <c r="W217"/>
  <c r="AW205" i="17"/>
  <c r="W222" i="22"/>
  <c r="K222"/>
  <c r="O222"/>
  <c r="U222" i="26"/>
  <c r="Y222"/>
  <c r="Q222"/>
  <c r="G222"/>
  <c r="U224" i="14"/>
  <c r="AA224"/>
  <c r="Q224"/>
  <c r="G224"/>
  <c r="K224" s="1"/>
  <c r="O213" i="15"/>
  <c r="AG213" s="1"/>
  <c r="G210" i="16"/>
  <c r="G65" i="10"/>
  <c r="K65" i="22"/>
  <c r="W65"/>
  <c r="O65"/>
  <c r="Y65" i="26"/>
  <c r="U65"/>
  <c r="AA65"/>
  <c r="G65"/>
  <c r="K65"/>
  <c r="AD57" i="16"/>
  <c r="W208" i="22"/>
  <c r="Y208" i="26"/>
  <c r="U208"/>
  <c r="W210" i="1"/>
  <c r="Y210"/>
  <c r="U210" i="14"/>
  <c r="O199" i="15"/>
  <c r="I194" i="16"/>
  <c r="G194"/>
  <c r="K192" i="22"/>
  <c r="W190" i="26"/>
  <c r="U190"/>
  <c r="U194" i="14"/>
  <c r="I178" i="16"/>
  <c r="W221" i="22"/>
  <c r="O221"/>
  <c r="K221"/>
  <c r="U221" i="26"/>
  <c r="Y221"/>
  <c r="O223" i="1"/>
  <c r="Y223"/>
  <c r="U223" i="14"/>
  <c r="AA223"/>
  <c r="O212" i="15"/>
  <c r="AG212"/>
  <c r="I209" i="16"/>
  <c r="K303" i="22"/>
  <c r="W303"/>
  <c r="O303"/>
  <c r="Y303" i="26"/>
  <c r="U303"/>
  <c r="G303"/>
  <c r="O305" i="1"/>
  <c r="U305" i="14"/>
  <c r="AA305"/>
  <c r="O294" i="15"/>
  <c r="AG294"/>
  <c r="I293" i="16"/>
  <c r="G293"/>
  <c r="W573" i="22"/>
  <c r="K573"/>
  <c r="W571" i="26"/>
  <c r="W575" i="1"/>
  <c r="K575"/>
  <c r="U575" i="14"/>
  <c r="AA575" s="1"/>
  <c r="O564" i="15"/>
  <c r="AG564" s="1"/>
  <c r="I565" i="16"/>
  <c r="G565" s="1"/>
  <c r="Y559" i="26"/>
  <c r="U559"/>
  <c r="I559"/>
  <c r="K559" s="1"/>
  <c r="W561" i="22"/>
  <c r="Y561" s="1"/>
  <c r="U563" i="14"/>
  <c r="AA563" s="1"/>
  <c r="W563" i="1"/>
  <c r="O552" i="15"/>
  <c r="AG552"/>
  <c r="I551" i="16"/>
  <c r="G551"/>
  <c r="W309" i="22"/>
  <c r="AK309"/>
  <c r="K309"/>
  <c r="Y309" i="26"/>
  <c r="U309"/>
  <c r="AA309" s="1"/>
  <c r="AG311" i="1"/>
  <c r="AK311" s="1"/>
  <c r="K311"/>
  <c r="Y311" s="1"/>
  <c r="W311"/>
  <c r="U311" i="14"/>
  <c r="O300" i="15"/>
  <c r="AG300" s="1"/>
  <c r="I299" i="16"/>
  <c r="G179" i="10"/>
  <c r="S179" s="1"/>
  <c r="M176" i="25"/>
  <c r="AZ176" s="1"/>
  <c r="BJ176" s="1"/>
  <c r="W178" i="22"/>
  <c r="U176" i="26"/>
  <c r="Y176"/>
  <c r="G176"/>
  <c r="M178" i="2"/>
  <c r="W180" i="1"/>
  <c r="U179" i="14"/>
  <c r="M165" i="17"/>
  <c r="O169" i="15"/>
  <c r="AK169" i="22"/>
  <c r="W169"/>
  <c r="Y169" i="26"/>
  <c r="U169"/>
  <c r="AG171" i="1"/>
  <c r="U170" i="14"/>
  <c r="AA170"/>
  <c r="AA160" i="15"/>
  <c r="O160"/>
  <c r="AG160" s="1"/>
  <c r="I157" i="16"/>
  <c r="Y58" i="26"/>
  <c r="U58"/>
  <c r="AA58" s="1"/>
  <c r="W58" i="22"/>
  <c r="Y466" i="26"/>
  <c r="U466"/>
  <c r="W59" i="1"/>
  <c r="Y59"/>
  <c r="U59" i="14"/>
  <c r="AA59"/>
  <c r="AM53" i="17"/>
  <c r="O52" i="15"/>
  <c r="I52" i="16"/>
  <c r="G52"/>
  <c r="W466" i="22"/>
  <c r="W464" i="26"/>
  <c r="U464"/>
  <c r="U468" i="14"/>
  <c r="O457" i="15"/>
  <c r="AG457"/>
  <c r="I136" i="16"/>
  <c r="I456"/>
  <c r="G456" s="1"/>
  <c r="G151" i="10"/>
  <c r="W148" i="22"/>
  <c r="Y148" i="26"/>
  <c r="U148"/>
  <c r="W150" i="1"/>
  <c r="U149" i="14"/>
  <c r="O139" i="15"/>
  <c r="AG139" s="1"/>
  <c r="AA141"/>
  <c r="G223" i="10"/>
  <c r="Y220" i="26"/>
  <c r="U220"/>
  <c r="W220" i="22"/>
  <c r="W222" i="1"/>
  <c r="U222" i="14"/>
  <c r="AA222" s="1"/>
  <c r="Q211" i="15"/>
  <c r="O211"/>
  <c r="AG211"/>
  <c r="W150" i="22"/>
  <c r="W150" i="26"/>
  <c r="U150"/>
  <c r="W152" i="1"/>
  <c r="Y152"/>
  <c r="U151" i="14"/>
  <c r="AA151"/>
  <c r="O141" i="15"/>
  <c r="I138" i="16"/>
  <c r="G489" i="10"/>
  <c r="S489"/>
  <c r="K483" i="22"/>
  <c r="K485" i="1"/>
  <c r="Y485" s="1"/>
  <c r="U485" i="14"/>
  <c r="O474" i="15"/>
  <c r="AG474"/>
  <c r="G473" i="16"/>
  <c r="K65" i="1"/>
  <c r="O65"/>
  <c r="U65" i="14"/>
  <c r="K65"/>
  <c r="O57" i="15"/>
  <c r="AG57" s="1"/>
  <c r="I57" i="16"/>
  <c r="G57" s="1"/>
  <c r="K71" i="22"/>
  <c r="W71"/>
  <c r="O71"/>
  <c r="Y71" i="26"/>
  <c r="U71"/>
  <c r="O71" i="1"/>
  <c r="Y71"/>
  <c r="U71" i="14"/>
  <c r="AA71"/>
  <c r="O63" i="15"/>
  <c r="AG63"/>
  <c r="I317" i="16"/>
  <c r="G317" s="1"/>
  <c r="U327" i="25"/>
  <c r="W327" i="22"/>
  <c r="U327" i="26"/>
  <c r="Y327"/>
  <c r="AG329" i="1"/>
  <c r="AK329" s="1"/>
  <c r="U329" i="2"/>
  <c r="U329" i="14"/>
  <c r="AA329"/>
  <c r="O318" i="15"/>
  <c r="M60" i="25"/>
  <c r="W60" i="22"/>
  <c r="Y60" i="26"/>
  <c r="U60"/>
  <c r="M60" i="2"/>
  <c r="W60" i="1"/>
  <c r="Y60"/>
  <c r="U60" i="14"/>
  <c r="O53" i="15"/>
  <c r="AG53" s="1"/>
  <c r="M54" i="17"/>
  <c r="AW54" s="1"/>
  <c r="I53" i="16"/>
  <c r="G53" s="1"/>
  <c r="W46" i="22"/>
  <c r="U46" i="26"/>
  <c r="W46" i="1"/>
  <c r="G41" i="16"/>
  <c r="X507" i="10"/>
  <c r="U507"/>
  <c r="Y499" i="26"/>
  <c r="U499"/>
  <c r="U501" i="14"/>
  <c r="O501"/>
  <c r="W499" i="22"/>
  <c r="O499"/>
  <c r="M501" i="2"/>
  <c r="O501"/>
  <c r="W501" i="1"/>
  <c r="I490" i="15"/>
  <c r="G490"/>
  <c r="M490" s="1"/>
  <c r="O490"/>
  <c r="AG490" s="1"/>
  <c r="AI490" s="1"/>
  <c r="G491" i="16"/>
  <c r="O228" i="22"/>
  <c r="U228" i="26"/>
  <c r="O230" i="1"/>
  <c r="Y230" s="1"/>
  <c r="U230" i="14"/>
  <c r="I216" i="16"/>
  <c r="G216"/>
  <c r="G331" i="10"/>
  <c r="U326" i="26"/>
  <c r="U328" i="14"/>
  <c r="O317" i="15"/>
  <c r="O228"/>
  <c r="AG228"/>
  <c r="I226" i="16"/>
  <c r="G226"/>
  <c r="W272" i="22"/>
  <c r="Y270" i="26"/>
  <c r="U270"/>
  <c r="U274" i="14"/>
  <c r="AA274" s="1"/>
  <c r="AA263" i="15"/>
  <c r="AG263" s="1"/>
  <c r="I259" i="16"/>
  <c r="G259" s="1"/>
  <c r="W270" i="22"/>
  <c r="Y268" i="26"/>
  <c r="U268"/>
  <c r="W272" i="1"/>
  <c r="U272" i="14"/>
  <c r="AA272" s="1"/>
  <c r="AW258" i="17"/>
  <c r="G257" i="16"/>
  <c r="W253" i="22"/>
  <c r="AI253" i="25"/>
  <c r="G258" i="10"/>
  <c r="S258" s="1"/>
  <c r="K252" i="22"/>
  <c r="W252" i="26"/>
  <c r="U252"/>
  <c r="U254" i="14"/>
  <c r="O243" i="15"/>
  <c r="AG243" s="1"/>
  <c r="AK254" i="22"/>
  <c r="W254" i="26"/>
  <c r="U254"/>
  <c r="W254" i="22"/>
  <c r="M254" i="25"/>
  <c r="W258" i="1"/>
  <c r="U256" i="14"/>
  <c r="AA256" s="1"/>
  <c r="Q247" i="15"/>
  <c r="AG247" s="1"/>
  <c r="M244" i="17"/>
  <c r="G244" i="16"/>
  <c r="I244"/>
  <c r="W255" i="22"/>
  <c r="U255" i="26"/>
  <c r="Y255"/>
  <c r="X91" i="10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G82"/>
  <c r="S82" s="1"/>
  <c r="G81"/>
  <c r="S81" s="1"/>
  <c r="S80"/>
  <c r="S79"/>
  <c r="S78"/>
  <c r="S77"/>
  <c r="S76"/>
  <c r="S75"/>
  <c r="S74"/>
  <c r="S72"/>
  <c r="S71"/>
  <c r="G68"/>
  <c r="S68"/>
  <c r="S67"/>
  <c r="S66"/>
  <c r="S65"/>
  <c r="S64"/>
  <c r="S63"/>
  <c r="O62"/>
  <c r="G62"/>
  <c r="G61"/>
  <c r="S61" s="1"/>
  <c r="S60"/>
  <c r="S59"/>
  <c r="S58"/>
  <c r="S57"/>
  <c r="S56"/>
  <c r="G55"/>
  <c r="S55"/>
  <c r="G54"/>
  <c r="S54"/>
  <c r="G53"/>
  <c r="S53"/>
  <c r="S52"/>
  <c r="S51"/>
  <c r="G50"/>
  <c r="S50"/>
  <c r="S49"/>
  <c r="S48"/>
  <c r="AS80" i="22"/>
  <c r="W80"/>
  <c r="O80"/>
  <c r="K80"/>
  <c r="AZ80" i="25"/>
  <c r="BJ80" s="1"/>
  <c r="AP79"/>
  <c r="AZ79"/>
  <c r="BJ79" s="1"/>
  <c r="AZ78"/>
  <c r="BJ78" s="1"/>
  <c r="AZ77"/>
  <c r="BJ77" s="1"/>
  <c r="AV76"/>
  <c r="AZ76" s="1"/>
  <c r="BJ76" s="1"/>
  <c r="AZ75"/>
  <c r="BJ75"/>
  <c r="AZ74"/>
  <c r="BJ74"/>
  <c r="AZ73"/>
  <c r="BJ73"/>
  <c r="AZ72"/>
  <c r="BJ72"/>
  <c r="AZ71"/>
  <c r="BJ71"/>
  <c r="AZ70"/>
  <c r="BJ70"/>
  <c r="AZ69"/>
  <c r="BJ69"/>
  <c r="AZ68"/>
  <c r="BJ68" s="1"/>
  <c r="AZ67"/>
  <c r="BJ67" s="1"/>
  <c r="AZ66"/>
  <c r="BJ66" s="1"/>
  <c r="AZ65"/>
  <c r="BJ65" s="1"/>
  <c r="AZ64"/>
  <c r="BJ64" s="1"/>
  <c r="AZ63"/>
  <c r="BJ63" s="1"/>
  <c r="AZ62"/>
  <c r="BJ62" s="1"/>
  <c r="AZ61"/>
  <c r="BJ61" s="1"/>
  <c r="AZ60"/>
  <c r="BJ60" s="1"/>
  <c r="AZ59"/>
  <c r="BJ59" s="1"/>
  <c r="AZ58"/>
  <c r="BJ58" s="1"/>
  <c r="AZ57"/>
  <c r="BJ57" s="1"/>
  <c r="AZ56"/>
  <c r="BJ56" s="1"/>
  <c r="AZ55"/>
  <c r="BJ55" s="1"/>
  <c r="AP54"/>
  <c r="AZ54" s="1"/>
  <c r="BJ54" s="1"/>
  <c r="AZ53"/>
  <c r="BJ53"/>
  <c r="AZ52"/>
  <c r="BJ52"/>
  <c r="AZ51"/>
  <c r="BJ51"/>
  <c r="AZ50"/>
  <c r="BJ50"/>
  <c r="AZ49"/>
  <c r="BJ49"/>
  <c r="AZ48"/>
  <c r="BJ48"/>
  <c r="AS79" i="22"/>
  <c r="W79"/>
  <c r="O79"/>
  <c r="K79"/>
  <c r="AS78"/>
  <c r="Y78"/>
  <c r="AS77"/>
  <c r="Y77"/>
  <c r="AS76"/>
  <c r="W76"/>
  <c r="Y76" s="1"/>
  <c r="AU76" s="1"/>
  <c r="AS75"/>
  <c r="W75"/>
  <c r="Y75" s="1"/>
  <c r="AU75" s="1"/>
  <c r="AS74"/>
  <c r="W74"/>
  <c r="O74"/>
  <c r="K74"/>
  <c r="AS73"/>
  <c r="Y73"/>
  <c r="AS72"/>
  <c r="W72"/>
  <c r="Y72" s="1"/>
  <c r="AU72" s="1"/>
  <c r="AS71"/>
  <c r="Y71"/>
  <c r="AS70"/>
  <c r="W70"/>
  <c r="Y70" s="1"/>
  <c r="AS69"/>
  <c r="W69"/>
  <c r="Y69"/>
  <c r="AE68"/>
  <c r="AS68"/>
  <c r="W68"/>
  <c r="O68"/>
  <c r="K68"/>
  <c r="AS67"/>
  <c r="W67"/>
  <c r="O67"/>
  <c r="K67"/>
  <c r="AS66"/>
  <c r="W66"/>
  <c r="Y66"/>
  <c r="AS65"/>
  <c r="Y65"/>
  <c r="AS64"/>
  <c r="W64"/>
  <c r="Y64" s="1"/>
  <c r="AS63"/>
  <c r="Y63"/>
  <c r="AS62"/>
  <c r="W62"/>
  <c r="Y62"/>
  <c r="AS61"/>
  <c r="W61"/>
  <c r="Y61" s="1"/>
  <c r="AU61" s="1"/>
  <c r="AS60"/>
  <c r="Y60"/>
  <c r="AS59"/>
  <c r="Y59"/>
  <c r="AS58"/>
  <c r="Y58"/>
  <c r="AS57"/>
  <c r="W57"/>
  <c r="O57"/>
  <c r="K57"/>
  <c r="AK56"/>
  <c r="AS56"/>
  <c r="W56"/>
  <c r="Y56"/>
  <c r="AU56" s="1"/>
  <c r="AS55"/>
  <c r="W55"/>
  <c r="Y55"/>
  <c r="AU55" s="1"/>
  <c r="AS54"/>
  <c r="W54"/>
  <c r="O54"/>
  <c r="K54"/>
  <c r="Y54"/>
  <c r="AU54" s="1"/>
  <c r="AS53"/>
  <c r="W53"/>
  <c r="Y53"/>
  <c r="AU53" s="1"/>
  <c r="AS52"/>
  <c r="W52"/>
  <c r="K52"/>
  <c r="Y52" s="1"/>
  <c r="AU52" s="1"/>
  <c r="AS51"/>
  <c r="Y51"/>
  <c r="AK50"/>
  <c r="AE50"/>
  <c r="W50"/>
  <c r="Y50"/>
  <c r="AS49"/>
  <c r="W49"/>
  <c r="Y49" s="1"/>
  <c r="AU49" s="1"/>
  <c r="BL49" i="25" s="1"/>
  <c r="BT49" s="1"/>
  <c r="AE48" i="22"/>
  <c r="AS48"/>
  <c r="W48"/>
  <c r="Y48"/>
  <c r="Y80" i="26"/>
  <c r="U80"/>
  <c r="O80"/>
  <c r="G80"/>
  <c r="K80" s="1"/>
  <c r="Y79"/>
  <c r="U79"/>
  <c r="O79"/>
  <c r="K79"/>
  <c r="AA78"/>
  <c r="O78"/>
  <c r="K78"/>
  <c r="AA77"/>
  <c r="O77"/>
  <c r="K77"/>
  <c r="Y76"/>
  <c r="U76"/>
  <c r="O76"/>
  <c r="K76"/>
  <c r="Y75"/>
  <c r="U75"/>
  <c r="O75"/>
  <c r="K75"/>
  <c r="Y74"/>
  <c r="U74"/>
  <c r="O74"/>
  <c r="G74"/>
  <c r="AA73"/>
  <c r="O73"/>
  <c r="K73"/>
  <c r="Y72"/>
  <c r="U72"/>
  <c r="O72"/>
  <c r="I72"/>
  <c r="G72"/>
  <c r="O71"/>
  <c r="K71"/>
  <c r="Y70"/>
  <c r="U70"/>
  <c r="O70"/>
  <c r="K70"/>
  <c r="Y69"/>
  <c r="U69"/>
  <c r="O69"/>
  <c r="K69"/>
  <c r="Y68"/>
  <c r="U68"/>
  <c r="O68"/>
  <c r="K68"/>
  <c r="Y67"/>
  <c r="U67"/>
  <c r="O67"/>
  <c r="K67"/>
  <c r="Y66"/>
  <c r="U66"/>
  <c r="O66"/>
  <c r="K66"/>
  <c r="O65"/>
  <c r="Y64"/>
  <c r="U64"/>
  <c r="O64"/>
  <c r="K64"/>
  <c r="AA63"/>
  <c r="O63"/>
  <c r="K63"/>
  <c r="Y62"/>
  <c r="U62"/>
  <c r="O62"/>
  <c r="K62"/>
  <c r="Y61"/>
  <c r="U61"/>
  <c r="O61"/>
  <c r="K61"/>
  <c r="AA60"/>
  <c r="O60"/>
  <c r="K60"/>
  <c r="AA59"/>
  <c r="O59"/>
  <c r="K59"/>
  <c r="O58"/>
  <c r="K58"/>
  <c r="Y57"/>
  <c r="U57"/>
  <c r="O57"/>
  <c r="K57"/>
  <c r="Y56"/>
  <c r="U56"/>
  <c r="O56"/>
  <c r="K56"/>
  <c r="Y55"/>
  <c r="U55"/>
  <c r="O55"/>
  <c r="K55"/>
  <c r="Y54"/>
  <c r="U54"/>
  <c r="O54"/>
  <c r="K54"/>
  <c r="Y53"/>
  <c r="U53"/>
  <c r="O53"/>
  <c r="K53"/>
  <c r="Y52"/>
  <c r="U52"/>
  <c r="O52"/>
  <c r="K52"/>
  <c r="AA51"/>
  <c r="O51"/>
  <c r="K51"/>
  <c r="Y50"/>
  <c r="U50"/>
  <c r="AA50"/>
  <c r="O50"/>
  <c r="I50"/>
  <c r="K50" s="1"/>
  <c r="AC50" s="1"/>
  <c r="Y49"/>
  <c r="U49"/>
  <c r="O49"/>
  <c r="K49"/>
  <c r="Y48"/>
  <c r="U48"/>
  <c r="O48"/>
  <c r="K48"/>
  <c r="AC48" s="1"/>
  <c r="AZ80" i="2"/>
  <c r="BJ80" s="1"/>
  <c r="AZ79"/>
  <c r="BJ79" s="1"/>
  <c r="AZ78"/>
  <c r="BJ78" s="1"/>
  <c r="AZ77"/>
  <c r="BJ77" s="1"/>
  <c r="AZ76"/>
  <c r="BJ76" s="1"/>
  <c r="AZ75"/>
  <c r="BJ75" s="1"/>
  <c r="AZ74"/>
  <c r="BJ74" s="1"/>
  <c r="AZ73"/>
  <c r="BJ73" s="1"/>
  <c r="AZ72"/>
  <c r="BJ72" s="1"/>
  <c r="AZ71"/>
  <c r="BJ71" s="1"/>
  <c r="AZ70"/>
  <c r="BJ70"/>
  <c r="AZ69"/>
  <c r="BJ69"/>
  <c r="AZ68"/>
  <c r="BJ68"/>
  <c r="AZ67"/>
  <c r="BJ67"/>
  <c r="AZ66"/>
  <c r="BJ66"/>
  <c r="AZ65"/>
  <c r="BJ65"/>
  <c r="AZ64"/>
  <c r="BJ64" s="1"/>
  <c r="AZ63"/>
  <c r="BJ63" s="1"/>
  <c r="AZ62"/>
  <c r="BJ62" s="1"/>
  <c r="AZ61"/>
  <c r="BJ61" s="1"/>
  <c r="AZ60"/>
  <c r="BJ60" s="1"/>
  <c r="AZ59"/>
  <c r="BJ59" s="1"/>
  <c r="AZ58"/>
  <c r="BJ58" s="1"/>
  <c r="AZ57"/>
  <c r="BJ57" s="1"/>
  <c r="AZ56"/>
  <c r="BJ56" s="1"/>
  <c r="AZ55"/>
  <c r="BJ55" s="1"/>
  <c r="AP54"/>
  <c r="AZ54" s="1"/>
  <c r="BJ54" s="1"/>
  <c r="AZ53"/>
  <c r="BJ53"/>
  <c r="AZ52"/>
  <c r="BJ52"/>
  <c r="AZ51"/>
  <c r="BJ51"/>
  <c r="AZ50"/>
  <c r="BJ50"/>
  <c r="AZ49"/>
  <c r="BJ49"/>
  <c r="AZ48"/>
  <c r="BJ48"/>
  <c r="AK80" i="1"/>
  <c r="W80"/>
  <c r="O80"/>
  <c r="K80"/>
  <c r="Y80" s="1"/>
  <c r="AM80" s="1"/>
  <c r="AK79"/>
  <c r="O79"/>
  <c r="Y79" s="1"/>
  <c r="AM79" s="1"/>
  <c r="AK78"/>
  <c r="Y78"/>
  <c r="AK77"/>
  <c r="Y77"/>
  <c r="AK76"/>
  <c r="Y76"/>
  <c r="AK75"/>
  <c r="W75"/>
  <c r="Y75" s="1"/>
  <c r="AK74"/>
  <c r="O74"/>
  <c r="Y74"/>
  <c r="AK73"/>
  <c r="Y73"/>
  <c r="AK72"/>
  <c r="W72"/>
  <c r="Y72" s="1"/>
  <c r="AK71"/>
  <c r="AK70"/>
  <c r="W70"/>
  <c r="Y70" s="1"/>
  <c r="AK69"/>
  <c r="W69"/>
  <c r="Y69"/>
  <c r="AK68"/>
  <c r="O68"/>
  <c r="K68"/>
  <c r="AK67"/>
  <c r="AM67" s="1"/>
  <c r="O67"/>
  <c r="Y67"/>
  <c r="AK66"/>
  <c r="W66"/>
  <c r="Y66"/>
  <c r="AK65"/>
  <c r="AK64"/>
  <c r="W64"/>
  <c r="Y64"/>
  <c r="AK63"/>
  <c r="Y63"/>
  <c r="AK62"/>
  <c r="W62"/>
  <c r="Y62" s="1"/>
  <c r="AK61"/>
  <c r="W61"/>
  <c r="Y61"/>
  <c r="AK60"/>
  <c r="AM60"/>
  <c r="BL60" i="2" s="1"/>
  <c r="BS60" s="1"/>
  <c r="BU60" s="1"/>
  <c r="AK59" i="1"/>
  <c r="AK58"/>
  <c r="Y58"/>
  <c r="AK57"/>
  <c r="O57"/>
  <c r="Y57"/>
  <c r="AG56"/>
  <c r="AK56"/>
  <c r="W56"/>
  <c r="Y56"/>
  <c r="AK55"/>
  <c r="Y55"/>
  <c r="AK54"/>
  <c r="W54"/>
  <c r="O54"/>
  <c r="AK53"/>
  <c r="W53"/>
  <c r="Y53"/>
  <c r="AK52"/>
  <c r="K52"/>
  <c r="Y52" s="1"/>
  <c r="AK51"/>
  <c r="Y51"/>
  <c r="AK50"/>
  <c r="W50"/>
  <c r="Y50"/>
  <c r="AK49"/>
  <c r="Y49"/>
  <c r="AE48"/>
  <c r="AK48"/>
  <c r="Y48"/>
  <c r="U80" i="14"/>
  <c r="AA80" s="1"/>
  <c r="O80"/>
  <c r="K80"/>
  <c r="U79"/>
  <c r="AA79" s="1"/>
  <c r="O79"/>
  <c r="K79"/>
  <c r="AC79"/>
  <c r="AA78"/>
  <c r="O78"/>
  <c r="K78"/>
  <c r="AA77"/>
  <c r="O77"/>
  <c r="K77"/>
  <c r="AC77" s="1"/>
  <c r="Y76"/>
  <c r="U76"/>
  <c r="O76"/>
  <c r="K76"/>
  <c r="U75"/>
  <c r="AA75" s="1"/>
  <c r="O75"/>
  <c r="K75"/>
  <c r="U74"/>
  <c r="AA74" s="1"/>
  <c r="O74"/>
  <c r="K74"/>
  <c r="AA73"/>
  <c r="O73"/>
  <c r="K73"/>
  <c r="U72"/>
  <c r="AA72"/>
  <c r="O72"/>
  <c r="K72"/>
  <c r="O71"/>
  <c r="K71"/>
  <c r="U70"/>
  <c r="AA70"/>
  <c r="O70"/>
  <c r="K70"/>
  <c r="U69"/>
  <c r="AA69"/>
  <c r="O69"/>
  <c r="K69"/>
  <c r="AA68"/>
  <c r="O68"/>
  <c r="K68"/>
  <c r="U67"/>
  <c r="AA67" s="1"/>
  <c r="O67"/>
  <c r="K67"/>
  <c r="U66"/>
  <c r="AA66" s="1"/>
  <c r="O66"/>
  <c r="K66"/>
  <c r="AA65"/>
  <c r="O65"/>
  <c r="U64"/>
  <c r="AA64" s="1"/>
  <c r="O64"/>
  <c r="K64"/>
  <c r="AA63"/>
  <c r="O63"/>
  <c r="K63"/>
  <c r="U62"/>
  <c r="AA62"/>
  <c r="O62"/>
  <c r="K62"/>
  <c r="U61"/>
  <c r="AA61"/>
  <c r="O61"/>
  <c r="K61"/>
  <c r="AA60"/>
  <c r="O60"/>
  <c r="K60"/>
  <c r="O59"/>
  <c r="K59"/>
  <c r="AA58"/>
  <c r="O58"/>
  <c r="K58"/>
  <c r="U57"/>
  <c r="AA57"/>
  <c r="O57"/>
  <c r="K57"/>
  <c r="U56"/>
  <c r="AA56"/>
  <c r="O56"/>
  <c r="K56"/>
  <c r="U55"/>
  <c r="AA55"/>
  <c r="O55"/>
  <c r="K55"/>
  <c r="U54"/>
  <c r="AA54"/>
  <c r="O54"/>
  <c r="K54"/>
  <c r="U53"/>
  <c r="AA53"/>
  <c r="O53"/>
  <c r="K53"/>
  <c r="U52"/>
  <c r="AA52"/>
  <c r="O52"/>
  <c r="K52"/>
  <c r="AA51"/>
  <c r="O51"/>
  <c r="K51"/>
  <c r="U50"/>
  <c r="AA50" s="1"/>
  <c r="O50"/>
  <c r="K50"/>
  <c r="U49"/>
  <c r="AA49" s="1"/>
  <c r="O49"/>
  <c r="K49"/>
  <c r="U48"/>
  <c r="AA48" s="1"/>
  <c r="O48"/>
  <c r="K48"/>
  <c r="AW70" i="17"/>
  <c r="AW69"/>
  <c r="AW68"/>
  <c r="AW67"/>
  <c r="AW66"/>
  <c r="AW65"/>
  <c r="AW64"/>
  <c r="AW63"/>
  <c r="AW62"/>
  <c r="AW61"/>
  <c r="AW60"/>
  <c r="AW59"/>
  <c r="AW58"/>
  <c r="AW57"/>
  <c r="AU56"/>
  <c r="AW56" s="1"/>
  <c r="AW55"/>
  <c r="AW53"/>
  <c r="AW52"/>
  <c r="AW51"/>
  <c r="AW50"/>
  <c r="AW49"/>
  <c r="AW48"/>
  <c r="AW47"/>
  <c r="AW46"/>
  <c r="AW45"/>
  <c r="AW44"/>
  <c r="O72" i="15"/>
  <c r="AG72"/>
  <c r="M72"/>
  <c r="O71"/>
  <c r="AG71" s="1"/>
  <c r="AI71" s="1"/>
  <c r="AY69" i="17" s="1"/>
  <c r="BC69" s="1"/>
  <c r="BE69" s="1"/>
  <c r="M71" i="15"/>
  <c r="AG70"/>
  <c r="M70"/>
  <c r="AG69"/>
  <c r="M69"/>
  <c r="AA68"/>
  <c r="O68"/>
  <c r="M68"/>
  <c r="O67"/>
  <c r="AG67" s="1"/>
  <c r="M67"/>
  <c r="O66"/>
  <c r="AG66"/>
  <c r="M66"/>
  <c r="AG65"/>
  <c r="M65"/>
  <c r="O64"/>
  <c r="AG64" s="1"/>
  <c r="AI64" s="1"/>
  <c r="AY65" i="17" s="1"/>
  <c r="BC65" s="1"/>
  <c r="BE65" s="1"/>
  <c r="M64" i="15"/>
  <c r="M63"/>
  <c r="O62"/>
  <c r="AG62"/>
  <c r="AI62" s="1"/>
  <c r="AY63" i="17" s="1"/>
  <c r="BC63" s="1"/>
  <c r="BE63" s="1"/>
  <c r="M62" i="15"/>
  <c r="O61"/>
  <c r="AG61" s="1"/>
  <c r="M61"/>
  <c r="AA60"/>
  <c r="O60"/>
  <c r="M60"/>
  <c r="O59"/>
  <c r="AG59" s="1"/>
  <c r="M59"/>
  <c r="O58"/>
  <c r="AG58"/>
  <c r="AI58" s="1"/>
  <c r="AY59" i="17" s="1"/>
  <c r="BC59" s="1"/>
  <c r="BE59" s="1"/>
  <c r="M58" i="15"/>
  <c r="M57"/>
  <c r="AA56"/>
  <c r="O56"/>
  <c r="M56"/>
  <c r="O55"/>
  <c r="AG55"/>
  <c r="M55"/>
  <c r="O54"/>
  <c r="AG54" s="1"/>
  <c r="AI54" s="1"/>
  <c r="AY55" i="17" s="1"/>
  <c r="BC55" s="1"/>
  <c r="BE55" s="1"/>
  <c r="M54" i="15"/>
  <c r="M53"/>
  <c r="AG52"/>
  <c r="M52"/>
  <c r="O51"/>
  <c r="AG51" s="1"/>
  <c r="M51"/>
  <c r="AA50"/>
  <c r="AG50"/>
  <c r="M50"/>
  <c r="AA49"/>
  <c r="O49"/>
  <c r="AG49"/>
  <c r="AI49" s="1"/>
  <c r="AY50" i="17" s="1"/>
  <c r="BC50" s="1"/>
  <c r="BE50" s="1"/>
  <c r="M49" i="15"/>
  <c r="O48"/>
  <c r="AG48"/>
  <c r="AI48" s="1"/>
  <c r="AY49" i="17" s="1"/>
  <c r="BC49" s="1"/>
  <c r="BE49" s="1"/>
  <c r="M48" i="15"/>
  <c r="O47"/>
  <c r="AG47" s="1"/>
  <c r="M47"/>
  <c r="AG46"/>
  <c r="M46"/>
  <c r="AA45"/>
  <c r="O45"/>
  <c r="M45"/>
  <c r="O44"/>
  <c r="AG44" s="1"/>
  <c r="AI44" s="1"/>
  <c r="AY45" i="17" s="1"/>
  <c r="BC45" s="1"/>
  <c r="BE45" s="1"/>
  <c r="M44" i="15"/>
  <c r="O43"/>
  <c r="AG43" s="1"/>
  <c r="M43"/>
  <c r="AD69" i="16"/>
  <c r="W69"/>
  <c r="M69"/>
  <c r="G69"/>
  <c r="AD68"/>
  <c r="W68"/>
  <c r="M68"/>
  <c r="I68"/>
  <c r="G68"/>
  <c r="AF68" s="1"/>
  <c r="AD67"/>
  <c r="W67"/>
  <c r="M67"/>
  <c r="I67"/>
  <c r="G67"/>
  <c r="AF67" s="1"/>
  <c r="AD66"/>
  <c r="W66"/>
  <c r="M66"/>
  <c r="I66"/>
  <c r="G66"/>
  <c r="AD65"/>
  <c r="W65"/>
  <c r="M65"/>
  <c r="I65"/>
  <c r="G65" s="1"/>
  <c r="AF65" s="1"/>
  <c r="AD64"/>
  <c r="W64"/>
  <c r="M64"/>
  <c r="I64"/>
  <c r="G64" s="1"/>
  <c r="AF64" s="1"/>
  <c r="AD63"/>
  <c r="W63"/>
  <c r="M63"/>
  <c r="G63"/>
  <c r="AD62"/>
  <c r="W62"/>
  <c r="M62"/>
  <c r="I62"/>
  <c r="G62" s="1"/>
  <c r="AF62" s="1"/>
  <c r="AD61"/>
  <c r="W61"/>
  <c r="M61"/>
  <c r="I61"/>
  <c r="G61"/>
  <c r="AF61" s="1"/>
  <c r="AD60"/>
  <c r="W60"/>
  <c r="M60"/>
  <c r="I60"/>
  <c r="G60"/>
  <c r="AF60" s="1"/>
  <c r="AD59"/>
  <c r="W59"/>
  <c r="M59"/>
  <c r="I59"/>
  <c r="G59"/>
  <c r="AF59" s="1"/>
  <c r="AD58"/>
  <c r="W58"/>
  <c r="M58"/>
  <c r="G58"/>
  <c r="W57"/>
  <c r="M57"/>
  <c r="AD56"/>
  <c r="W56"/>
  <c r="M56"/>
  <c r="I56"/>
  <c r="G56"/>
  <c r="AF56" s="1"/>
  <c r="AD55"/>
  <c r="W55"/>
  <c r="M55"/>
  <c r="G55"/>
  <c r="AD54"/>
  <c r="W54"/>
  <c r="M54"/>
  <c r="I54"/>
  <c r="G54"/>
  <c r="AF54" s="1"/>
  <c r="AD53"/>
  <c r="W53"/>
  <c r="M53"/>
  <c r="AD52"/>
  <c r="W52"/>
  <c r="M52"/>
  <c r="AD51"/>
  <c r="W51"/>
  <c r="M51"/>
  <c r="G51"/>
  <c r="AD50"/>
  <c r="W50"/>
  <c r="M50"/>
  <c r="I50"/>
  <c r="G50"/>
  <c r="AD49"/>
  <c r="W49"/>
  <c r="M49"/>
  <c r="I49"/>
  <c r="G49" s="1"/>
  <c r="AD48"/>
  <c r="W48"/>
  <c r="M48"/>
  <c r="G48"/>
  <c r="AD47"/>
  <c r="W47"/>
  <c r="M47"/>
  <c r="G47"/>
  <c r="AD46"/>
  <c r="W46"/>
  <c r="M46"/>
  <c r="I46"/>
  <c r="G46"/>
  <c r="AD45"/>
  <c r="W45"/>
  <c r="M45"/>
  <c r="I45"/>
  <c r="G45" s="1"/>
  <c r="AD44"/>
  <c r="W44"/>
  <c r="M44"/>
  <c r="I44"/>
  <c r="G44"/>
  <c r="AD43"/>
  <c r="W43"/>
  <c r="M43"/>
  <c r="I43"/>
  <c r="G43" s="1"/>
  <c r="S514" i="10"/>
  <c r="S513"/>
  <c r="S512"/>
  <c r="S511"/>
  <c r="S510"/>
  <c r="S509"/>
  <c r="G508"/>
  <c r="S508" s="1"/>
  <c r="S507"/>
  <c r="S506"/>
  <c r="S505"/>
  <c r="S504"/>
  <c r="S503"/>
  <c r="S502"/>
  <c r="S501"/>
  <c r="S500"/>
  <c r="S499"/>
  <c r="S498"/>
  <c r="G497"/>
  <c r="S497" s="1"/>
  <c r="S496"/>
  <c r="G495"/>
  <c r="S495"/>
  <c r="G494"/>
  <c r="S494"/>
  <c r="S490"/>
  <c r="S488"/>
  <c r="S487"/>
  <c r="S486"/>
  <c r="S485"/>
  <c r="S484"/>
  <c r="Q483"/>
  <c r="G483"/>
  <c r="S483" s="1"/>
  <c r="K482"/>
  <c r="S482" s="1"/>
  <c r="S481"/>
  <c r="S480"/>
  <c r="S479"/>
  <c r="S478"/>
  <c r="K477"/>
  <c r="S477" s="1"/>
  <c r="G476"/>
  <c r="S476" s="1"/>
  <c r="S475"/>
  <c r="S474"/>
  <c r="S473"/>
  <c r="S472"/>
  <c r="S471"/>
  <c r="S470"/>
  <c r="S469"/>
  <c r="S468"/>
  <c r="S467"/>
  <c r="S466"/>
  <c r="S465"/>
  <c r="S464"/>
  <c r="AZ506" i="25"/>
  <c r="BJ506" s="1"/>
  <c r="AP505"/>
  <c r="M505"/>
  <c r="AZ504"/>
  <c r="BJ504" s="1"/>
  <c r="M503"/>
  <c r="AZ503" s="1"/>
  <c r="BJ503" s="1"/>
  <c r="AZ502"/>
  <c r="BJ502" s="1"/>
  <c r="AZ501"/>
  <c r="BJ501" s="1"/>
  <c r="M500"/>
  <c r="AZ500" s="1"/>
  <c r="BJ500" s="1"/>
  <c r="AZ499"/>
  <c r="BJ499" s="1"/>
  <c r="M498"/>
  <c r="AZ498"/>
  <c r="BJ498" s="1"/>
  <c r="M497"/>
  <c r="AZ497" s="1"/>
  <c r="BJ497" s="1"/>
  <c r="AZ496"/>
  <c r="BJ496" s="1"/>
  <c r="M495"/>
  <c r="AZ495" s="1"/>
  <c r="BJ495" s="1"/>
  <c r="AZ494"/>
  <c r="BJ494"/>
  <c r="AZ493"/>
  <c r="BJ493"/>
  <c r="AZ492"/>
  <c r="BJ492" s="1"/>
  <c r="AZ491"/>
  <c r="BJ491" s="1"/>
  <c r="U490"/>
  <c r="AZ490" s="1"/>
  <c r="BJ490" s="1"/>
  <c r="AI489"/>
  <c r="AZ489"/>
  <c r="BJ489" s="1"/>
  <c r="AZ488"/>
  <c r="BJ488" s="1"/>
  <c r="AZ487"/>
  <c r="BJ487" s="1"/>
  <c r="M486"/>
  <c r="AZ486" s="1"/>
  <c r="BJ486" s="1"/>
  <c r="AZ485"/>
  <c r="BJ485"/>
  <c r="AZ484"/>
  <c r="BJ484"/>
  <c r="AZ483"/>
  <c r="BJ483"/>
  <c r="U482"/>
  <c r="AZ482"/>
  <c r="BJ482" s="1"/>
  <c r="AZ481"/>
  <c r="BJ481" s="1"/>
  <c r="AZ480"/>
  <c r="BJ480" s="1"/>
  <c r="AZ479"/>
  <c r="BJ479" s="1"/>
  <c r="AZ478"/>
  <c r="BJ478" s="1"/>
  <c r="AZ477"/>
  <c r="BJ477" s="1"/>
  <c r="AZ476"/>
  <c r="BJ476" s="1"/>
  <c r="AZ475"/>
  <c r="BJ475" s="1"/>
  <c r="AZ474"/>
  <c r="BJ474" s="1"/>
  <c r="AZ473"/>
  <c r="BJ473" s="1"/>
  <c r="AZ472"/>
  <c r="BJ472" s="1"/>
  <c r="AI471"/>
  <c r="AZ471" s="1"/>
  <c r="BJ471" s="1"/>
  <c r="AZ470"/>
  <c r="BJ470"/>
  <c r="AI469"/>
  <c r="AZ469"/>
  <c r="BJ469" s="1"/>
  <c r="AZ468"/>
  <c r="BJ468" s="1"/>
  <c r="AZ467"/>
  <c r="BJ467" s="1"/>
  <c r="AZ466"/>
  <c r="BJ466" s="1"/>
  <c r="AZ465"/>
  <c r="BJ465" s="1"/>
  <c r="AZ464"/>
  <c r="BJ464" s="1"/>
  <c r="AP463"/>
  <c r="AZ463" s="1"/>
  <c r="BJ463" s="1"/>
  <c r="AZ462"/>
  <c r="BJ462"/>
  <c r="AZ461"/>
  <c r="BJ461"/>
  <c r="M460"/>
  <c r="AZ460"/>
  <c r="BJ460" s="1"/>
  <c r="M459"/>
  <c r="AZ459" s="1"/>
  <c r="BJ459" s="1"/>
  <c r="M456"/>
  <c r="AZ456"/>
  <c r="BJ456" s="1"/>
  <c r="AS506" i="22"/>
  <c r="O506"/>
  <c r="Y506"/>
  <c r="AK505"/>
  <c r="AS505"/>
  <c r="O505"/>
  <c r="K505"/>
  <c r="AS504"/>
  <c r="Y504"/>
  <c r="AS503"/>
  <c r="O503"/>
  <c r="Y503" s="1"/>
  <c r="AS502"/>
  <c r="Y502"/>
  <c r="AK501"/>
  <c r="AS501" s="1"/>
  <c r="O501"/>
  <c r="Y501" s="1"/>
  <c r="AS500"/>
  <c r="O500"/>
  <c r="Y500" s="1"/>
  <c r="AU500" s="1"/>
  <c r="AS499"/>
  <c r="Y499"/>
  <c r="AS498"/>
  <c r="O498"/>
  <c r="Y498" s="1"/>
  <c r="AS497"/>
  <c r="O497"/>
  <c r="Y497"/>
  <c r="AU497" s="1"/>
  <c r="AS496"/>
  <c r="Y496"/>
  <c r="AS495"/>
  <c r="O495"/>
  <c r="K495"/>
  <c r="AS494"/>
  <c r="O494"/>
  <c r="Y494" s="1"/>
  <c r="AU494" s="1"/>
  <c r="AS493"/>
  <c r="Y493"/>
  <c r="AS492"/>
  <c r="Y492"/>
  <c r="AS491"/>
  <c r="O491"/>
  <c r="Y491" s="1"/>
  <c r="AS490"/>
  <c r="O490"/>
  <c r="Y490"/>
  <c r="AS489"/>
  <c r="O489"/>
  <c r="Y489" s="1"/>
  <c r="AS488"/>
  <c r="Y488"/>
  <c r="AS487"/>
  <c r="O487"/>
  <c r="Y487"/>
  <c r="AK486"/>
  <c r="AS486"/>
  <c r="O486"/>
  <c r="M486"/>
  <c r="AS485"/>
  <c r="Y485"/>
  <c r="AS484"/>
  <c r="Y484"/>
  <c r="AS483"/>
  <c r="Y483"/>
  <c r="AK482"/>
  <c r="AS482"/>
  <c r="O482"/>
  <c r="Y482"/>
  <c r="AK481"/>
  <c r="AS481"/>
  <c r="O481"/>
  <c r="Y481"/>
  <c r="AE480"/>
  <c r="AS480"/>
  <c r="O480"/>
  <c r="Y480"/>
  <c r="AS479"/>
  <c r="O479"/>
  <c r="Y479" s="1"/>
  <c r="AS478"/>
  <c r="Y478"/>
  <c r="AS477"/>
  <c r="O477"/>
  <c r="Y477"/>
  <c r="AU477" s="1"/>
  <c r="AS476"/>
  <c r="O476"/>
  <c r="Y476"/>
  <c r="AS475"/>
  <c r="O475"/>
  <c r="Y475" s="1"/>
  <c r="AU475" s="1"/>
  <c r="AS474"/>
  <c r="O474"/>
  <c r="Y474" s="1"/>
  <c r="AS473"/>
  <c r="Y473"/>
  <c r="AS472"/>
  <c r="Y472"/>
  <c r="AK471"/>
  <c r="AS471" s="1"/>
  <c r="O471"/>
  <c r="Y471" s="1"/>
  <c r="AS470"/>
  <c r="O470"/>
  <c r="K470"/>
  <c r="AS469"/>
  <c r="W469"/>
  <c r="O469"/>
  <c r="AS468"/>
  <c r="Y468"/>
  <c r="AS467"/>
  <c r="Q467"/>
  <c r="O467"/>
  <c r="AS466"/>
  <c r="Y466"/>
  <c r="AS465"/>
  <c r="O465"/>
  <c r="Y465" s="1"/>
  <c r="AS464"/>
  <c r="O464"/>
  <c r="Y464"/>
  <c r="AU464" s="1"/>
  <c r="AK463"/>
  <c r="AS463" s="1"/>
  <c r="O463"/>
  <c r="K463"/>
  <c r="AS462"/>
  <c r="O462"/>
  <c r="Y462"/>
  <c r="AS461"/>
  <c r="O461"/>
  <c r="Y461" s="1"/>
  <c r="AU461" s="1"/>
  <c r="AS460"/>
  <c r="O460"/>
  <c r="K460"/>
  <c r="AS459"/>
  <c r="W459"/>
  <c r="O459"/>
  <c r="K459"/>
  <c r="AS458"/>
  <c r="O458"/>
  <c r="K458"/>
  <c r="Y506" i="26"/>
  <c r="U506"/>
  <c r="O506"/>
  <c r="K506"/>
  <c r="Y505"/>
  <c r="U505"/>
  <c r="O505"/>
  <c r="K505"/>
  <c r="AA504"/>
  <c r="O504"/>
  <c r="K504"/>
  <c r="AC504"/>
  <c r="Y503"/>
  <c r="U503"/>
  <c r="AA503" s="1"/>
  <c r="O503"/>
  <c r="K503"/>
  <c r="O502"/>
  <c r="Y501"/>
  <c r="U501"/>
  <c r="O501"/>
  <c r="K501"/>
  <c r="Y500"/>
  <c r="U500"/>
  <c r="O500"/>
  <c r="K500"/>
  <c r="AA499"/>
  <c r="O499"/>
  <c r="K499"/>
  <c r="Y498"/>
  <c r="U498"/>
  <c r="AA498"/>
  <c r="O498"/>
  <c r="K498"/>
  <c r="Y497"/>
  <c r="U497"/>
  <c r="O497"/>
  <c r="K497"/>
  <c r="AA496"/>
  <c r="O496"/>
  <c r="K496"/>
  <c r="Y495"/>
  <c r="U495"/>
  <c r="O495"/>
  <c r="K495"/>
  <c r="Y494"/>
  <c r="W494"/>
  <c r="U494"/>
  <c r="O494"/>
  <c r="I494"/>
  <c r="G494"/>
  <c r="AA493"/>
  <c r="O493"/>
  <c r="K493"/>
  <c r="AC493" s="1"/>
  <c r="AA492"/>
  <c r="O492"/>
  <c r="K492"/>
  <c r="Y491"/>
  <c r="U491"/>
  <c r="O491"/>
  <c r="G491"/>
  <c r="K491" s="1"/>
  <c r="Y490"/>
  <c r="U490"/>
  <c r="AA490"/>
  <c r="O490"/>
  <c r="G490"/>
  <c r="K490" s="1"/>
  <c r="AC490" s="1"/>
  <c r="Y487"/>
  <c r="U487"/>
  <c r="O487"/>
  <c r="K487"/>
  <c r="AC487" s="1"/>
  <c r="AA486"/>
  <c r="O486"/>
  <c r="K486"/>
  <c r="Y485"/>
  <c r="U485"/>
  <c r="O485"/>
  <c r="K485"/>
  <c r="Y484"/>
  <c r="U484"/>
  <c r="O484"/>
  <c r="I484"/>
  <c r="K484" s="1"/>
  <c r="O483"/>
  <c r="AA482"/>
  <c r="O482"/>
  <c r="K482"/>
  <c r="AA481"/>
  <c r="O481"/>
  <c r="K481"/>
  <c r="Y480"/>
  <c r="U480"/>
  <c r="O480"/>
  <c r="K480"/>
  <c r="Y479"/>
  <c r="U479"/>
  <c r="O479"/>
  <c r="G479"/>
  <c r="K479" s="1"/>
  <c r="AC479" s="1"/>
  <c r="Y478"/>
  <c r="U478"/>
  <c r="O478"/>
  <c r="K478"/>
  <c r="Y477"/>
  <c r="U477"/>
  <c r="O477"/>
  <c r="K477"/>
  <c r="O476"/>
  <c r="K476"/>
  <c r="Y475"/>
  <c r="U475"/>
  <c r="AA475" s="1"/>
  <c r="O475"/>
  <c r="K475"/>
  <c r="AC475"/>
  <c r="Y474"/>
  <c r="U474"/>
  <c r="O474"/>
  <c r="G474"/>
  <c r="K474" s="1"/>
  <c r="AC474" s="1"/>
  <c r="Y473"/>
  <c r="U473"/>
  <c r="O473"/>
  <c r="K473"/>
  <c r="Y472"/>
  <c r="U472"/>
  <c r="O472"/>
  <c r="K472"/>
  <c r="O471"/>
  <c r="K471"/>
  <c r="AA470"/>
  <c r="O470"/>
  <c r="K470"/>
  <c r="Y469"/>
  <c r="U469"/>
  <c r="O469"/>
  <c r="K469"/>
  <c r="Y468"/>
  <c r="U468"/>
  <c r="O468"/>
  <c r="K468"/>
  <c r="Y467"/>
  <c r="U467"/>
  <c r="O467"/>
  <c r="K467"/>
  <c r="AA466"/>
  <c r="O466"/>
  <c r="K466"/>
  <c r="Y465"/>
  <c r="U465"/>
  <c r="O465"/>
  <c r="K465"/>
  <c r="AC465" s="1"/>
  <c r="O464"/>
  <c r="K464"/>
  <c r="Y463"/>
  <c r="U463"/>
  <c r="O463"/>
  <c r="K463"/>
  <c r="Y462"/>
  <c r="U462"/>
  <c r="O462"/>
  <c r="K462"/>
  <c r="Y461"/>
  <c r="U461"/>
  <c r="O461"/>
  <c r="G461"/>
  <c r="K461"/>
  <c r="AC461" s="1"/>
  <c r="Y460"/>
  <c r="U460"/>
  <c r="O460"/>
  <c r="K460"/>
  <c r="Y459"/>
  <c r="U459"/>
  <c r="AA459"/>
  <c r="O459"/>
  <c r="G459"/>
  <c r="K459" s="1"/>
  <c r="AC459" s="1"/>
  <c r="Y458"/>
  <c r="U458"/>
  <c r="O458"/>
  <c r="G458"/>
  <c r="K458" s="1"/>
  <c r="AC458" s="1"/>
  <c r="Y457"/>
  <c r="U457"/>
  <c r="O457"/>
  <c r="K457"/>
  <c r="Y456"/>
  <c r="U456"/>
  <c r="O456"/>
  <c r="K456"/>
  <c r="AZ508" i="2"/>
  <c r="BJ508"/>
  <c r="AZ507"/>
  <c r="BJ507"/>
  <c r="AZ506"/>
  <c r="BJ506"/>
  <c r="AZ505"/>
  <c r="BJ505"/>
  <c r="AZ504"/>
  <c r="BJ504"/>
  <c r="AZ503"/>
  <c r="BJ503"/>
  <c r="AZ502"/>
  <c r="BJ502"/>
  <c r="AZ500"/>
  <c r="BJ500"/>
  <c r="AZ499"/>
  <c r="BJ499"/>
  <c r="AZ498"/>
  <c r="BJ498"/>
  <c r="M497"/>
  <c r="AZ497"/>
  <c r="BJ497" s="1"/>
  <c r="AZ496"/>
  <c r="BJ496"/>
  <c r="AZ495"/>
  <c r="BJ495"/>
  <c r="AZ494"/>
  <c r="BJ494"/>
  <c r="AZ493"/>
  <c r="BJ493"/>
  <c r="U492"/>
  <c r="AZ492"/>
  <c r="BJ492" s="1"/>
  <c r="AZ491"/>
  <c r="BJ491" s="1"/>
  <c r="AZ490"/>
  <c r="BJ490" s="1"/>
  <c r="AZ489"/>
  <c r="BJ489" s="1"/>
  <c r="AZ488"/>
  <c r="BJ488" s="1"/>
  <c r="AZ487"/>
  <c r="BJ487" s="1"/>
  <c r="AZ486"/>
  <c r="BJ486" s="1"/>
  <c r="AZ485"/>
  <c r="BJ485" s="1"/>
  <c r="U484"/>
  <c r="AZ484" s="1"/>
  <c r="BJ484" s="1"/>
  <c r="AZ483"/>
  <c r="BJ483"/>
  <c r="AZ482"/>
  <c r="BJ482" s="1"/>
  <c r="AZ481"/>
  <c r="BJ481" s="1"/>
  <c r="AZ480"/>
  <c r="BJ480"/>
  <c r="AZ479"/>
  <c r="BJ479"/>
  <c r="AZ478"/>
  <c r="BJ478" s="1"/>
  <c r="AZ477"/>
  <c r="BJ477"/>
  <c r="AZ476"/>
  <c r="BJ476"/>
  <c r="AZ475"/>
  <c r="BJ475"/>
  <c r="AZ474"/>
  <c r="BJ474"/>
  <c r="AZ473"/>
  <c r="BJ473" s="1"/>
  <c r="AZ472"/>
  <c r="BJ472" s="1"/>
  <c r="AZ471"/>
  <c r="BJ471"/>
  <c r="AZ470"/>
  <c r="BJ470"/>
  <c r="AZ469"/>
  <c r="BJ469" s="1"/>
  <c r="AZ468"/>
  <c r="BJ468" s="1"/>
  <c r="AN467"/>
  <c r="AA467"/>
  <c r="Y467"/>
  <c r="W467"/>
  <c r="U467"/>
  <c r="AZ466"/>
  <c r="BJ466"/>
  <c r="AZ465"/>
  <c r="BJ465"/>
  <c r="AZ464"/>
  <c r="BJ464"/>
  <c r="AZ463"/>
  <c r="BJ463"/>
  <c r="AZ462"/>
  <c r="BJ462"/>
  <c r="AZ461"/>
  <c r="BJ461"/>
  <c r="AZ460"/>
  <c r="BJ460"/>
  <c r="AK510" i="1"/>
  <c r="O510"/>
  <c r="Y510" s="1"/>
  <c r="AG509"/>
  <c r="AK509" s="1"/>
  <c r="O509"/>
  <c r="Y509" s="1"/>
  <c r="AK506"/>
  <c r="AM506" s="1"/>
  <c r="Y506"/>
  <c r="AK505"/>
  <c r="O505"/>
  <c r="Y505" s="1"/>
  <c r="AK504"/>
  <c r="Y504"/>
  <c r="AK503"/>
  <c r="Y503"/>
  <c r="AK502"/>
  <c r="O502"/>
  <c r="Y502"/>
  <c r="AK501"/>
  <c r="AM501"/>
  <c r="Y501"/>
  <c r="AK500"/>
  <c r="O500"/>
  <c r="Y500"/>
  <c r="AK499"/>
  <c r="O499"/>
  <c r="Y499" s="1"/>
  <c r="AM499" s="1"/>
  <c r="BL499" i="2" s="1"/>
  <c r="BS499" s="1"/>
  <c r="BU499" s="1"/>
  <c r="AK498" i="1"/>
  <c r="Y498"/>
  <c r="AK497"/>
  <c r="O497"/>
  <c r="K497"/>
  <c r="AK496"/>
  <c r="O496"/>
  <c r="Y496"/>
  <c r="AK495"/>
  <c r="Y495"/>
  <c r="AK494"/>
  <c r="Y494"/>
  <c r="AK493"/>
  <c r="O493"/>
  <c r="Y493" s="1"/>
  <c r="AM493" s="1"/>
  <c r="AK492"/>
  <c r="Y492"/>
  <c r="AM492" s="1"/>
  <c r="AK491"/>
  <c r="O491"/>
  <c r="Y491"/>
  <c r="AK490"/>
  <c r="Y490"/>
  <c r="AM490" s="1"/>
  <c r="AK489"/>
  <c r="O489"/>
  <c r="Y489"/>
  <c r="AK488"/>
  <c r="O488"/>
  <c r="M488"/>
  <c r="AK487"/>
  <c r="Y487"/>
  <c r="AK486"/>
  <c r="Y486"/>
  <c r="AK485"/>
  <c r="AK484"/>
  <c r="O484"/>
  <c r="Y484" s="1"/>
  <c r="AK483"/>
  <c r="O483"/>
  <c r="Y483"/>
  <c r="AK482"/>
  <c r="O482"/>
  <c r="Y482" s="1"/>
  <c r="AK481"/>
  <c r="Y481"/>
  <c r="AK480"/>
  <c r="Y480"/>
  <c r="AK479"/>
  <c r="O479"/>
  <c r="Y479"/>
  <c r="AK478"/>
  <c r="Y478"/>
  <c r="AK477"/>
  <c r="O477"/>
  <c r="Y477"/>
  <c r="AK476"/>
  <c r="O476"/>
  <c r="Y476"/>
  <c r="AK475"/>
  <c r="Y475"/>
  <c r="AK474"/>
  <c r="Y474"/>
  <c r="AM474" s="1"/>
  <c r="BL474" i="2" s="1"/>
  <c r="AG473" i="1"/>
  <c r="AK473" s="1"/>
  <c r="O473"/>
  <c r="Y473" s="1"/>
  <c r="AK472"/>
  <c r="O472"/>
  <c r="K472"/>
  <c r="AK471"/>
  <c r="O471"/>
  <c r="Y471"/>
  <c r="AK470"/>
  <c r="Y470"/>
  <c r="AK469"/>
  <c r="O469"/>
  <c r="Y469"/>
  <c r="AK468"/>
  <c r="Y468"/>
  <c r="AK467"/>
  <c r="O467"/>
  <c r="Y467"/>
  <c r="AK466"/>
  <c r="O466"/>
  <c r="Y466"/>
  <c r="AK465"/>
  <c r="O465"/>
  <c r="K465"/>
  <c r="AK464"/>
  <c r="O464"/>
  <c r="Y464"/>
  <c r="AK463"/>
  <c r="O463"/>
  <c r="Y463"/>
  <c r="AK462"/>
  <c r="O462"/>
  <c r="K462"/>
  <c r="AK461"/>
  <c r="W461"/>
  <c r="O461"/>
  <c r="AK460"/>
  <c r="O460"/>
  <c r="K460"/>
  <c r="AD469" i="16"/>
  <c r="AW466" i="17"/>
  <c r="U510" i="14"/>
  <c r="AA510"/>
  <c r="O510"/>
  <c r="K510"/>
  <c r="U507"/>
  <c r="AA507"/>
  <c r="O507"/>
  <c r="K507"/>
  <c r="AA506"/>
  <c r="O506"/>
  <c r="K506"/>
  <c r="U505"/>
  <c r="AA505"/>
  <c r="O505"/>
  <c r="K505"/>
  <c r="O504"/>
  <c r="K504"/>
  <c r="U503"/>
  <c r="AA503"/>
  <c r="O503"/>
  <c r="G503"/>
  <c r="Y502"/>
  <c r="U502"/>
  <c r="O502"/>
  <c r="K502"/>
  <c r="AA501"/>
  <c r="K501"/>
  <c r="AC501" s="1"/>
  <c r="U500"/>
  <c r="AA500" s="1"/>
  <c r="O500"/>
  <c r="K500"/>
  <c r="AC500"/>
  <c r="U499"/>
  <c r="AA499"/>
  <c r="O499"/>
  <c r="K499"/>
  <c r="AA498"/>
  <c r="O498"/>
  <c r="K498"/>
  <c r="Y497"/>
  <c r="U497"/>
  <c r="O497"/>
  <c r="K497"/>
  <c r="Y496"/>
  <c r="W496"/>
  <c r="U496"/>
  <c r="O496"/>
  <c r="K496"/>
  <c r="AC496" s="1"/>
  <c r="AA495"/>
  <c r="O495"/>
  <c r="K495"/>
  <c r="AA494"/>
  <c r="O494"/>
  <c r="K494"/>
  <c r="U493"/>
  <c r="AA493" s="1"/>
  <c r="O493"/>
  <c r="G493"/>
  <c r="K493"/>
  <c r="AC493" s="1"/>
  <c r="AA492"/>
  <c r="O492"/>
  <c r="K492"/>
  <c r="U491"/>
  <c r="AA491"/>
  <c r="O491"/>
  <c r="K491"/>
  <c r="O490"/>
  <c r="K490"/>
  <c r="U489"/>
  <c r="AA489"/>
  <c r="O489"/>
  <c r="K489"/>
  <c r="Y488"/>
  <c r="U488"/>
  <c r="O488"/>
  <c r="I488"/>
  <c r="K488" s="1"/>
  <c r="AA487"/>
  <c r="O487"/>
  <c r="K487"/>
  <c r="AA486"/>
  <c r="O486"/>
  <c r="K486"/>
  <c r="AA485"/>
  <c r="O485"/>
  <c r="K485"/>
  <c r="Y484"/>
  <c r="U484"/>
  <c r="O484"/>
  <c r="K484"/>
  <c r="Y483"/>
  <c r="U483"/>
  <c r="O483"/>
  <c r="K483"/>
  <c r="Y482"/>
  <c r="U482"/>
  <c r="O482"/>
  <c r="K482"/>
  <c r="U481"/>
  <c r="AA481"/>
  <c r="O481"/>
  <c r="K481"/>
  <c r="AA480"/>
  <c r="O480"/>
  <c r="K480"/>
  <c r="U479"/>
  <c r="AA479" s="1"/>
  <c r="O479"/>
  <c r="K479"/>
  <c r="AC479"/>
  <c r="U478"/>
  <c r="AA478"/>
  <c r="O478"/>
  <c r="K478"/>
  <c r="Y477"/>
  <c r="U477"/>
  <c r="O477"/>
  <c r="K477"/>
  <c r="Y476"/>
  <c r="U476"/>
  <c r="O476"/>
  <c r="K476"/>
  <c r="AA475"/>
  <c r="O475"/>
  <c r="K475"/>
  <c r="AC475"/>
  <c r="AA474"/>
  <c r="O474"/>
  <c r="K474"/>
  <c r="U473"/>
  <c r="AA473" s="1"/>
  <c r="O473"/>
  <c r="K473"/>
  <c r="Y472"/>
  <c r="U472"/>
  <c r="O472"/>
  <c r="K472"/>
  <c r="Y471"/>
  <c r="U471"/>
  <c r="O471"/>
  <c r="K471"/>
  <c r="AC471"/>
  <c r="AA470"/>
  <c r="O470"/>
  <c r="K470"/>
  <c r="Y469"/>
  <c r="U469"/>
  <c r="O469"/>
  <c r="K469"/>
  <c r="AA468"/>
  <c r="O468"/>
  <c r="K468"/>
  <c r="U467"/>
  <c r="AA467"/>
  <c r="S467"/>
  <c r="Q467"/>
  <c r="K467"/>
  <c r="U466"/>
  <c r="AA466" s="1"/>
  <c r="O466"/>
  <c r="K466"/>
  <c r="AC466"/>
  <c r="Y465"/>
  <c r="U465"/>
  <c r="O465"/>
  <c r="K465"/>
  <c r="Y464"/>
  <c r="U464"/>
  <c r="O464"/>
  <c r="K464"/>
  <c r="Y463"/>
  <c r="U463"/>
  <c r="O463"/>
  <c r="K463"/>
  <c r="U462"/>
  <c r="AA462"/>
  <c r="O462"/>
  <c r="K462"/>
  <c r="AC462" s="1"/>
  <c r="U461"/>
  <c r="AA461" s="1"/>
  <c r="O461"/>
  <c r="K461"/>
  <c r="U460"/>
  <c r="AA460" s="1"/>
  <c r="O460"/>
  <c r="K460"/>
  <c r="M492" i="17"/>
  <c r="AW492" s="1"/>
  <c r="M490"/>
  <c r="AW490" s="1"/>
  <c r="M487"/>
  <c r="AW487" s="1"/>
  <c r="M485"/>
  <c r="AW485" s="1"/>
  <c r="M484"/>
  <c r="AW484" s="1"/>
  <c r="M482"/>
  <c r="AW482" s="1"/>
  <c r="U477"/>
  <c r="AW477" s="1"/>
  <c r="AM476"/>
  <c r="M473"/>
  <c r="AW473"/>
  <c r="U469"/>
  <c r="AW469"/>
  <c r="AU468"/>
  <c r="AW468"/>
  <c r="M448"/>
  <c r="AW448"/>
  <c r="M447"/>
  <c r="AW447"/>
  <c r="M446"/>
  <c r="AW446"/>
  <c r="AW449"/>
  <c r="AW450"/>
  <c r="AW451"/>
  <c r="AW452"/>
  <c r="AW453"/>
  <c r="AW454"/>
  <c r="AW455"/>
  <c r="AW456"/>
  <c r="AW457"/>
  <c r="AW458"/>
  <c r="AW459"/>
  <c r="AW460"/>
  <c r="AW461"/>
  <c r="AW462"/>
  <c r="AW463"/>
  <c r="AW464"/>
  <c r="AW465"/>
  <c r="AW467"/>
  <c r="AW470"/>
  <c r="AW471"/>
  <c r="AW472"/>
  <c r="AW474"/>
  <c r="AW475"/>
  <c r="AW476"/>
  <c r="AW478"/>
  <c r="AW479"/>
  <c r="AW480"/>
  <c r="AW481"/>
  <c r="AW483"/>
  <c r="AW486"/>
  <c r="AW488"/>
  <c r="AW489"/>
  <c r="AW491"/>
  <c r="AW495"/>
  <c r="O499" i="15"/>
  <c r="AG499"/>
  <c r="AI499" s="1"/>
  <c r="AY495" i="17" s="1"/>
  <c r="BC495" s="1"/>
  <c r="BE495" s="1"/>
  <c r="M499" i="15"/>
  <c r="O496"/>
  <c r="AG496"/>
  <c r="M496"/>
  <c r="M495"/>
  <c r="O494"/>
  <c r="AG494"/>
  <c r="M494"/>
  <c r="M493"/>
  <c r="O492"/>
  <c r="M492"/>
  <c r="O491"/>
  <c r="AG491"/>
  <c r="M491"/>
  <c r="O489"/>
  <c r="AG489" s="1"/>
  <c r="AI489" s="1"/>
  <c r="AY485" i="17" s="1"/>
  <c r="BC485" s="1"/>
  <c r="BE485" s="1"/>
  <c r="M489" i="15"/>
  <c r="O488"/>
  <c r="AG488"/>
  <c r="M488"/>
  <c r="M487"/>
  <c r="O486"/>
  <c r="AG486"/>
  <c r="M486"/>
  <c r="O485"/>
  <c r="M485"/>
  <c r="M484"/>
  <c r="M483"/>
  <c r="O482"/>
  <c r="AG482" s="1"/>
  <c r="AI482" s="1"/>
  <c r="AY478" i="17" s="1"/>
  <c r="BC478" s="1"/>
  <c r="BE478" s="1"/>
  <c r="M482" i="15"/>
  <c r="O481"/>
  <c r="AG481" s="1"/>
  <c r="M481"/>
  <c r="O480"/>
  <c r="AG480"/>
  <c r="M480"/>
  <c r="M479"/>
  <c r="O478"/>
  <c r="AG478"/>
  <c r="M478"/>
  <c r="O477"/>
  <c r="AG477" s="1"/>
  <c r="M477"/>
  <c r="M476"/>
  <c r="M475"/>
  <c r="M474"/>
  <c r="O473"/>
  <c r="AG473" s="1"/>
  <c r="M473"/>
  <c r="O472"/>
  <c r="AG472"/>
  <c r="M472"/>
  <c r="AA471"/>
  <c r="O471"/>
  <c r="M471"/>
  <c r="O470"/>
  <c r="AG470"/>
  <c r="M470"/>
  <c r="M469"/>
  <c r="O468"/>
  <c r="AG468"/>
  <c r="M468"/>
  <c r="O467"/>
  <c r="AG467" s="1"/>
  <c r="M467"/>
  <c r="O466"/>
  <c r="AG466"/>
  <c r="AI466" s="1"/>
  <c r="AY462" i="17" s="1"/>
  <c r="BC462" s="1"/>
  <c r="BE462" s="1"/>
  <c r="M466" i="15"/>
  <c r="O465"/>
  <c r="AG465" s="1"/>
  <c r="M465"/>
  <c r="M464"/>
  <c r="M463"/>
  <c r="O462"/>
  <c r="AG462"/>
  <c r="M462"/>
  <c r="O461"/>
  <c r="AG461" s="1"/>
  <c r="M461"/>
  <c r="O460"/>
  <c r="AG460"/>
  <c r="AI460" s="1"/>
  <c r="AY456" i="17" s="1"/>
  <c r="BC456" s="1"/>
  <c r="BE456" s="1"/>
  <c r="M460" i="15"/>
  <c r="M459"/>
  <c r="O458"/>
  <c r="AG458" s="1"/>
  <c r="AI458" s="1"/>
  <c r="AY455" i="17" s="1"/>
  <c r="BC455" s="1"/>
  <c r="BE455" s="1"/>
  <c r="M458" i="15"/>
  <c r="M457"/>
  <c r="O456"/>
  <c r="AG456" s="1"/>
  <c r="G456"/>
  <c r="M456" s="1"/>
  <c r="O455"/>
  <c r="AG455" s="1"/>
  <c r="AI455" s="1"/>
  <c r="AY452" i="17" s="1"/>
  <c r="BC452" s="1"/>
  <c r="BE452" s="1"/>
  <c r="M455" i="15"/>
  <c r="O454"/>
  <c r="AG454" s="1"/>
  <c r="M454"/>
  <c r="O453"/>
  <c r="AG453"/>
  <c r="M453"/>
  <c r="O452"/>
  <c r="AG452" s="1"/>
  <c r="AI452" s="1"/>
  <c r="AY449" i="17" s="1"/>
  <c r="BC449" s="1"/>
  <c r="BE449" s="1"/>
  <c r="M452" i="15"/>
  <c r="O451"/>
  <c r="AG451" s="1"/>
  <c r="AI451" s="1"/>
  <c r="M451"/>
  <c r="O450"/>
  <c r="AG450" s="1"/>
  <c r="M450"/>
  <c r="O449"/>
  <c r="M449"/>
  <c r="AG449"/>
  <c r="AI457"/>
  <c r="AY454" i="17" s="1"/>
  <c r="BC454" s="1"/>
  <c r="BE454" s="1"/>
  <c r="AG459" i="15"/>
  <c r="AG463"/>
  <c r="AI463" s="1"/>
  <c r="AY459" i="17" s="1"/>
  <c r="BC459" s="1"/>
  <c r="BE459" s="1"/>
  <c r="AG475" i="15"/>
  <c r="AG483"/>
  <c r="AI483" s="1"/>
  <c r="AY479" i="17" s="1"/>
  <c r="BC479" s="1"/>
  <c r="BE479" s="1"/>
  <c r="AG484" i="15"/>
  <c r="AG485"/>
  <c r="AG487"/>
  <c r="AG492"/>
  <c r="AI492"/>
  <c r="AY488" i="17" s="1"/>
  <c r="BC488" s="1"/>
  <c r="BE488" s="1"/>
  <c r="AG493" i="15"/>
  <c r="AI493" s="1"/>
  <c r="AY489" i="17" s="1"/>
  <c r="BC489" s="1"/>
  <c r="BE489" s="1"/>
  <c r="AG495" i="15"/>
  <c r="AI495" s="1"/>
  <c r="AY491" i="17" s="1"/>
  <c r="BC491" s="1"/>
  <c r="BE491" s="1"/>
  <c r="M500" i="15"/>
  <c r="O500"/>
  <c r="AG500" s="1"/>
  <c r="AI500" s="1"/>
  <c r="M501"/>
  <c r="O501"/>
  <c r="AG501" s="1"/>
  <c r="W498" i="16"/>
  <c r="M498"/>
  <c r="I498"/>
  <c r="G498" s="1"/>
  <c r="AF498" s="1"/>
  <c r="W497"/>
  <c r="M497"/>
  <c r="I497"/>
  <c r="G497"/>
  <c r="W496"/>
  <c r="M496"/>
  <c r="W495"/>
  <c r="M495"/>
  <c r="I495"/>
  <c r="G495"/>
  <c r="AF495" s="1"/>
  <c r="W494"/>
  <c r="M494"/>
  <c r="W493"/>
  <c r="M493"/>
  <c r="I493"/>
  <c r="G493" s="1"/>
  <c r="W492"/>
  <c r="M492"/>
  <c r="I492"/>
  <c r="G492" s="1"/>
  <c r="AF492" s="1"/>
  <c r="W491"/>
  <c r="M491"/>
  <c r="W490"/>
  <c r="M490"/>
  <c r="I490"/>
  <c r="G490"/>
  <c r="AF490" s="1"/>
  <c r="W489"/>
  <c r="M489"/>
  <c r="I489"/>
  <c r="G489" s="1"/>
  <c r="AF489" s="1"/>
  <c r="W488"/>
  <c r="M488"/>
  <c r="G488"/>
  <c r="W487"/>
  <c r="M487"/>
  <c r="G487"/>
  <c r="W486"/>
  <c r="M486"/>
  <c r="I486"/>
  <c r="G486"/>
  <c r="W485"/>
  <c r="M485"/>
  <c r="G485"/>
  <c r="W484"/>
  <c r="M484"/>
  <c r="G484"/>
  <c r="W483"/>
  <c r="M483"/>
  <c r="I483"/>
  <c r="G483"/>
  <c r="AF483" s="1"/>
  <c r="W482"/>
  <c r="M482"/>
  <c r="I482"/>
  <c r="G482"/>
  <c r="W479"/>
  <c r="M479"/>
  <c r="I479"/>
  <c r="G479"/>
  <c r="AF479" s="1"/>
  <c r="W478"/>
  <c r="M478"/>
  <c r="G478"/>
  <c r="W477"/>
  <c r="M477"/>
  <c r="I477"/>
  <c r="G477"/>
  <c r="AF477" s="1"/>
  <c r="W476"/>
  <c r="M476"/>
  <c r="I476"/>
  <c r="G476" s="1"/>
  <c r="W475"/>
  <c r="G475"/>
  <c r="M474"/>
  <c r="G474"/>
  <c r="W473"/>
  <c r="M473"/>
  <c r="W472"/>
  <c r="M472"/>
  <c r="I472"/>
  <c r="G472" s="1"/>
  <c r="AF472" s="1"/>
  <c r="W471"/>
  <c r="M471"/>
  <c r="I471"/>
  <c r="G471"/>
  <c r="W470"/>
  <c r="M470"/>
  <c r="I470"/>
  <c r="G470"/>
  <c r="AF470" s="1"/>
  <c r="W469"/>
  <c r="M469"/>
  <c r="I469"/>
  <c r="G469" s="1"/>
  <c r="W468"/>
  <c r="M468"/>
  <c r="W467"/>
  <c r="M467"/>
  <c r="I467"/>
  <c r="G467"/>
  <c r="AF467" s="1"/>
  <c r="W466"/>
  <c r="M466"/>
  <c r="I466"/>
  <c r="G466" s="1"/>
  <c r="W465"/>
  <c r="M465"/>
  <c r="I465"/>
  <c r="G465"/>
  <c r="W464"/>
  <c r="M464"/>
  <c r="I464"/>
  <c r="G464"/>
  <c r="W463"/>
  <c r="M463"/>
  <c r="W462"/>
  <c r="M462"/>
  <c r="G462"/>
  <c r="W461"/>
  <c r="M461"/>
  <c r="I461"/>
  <c r="G461"/>
  <c r="AF461" s="1"/>
  <c r="W460"/>
  <c r="M460"/>
  <c r="G460"/>
  <c r="W459"/>
  <c r="M459"/>
  <c r="I459"/>
  <c r="G459"/>
  <c r="W458"/>
  <c r="M458"/>
  <c r="G458"/>
  <c r="W457"/>
  <c r="M457"/>
  <c r="I457"/>
  <c r="G457" s="1"/>
  <c r="W456"/>
  <c r="M456"/>
  <c r="W455"/>
  <c r="M455"/>
  <c r="I455"/>
  <c r="G455"/>
  <c r="W454"/>
  <c r="M454"/>
  <c r="I454"/>
  <c r="G454"/>
  <c r="AF454" s="1"/>
  <c r="Y453"/>
  <c r="W453" s="1"/>
  <c r="M453"/>
  <c r="G453"/>
  <c r="W452"/>
  <c r="M452"/>
  <c r="I452"/>
  <c r="G452" s="1"/>
  <c r="AF452" s="1"/>
  <c r="W451"/>
  <c r="M451"/>
  <c r="I451"/>
  <c r="G451"/>
  <c r="W450"/>
  <c r="M450"/>
  <c r="I450"/>
  <c r="G450"/>
  <c r="AF450" s="1"/>
  <c r="W449"/>
  <c r="M449"/>
  <c r="G449"/>
  <c r="W448"/>
  <c r="M448"/>
  <c r="G448"/>
  <c r="S194" i="10"/>
  <c r="S193"/>
  <c r="S192"/>
  <c r="S191"/>
  <c r="S190"/>
  <c r="S187"/>
  <c r="S186"/>
  <c r="S185"/>
  <c r="S184"/>
  <c r="S183"/>
  <c r="S182"/>
  <c r="S181"/>
  <c r="S180"/>
  <c r="S178"/>
  <c r="G177"/>
  <c r="S177" s="1"/>
  <c r="S176"/>
  <c r="S175"/>
  <c r="S174"/>
  <c r="S173"/>
  <c r="S172"/>
  <c r="G171"/>
  <c r="S171"/>
  <c r="G170"/>
  <c r="S170"/>
  <c r="S169"/>
  <c r="G168"/>
  <c r="S168" s="1"/>
  <c r="M167"/>
  <c r="S167" s="1"/>
  <c r="AP191" i="25"/>
  <c r="AZ191"/>
  <c r="BJ191" s="1"/>
  <c r="AZ190"/>
  <c r="BJ190" s="1"/>
  <c r="AZ187"/>
  <c r="AZ186"/>
  <c r="BJ186"/>
  <c r="AZ185"/>
  <c r="AZ184"/>
  <c r="BJ184" s="1"/>
  <c r="M183"/>
  <c r="AZ183" s="1"/>
  <c r="BJ183" s="1"/>
  <c r="AZ182"/>
  <c r="AZ181"/>
  <c r="AZ180"/>
  <c r="AP179"/>
  <c r="AZ179"/>
  <c r="BJ179" s="1"/>
  <c r="U178"/>
  <c r="AZ178" s="1"/>
  <c r="BJ178" s="1"/>
  <c r="AZ177"/>
  <c r="BJ177" s="1"/>
  <c r="AZ175"/>
  <c r="BJ175" s="1"/>
  <c r="AZ174"/>
  <c r="AN173"/>
  <c r="AZ173"/>
  <c r="BJ173" s="1"/>
  <c r="AZ172"/>
  <c r="BJ172" s="1"/>
  <c r="AZ171"/>
  <c r="AZ170"/>
  <c r="BJ170"/>
  <c r="AZ169"/>
  <c r="BJ169"/>
  <c r="AZ168"/>
  <c r="BJ168" s="1"/>
  <c r="AZ167"/>
  <c r="U166"/>
  <c r="AZ166"/>
  <c r="BJ166" s="1"/>
  <c r="AZ165"/>
  <c r="BJ165" s="1"/>
  <c r="AZ164"/>
  <c r="O191" i="22"/>
  <c r="K191"/>
  <c r="Y190"/>
  <c r="O189"/>
  <c r="Y189" s="1"/>
  <c r="Y188"/>
  <c r="O187"/>
  <c r="Y187"/>
  <c r="AK186"/>
  <c r="AE186"/>
  <c r="O186"/>
  <c r="Y186"/>
  <c r="W185"/>
  <c r="O185"/>
  <c r="K185"/>
  <c r="O184"/>
  <c r="Y184" s="1"/>
  <c r="Y183"/>
  <c r="O182"/>
  <c r="Y182"/>
  <c r="O181"/>
  <c r="K181"/>
  <c r="Y181" s="1"/>
  <c r="O180"/>
  <c r="Y180" s="1"/>
  <c r="O179"/>
  <c r="K179"/>
  <c r="Y178"/>
  <c r="O177"/>
  <c r="Y177"/>
  <c r="O174"/>
  <c r="Y174"/>
  <c r="Y173"/>
  <c r="Y172"/>
  <c r="O171"/>
  <c r="K171"/>
  <c r="Y170"/>
  <c r="Y169"/>
  <c r="AK168"/>
  <c r="O168"/>
  <c r="Y168" s="1"/>
  <c r="Y167"/>
  <c r="O166"/>
  <c r="Y166"/>
  <c r="O165"/>
  <c r="Y165"/>
  <c r="O164"/>
  <c r="K164"/>
  <c r="Y189" i="26"/>
  <c r="W189"/>
  <c r="U189"/>
  <c r="O189"/>
  <c r="G189"/>
  <c r="K189"/>
  <c r="O188"/>
  <c r="K188"/>
  <c r="Y187"/>
  <c r="U187"/>
  <c r="O187"/>
  <c r="G187"/>
  <c r="K187" s="1"/>
  <c r="AC187" s="1"/>
  <c r="O186"/>
  <c r="K186"/>
  <c r="Y185"/>
  <c r="U185"/>
  <c r="O185"/>
  <c r="G185"/>
  <c r="K185" s="1"/>
  <c r="AC185" s="1"/>
  <c r="Y184"/>
  <c r="U184"/>
  <c r="O184"/>
  <c r="K184"/>
  <c r="Y183"/>
  <c r="U183"/>
  <c r="O183"/>
  <c r="I183"/>
  <c r="K183" s="1"/>
  <c r="Y182"/>
  <c r="W182"/>
  <c r="U182"/>
  <c r="O182"/>
  <c r="G182"/>
  <c r="K182" s="1"/>
  <c r="AC182" s="1"/>
  <c r="O181"/>
  <c r="K181"/>
  <c r="Y180"/>
  <c r="U180"/>
  <c r="O180"/>
  <c r="K180"/>
  <c r="Y179"/>
  <c r="U179"/>
  <c r="O179"/>
  <c r="K179"/>
  <c r="Y178"/>
  <c r="U178"/>
  <c r="O178"/>
  <c r="G178"/>
  <c r="K178" s="1"/>
  <c r="AC178"/>
  <c r="Y177"/>
  <c r="U177"/>
  <c r="O177"/>
  <c r="K177"/>
  <c r="O176"/>
  <c r="K176"/>
  <c r="Y175"/>
  <c r="U175"/>
  <c r="O175"/>
  <c r="K175"/>
  <c r="Y174"/>
  <c r="U174"/>
  <c r="O174"/>
  <c r="K174"/>
  <c r="Y173"/>
  <c r="U173"/>
  <c r="O173"/>
  <c r="K173"/>
  <c r="O172"/>
  <c r="K172"/>
  <c r="Y171"/>
  <c r="U171"/>
  <c r="O171"/>
  <c r="G171"/>
  <c r="K171" s="1"/>
  <c r="O170"/>
  <c r="K170"/>
  <c r="O169"/>
  <c r="K169"/>
  <c r="W168"/>
  <c r="U168"/>
  <c r="O168"/>
  <c r="K168"/>
  <c r="O167"/>
  <c r="G167"/>
  <c r="Y166"/>
  <c r="U166"/>
  <c r="O166"/>
  <c r="K166"/>
  <c r="Y165"/>
  <c r="U165"/>
  <c r="O165"/>
  <c r="K165"/>
  <c r="Y164"/>
  <c r="U164"/>
  <c r="O164"/>
  <c r="G164"/>
  <c r="K164"/>
  <c r="AC164" s="1"/>
  <c r="AP193" i="2"/>
  <c r="AZ193" s="1"/>
  <c r="BJ193" s="1"/>
  <c r="AZ192"/>
  <c r="AZ191"/>
  <c r="BJ191" s="1"/>
  <c r="AZ190"/>
  <c r="AZ189"/>
  <c r="AZ188"/>
  <c r="M187"/>
  <c r="AZ187"/>
  <c r="BJ187" s="1"/>
  <c r="AZ186"/>
  <c r="AZ185"/>
  <c r="AZ184"/>
  <c r="AZ183"/>
  <c r="U182"/>
  <c r="AZ182" s="1"/>
  <c r="BJ182" s="1"/>
  <c r="AZ179"/>
  <c r="AZ178"/>
  <c r="BJ178" s="1"/>
  <c r="AZ177"/>
  <c r="AZ176"/>
  <c r="BJ176"/>
  <c r="AZ175"/>
  <c r="AZ174"/>
  <c r="AZ173"/>
  <c r="AZ172"/>
  <c r="AZ171"/>
  <c r="AZ170"/>
  <c r="AZ169"/>
  <c r="U168"/>
  <c r="AZ168" s="1"/>
  <c r="BJ168" s="1"/>
  <c r="AZ167"/>
  <c r="AZ166"/>
  <c r="O193" i="1"/>
  <c r="K193"/>
  <c r="O191"/>
  <c r="Y191" s="1"/>
  <c r="Y190"/>
  <c r="Y189"/>
  <c r="O188"/>
  <c r="Y188" s="1"/>
  <c r="W187"/>
  <c r="O187"/>
  <c r="K187"/>
  <c r="O186"/>
  <c r="Y186"/>
  <c r="Y185"/>
  <c r="Y184"/>
  <c r="O183"/>
  <c r="K183"/>
  <c r="Y182"/>
  <c r="O181"/>
  <c r="K181"/>
  <c r="Y180"/>
  <c r="O179"/>
  <c r="Y179"/>
  <c r="Y178"/>
  <c r="Y175"/>
  <c r="Y174"/>
  <c r="O173"/>
  <c r="Y173" s="1"/>
  <c r="Y172"/>
  <c r="Y171"/>
  <c r="AG170"/>
  <c r="AK170" s="1"/>
  <c r="O170"/>
  <c r="Y170" s="1"/>
  <c r="Y169"/>
  <c r="O168"/>
  <c r="Y168" s="1"/>
  <c r="O167"/>
  <c r="Y167" s="1"/>
  <c r="O166"/>
  <c r="Y166" s="1"/>
  <c r="W193" i="14"/>
  <c r="U193"/>
  <c r="AA193"/>
  <c r="O193"/>
  <c r="K193"/>
  <c r="AC193" s="1"/>
  <c r="O192"/>
  <c r="K192"/>
  <c r="AC192"/>
  <c r="U191"/>
  <c r="O191"/>
  <c r="K191"/>
  <c r="O190"/>
  <c r="K190"/>
  <c r="U189"/>
  <c r="O189"/>
  <c r="K189"/>
  <c r="Y187"/>
  <c r="U187"/>
  <c r="AA187" s="1"/>
  <c r="O187"/>
  <c r="K187"/>
  <c r="Y186"/>
  <c r="U186"/>
  <c r="O186"/>
  <c r="K186"/>
  <c r="AC186"/>
  <c r="W185"/>
  <c r="U185"/>
  <c r="O185"/>
  <c r="G185"/>
  <c r="K185" s="1"/>
  <c r="O184"/>
  <c r="K184"/>
  <c r="U183"/>
  <c r="O183"/>
  <c r="K183"/>
  <c r="Y182"/>
  <c r="U182"/>
  <c r="O182"/>
  <c r="K182"/>
  <c r="U181"/>
  <c r="O181"/>
  <c r="K181"/>
  <c r="U180"/>
  <c r="AA180" s="1"/>
  <c r="O180"/>
  <c r="K180"/>
  <c r="O179"/>
  <c r="K179"/>
  <c r="Y178"/>
  <c r="U178"/>
  <c r="O178"/>
  <c r="K178"/>
  <c r="U177"/>
  <c r="AA177" s="1"/>
  <c r="O177"/>
  <c r="K177"/>
  <c r="O174"/>
  <c r="K174"/>
  <c r="O173"/>
  <c r="K173"/>
  <c r="U172"/>
  <c r="AA172" s="1"/>
  <c r="O172"/>
  <c r="K172"/>
  <c r="O171"/>
  <c r="K171"/>
  <c r="O170"/>
  <c r="K170"/>
  <c r="Y169"/>
  <c r="U169"/>
  <c r="AA169"/>
  <c r="O169"/>
  <c r="K169"/>
  <c r="O168"/>
  <c r="U167"/>
  <c r="AA167" s="1"/>
  <c r="O167"/>
  <c r="K167"/>
  <c r="U166"/>
  <c r="O166"/>
  <c r="K166"/>
  <c r="U165"/>
  <c r="O165"/>
  <c r="K165"/>
  <c r="M172" i="17"/>
  <c r="AW172" s="1"/>
  <c r="U167"/>
  <c r="AA182" i="15"/>
  <c r="O182"/>
  <c r="M182"/>
  <c r="M181"/>
  <c r="O180"/>
  <c r="AG180"/>
  <c r="M180"/>
  <c r="M179"/>
  <c r="O178"/>
  <c r="AG178"/>
  <c r="AI178" s="1"/>
  <c r="M178"/>
  <c r="O177"/>
  <c r="AG177"/>
  <c r="M177"/>
  <c r="O176"/>
  <c r="AG176" s="1"/>
  <c r="AI176" s="1"/>
  <c r="AY172" i="17" s="1"/>
  <c r="BC172" s="1"/>
  <c r="BE172" s="1"/>
  <c r="M176" i="15"/>
  <c r="O175"/>
  <c r="M175"/>
  <c r="M174"/>
  <c r="O173"/>
  <c r="AG173"/>
  <c r="M173"/>
  <c r="O172"/>
  <c r="AG172" s="1"/>
  <c r="M172"/>
  <c r="O171"/>
  <c r="AG171"/>
  <c r="AI171" s="1"/>
  <c r="M171"/>
  <c r="O170"/>
  <c r="AG170"/>
  <c r="AI170" s="1"/>
  <c r="M170"/>
  <c r="M169"/>
  <c r="O168"/>
  <c r="M168"/>
  <c r="O167"/>
  <c r="M167"/>
  <c r="M164"/>
  <c r="M163"/>
  <c r="O162"/>
  <c r="AG162" s="1"/>
  <c r="AI162" s="1"/>
  <c r="M162"/>
  <c r="M161"/>
  <c r="M160"/>
  <c r="O159"/>
  <c r="AG159" s="1"/>
  <c r="M159"/>
  <c r="O158"/>
  <c r="AG158"/>
  <c r="AI158" s="1"/>
  <c r="M158"/>
  <c r="AA157"/>
  <c r="O157"/>
  <c r="M157"/>
  <c r="O156"/>
  <c r="AG156" s="1"/>
  <c r="M156"/>
  <c r="O155"/>
  <c r="AG155"/>
  <c r="M155"/>
  <c r="W177" i="16"/>
  <c r="W176"/>
  <c r="W175"/>
  <c r="W174"/>
  <c r="W173"/>
  <c r="W172"/>
  <c r="W171"/>
  <c r="W170"/>
  <c r="W169"/>
  <c r="W168"/>
  <c r="W167"/>
  <c r="W166"/>
  <c r="W165"/>
  <c r="W164"/>
  <c r="W163"/>
  <c r="W162"/>
  <c r="W161"/>
  <c r="W160"/>
  <c r="W159"/>
  <c r="W158"/>
  <c r="W157"/>
  <c r="W156"/>
  <c r="W155"/>
  <c r="W154"/>
  <c r="W153"/>
  <c r="W152"/>
  <c r="I175"/>
  <c r="G175" s="1"/>
  <c r="I173"/>
  <c r="I172"/>
  <c r="G172"/>
  <c r="I170"/>
  <c r="I168"/>
  <c r="G168" s="1"/>
  <c r="I165"/>
  <c r="G165"/>
  <c r="I163"/>
  <c r="I162"/>
  <c r="G162"/>
  <c r="I159"/>
  <c r="G159"/>
  <c r="I156"/>
  <c r="I155"/>
  <c r="G155" s="1"/>
  <c r="I154"/>
  <c r="I153"/>
  <c r="G153" s="1"/>
  <c r="I72"/>
  <c r="M72"/>
  <c r="W72"/>
  <c r="I73"/>
  <c r="G73"/>
  <c r="M73"/>
  <c r="W73"/>
  <c r="M40" i="10"/>
  <c r="Q39"/>
  <c r="G39"/>
  <c r="G33"/>
  <c r="Q32"/>
  <c r="AZ47" i="25"/>
  <c r="BJ47" s="1"/>
  <c r="AZ46"/>
  <c r="AZ45"/>
  <c r="BJ45"/>
  <c r="M44"/>
  <c r="AZ44"/>
  <c r="BJ44" s="1"/>
  <c r="AZ43"/>
  <c r="AP42"/>
  <c r="M42"/>
  <c r="AZ41"/>
  <c r="BJ41"/>
  <c r="AZ40"/>
  <c r="AP39"/>
  <c r="AN39"/>
  <c r="M38"/>
  <c r="AZ38" s="1"/>
  <c r="BJ38" s="1"/>
  <c r="BH37"/>
  <c r="AP37"/>
  <c r="M37"/>
  <c r="AN36"/>
  <c r="AI36"/>
  <c r="AZ35"/>
  <c r="AZ34"/>
  <c r="BJ34"/>
  <c r="AZ33"/>
  <c r="AZ32"/>
  <c r="BJ32" s="1"/>
  <c r="W47" i="22"/>
  <c r="O47"/>
  <c r="K47"/>
  <c r="Y47" s="1"/>
  <c r="Y46"/>
  <c r="W45"/>
  <c r="Y45"/>
  <c r="W44"/>
  <c r="O44"/>
  <c r="K44"/>
  <c r="Y43"/>
  <c r="W42"/>
  <c r="O42"/>
  <c r="K42"/>
  <c r="W41"/>
  <c r="Y41" s="1"/>
  <c r="W40"/>
  <c r="Y40" s="1"/>
  <c r="W39"/>
  <c r="Y39" s="1"/>
  <c r="W38"/>
  <c r="Y38" s="1"/>
  <c r="AE37"/>
  <c r="W37"/>
  <c r="M37"/>
  <c r="Y37" s="1"/>
  <c r="W36"/>
  <c r="Y36"/>
  <c r="Y35"/>
  <c r="Y34"/>
  <c r="W33"/>
  <c r="Y33"/>
  <c r="AE32"/>
  <c r="W32"/>
  <c r="O32"/>
  <c r="K32"/>
  <c r="Y32" s="1"/>
  <c r="Y47" i="26"/>
  <c r="U47"/>
  <c r="O47"/>
  <c r="K47"/>
  <c r="O46"/>
  <c r="K46"/>
  <c r="Y45"/>
  <c r="U45"/>
  <c r="O45"/>
  <c r="G45"/>
  <c r="K45"/>
  <c r="Y44"/>
  <c r="U44"/>
  <c r="O44"/>
  <c r="G44"/>
  <c r="K44" s="1"/>
  <c r="AC44" s="1"/>
  <c r="Y43"/>
  <c r="U43"/>
  <c r="O43"/>
  <c r="G43"/>
  <c r="K43" s="1"/>
  <c r="AC43" s="1"/>
  <c r="Y42"/>
  <c r="U42"/>
  <c r="O42"/>
  <c r="K42"/>
  <c r="Y41"/>
  <c r="U41"/>
  <c r="O41"/>
  <c r="G41"/>
  <c r="K41"/>
  <c r="Y40"/>
  <c r="U40"/>
  <c r="O40"/>
  <c r="K40"/>
  <c r="Y39"/>
  <c r="U39"/>
  <c r="O39"/>
  <c r="K39"/>
  <c r="Y38"/>
  <c r="U38"/>
  <c r="O38"/>
  <c r="K38"/>
  <c r="Y37"/>
  <c r="U37"/>
  <c r="O37"/>
  <c r="G37"/>
  <c r="K37" s="1"/>
  <c r="AC37" s="1"/>
  <c r="Y36"/>
  <c r="U36"/>
  <c r="O36"/>
  <c r="G36"/>
  <c r="K36" s="1"/>
  <c r="O35"/>
  <c r="K35"/>
  <c r="O34"/>
  <c r="K34"/>
  <c r="Y33"/>
  <c r="U33"/>
  <c r="O33"/>
  <c r="I33"/>
  <c r="K33"/>
  <c r="AC33" s="1"/>
  <c r="Y32"/>
  <c r="U32"/>
  <c r="O32"/>
  <c r="G32"/>
  <c r="K32"/>
  <c r="AC32" s="1"/>
  <c r="AZ47" i="2"/>
  <c r="AZ46"/>
  <c r="AZ45"/>
  <c r="AZ44"/>
  <c r="AZ43"/>
  <c r="AP42"/>
  <c r="M42"/>
  <c r="AZ42" s="1"/>
  <c r="BJ42" s="1"/>
  <c r="AZ41"/>
  <c r="AZ40"/>
  <c r="AP39"/>
  <c r="AN39"/>
  <c r="AZ39" s="1"/>
  <c r="BJ39" s="1"/>
  <c r="M38"/>
  <c r="AZ38"/>
  <c r="BJ38" s="1"/>
  <c r="AZ37"/>
  <c r="AN36"/>
  <c r="AZ36"/>
  <c r="BJ36" s="1"/>
  <c r="AZ35"/>
  <c r="AZ34"/>
  <c r="AZ33"/>
  <c r="AZ32"/>
  <c r="O47" i="1"/>
  <c r="Y47"/>
  <c r="Y46"/>
  <c r="W45"/>
  <c r="Y45" s="1"/>
  <c r="O44"/>
  <c r="K44"/>
  <c r="Y43"/>
  <c r="O42"/>
  <c r="K42"/>
  <c r="W41"/>
  <c r="Y41"/>
  <c r="W40"/>
  <c r="Y40"/>
  <c r="W39"/>
  <c r="Y39"/>
  <c r="W38"/>
  <c r="Y38"/>
  <c r="W37"/>
  <c r="M37"/>
  <c r="Y36"/>
  <c r="Y35"/>
  <c r="Y34"/>
  <c r="W33"/>
  <c r="Y33" s="1"/>
  <c r="O32"/>
  <c r="K32"/>
  <c r="U47" i="14"/>
  <c r="AA47" s="1"/>
  <c r="O47"/>
  <c r="K47"/>
  <c r="O46"/>
  <c r="K46"/>
  <c r="U45"/>
  <c r="O45"/>
  <c r="K45"/>
  <c r="U44"/>
  <c r="AA44"/>
  <c r="O44"/>
  <c r="G44"/>
  <c r="K44" s="1"/>
  <c r="AC44" s="1"/>
  <c r="U43"/>
  <c r="O43"/>
  <c r="K43"/>
  <c r="U42"/>
  <c r="AA42" s="1"/>
  <c r="O42"/>
  <c r="K42"/>
  <c r="U41"/>
  <c r="O41"/>
  <c r="K41"/>
  <c r="U40"/>
  <c r="AA40"/>
  <c r="O40"/>
  <c r="K40"/>
  <c r="AC40" s="1"/>
  <c r="U39"/>
  <c r="O39"/>
  <c r="K39"/>
  <c r="U38"/>
  <c r="AA38"/>
  <c r="O38"/>
  <c r="K38"/>
  <c r="U37"/>
  <c r="O37"/>
  <c r="G37"/>
  <c r="K37"/>
  <c r="U36"/>
  <c r="O36"/>
  <c r="K36"/>
  <c r="O35"/>
  <c r="K35"/>
  <c r="AC35"/>
  <c r="O34"/>
  <c r="K34"/>
  <c r="U33"/>
  <c r="AA33"/>
  <c r="O33"/>
  <c r="K33"/>
  <c r="U32"/>
  <c r="AA32"/>
  <c r="O32"/>
  <c r="K32"/>
  <c r="M40" i="17"/>
  <c r="M38"/>
  <c r="AW38" s="1"/>
  <c r="AO35"/>
  <c r="AM35"/>
  <c r="M34"/>
  <c r="AW34" s="1"/>
  <c r="M33"/>
  <c r="AO32"/>
  <c r="AM32"/>
  <c r="U31"/>
  <c r="AW31"/>
  <c r="O42" i="15"/>
  <c r="AG42"/>
  <c r="AI42" s="1"/>
  <c r="M42"/>
  <c r="M41"/>
  <c r="O40"/>
  <c r="M40"/>
  <c r="O39"/>
  <c r="M39"/>
  <c r="M38"/>
  <c r="O37"/>
  <c r="AG37"/>
  <c r="AI37" s="1"/>
  <c r="M37"/>
  <c r="O36"/>
  <c r="AG36"/>
  <c r="AI36" s="1"/>
  <c r="M36"/>
  <c r="AA35"/>
  <c r="O35"/>
  <c r="M35"/>
  <c r="S34"/>
  <c r="M34"/>
  <c r="AA33"/>
  <c r="O33"/>
  <c r="M33"/>
  <c r="AA32"/>
  <c r="AG32"/>
  <c r="M32"/>
  <c r="O31"/>
  <c r="AG31" s="1"/>
  <c r="M31"/>
  <c r="O30"/>
  <c r="AG30"/>
  <c r="M30"/>
  <c r="O29"/>
  <c r="AG29" s="1"/>
  <c r="AI29" s="1"/>
  <c r="M29"/>
  <c r="I42" i="16"/>
  <c r="G42" s="1"/>
  <c r="I40"/>
  <c r="I39"/>
  <c r="G39"/>
  <c r="I38"/>
  <c r="I37"/>
  <c r="G37"/>
  <c r="I36"/>
  <c r="I35"/>
  <c r="G35" s="1"/>
  <c r="I34"/>
  <c r="I33"/>
  <c r="G33"/>
  <c r="I32"/>
  <c r="I31"/>
  <c r="G31" s="1"/>
  <c r="I30"/>
  <c r="I29"/>
  <c r="G29" s="1"/>
  <c r="BN266" i="25"/>
  <c r="BN265"/>
  <c r="BN264"/>
  <c r="BN262"/>
  <c r="BN260"/>
  <c r="BN256"/>
  <c r="BN272"/>
  <c r="BN277"/>
  <c r="BN278"/>
  <c r="BN280"/>
  <c r="BN283"/>
  <c r="BN286"/>
  <c r="BN288"/>
  <c r="BN290"/>
  <c r="BN292"/>
  <c r="BN346"/>
  <c r="BN347"/>
  <c r="BN354"/>
  <c r="BN367"/>
  <c r="BN371"/>
  <c r="BN377"/>
  <c r="BN384"/>
  <c r="BN385"/>
  <c r="BN386"/>
  <c r="BN387"/>
  <c r="BN388"/>
  <c r="BN391"/>
  <c r="BN417"/>
  <c r="BN416"/>
  <c r="BN425"/>
  <c r="BN423"/>
  <c r="BN447"/>
  <c r="BN519"/>
  <c r="BN522"/>
  <c r="BN525"/>
  <c r="BN542"/>
  <c r="BN136"/>
  <c r="BN135"/>
  <c r="BN133"/>
  <c r="BN131"/>
  <c r="BN127"/>
  <c r="BN122"/>
  <c r="BN121"/>
  <c r="BN118"/>
  <c r="BN117"/>
  <c r="BN114"/>
  <c r="BN112"/>
  <c r="BN109"/>
  <c r="BN108"/>
  <c r="BN107"/>
  <c r="W553" i="16"/>
  <c r="M553"/>
  <c r="I553"/>
  <c r="G553" s="1"/>
  <c r="AF553" s="1"/>
  <c r="W552"/>
  <c r="M552"/>
  <c r="I552"/>
  <c r="G552"/>
  <c r="W551"/>
  <c r="M551"/>
  <c r="W550"/>
  <c r="M550"/>
  <c r="G550"/>
  <c r="W549"/>
  <c r="M549"/>
  <c r="I549"/>
  <c r="G549" s="1"/>
  <c r="AF549" s="1"/>
  <c r="W548"/>
  <c r="M548"/>
  <c r="G548"/>
  <c r="W547"/>
  <c r="M547"/>
  <c r="G547"/>
  <c r="W546"/>
  <c r="M546"/>
  <c r="G546"/>
  <c r="W545"/>
  <c r="M545"/>
  <c r="I545"/>
  <c r="G545" s="1"/>
  <c r="W544"/>
  <c r="M544"/>
  <c r="I544"/>
  <c r="G544" s="1"/>
  <c r="AF544" s="1"/>
  <c r="W543"/>
  <c r="M543"/>
  <c r="I543"/>
  <c r="G543"/>
  <c r="W542"/>
  <c r="M542"/>
  <c r="I542"/>
  <c r="G542"/>
  <c r="AF542" s="1"/>
  <c r="W541"/>
  <c r="M541"/>
  <c r="I541"/>
  <c r="G541" s="1"/>
  <c r="AF541" s="1"/>
  <c r="M540"/>
  <c r="W539"/>
  <c r="M539"/>
  <c r="W538"/>
  <c r="M538"/>
  <c r="G538"/>
  <c r="W537"/>
  <c r="M537"/>
  <c r="I537"/>
  <c r="G537"/>
  <c r="AF537" s="1"/>
  <c r="W535"/>
  <c r="M535"/>
  <c r="I535"/>
  <c r="G535"/>
  <c r="AF535" s="1"/>
  <c r="O554" i="15"/>
  <c r="M554"/>
  <c r="O553"/>
  <c r="M553"/>
  <c r="M552"/>
  <c r="O551"/>
  <c r="AG551"/>
  <c r="M551"/>
  <c r="O550"/>
  <c r="AG550" s="1"/>
  <c r="M550"/>
  <c r="M549"/>
  <c r="M548"/>
  <c r="M547"/>
  <c r="AA546"/>
  <c r="O546"/>
  <c r="M546"/>
  <c r="O545"/>
  <c r="AG545" s="1"/>
  <c r="AI545" s="1"/>
  <c r="M545"/>
  <c r="O544"/>
  <c r="AG544"/>
  <c r="M544"/>
  <c r="O543"/>
  <c r="AG543"/>
  <c r="M543"/>
  <c r="O542"/>
  <c r="AG542" s="1"/>
  <c r="AI542" s="1"/>
  <c r="M542"/>
  <c r="M541"/>
  <c r="M540"/>
  <c r="M539"/>
  <c r="O538"/>
  <c r="AG538"/>
  <c r="M538"/>
  <c r="O537"/>
  <c r="AG537"/>
  <c r="AI537" s="1"/>
  <c r="M537"/>
  <c r="M538" i="17"/>
  <c r="AO533"/>
  <c r="M533"/>
  <c r="U565" i="14"/>
  <c r="Q565"/>
  <c r="O565"/>
  <c r="K565"/>
  <c r="AC565" s="1"/>
  <c r="U564"/>
  <c r="O564"/>
  <c r="I564"/>
  <c r="K564"/>
  <c r="O563"/>
  <c r="K563"/>
  <c r="AA562"/>
  <c r="O562"/>
  <c r="K562"/>
  <c r="U561"/>
  <c r="Q561"/>
  <c r="O561"/>
  <c r="G561"/>
  <c r="K560"/>
  <c r="O560"/>
  <c r="U557"/>
  <c r="Q557"/>
  <c r="O557"/>
  <c r="K557"/>
  <c r="U556"/>
  <c r="AA556" s="1"/>
  <c r="Q556"/>
  <c r="O556" s="1"/>
  <c r="K556"/>
  <c r="U555"/>
  <c r="AA555"/>
  <c r="Q555"/>
  <c r="O555"/>
  <c r="K555"/>
  <c r="U554"/>
  <c r="AA554" s="1"/>
  <c r="O554"/>
  <c r="K554"/>
  <c r="U553"/>
  <c r="Q553"/>
  <c r="O553"/>
  <c r="G553"/>
  <c r="K553"/>
  <c r="O552"/>
  <c r="K552"/>
  <c r="O551"/>
  <c r="K551"/>
  <c r="O550"/>
  <c r="K550"/>
  <c r="U549"/>
  <c r="Q549"/>
  <c r="O549" s="1"/>
  <c r="K549"/>
  <c r="U548"/>
  <c r="O548"/>
  <c r="K548"/>
  <c r="W565" i="1"/>
  <c r="O565"/>
  <c r="K565"/>
  <c r="Y564"/>
  <c r="Y563"/>
  <c r="Y562"/>
  <c r="Y561"/>
  <c r="Y560"/>
  <c r="Y559"/>
  <c r="Y558"/>
  <c r="W557"/>
  <c r="Y557" s="1"/>
  <c r="W556"/>
  <c r="O556"/>
  <c r="O555"/>
  <c r="Y555" s="1"/>
  <c r="W554"/>
  <c r="M554"/>
  <c r="W553"/>
  <c r="O553"/>
  <c r="K553"/>
  <c r="Y550"/>
  <c r="O549"/>
  <c r="K549"/>
  <c r="W548"/>
  <c r="Y548"/>
  <c r="AZ565" i="2"/>
  <c r="AZ564"/>
  <c r="AZ563"/>
  <c r="AZ562"/>
  <c r="AZ561"/>
  <c r="AZ560"/>
  <c r="AZ559"/>
  <c r="AZ558"/>
  <c r="AZ557"/>
  <c r="AZ556"/>
  <c r="BJ556" s="1"/>
  <c r="AZ555"/>
  <c r="AZ554"/>
  <c r="M553"/>
  <c r="AZ553"/>
  <c r="BJ553" s="1"/>
  <c r="AZ552"/>
  <c r="AZ551"/>
  <c r="AZ550"/>
  <c r="AZ549"/>
  <c r="AN548"/>
  <c r="AZ548"/>
  <c r="BJ548" s="1"/>
  <c r="Y561" i="26"/>
  <c r="U561"/>
  <c r="Q561"/>
  <c r="O561"/>
  <c r="K561"/>
  <c r="Y560"/>
  <c r="U560"/>
  <c r="O560"/>
  <c r="I560"/>
  <c r="K560"/>
  <c r="O559"/>
  <c r="Y558"/>
  <c r="U558"/>
  <c r="O558"/>
  <c r="K558"/>
  <c r="Y557"/>
  <c r="U557"/>
  <c r="Q557"/>
  <c r="O557"/>
  <c r="G557"/>
  <c r="K557"/>
  <c r="O556"/>
  <c r="K556"/>
  <c r="O555"/>
  <c r="K555"/>
  <c r="O554"/>
  <c r="K554"/>
  <c r="Y553"/>
  <c r="U553"/>
  <c r="O553"/>
  <c r="K553"/>
  <c r="AC553" s="1"/>
  <c r="Y552"/>
  <c r="U552"/>
  <c r="Q552"/>
  <c r="O552"/>
  <c r="G552"/>
  <c r="K552"/>
  <c r="Y551"/>
  <c r="U551"/>
  <c r="Q551"/>
  <c r="O551"/>
  <c r="G551"/>
  <c r="K551"/>
  <c r="AC551" s="1"/>
  <c r="Y550"/>
  <c r="U550"/>
  <c r="O550"/>
  <c r="K550"/>
  <c r="Y549"/>
  <c r="U549"/>
  <c r="Q549"/>
  <c r="O549" s="1"/>
  <c r="G549"/>
  <c r="K549" s="1"/>
  <c r="O548"/>
  <c r="O547"/>
  <c r="K547"/>
  <c r="O546"/>
  <c r="K546"/>
  <c r="Y545"/>
  <c r="U545"/>
  <c r="Q545"/>
  <c r="O545"/>
  <c r="G545"/>
  <c r="K545"/>
  <c r="Y544"/>
  <c r="U544"/>
  <c r="O544"/>
  <c r="K544"/>
  <c r="W563" i="22"/>
  <c r="O563"/>
  <c r="K563"/>
  <c r="Y563"/>
  <c r="W562"/>
  <c r="Y562"/>
  <c r="W560"/>
  <c r="Y560"/>
  <c r="W559"/>
  <c r="O559"/>
  <c r="K559"/>
  <c r="Y558"/>
  <c r="Y557"/>
  <c r="Y556"/>
  <c r="W555"/>
  <c r="Y555"/>
  <c r="W554"/>
  <c r="O554"/>
  <c r="K554"/>
  <c r="W553"/>
  <c r="O553"/>
  <c r="K553"/>
  <c r="W552"/>
  <c r="M552"/>
  <c r="W551"/>
  <c r="O551"/>
  <c r="K551"/>
  <c r="Y549"/>
  <c r="Y548"/>
  <c r="W547"/>
  <c r="O547"/>
  <c r="K547"/>
  <c r="W546"/>
  <c r="Y546"/>
  <c r="AZ563" i="25"/>
  <c r="AZ562"/>
  <c r="AZ561"/>
  <c r="BJ561"/>
  <c r="AZ560"/>
  <c r="AZ559"/>
  <c r="BJ559" s="1"/>
  <c r="AZ558"/>
  <c r="AZ557"/>
  <c r="BJ557"/>
  <c r="AZ556"/>
  <c r="AZ555"/>
  <c r="BJ555" s="1"/>
  <c r="AZ554"/>
  <c r="AZ553"/>
  <c r="BJ553"/>
  <c r="AZ552"/>
  <c r="BJ552"/>
  <c r="M549"/>
  <c r="AZ549"/>
  <c r="BJ549" s="1"/>
  <c r="AZ548"/>
  <c r="BJ548" s="1"/>
  <c r="AZ547"/>
  <c r="BJ547" s="1"/>
  <c r="AZ546"/>
  <c r="BJ546"/>
  <c r="AZ545"/>
  <c r="BJ545"/>
  <c r="AN544"/>
  <c r="M544"/>
  <c r="G571" i="10"/>
  <c r="S571"/>
  <c r="M563"/>
  <c r="G563"/>
  <c r="S563" s="1"/>
  <c r="G562"/>
  <c r="G561"/>
  <c r="S561"/>
  <c r="G560"/>
  <c r="G553"/>
  <c r="G408"/>
  <c r="G407"/>
  <c r="S407" s="1"/>
  <c r="O406"/>
  <c r="G406"/>
  <c r="G405"/>
  <c r="G404"/>
  <c r="O403"/>
  <c r="M403"/>
  <c r="S403"/>
  <c r="G399"/>
  <c r="BJ562" i="25"/>
  <c r="BJ560"/>
  <c r="BJ558"/>
  <c r="BJ556"/>
  <c r="BJ554"/>
  <c r="BJ187"/>
  <c r="BJ185"/>
  <c r="BJ182"/>
  <c r="BJ181"/>
  <c r="BJ180"/>
  <c r="BJ174"/>
  <c r="BJ171"/>
  <c r="BJ167"/>
  <c r="BJ164"/>
  <c r="BJ46"/>
  <c r="BJ43"/>
  <c r="BJ40"/>
  <c r="BJ35"/>
  <c r="BJ33"/>
  <c r="AZ405"/>
  <c r="BJ405" s="1"/>
  <c r="AZ404"/>
  <c r="BJ404" s="1"/>
  <c r="AZ403"/>
  <c r="BJ403" s="1"/>
  <c r="AZ402"/>
  <c r="BJ402" s="1"/>
  <c r="AP401"/>
  <c r="M401"/>
  <c r="AP400"/>
  <c r="AZ400" s="1"/>
  <c r="BJ400" s="1"/>
  <c r="AZ399"/>
  <c r="BJ399"/>
  <c r="AV398"/>
  <c r="AZ398"/>
  <c r="BJ398" s="1"/>
  <c r="AP397"/>
  <c r="AZ397" s="1"/>
  <c r="BJ397" s="1"/>
  <c r="AZ396"/>
  <c r="BJ396" s="1"/>
  <c r="AZ395"/>
  <c r="BJ395" s="1"/>
  <c r="AZ394"/>
  <c r="BJ394" s="1"/>
  <c r="AZ393"/>
  <c r="BJ393" s="1"/>
  <c r="W405" i="22"/>
  <c r="O405"/>
  <c r="K405"/>
  <c r="Y405" s="1"/>
  <c r="W404"/>
  <c r="Y404" s="1"/>
  <c r="W403"/>
  <c r="O403"/>
  <c r="K403"/>
  <c r="Y403" s="1"/>
  <c r="AE402"/>
  <c r="W402"/>
  <c r="Y402"/>
  <c r="W401"/>
  <c r="O401"/>
  <c r="K401"/>
  <c r="AE400"/>
  <c r="W400"/>
  <c r="O400"/>
  <c r="Y400" s="1"/>
  <c r="W399"/>
  <c r="K399"/>
  <c r="AE398"/>
  <c r="W398"/>
  <c r="Y398"/>
  <c r="AE397"/>
  <c r="O397"/>
  <c r="K397"/>
  <c r="Y396"/>
  <c r="W395"/>
  <c r="Y395"/>
  <c r="AU395" s="1"/>
  <c r="W394"/>
  <c r="Y394" s="1"/>
  <c r="AU394" s="1"/>
  <c r="Y393"/>
  <c r="Y405" i="26"/>
  <c r="U405"/>
  <c r="Q405"/>
  <c r="O405" s="1"/>
  <c r="G405"/>
  <c r="K405"/>
  <c r="Y404"/>
  <c r="U404"/>
  <c r="O404"/>
  <c r="G404"/>
  <c r="K404"/>
  <c r="AC404" s="1"/>
  <c r="Y403"/>
  <c r="U403"/>
  <c r="Q403"/>
  <c r="O403"/>
  <c r="G403"/>
  <c r="K403"/>
  <c r="AC403" s="1"/>
  <c r="Y402"/>
  <c r="U402"/>
  <c r="O402"/>
  <c r="G402"/>
  <c r="K402"/>
  <c r="AC402" s="1"/>
  <c r="Y401"/>
  <c r="U401"/>
  <c r="AA401"/>
  <c r="Q401"/>
  <c r="O401"/>
  <c r="I401"/>
  <c r="K401"/>
  <c r="AC401" s="1"/>
  <c r="Y400"/>
  <c r="U400"/>
  <c r="Q400"/>
  <c r="O400" s="1"/>
  <c r="K400"/>
  <c r="AC400" s="1"/>
  <c r="Y399"/>
  <c r="U399"/>
  <c r="S399"/>
  <c r="Q399"/>
  <c r="K399"/>
  <c r="Y398"/>
  <c r="U398"/>
  <c r="O398"/>
  <c r="K398"/>
  <c r="Y397"/>
  <c r="U397"/>
  <c r="O397"/>
  <c r="K397"/>
  <c r="AA396"/>
  <c r="O396"/>
  <c r="K396"/>
  <c r="Y395"/>
  <c r="AA395" s="1"/>
  <c r="U395"/>
  <c r="O395"/>
  <c r="K395"/>
  <c r="Y394"/>
  <c r="AA394"/>
  <c r="U394"/>
  <c r="O394"/>
  <c r="K394"/>
  <c r="AA393"/>
  <c r="O393"/>
  <c r="K393"/>
  <c r="AC393" s="1"/>
  <c r="AZ407" i="2"/>
  <c r="AZ406"/>
  <c r="BJ406"/>
  <c r="AZ405"/>
  <c r="AZ404"/>
  <c r="BJ404" s="1"/>
  <c r="M403"/>
  <c r="AZ403" s="1"/>
  <c r="BJ403" s="1"/>
  <c r="AZ402"/>
  <c r="AZ401"/>
  <c r="AZ400"/>
  <c r="AZ399"/>
  <c r="AZ398"/>
  <c r="AZ397"/>
  <c r="AZ396"/>
  <c r="AZ395"/>
  <c r="O407" i="1"/>
  <c r="Y407"/>
  <c r="Y406"/>
  <c r="O405"/>
  <c r="Y405" s="1"/>
  <c r="W404"/>
  <c r="Y404" s="1"/>
  <c r="W403"/>
  <c r="O403"/>
  <c r="K403"/>
  <c r="AE402"/>
  <c r="AK402"/>
  <c r="AM402" s="1"/>
  <c r="W402"/>
  <c r="O402"/>
  <c r="Y402"/>
  <c r="O401"/>
  <c r="Y401"/>
  <c r="W400"/>
  <c r="Y400"/>
  <c r="K399"/>
  <c r="Y399"/>
  <c r="Y398"/>
  <c r="Y397"/>
  <c r="W396"/>
  <c r="Y396" s="1"/>
  <c r="Y395"/>
  <c r="U407" i="14"/>
  <c r="Q407"/>
  <c r="O407" s="1"/>
  <c r="G407"/>
  <c r="K407"/>
  <c r="U406"/>
  <c r="AA406"/>
  <c r="O406"/>
  <c r="K406"/>
  <c r="U405"/>
  <c r="Q405"/>
  <c r="O405" s="1"/>
  <c r="K405"/>
  <c r="AC405" s="1"/>
  <c r="U404"/>
  <c r="O404"/>
  <c r="K404"/>
  <c r="O403"/>
  <c r="K403"/>
  <c r="AC403" s="1"/>
  <c r="U402"/>
  <c r="Q402"/>
  <c r="O402"/>
  <c r="K402"/>
  <c r="U401"/>
  <c r="AA401" s="1"/>
  <c r="Q401"/>
  <c r="O401"/>
  <c r="K401"/>
  <c r="U400"/>
  <c r="O400"/>
  <c r="K400"/>
  <c r="U399"/>
  <c r="AA399"/>
  <c r="O399"/>
  <c r="K399"/>
  <c r="O398"/>
  <c r="K398"/>
  <c r="AC398" s="1"/>
  <c r="U397"/>
  <c r="O397"/>
  <c r="K397"/>
  <c r="U396"/>
  <c r="AA396"/>
  <c r="O396"/>
  <c r="K396"/>
  <c r="M389" i="17"/>
  <c r="AW389"/>
  <c r="AU388"/>
  <c r="K386"/>
  <c r="AW386" s="1"/>
  <c r="AO383"/>
  <c r="AW383" s="1"/>
  <c r="AM382"/>
  <c r="AW382" s="1"/>
  <c r="O396" i="15"/>
  <c r="AG396"/>
  <c r="M396"/>
  <c r="O395"/>
  <c r="AG395"/>
  <c r="AI395" s="1"/>
  <c r="M395"/>
  <c r="O394"/>
  <c r="AG394"/>
  <c r="AI394" s="1"/>
  <c r="M394"/>
  <c r="O393"/>
  <c r="AG393"/>
  <c r="M393"/>
  <c r="M392"/>
  <c r="O391"/>
  <c r="AG391"/>
  <c r="AI391" s="1"/>
  <c r="M391"/>
  <c r="O390"/>
  <c r="AG390"/>
  <c r="M390"/>
  <c r="O389"/>
  <c r="AG389" s="1"/>
  <c r="AI389" s="1"/>
  <c r="M389"/>
  <c r="M388"/>
  <c r="M387"/>
  <c r="O386"/>
  <c r="M386"/>
  <c r="O385"/>
  <c r="AG385" s="1"/>
  <c r="M385"/>
  <c r="O384"/>
  <c r="M384"/>
  <c r="W395" i="16"/>
  <c r="M395"/>
  <c r="I395"/>
  <c r="G395"/>
  <c r="AF395" s="1"/>
  <c r="W394"/>
  <c r="M394"/>
  <c r="I394"/>
  <c r="G394"/>
  <c r="AF394" s="1"/>
  <c r="W393"/>
  <c r="M393"/>
  <c r="G393"/>
  <c r="W392"/>
  <c r="M392"/>
  <c r="I392"/>
  <c r="G392"/>
  <c r="AF392" s="1"/>
  <c r="W391"/>
  <c r="M391"/>
  <c r="I391"/>
  <c r="G391" s="1"/>
  <c r="AF391" s="1"/>
  <c r="W390"/>
  <c r="M390"/>
  <c r="I390"/>
  <c r="G390"/>
  <c r="W389"/>
  <c r="M389"/>
  <c r="K389"/>
  <c r="I389"/>
  <c r="W388"/>
  <c r="M388"/>
  <c r="I388"/>
  <c r="G388"/>
  <c r="AF388" s="1"/>
  <c r="W387"/>
  <c r="M387"/>
  <c r="I387"/>
  <c r="G387" s="1"/>
  <c r="W386"/>
  <c r="M386"/>
  <c r="G386"/>
  <c r="AF386" s="1"/>
  <c r="W385"/>
  <c r="M385"/>
  <c r="I385"/>
  <c r="G385" s="1"/>
  <c r="W384"/>
  <c r="M384"/>
  <c r="I384"/>
  <c r="G384"/>
  <c r="AF384" s="1"/>
  <c r="W383"/>
  <c r="M383"/>
  <c r="I383"/>
  <c r="G383"/>
  <c r="AF383" s="1"/>
  <c r="O149" i="10"/>
  <c r="G149"/>
  <c r="S149"/>
  <c r="U148"/>
  <c r="S148"/>
  <c r="S147"/>
  <c r="S146"/>
  <c r="S145"/>
  <c r="S144"/>
  <c r="G143"/>
  <c r="S143"/>
  <c r="S142"/>
  <c r="G141"/>
  <c r="S141" s="1"/>
  <c r="S140"/>
  <c r="AN146" i="25"/>
  <c r="AZ146"/>
  <c r="BJ146" s="1"/>
  <c r="BH145"/>
  <c r="AP145"/>
  <c r="AZ145"/>
  <c r="BJ145" s="1"/>
  <c r="AI144"/>
  <c r="AZ144" s="1"/>
  <c r="BJ144" s="1"/>
  <c r="AZ143"/>
  <c r="BJ143"/>
  <c r="AZ142"/>
  <c r="BJ142"/>
  <c r="AZ141"/>
  <c r="BJ141" s="1"/>
  <c r="M140"/>
  <c r="AZ140" s="1"/>
  <c r="BJ140" s="1"/>
  <c r="AZ139"/>
  <c r="BJ139"/>
  <c r="AZ138"/>
  <c r="BJ138" s="1"/>
  <c r="AP137"/>
  <c r="AZ137"/>
  <c r="BJ137" s="1"/>
  <c r="W146" i="22"/>
  <c r="Y146"/>
  <c r="AE145"/>
  <c r="W145"/>
  <c r="K145"/>
  <c r="Y145"/>
  <c r="W144"/>
  <c r="Y144"/>
  <c r="W143"/>
  <c r="Y143"/>
  <c r="W142"/>
  <c r="Y142"/>
  <c r="W141"/>
  <c r="Y141"/>
  <c r="W140"/>
  <c r="Y140"/>
  <c r="W139"/>
  <c r="Y139"/>
  <c r="W138"/>
  <c r="Y138"/>
  <c r="W137"/>
  <c r="K137"/>
  <c r="Y146" i="26"/>
  <c r="U146"/>
  <c r="O146"/>
  <c r="K146"/>
  <c r="Y145"/>
  <c r="U145"/>
  <c r="O145"/>
  <c r="K145"/>
  <c r="Y144"/>
  <c r="U144"/>
  <c r="O144"/>
  <c r="K144"/>
  <c r="Y143"/>
  <c r="U143"/>
  <c r="O143"/>
  <c r="K143"/>
  <c r="Y142"/>
  <c r="U142"/>
  <c r="O142"/>
  <c r="K142"/>
  <c r="Y141"/>
  <c r="U141"/>
  <c r="O141"/>
  <c r="K141"/>
  <c r="Y140"/>
  <c r="U140"/>
  <c r="O140"/>
  <c r="G140"/>
  <c r="K140" s="1"/>
  <c r="AC140" s="1"/>
  <c r="Y139"/>
  <c r="U139"/>
  <c r="O139"/>
  <c r="G139"/>
  <c r="K139" s="1"/>
  <c r="Y138"/>
  <c r="U138"/>
  <c r="O138"/>
  <c r="K138"/>
  <c r="Y137"/>
  <c r="U137"/>
  <c r="O137"/>
  <c r="K137"/>
  <c r="AN148" i="2"/>
  <c r="AZ148" s="1"/>
  <c r="BJ148" s="1"/>
  <c r="AZ147"/>
  <c r="BJ147" s="1"/>
  <c r="AI146"/>
  <c r="AZ146" s="1"/>
  <c r="BJ146" s="1"/>
  <c r="AZ145"/>
  <c r="BJ145"/>
  <c r="AZ144"/>
  <c r="BJ144"/>
  <c r="AZ143"/>
  <c r="BJ143"/>
  <c r="M142"/>
  <c r="AZ142"/>
  <c r="BJ142" s="1"/>
  <c r="AZ141"/>
  <c r="BJ141" s="1"/>
  <c r="AZ140"/>
  <c r="BJ140"/>
  <c r="AP139"/>
  <c r="AZ139"/>
  <c r="BJ139" s="1"/>
  <c r="W148" i="1"/>
  <c r="Y148" s="1"/>
  <c r="W147"/>
  <c r="Y147" s="1"/>
  <c r="W146"/>
  <c r="Y146" s="1"/>
  <c r="Y145"/>
  <c r="W144"/>
  <c r="Y144"/>
  <c r="W143"/>
  <c r="Y143"/>
  <c r="W142"/>
  <c r="Y142"/>
  <c r="Y141"/>
  <c r="W140"/>
  <c r="Y140" s="1"/>
  <c r="W139"/>
  <c r="K139"/>
  <c r="Y139"/>
  <c r="U147" i="14"/>
  <c r="AA147"/>
  <c r="O147"/>
  <c r="K147"/>
  <c r="U146"/>
  <c r="AA146"/>
  <c r="O146"/>
  <c r="K146"/>
  <c r="U145"/>
  <c r="AA145"/>
  <c r="O145"/>
  <c r="K145"/>
  <c r="AC145" s="1"/>
  <c r="U144"/>
  <c r="AA144" s="1"/>
  <c r="O144"/>
  <c r="K144"/>
  <c r="U143"/>
  <c r="AA143" s="1"/>
  <c r="O143"/>
  <c r="K143"/>
  <c r="U142"/>
  <c r="AA142" s="1"/>
  <c r="O142"/>
  <c r="K142"/>
  <c r="U141"/>
  <c r="AA141" s="1"/>
  <c r="O141"/>
  <c r="G141"/>
  <c r="K141"/>
  <c r="AC141" s="1"/>
  <c r="U140"/>
  <c r="AA140" s="1"/>
  <c r="O140"/>
  <c r="K140"/>
  <c r="U139"/>
  <c r="AA139" s="1"/>
  <c r="O139"/>
  <c r="K139"/>
  <c r="U138"/>
  <c r="AA138" s="1"/>
  <c r="O138"/>
  <c r="K138"/>
  <c r="BA132" i="17"/>
  <c r="AO133"/>
  <c r="AW133"/>
  <c r="AM131"/>
  <c r="M127"/>
  <c r="AW127" s="1"/>
  <c r="O137" i="15"/>
  <c r="O136"/>
  <c r="AG136"/>
  <c r="O135"/>
  <c r="AG135"/>
  <c r="O134"/>
  <c r="AG134"/>
  <c r="O133"/>
  <c r="AG133"/>
  <c r="O132"/>
  <c r="AG132"/>
  <c r="O131"/>
  <c r="AG131"/>
  <c r="O130"/>
  <c r="AG130"/>
  <c r="O129"/>
  <c r="AG129"/>
  <c r="O128"/>
  <c r="AG128"/>
  <c r="I134" i="16"/>
  <c r="G134"/>
  <c r="I133"/>
  <c r="G133"/>
  <c r="I130"/>
  <c r="I129"/>
  <c r="I128"/>
  <c r="I127"/>
  <c r="I126"/>
  <c r="G126"/>
  <c r="I125"/>
  <c r="G125"/>
  <c r="I124"/>
  <c r="G124"/>
  <c r="I123"/>
  <c r="AC554" i="26"/>
  <c r="AC492"/>
  <c r="AC480"/>
  <c r="AC471"/>
  <c r="AC463"/>
  <c r="AC188"/>
  <c r="AC184"/>
  <c r="AC179"/>
  <c r="AC176"/>
  <c r="AC174"/>
  <c r="AC172"/>
  <c r="AC168"/>
  <c r="AC165"/>
  <c r="AC145"/>
  <c r="AC141"/>
  <c r="AC47"/>
  <c r="AC39"/>
  <c r="AA594"/>
  <c r="AA592"/>
  <c r="AA590"/>
  <c r="AA586"/>
  <c r="AA584"/>
  <c r="AA582"/>
  <c r="AA580"/>
  <c r="AA578"/>
  <c r="AA576"/>
  <c r="AA573"/>
  <c r="AA571"/>
  <c r="AA569"/>
  <c r="AA567"/>
  <c r="AA565"/>
  <c r="AA563"/>
  <c r="AA561"/>
  <c r="AA559"/>
  <c r="AA557"/>
  <c r="AA556"/>
  <c r="AA555"/>
  <c r="AA554"/>
  <c r="AA553"/>
  <c r="AA551"/>
  <c r="AA548"/>
  <c r="AA543"/>
  <c r="AA542"/>
  <c r="AA541"/>
  <c r="AA540"/>
  <c r="AA539"/>
  <c r="AA538"/>
  <c r="AA537"/>
  <c r="AA536"/>
  <c r="AA535"/>
  <c r="AA534"/>
  <c r="AA533"/>
  <c r="AA532"/>
  <c r="AA531"/>
  <c r="AA530"/>
  <c r="AA529"/>
  <c r="AA528"/>
  <c r="AA527"/>
  <c r="AA526"/>
  <c r="AA525"/>
  <c r="AA524"/>
  <c r="AA523"/>
  <c r="AA522"/>
  <c r="AA521"/>
  <c r="AA520"/>
  <c r="AA519"/>
  <c r="AA518"/>
  <c r="AA517"/>
  <c r="AA516"/>
  <c r="AA515"/>
  <c r="AA514"/>
  <c r="AA512"/>
  <c r="AA511"/>
  <c r="AA510"/>
  <c r="AA509"/>
  <c r="AA508"/>
  <c r="AA507"/>
  <c r="AA455"/>
  <c r="AA454"/>
  <c r="AA453"/>
  <c r="AA452"/>
  <c r="AA451"/>
  <c r="AA450"/>
  <c r="AA449"/>
  <c r="AA448"/>
  <c r="AA447"/>
  <c r="AA446"/>
  <c r="AA445"/>
  <c r="AA444"/>
  <c r="AA443"/>
  <c r="AA442"/>
  <c r="AA441"/>
  <c r="AA440"/>
  <c r="AA439"/>
  <c r="AA438"/>
  <c r="AA437"/>
  <c r="AA436"/>
  <c r="AA435"/>
  <c r="AA433"/>
  <c r="AA432"/>
  <c r="AA430"/>
  <c r="AA429"/>
  <c r="AA428"/>
  <c r="AA427"/>
  <c r="AA426"/>
  <c r="AA425"/>
  <c r="AA424"/>
  <c r="AA423"/>
  <c r="AA422"/>
  <c r="AA421"/>
  <c r="AA420"/>
  <c r="AA419"/>
  <c r="AA418"/>
  <c r="AA417"/>
  <c r="AA416"/>
  <c r="AA415"/>
  <c r="AA414"/>
  <c r="AA413"/>
  <c r="AA412"/>
  <c r="AA411"/>
  <c r="AA410"/>
  <c r="AA409"/>
  <c r="AA408"/>
  <c r="AA407"/>
  <c r="AA406"/>
  <c r="AA390"/>
  <c r="AA389"/>
  <c r="AA388"/>
  <c r="AA387"/>
  <c r="AA386"/>
  <c r="AA385"/>
  <c r="AA384"/>
  <c r="AA383"/>
  <c r="AA382"/>
  <c r="AA381"/>
  <c r="AA380"/>
  <c r="AA378"/>
  <c r="AA377"/>
  <c r="AA376"/>
  <c r="AA375"/>
  <c r="AA374"/>
  <c r="AA372"/>
  <c r="AA371"/>
  <c r="AA370"/>
  <c r="AA369"/>
  <c r="AA368"/>
  <c r="AA367"/>
  <c r="AA366"/>
  <c r="AA365"/>
  <c r="AA364"/>
  <c r="AA363"/>
  <c r="AA362"/>
  <c r="AA360"/>
  <c r="AA359"/>
  <c r="AA358"/>
  <c r="AA357"/>
  <c r="AA356"/>
  <c r="AA355"/>
  <c r="AA354"/>
  <c r="AA353"/>
  <c r="AA352"/>
  <c r="AA351"/>
  <c r="AA350"/>
  <c r="AA349"/>
  <c r="AA348"/>
  <c r="AA347"/>
  <c r="AA346"/>
  <c r="AA344"/>
  <c r="AA342"/>
  <c r="AA340"/>
  <c r="AA338"/>
  <c r="AA336"/>
  <c r="AA334"/>
  <c r="AA331"/>
  <c r="AA330"/>
  <c r="AA328"/>
  <c r="AA326"/>
  <c r="AA325"/>
  <c r="AA321"/>
  <c r="AA319"/>
  <c r="AA318"/>
  <c r="AA315"/>
  <c r="AA311"/>
  <c r="AA307"/>
  <c r="AA305"/>
  <c r="AA303"/>
  <c r="AA301"/>
  <c r="AA299"/>
  <c r="AA297"/>
  <c r="AA295"/>
  <c r="AA292"/>
  <c r="AA291"/>
  <c r="AA290"/>
  <c r="AA289"/>
  <c r="AA288"/>
  <c r="AA287"/>
  <c r="AA286"/>
  <c r="AA285"/>
  <c r="AA284"/>
  <c r="AA283"/>
  <c r="AA282"/>
  <c r="AA281"/>
  <c r="AA280"/>
  <c r="AA279"/>
  <c r="AA278"/>
  <c r="AA277"/>
  <c r="AA276"/>
  <c r="AA275"/>
  <c r="AA273"/>
  <c r="AA272"/>
  <c r="AA271"/>
  <c r="AA269"/>
  <c r="AA267"/>
  <c r="AA266"/>
  <c r="AA265"/>
  <c r="AA264"/>
  <c r="AA263"/>
  <c r="AA262"/>
  <c r="AA261"/>
  <c r="AA260"/>
  <c r="AA259"/>
  <c r="AA258"/>
  <c r="AA257"/>
  <c r="AA256"/>
  <c r="AA255"/>
  <c r="AA253"/>
  <c r="AA251"/>
  <c r="AA249"/>
  <c r="AA234"/>
  <c r="AA230"/>
  <c r="AA228"/>
  <c r="AA226"/>
  <c r="AA223"/>
  <c r="AA222"/>
  <c r="AA220"/>
  <c r="AA216"/>
  <c r="AA212"/>
  <c r="AA210"/>
  <c r="AA208"/>
  <c r="AA206"/>
  <c r="AA202"/>
  <c r="AA198"/>
  <c r="AA195"/>
  <c r="AA193"/>
  <c r="AA191"/>
  <c r="AA189"/>
  <c r="AA187"/>
  <c r="AA186"/>
  <c r="AA185"/>
  <c r="AA183"/>
  <c r="AA181"/>
  <c r="AA179"/>
  <c r="AA177"/>
  <c r="AA175"/>
  <c r="AA173"/>
  <c r="AA172"/>
  <c r="AA171"/>
  <c r="AA170"/>
  <c r="AA169"/>
  <c r="AA167"/>
  <c r="AA165"/>
  <c r="AA163"/>
  <c r="AA161"/>
  <c r="AA159"/>
  <c r="AA156"/>
  <c r="AA155"/>
  <c r="AA152"/>
  <c r="AA150"/>
  <c r="AA148"/>
  <c r="AA143"/>
  <c r="AA140"/>
  <c r="AA138"/>
  <c r="AA137"/>
  <c r="AA136"/>
  <c r="AA135"/>
  <c r="AA134"/>
  <c r="AA133"/>
  <c r="AA132"/>
  <c r="AA131"/>
  <c r="AA129"/>
  <c r="AA128"/>
  <c r="AA127"/>
  <c r="AA126"/>
  <c r="AA125"/>
  <c r="AA124"/>
  <c r="AA123"/>
  <c r="AA122"/>
  <c r="AA121"/>
  <c r="AA120"/>
  <c r="AA118"/>
  <c r="AA117"/>
  <c r="AA115"/>
  <c r="AA114"/>
  <c r="AA112"/>
  <c r="AA110"/>
  <c r="AA109"/>
  <c r="AA106"/>
  <c r="AA105"/>
  <c r="AA104"/>
  <c r="AA103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46"/>
  <c r="AA44"/>
  <c r="AA40"/>
  <c r="AA36"/>
  <c r="AA35"/>
  <c r="AA34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O595"/>
  <c r="O594"/>
  <c r="O593"/>
  <c r="O592"/>
  <c r="O591"/>
  <c r="O590"/>
  <c r="O587"/>
  <c r="O586"/>
  <c r="O585"/>
  <c r="O584"/>
  <c r="O583"/>
  <c r="O582"/>
  <c r="O581"/>
  <c r="O580"/>
  <c r="O579"/>
  <c r="O578"/>
  <c r="O577"/>
  <c r="O576"/>
  <c r="O575"/>
  <c r="O573"/>
  <c r="O572"/>
  <c r="O571"/>
  <c r="O570"/>
  <c r="O569"/>
  <c r="O568"/>
  <c r="O567"/>
  <c r="O566"/>
  <c r="O565"/>
  <c r="O564"/>
  <c r="O563"/>
  <c r="O562"/>
  <c r="O543"/>
  <c r="O542"/>
  <c r="O541"/>
  <c r="O540"/>
  <c r="O539"/>
  <c r="O538"/>
  <c r="O537"/>
  <c r="O536"/>
  <c r="O535"/>
  <c r="O534"/>
  <c r="O533"/>
  <c r="O532"/>
  <c r="O531"/>
  <c r="O530"/>
  <c r="O529"/>
  <c r="O528"/>
  <c r="O527"/>
  <c r="O526"/>
  <c r="O525"/>
  <c r="O524"/>
  <c r="O523"/>
  <c r="O522"/>
  <c r="O521"/>
  <c r="O520"/>
  <c r="O519"/>
  <c r="O518"/>
  <c r="O517"/>
  <c r="O516"/>
  <c r="O515"/>
  <c r="O514"/>
  <c r="O512"/>
  <c r="O511"/>
  <c r="O510"/>
  <c r="O509"/>
  <c r="O508"/>
  <c r="O507"/>
  <c r="O455"/>
  <c r="O454"/>
  <c r="O453"/>
  <c r="O452"/>
  <c r="O451"/>
  <c r="O450"/>
  <c r="O449"/>
  <c r="O448"/>
  <c r="O447"/>
  <c r="O446"/>
  <c r="O445"/>
  <c r="O444"/>
  <c r="O443"/>
  <c r="O442"/>
  <c r="O441"/>
  <c r="O440"/>
  <c r="O439"/>
  <c r="O438"/>
  <c r="O437"/>
  <c r="O436"/>
  <c r="O435"/>
  <c r="O434"/>
  <c r="O433"/>
  <c r="O432"/>
  <c r="O431"/>
  <c r="O430"/>
  <c r="O429"/>
  <c r="O428"/>
  <c r="O427"/>
  <c r="O426"/>
  <c r="O425"/>
  <c r="O424"/>
  <c r="O423"/>
  <c r="O422"/>
  <c r="O421"/>
  <c r="O420"/>
  <c r="O419"/>
  <c r="O418"/>
  <c r="O417"/>
  <c r="O416"/>
  <c r="O415"/>
  <c r="O414"/>
  <c r="O413"/>
  <c r="O412"/>
  <c r="O411"/>
  <c r="O410"/>
  <c r="O409"/>
  <c r="O408"/>
  <c r="O407"/>
  <c r="O406"/>
  <c r="O390"/>
  <c r="O389"/>
  <c r="O388"/>
  <c r="O387"/>
  <c r="O386"/>
  <c r="O385"/>
  <c r="O384"/>
  <c r="O383"/>
  <c r="O382"/>
  <c r="O381"/>
  <c r="O380"/>
  <c r="O379"/>
  <c r="O378"/>
  <c r="O377"/>
  <c r="O376"/>
  <c r="O375"/>
  <c r="O374"/>
  <c r="O372"/>
  <c r="O371"/>
  <c r="O370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7"/>
  <c r="O306"/>
  <c r="O305"/>
  <c r="O304"/>
  <c r="O303"/>
  <c r="O302"/>
  <c r="O301"/>
  <c r="O300"/>
  <c r="O299"/>
  <c r="O298"/>
  <c r="O297"/>
  <c r="O296"/>
  <c r="O295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O252"/>
  <c r="O251"/>
  <c r="O250"/>
  <c r="O249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199"/>
  <c r="O198"/>
  <c r="O197"/>
  <c r="O196"/>
  <c r="O195"/>
  <c r="O194"/>
  <c r="O193"/>
  <c r="O192"/>
  <c r="O191"/>
  <c r="O190"/>
  <c r="O163"/>
  <c r="O162"/>
  <c r="O161"/>
  <c r="O160"/>
  <c r="O159"/>
  <c r="O158"/>
  <c r="O155"/>
  <c r="O153"/>
  <c r="O152"/>
  <c r="O151"/>
  <c r="O150"/>
  <c r="O149"/>
  <c r="O148"/>
  <c r="O14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2"/>
  <c r="O111"/>
  <c r="O110"/>
  <c r="O109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K595"/>
  <c r="AC595"/>
  <c r="K594"/>
  <c r="K593"/>
  <c r="K592"/>
  <c r="AC592"/>
  <c r="K591"/>
  <c r="AC591"/>
  <c r="AC590"/>
  <c r="K587"/>
  <c r="AC587" s="1"/>
  <c r="K586"/>
  <c r="AC586" s="1"/>
  <c r="K585"/>
  <c r="AC585" s="1"/>
  <c r="K584"/>
  <c r="AC584" s="1"/>
  <c r="K583"/>
  <c r="AC583" s="1"/>
  <c r="K582"/>
  <c r="AC582" s="1"/>
  <c r="AC581"/>
  <c r="K580"/>
  <c r="AC580"/>
  <c r="K579"/>
  <c r="AC579"/>
  <c r="K578"/>
  <c r="AC578"/>
  <c r="K577"/>
  <c r="K576"/>
  <c r="AC576" s="1"/>
  <c r="K575"/>
  <c r="K573"/>
  <c r="AC573"/>
  <c r="K572"/>
  <c r="K571"/>
  <c r="AC571" s="1"/>
  <c r="K570"/>
  <c r="K569"/>
  <c r="AC569"/>
  <c r="K568"/>
  <c r="K567"/>
  <c r="AC567" s="1"/>
  <c r="K565"/>
  <c r="AC565" s="1"/>
  <c r="K564"/>
  <c r="K563"/>
  <c r="AC563"/>
  <c r="K562"/>
  <c r="K543"/>
  <c r="AC543" s="1"/>
  <c r="K542"/>
  <c r="AC542" s="1"/>
  <c r="K541"/>
  <c r="AC541" s="1"/>
  <c r="K540"/>
  <c r="AC540" s="1"/>
  <c r="K539"/>
  <c r="AC539" s="1"/>
  <c r="K538"/>
  <c r="AC538" s="1"/>
  <c r="K537"/>
  <c r="AC537" s="1"/>
  <c r="K536"/>
  <c r="AC536" s="1"/>
  <c r="K535"/>
  <c r="AC535" s="1"/>
  <c r="K534"/>
  <c r="AC534" s="1"/>
  <c r="K533"/>
  <c r="AC533" s="1"/>
  <c r="K532"/>
  <c r="AC532" s="1"/>
  <c r="K531"/>
  <c r="AC531" s="1"/>
  <c r="K530"/>
  <c r="AC530" s="1"/>
  <c r="K529"/>
  <c r="AC529" s="1"/>
  <c r="K528"/>
  <c r="AC528" s="1"/>
  <c r="K527"/>
  <c r="AC527" s="1"/>
  <c r="K526"/>
  <c r="AC526" s="1"/>
  <c r="K525"/>
  <c r="AC525" s="1"/>
  <c r="K524"/>
  <c r="AC524" s="1"/>
  <c r="K523"/>
  <c r="AC523" s="1"/>
  <c r="K522"/>
  <c r="AC522" s="1"/>
  <c r="K521"/>
  <c r="AC521" s="1"/>
  <c r="K520"/>
  <c r="AC520" s="1"/>
  <c r="K519"/>
  <c r="AC519" s="1"/>
  <c r="K518"/>
  <c r="AC518" s="1"/>
  <c r="K517"/>
  <c r="AC517" s="1"/>
  <c r="K516"/>
  <c r="AC516" s="1"/>
  <c r="K515"/>
  <c r="AC515"/>
  <c r="K514"/>
  <c r="AC514"/>
  <c r="K512"/>
  <c r="AC512"/>
  <c r="K511"/>
  <c r="AC511"/>
  <c r="K510"/>
  <c r="AC510"/>
  <c r="K509"/>
  <c r="AC509"/>
  <c r="K508"/>
  <c r="AC508"/>
  <c r="K507"/>
  <c r="AC507"/>
  <c r="K455"/>
  <c r="AC455"/>
  <c r="K454"/>
  <c r="AC454"/>
  <c r="K453"/>
  <c r="AC453"/>
  <c r="K452"/>
  <c r="AC452"/>
  <c r="K451"/>
  <c r="AC451"/>
  <c r="K450"/>
  <c r="AC450"/>
  <c r="K449"/>
  <c r="AC449"/>
  <c r="K448"/>
  <c r="AC448"/>
  <c r="K447"/>
  <c r="AC447"/>
  <c r="K446"/>
  <c r="AC446"/>
  <c r="K445"/>
  <c r="AC445"/>
  <c r="K444"/>
  <c r="AC444"/>
  <c r="K443"/>
  <c r="AC443"/>
  <c r="K442"/>
  <c r="AC442"/>
  <c r="K441"/>
  <c r="AC441"/>
  <c r="K440"/>
  <c r="AC440"/>
  <c r="K439"/>
  <c r="AC439"/>
  <c r="K438"/>
  <c r="AC438"/>
  <c r="K437"/>
  <c r="AC437"/>
  <c r="K436"/>
  <c r="AC436"/>
  <c r="K435"/>
  <c r="AC435"/>
  <c r="K434"/>
  <c r="K433"/>
  <c r="AC433" s="1"/>
  <c r="K432"/>
  <c r="AC432" s="1"/>
  <c r="AC431"/>
  <c r="K430"/>
  <c r="AC430"/>
  <c r="K429"/>
  <c r="AC429"/>
  <c r="K428"/>
  <c r="AC428"/>
  <c r="K427"/>
  <c r="AC427"/>
  <c r="K426"/>
  <c r="AC426"/>
  <c r="K425"/>
  <c r="AC425"/>
  <c r="K424"/>
  <c r="AC424"/>
  <c r="K423"/>
  <c r="AC423"/>
  <c r="K422"/>
  <c r="AC422"/>
  <c r="K421"/>
  <c r="AC421"/>
  <c r="K420"/>
  <c r="AC420"/>
  <c r="K419"/>
  <c r="AC419"/>
  <c r="K418"/>
  <c r="AC418"/>
  <c r="K417"/>
  <c r="AC417"/>
  <c r="K416"/>
  <c r="AC416"/>
  <c r="K415"/>
  <c r="AC415"/>
  <c r="K414"/>
  <c r="AC414"/>
  <c r="K413"/>
  <c r="AC413"/>
  <c r="K412"/>
  <c r="AC412"/>
  <c r="K411"/>
  <c r="AC411"/>
  <c r="K410"/>
  <c r="AC410"/>
  <c r="K409"/>
  <c r="AC409"/>
  <c r="K408"/>
  <c r="AC408"/>
  <c r="K407"/>
  <c r="AC407"/>
  <c r="K406"/>
  <c r="AC406"/>
  <c r="K390"/>
  <c r="AC390"/>
  <c r="K389"/>
  <c r="AC389"/>
  <c r="K388"/>
  <c r="AC388"/>
  <c r="K387"/>
  <c r="AC387"/>
  <c r="K386"/>
  <c r="AC386"/>
  <c r="K385"/>
  <c r="AC385"/>
  <c r="K384"/>
  <c r="AC384"/>
  <c r="K383"/>
  <c r="AC383"/>
  <c r="K382"/>
  <c r="AC382"/>
  <c r="K381"/>
  <c r="AC381"/>
  <c r="K380"/>
  <c r="AC380"/>
  <c r="K379"/>
  <c r="K378"/>
  <c r="AC378" s="1"/>
  <c r="K377"/>
  <c r="AC377" s="1"/>
  <c r="K376"/>
  <c r="AC376" s="1"/>
  <c r="K375"/>
  <c r="AC375" s="1"/>
  <c r="K374"/>
  <c r="AC374" s="1"/>
  <c r="K373"/>
  <c r="K372"/>
  <c r="K371"/>
  <c r="AC371" s="1"/>
  <c r="K370"/>
  <c r="K369"/>
  <c r="AC369"/>
  <c r="K368"/>
  <c r="K367"/>
  <c r="AC367" s="1"/>
  <c r="K366"/>
  <c r="K365"/>
  <c r="AC365"/>
  <c r="K364"/>
  <c r="K363"/>
  <c r="AC363" s="1"/>
  <c r="K362"/>
  <c r="K361"/>
  <c r="K360"/>
  <c r="K359"/>
  <c r="AC359"/>
  <c r="K358"/>
  <c r="K357"/>
  <c r="AC357" s="1"/>
  <c r="K356"/>
  <c r="K355"/>
  <c r="AC355"/>
  <c r="K354"/>
  <c r="K353"/>
  <c r="AC353" s="1"/>
  <c r="K352"/>
  <c r="K351"/>
  <c r="AC351"/>
  <c r="K350"/>
  <c r="K349"/>
  <c r="AC349" s="1"/>
  <c r="K348"/>
  <c r="K347"/>
  <c r="AC347"/>
  <c r="K346"/>
  <c r="K345"/>
  <c r="K344"/>
  <c r="K343"/>
  <c r="K342"/>
  <c r="K340"/>
  <c r="AC340" s="1"/>
  <c r="K339"/>
  <c r="K338"/>
  <c r="AC338"/>
  <c r="K337"/>
  <c r="K336"/>
  <c r="AC336" s="1"/>
  <c r="K335"/>
  <c r="K334"/>
  <c r="AC334"/>
  <c r="K333"/>
  <c r="K332"/>
  <c r="AC332" s="1"/>
  <c r="K331"/>
  <c r="AC331" s="1"/>
  <c r="K330"/>
  <c r="AC330" s="1"/>
  <c r="K329"/>
  <c r="K328"/>
  <c r="AC328"/>
  <c r="K327"/>
  <c r="K326"/>
  <c r="AC326" s="1"/>
  <c r="K325"/>
  <c r="K324"/>
  <c r="AC324"/>
  <c r="K322"/>
  <c r="K321"/>
  <c r="AC321" s="1"/>
  <c r="K319"/>
  <c r="AC319" s="1"/>
  <c r="K318"/>
  <c r="AC318" s="1"/>
  <c r="K316"/>
  <c r="AC316" s="1"/>
  <c r="K315"/>
  <c r="AC315" s="1"/>
  <c r="K314"/>
  <c r="AC314" s="1"/>
  <c r="K313"/>
  <c r="AC313" s="1"/>
  <c r="K309"/>
  <c r="AC308"/>
  <c r="K307"/>
  <c r="AC307" s="1"/>
  <c r="K306"/>
  <c r="AC306" s="1"/>
  <c r="K305"/>
  <c r="AC305" s="1"/>
  <c r="K304"/>
  <c r="AC304" s="1"/>
  <c r="K303"/>
  <c r="AC303" s="1"/>
  <c r="K302"/>
  <c r="AC302" s="1"/>
  <c r="K301"/>
  <c r="AC301" s="1"/>
  <c r="K300"/>
  <c r="AC300" s="1"/>
  <c r="K299"/>
  <c r="AC299" s="1"/>
  <c r="K298"/>
  <c r="AC298" s="1"/>
  <c r="K297"/>
  <c r="AC297" s="1"/>
  <c r="K296"/>
  <c r="AC296" s="1"/>
  <c r="K295"/>
  <c r="AC295" s="1"/>
  <c r="K292"/>
  <c r="AC292" s="1"/>
  <c r="K291"/>
  <c r="AC291" s="1"/>
  <c r="K290"/>
  <c r="AC290" s="1"/>
  <c r="K289"/>
  <c r="AC289" s="1"/>
  <c r="K288"/>
  <c r="AC288" s="1"/>
  <c r="K287"/>
  <c r="AC287" s="1"/>
  <c r="K286"/>
  <c r="AC286" s="1"/>
  <c r="K285"/>
  <c r="AC285" s="1"/>
  <c r="K284"/>
  <c r="AC284" s="1"/>
  <c r="K283"/>
  <c r="AC283" s="1"/>
  <c r="K282"/>
  <c r="AC282" s="1"/>
  <c r="K281"/>
  <c r="AC281" s="1"/>
  <c r="K280"/>
  <c r="AC280" s="1"/>
  <c r="K279"/>
  <c r="AC279" s="1"/>
  <c r="K278"/>
  <c r="AC278" s="1"/>
  <c r="K277"/>
  <c r="AC277" s="1"/>
  <c r="K276"/>
  <c r="AC276" s="1"/>
  <c r="K275"/>
  <c r="AC275" s="1"/>
  <c r="K273"/>
  <c r="AC273" s="1"/>
  <c r="K272"/>
  <c r="AC272" s="1"/>
  <c r="K271"/>
  <c r="AC271" s="1"/>
  <c r="K270"/>
  <c r="AC270" s="1"/>
  <c r="K269"/>
  <c r="AC269" s="1"/>
  <c r="K268"/>
  <c r="AC268" s="1"/>
  <c r="K267"/>
  <c r="AC267" s="1"/>
  <c r="K266"/>
  <c r="AC266" s="1"/>
  <c r="K265"/>
  <c r="AC265" s="1"/>
  <c r="K264"/>
  <c r="AC264" s="1"/>
  <c r="K263"/>
  <c r="AC263" s="1"/>
  <c r="K262"/>
  <c r="AC262" s="1"/>
  <c r="K261"/>
  <c r="AC261" s="1"/>
  <c r="K260"/>
  <c r="AC260" s="1"/>
  <c r="K259"/>
  <c r="AC259" s="1"/>
  <c r="K258"/>
  <c r="AC258" s="1"/>
  <c r="K257"/>
  <c r="AC257" s="1"/>
  <c r="K256"/>
  <c r="AC256" s="1"/>
  <c r="K255"/>
  <c r="AC255" s="1"/>
  <c r="K254"/>
  <c r="AC254" s="1"/>
  <c r="K253"/>
  <c r="AC253" s="1"/>
  <c r="K252"/>
  <c r="AC252" s="1"/>
  <c r="K251"/>
  <c r="AC251" s="1"/>
  <c r="K250"/>
  <c r="AC250" s="1"/>
  <c r="K249"/>
  <c r="AC249" s="1"/>
  <c r="K235"/>
  <c r="AC235" s="1"/>
  <c r="K234"/>
  <c r="AC234" s="1"/>
  <c r="K233"/>
  <c r="AC233" s="1"/>
  <c r="K232"/>
  <c r="K231"/>
  <c r="AC231"/>
  <c r="K230"/>
  <c r="K229"/>
  <c r="AC229" s="1"/>
  <c r="K228"/>
  <c r="K227"/>
  <c r="AC227"/>
  <c r="K226"/>
  <c r="K225"/>
  <c r="AC225" s="1"/>
  <c r="K224"/>
  <c r="K223"/>
  <c r="AC223"/>
  <c r="K222"/>
  <c r="K221"/>
  <c r="AC221" s="1"/>
  <c r="K220"/>
  <c r="AC220" s="1"/>
  <c r="K219"/>
  <c r="AC219" s="1"/>
  <c r="K218"/>
  <c r="AC218" s="1"/>
  <c r="K217"/>
  <c r="AC217" s="1"/>
  <c r="K216"/>
  <c r="AC216" s="1"/>
  <c r="K215"/>
  <c r="AC215" s="1"/>
  <c r="K214"/>
  <c r="AC214" s="1"/>
  <c r="K213"/>
  <c r="AC213" s="1"/>
  <c r="K212"/>
  <c r="AC212" s="1"/>
  <c r="K211"/>
  <c r="AC211" s="1"/>
  <c r="K210"/>
  <c r="AC210" s="1"/>
  <c r="K209"/>
  <c r="AC209" s="1"/>
  <c r="K208"/>
  <c r="AC208" s="1"/>
  <c r="K207"/>
  <c r="AC207" s="1"/>
  <c r="K206"/>
  <c r="AC206" s="1"/>
  <c r="K205"/>
  <c r="AC205" s="1"/>
  <c r="K204"/>
  <c r="AC204" s="1"/>
  <c r="K203"/>
  <c r="AC203" s="1"/>
  <c r="K202"/>
  <c r="AC202" s="1"/>
  <c r="K199"/>
  <c r="AC199" s="1"/>
  <c r="K198"/>
  <c r="AC198" s="1"/>
  <c r="K197"/>
  <c r="AC197" s="1"/>
  <c r="K196"/>
  <c r="K195"/>
  <c r="AC195"/>
  <c r="K194"/>
  <c r="K193"/>
  <c r="AC193" s="1"/>
  <c r="K192"/>
  <c r="K191"/>
  <c r="AC191"/>
  <c r="K190"/>
  <c r="K163"/>
  <c r="AC163" s="1"/>
  <c r="K162"/>
  <c r="K161"/>
  <c r="AC161"/>
  <c r="K160"/>
  <c r="K159"/>
  <c r="AC159" s="1"/>
  <c r="K158"/>
  <c r="AC156"/>
  <c r="K155"/>
  <c r="AC155" s="1"/>
  <c r="K153"/>
  <c r="AC153" s="1"/>
  <c r="K152"/>
  <c r="K151"/>
  <c r="AC151"/>
  <c r="K150"/>
  <c r="AC150"/>
  <c r="K149"/>
  <c r="AC149"/>
  <c r="K148"/>
  <c r="AC148"/>
  <c r="K147"/>
  <c r="AC147"/>
  <c r="K136"/>
  <c r="AC136"/>
  <c r="K135"/>
  <c r="AC135"/>
  <c r="K134"/>
  <c r="AC134"/>
  <c r="K133"/>
  <c r="AC133"/>
  <c r="K132"/>
  <c r="AC132"/>
  <c r="K131"/>
  <c r="AC131"/>
  <c r="K130"/>
  <c r="K129"/>
  <c r="AC129" s="1"/>
  <c r="K128"/>
  <c r="AC128" s="1"/>
  <c r="K127"/>
  <c r="AC127" s="1"/>
  <c r="K126"/>
  <c r="AC126" s="1"/>
  <c r="K125"/>
  <c r="AC125" s="1"/>
  <c r="K124"/>
  <c r="AC124" s="1"/>
  <c r="K123"/>
  <c r="AC123" s="1"/>
  <c r="K122"/>
  <c r="AC122" s="1"/>
  <c r="K121"/>
  <c r="AC121" s="1"/>
  <c r="K120"/>
  <c r="AC120" s="1"/>
  <c r="K119"/>
  <c r="K118"/>
  <c r="AC118"/>
  <c r="K117"/>
  <c r="AC117"/>
  <c r="K116"/>
  <c r="AC116"/>
  <c r="K115"/>
  <c r="AC115"/>
  <c r="K114"/>
  <c r="AC114"/>
  <c r="K112"/>
  <c r="AC112"/>
  <c r="K111"/>
  <c r="AC111"/>
  <c r="K110"/>
  <c r="AC110"/>
  <c r="K109"/>
  <c r="AC109"/>
  <c r="K106"/>
  <c r="AC106"/>
  <c r="K105"/>
  <c r="AC105"/>
  <c r="K104"/>
  <c r="AC104"/>
  <c r="K103"/>
  <c r="AC103"/>
  <c r="K102"/>
  <c r="AC102"/>
  <c r="K101"/>
  <c r="AC101"/>
  <c r="K100"/>
  <c r="AC100"/>
  <c r="K99"/>
  <c r="AC99"/>
  <c r="K98"/>
  <c r="AC98"/>
  <c r="K97"/>
  <c r="AC97"/>
  <c r="K96"/>
  <c r="AC96"/>
  <c r="K95"/>
  <c r="AC95"/>
  <c r="K94"/>
  <c r="AC94"/>
  <c r="K93"/>
  <c r="AC93"/>
  <c r="K92"/>
  <c r="AC92"/>
  <c r="K91"/>
  <c r="AC91"/>
  <c r="K90"/>
  <c r="AC90"/>
  <c r="K89"/>
  <c r="AC89"/>
  <c r="K88"/>
  <c r="AC88"/>
  <c r="K87"/>
  <c r="AC87"/>
  <c r="K86"/>
  <c r="AC86"/>
  <c r="K85"/>
  <c r="AC85"/>
  <c r="K84"/>
  <c r="AC84"/>
  <c r="K83"/>
  <c r="AC83"/>
  <c r="K82"/>
  <c r="AC82"/>
  <c r="K81"/>
  <c r="AC81"/>
  <c r="K31"/>
  <c r="AC31"/>
  <c r="K30"/>
  <c r="AC30"/>
  <c r="K29"/>
  <c r="AC29"/>
  <c r="K28"/>
  <c r="AC28"/>
  <c r="K27"/>
  <c r="AC27"/>
  <c r="K26"/>
  <c r="AC26"/>
  <c r="K25"/>
  <c r="AC25"/>
  <c r="K24"/>
  <c r="AC24"/>
  <c r="K23"/>
  <c r="AC23"/>
  <c r="K22"/>
  <c r="AC22"/>
  <c r="K21"/>
  <c r="AC21"/>
  <c r="K20"/>
  <c r="AC20"/>
  <c r="K19"/>
  <c r="AC19"/>
  <c r="K18"/>
  <c r="AC18"/>
  <c r="K17"/>
  <c r="AC17"/>
  <c r="K16"/>
  <c r="AC16"/>
  <c r="K15"/>
  <c r="AC15"/>
  <c r="K14"/>
  <c r="AC14"/>
  <c r="K13"/>
  <c r="AC13"/>
  <c r="K12"/>
  <c r="AC12"/>
  <c r="BV15" i="25"/>
  <c r="AZ595"/>
  <c r="BJ595" s="1"/>
  <c r="AZ594"/>
  <c r="BJ594" s="1"/>
  <c r="AZ593"/>
  <c r="BJ593" s="1"/>
  <c r="AZ592"/>
  <c r="BJ592" s="1"/>
  <c r="AZ591"/>
  <c r="BJ591" s="1"/>
  <c r="AZ590"/>
  <c r="BJ590" s="1"/>
  <c r="AZ589"/>
  <c r="BJ589" s="1"/>
  <c r="AZ588"/>
  <c r="BJ588" s="1"/>
  <c r="AZ587"/>
  <c r="BJ587" s="1"/>
  <c r="AZ586"/>
  <c r="BJ586" s="1"/>
  <c r="BJ585"/>
  <c r="AZ584"/>
  <c r="BJ584"/>
  <c r="AZ583"/>
  <c r="BJ583" s="1"/>
  <c r="AZ582"/>
  <c r="BJ582" s="1"/>
  <c r="AZ581"/>
  <c r="BJ581" s="1"/>
  <c r="AZ580"/>
  <c r="BJ580" s="1"/>
  <c r="AZ579"/>
  <c r="BJ579" s="1"/>
  <c r="AZ578"/>
  <c r="BJ578"/>
  <c r="AZ577"/>
  <c r="BJ577"/>
  <c r="AZ576"/>
  <c r="BJ576"/>
  <c r="AZ575"/>
  <c r="BJ575" s="1"/>
  <c r="AZ574"/>
  <c r="BJ574" s="1"/>
  <c r="AZ573"/>
  <c r="BJ573" s="1"/>
  <c r="AZ572"/>
  <c r="BJ572" s="1"/>
  <c r="AZ571"/>
  <c r="BJ571" s="1"/>
  <c r="AZ570"/>
  <c r="BJ570" s="1"/>
  <c r="AZ569"/>
  <c r="BJ569" s="1"/>
  <c r="AZ568"/>
  <c r="BJ568" s="1"/>
  <c r="AZ567"/>
  <c r="BJ567" s="1"/>
  <c r="AZ566"/>
  <c r="BJ566" s="1"/>
  <c r="AZ565"/>
  <c r="BJ565" s="1"/>
  <c r="AZ564"/>
  <c r="BJ564" s="1"/>
  <c r="BJ563"/>
  <c r="AZ543"/>
  <c r="BJ543"/>
  <c r="AZ542"/>
  <c r="BJ542"/>
  <c r="AZ541"/>
  <c r="BJ541"/>
  <c r="AZ540"/>
  <c r="BJ540" s="1"/>
  <c r="AZ539"/>
  <c r="BJ539" s="1"/>
  <c r="AZ538"/>
  <c r="BJ538" s="1"/>
  <c r="AZ537"/>
  <c r="BJ537" s="1"/>
  <c r="AZ536"/>
  <c r="BJ536" s="1"/>
  <c r="AZ535"/>
  <c r="BJ535" s="1"/>
  <c r="AZ534"/>
  <c r="BJ534" s="1"/>
  <c r="AZ533"/>
  <c r="BJ533" s="1"/>
  <c r="AZ532"/>
  <c r="BJ532" s="1"/>
  <c r="AZ531"/>
  <c r="BJ531" s="1"/>
  <c r="AZ530"/>
  <c r="BJ530" s="1"/>
  <c r="AZ529"/>
  <c r="BJ529" s="1"/>
  <c r="AZ528"/>
  <c r="BJ528" s="1"/>
  <c r="AZ527"/>
  <c r="BJ527" s="1"/>
  <c r="AZ526"/>
  <c r="BJ526" s="1"/>
  <c r="AZ525"/>
  <c r="BJ525" s="1"/>
  <c r="AZ524"/>
  <c r="BJ524" s="1"/>
  <c r="AZ523"/>
  <c r="BJ523" s="1"/>
  <c r="AZ522"/>
  <c r="BJ522" s="1"/>
  <c r="AZ521"/>
  <c r="BJ521" s="1"/>
  <c r="AZ520"/>
  <c r="BJ520" s="1"/>
  <c r="AZ519"/>
  <c r="BJ519" s="1"/>
  <c r="AZ518"/>
  <c r="BJ518" s="1"/>
  <c r="AZ517"/>
  <c r="BJ517" s="1"/>
  <c r="AZ516"/>
  <c r="BJ516" s="1"/>
  <c r="AZ515"/>
  <c r="BJ515"/>
  <c r="AZ514"/>
  <c r="BJ514"/>
  <c r="AZ512"/>
  <c r="BJ512"/>
  <c r="AZ511"/>
  <c r="BJ511"/>
  <c r="AZ510"/>
  <c r="BJ510"/>
  <c r="AZ509"/>
  <c r="BJ509"/>
  <c r="AZ508"/>
  <c r="BJ508"/>
  <c r="AZ507"/>
  <c r="BJ507"/>
  <c r="AZ455"/>
  <c r="BJ455"/>
  <c r="AZ454"/>
  <c r="BJ454"/>
  <c r="AZ453"/>
  <c r="BJ453"/>
  <c r="AZ452"/>
  <c r="BJ452"/>
  <c r="AZ451"/>
  <c r="BJ451"/>
  <c r="AZ450"/>
  <c r="BJ450"/>
  <c r="AZ449"/>
  <c r="BJ449"/>
  <c r="AZ448"/>
  <c r="BJ448"/>
  <c r="AZ447"/>
  <c r="BJ447"/>
  <c r="AZ446"/>
  <c r="BJ446"/>
  <c r="AZ445"/>
  <c r="BJ445"/>
  <c r="AZ444"/>
  <c r="BJ444"/>
  <c r="AZ443"/>
  <c r="BJ443"/>
  <c r="AZ442"/>
  <c r="BJ442"/>
  <c r="AZ441"/>
  <c r="BJ441"/>
  <c r="AZ440"/>
  <c r="BJ440"/>
  <c r="AZ439"/>
  <c r="BJ439"/>
  <c r="AZ438"/>
  <c r="BJ438"/>
  <c r="AZ437"/>
  <c r="BJ437"/>
  <c r="AZ436"/>
  <c r="BJ436"/>
  <c r="AZ435"/>
  <c r="BJ435"/>
  <c r="AZ434"/>
  <c r="BJ434"/>
  <c r="AZ433"/>
  <c r="BJ433"/>
  <c r="AZ432"/>
  <c r="BJ432"/>
  <c r="AZ431"/>
  <c r="BJ431"/>
  <c r="AZ430"/>
  <c r="BJ430"/>
  <c r="AZ429"/>
  <c r="BJ429"/>
  <c r="AZ428"/>
  <c r="BJ428"/>
  <c r="AZ427"/>
  <c r="BJ427" s="1"/>
  <c r="AZ426"/>
  <c r="BJ426" s="1"/>
  <c r="AZ425"/>
  <c r="BJ425" s="1"/>
  <c r="AZ424"/>
  <c r="BJ424" s="1"/>
  <c r="AZ423"/>
  <c r="BJ423"/>
  <c r="AZ422"/>
  <c r="BJ422"/>
  <c r="AZ421"/>
  <c r="BJ421"/>
  <c r="AZ420"/>
  <c r="BJ420"/>
  <c r="AZ419"/>
  <c r="BJ419"/>
  <c r="AZ418"/>
  <c r="BJ418"/>
  <c r="AZ417"/>
  <c r="BJ417" s="1"/>
  <c r="AZ416"/>
  <c r="BJ416" s="1"/>
  <c r="AZ415"/>
  <c r="BJ415" s="1"/>
  <c r="AZ414"/>
  <c r="BJ414" s="1"/>
  <c r="AZ413"/>
  <c r="BJ413"/>
  <c r="AZ412"/>
  <c r="BJ412"/>
  <c r="AZ411"/>
  <c r="BJ411"/>
  <c r="AZ410"/>
  <c r="BJ410"/>
  <c r="AZ409"/>
  <c r="BJ409"/>
  <c r="AZ408"/>
  <c r="BJ408"/>
  <c r="AZ407"/>
  <c r="BJ407"/>
  <c r="AZ406"/>
  <c r="BJ406"/>
  <c r="AZ392"/>
  <c r="BJ392"/>
  <c r="AZ391"/>
  <c r="BJ391"/>
  <c r="AZ390"/>
  <c r="BJ390"/>
  <c r="AZ389"/>
  <c r="BJ389"/>
  <c r="AZ388"/>
  <c r="BJ388"/>
  <c r="AZ387"/>
  <c r="BJ387"/>
  <c r="AZ386"/>
  <c r="BJ386"/>
  <c r="AZ385"/>
  <c r="BJ385"/>
  <c r="AZ384"/>
  <c r="BJ384"/>
  <c r="AZ383"/>
  <c r="BJ383"/>
  <c r="AZ382"/>
  <c r="BJ382"/>
  <c r="AZ381"/>
  <c r="BJ381"/>
  <c r="AZ380"/>
  <c r="BJ380"/>
  <c r="AZ379"/>
  <c r="BJ379"/>
  <c r="AZ378"/>
  <c r="BJ378"/>
  <c r="AZ377"/>
  <c r="BJ377"/>
  <c r="AZ376"/>
  <c r="BJ376"/>
  <c r="AZ375"/>
  <c r="BJ375"/>
  <c r="AZ374"/>
  <c r="BJ374"/>
  <c r="AZ373"/>
  <c r="BJ373"/>
  <c r="AZ372"/>
  <c r="BJ372"/>
  <c r="AZ371"/>
  <c r="BJ371"/>
  <c r="AZ370"/>
  <c r="BJ370"/>
  <c r="AZ369"/>
  <c r="BJ369"/>
  <c r="AZ368"/>
  <c r="BJ368"/>
  <c r="AZ367"/>
  <c r="BJ367"/>
  <c r="AZ366"/>
  <c r="BJ366"/>
  <c r="AZ363"/>
  <c r="BJ363"/>
  <c r="AZ362"/>
  <c r="BJ362"/>
  <c r="AZ361"/>
  <c r="BJ361"/>
  <c r="AZ360"/>
  <c r="BJ360"/>
  <c r="AZ359"/>
  <c r="BJ359"/>
  <c r="AZ358"/>
  <c r="BJ358"/>
  <c r="AZ357"/>
  <c r="BJ357"/>
  <c r="AZ356"/>
  <c r="BJ356"/>
  <c r="AZ355"/>
  <c r="BJ355"/>
  <c r="AZ354"/>
  <c r="BJ354"/>
  <c r="AZ353"/>
  <c r="BJ353"/>
  <c r="AZ352"/>
  <c r="BJ352"/>
  <c r="AZ351"/>
  <c r="BJ351"/>
  <c r="AZ350"/>
  <c r="BJ350"/>
  <c r="AZ349"/>
  <c r="BJ349"/>
  <c r="AZ348"/>
  <c r="BJ348"/>
  <c r="AZ347"/>
  <c r="BJ347"/>
  <c r="AZ346"/>
  <c r="BJ346"/>
  <c r="AZ345"/>
  <c r="BJ345"/>
  <c r="AZ344"/>
  <c r="BJ344"/>
  <c r="AZ343"/>
  <c r="BJ343"/>
  <c r="AZ342"/>
  <c r="BJ342"/>
  <c r="AZ341"/>
  <c r="BJ341"/>
  <c r="AZ340"/>
  <c r="BJ340"/>
  <c r="AZ339"/>
  <c r="BJ339"/>
  <c r="AZ338"/>
  <c r="BJ338"/>
  <c r="AZ337"/>
  <c r="BJ337"/>
  <c r="AZ336"/>
  <c r="BJ336"/>
  <c r="AZ335"/>
  <c r="BJ335"/>
  <c r="AZ334"/>
  <c r="BJ334"/>
  <c r="AZ333"/>
  <c r="BJ333"/>
  <c r="AZ332"/>
  <c r="BJ332"/>
  <c r="AZ331"/>
  <c r="BJ331"/>
  <c r="AZ330"/>
  <c r="BJ330"/>
  <c r="AZ329"/>
  <c r="BJ329"/>
  <c r="AZ328"/>
  <c r="BJ328"/>
  <c r="AZ327"/>
  <c r="BJ327"/>
  <c r="AZ326"/>
  <c r="BJ326"/>
  <c r="AZ325"/>
  <c r="BJ325"/>
  <c r="AZ324"/>
  <c r="BJ324"/>
  <c r="AZ323"/>
  <c r="BJ323"/>
  <c r="AZ322"/>
  <c r="BJ322"/>
  <c r="AZ321"/>
  <c r="BJ321"/>
  <c r="AZ320"/>
  <c r="BJ320"/>
  <c r="AZ319"/>
  <c r="BJ319"/>
  <c r="AZ318"/>
  <c r="BJ318"/>
  <c r="AZ317"/>
  <c r="BJ317"/>
  <c r="AZ316"/>
  <c r="BJ316"/>
  <c r="AZ315"/>
  <c r="BJ315"/>
  <c r="AZ314"/>
  <c r="BJ314"/>
  <c r="AZ313"/>
  <c r="BJ313"/>
  <c r="AZ312"/>
  <c r="BJ312"/>
  <c r="AZ311"/>
  <c r="BJ311"/>
  <c r="AZ310"/>
  <c r="BJ310"/>
  <c r="AZ309"/>
  <c r="BJ309"/>
  <c r="AZ308"/>
  <c r="BJ308"/>
  <c r="AZ307"/>
  <c r="BJ307"/>
  <c r="AZ306"/>
  <c r="BJ306"/>
  <c r="AZ305"/>
  <c r="BJ305"/>
  <c r="AZ304"/>
  <c r="BJ304"/>
  <c r="AZ303"/>
  <c r="BJ303"/>
  <c r="AZ302"/>
  <c r="BJ302"/>
  <c r="AZ301"/>
  <c r="BJ301"/>
  <c r="AZ300"/>
  <c r="BJ300"/>
  <c r="AZ299"/>
  <c r="BJ299"/>
  <c r="AZ298"/>
  <c r="BJ298"/>
  <c r="AZ297"/>
  <c r="BJ297"/>
  <c r="AZ296"/>
  <c r="BJ296"/>
  <c r="AZ295"/>
  <c r="BJ295"/>
  <c r="AZ294"/>
  <c r="BJ294"/>
  <c r="AZ293"/>
  <c r="BJ293"/>
  <c r="AZ292"/>
  <c r="BJ292"/>
  <c r="AZ291"/>
  <c r="BJ291"/>
  <c r="AZ290"/>
  <c r="BJ290"/>
  <c r="AZ289"/>
  <c r="BJ289"/>
  <c r="AZ288"/>
  <c r="BJ288"/>
  <c r="AZ287"/>
  <c r="BJ287"/>
  <c r="AZ286"/>
  <c r="BJ286"/>
  <c r="AZ285"/>
  <c r="BJ285"/>
  <c r="AZ284"/>
  <c r="BJ284"/>
  <c r="AZ283"/>
  <c r="BJ283"/>
  <c r="AZ282"/>
  <c r="BJ282"/>
  <c r="AZ281"/>
  <c r="BJ281"/>
  <c r="AZ280"/>
  <c r="BJ280"/>
  <c r="AZ279"/>
  <c r="BJ279"/>
  <c r="AZ278"/>
  <c r="BJ278"/>
  <c r="AZ277"/>
  <c r="BJ277"/>
  <c r="AZ274"/>
  <c r="BJ274"/>
  <c r="AZ273"/>
  <c r="BJ273"/>
  <c r="AZ272"/>
  <c r="BJ272"/>
  <c r="AZ271"/>
  <c r="BJ271"/>
  <c r="AZ270"/>
  <c r="BJ270"/>
  <c r="AZ269"/>
  <c r="BJ269"/>
  <c r="AZ268"/>
  <c r="BJ268"/>
  <c r="AZ267"/>
  <c r="BJ267"/>
  <c r="AZ266"/>
  <c r="BJ266"/>
  <c r="AZ265"/>
  <c r="BJ265"/>
  <c r="AZ264"/>
  <c r="BJ264"/>
  <c r="AZ263"/>
  <c r="BJ263"/>
  <c r="AZ262"/>
  <c r="BJ262"/>
  <c r="AZ261"/>
  <c r="BJ261"/>
  <c r="AZ260"/>
  <c r="BJ260"/>
  <c r="AZ259"/>
  <c r="BJ259"/>
  <c r="AZ258"/>
  <c r="BJ258"/>
  <c r="AZ257"/>
  <c r="BJ257"/>
  <c r="AZ256"/>
  <c r="BJ256"/>
  <c r="AZ255"/>
  <c r="BJ255"/>
  <c r="AZ254"/>
  <c r="BJ254"/>
  <c r="AZ253"/>
  <c r="BJ253"/>
  <c r="AZ252"/>
  <c r="BJ252"/>
  <c r="AZ251"/>
  <c r="BJ251"/>
  <c r="AZ250"/>
  <c r="BJ250"/>
  <c r="AZ249"/>
  <c r="BJ249"/>
  <c r="AZ235"/>
  <c r="BJ235"/>
  <c r="AZ234"/>
  <c r="BJ234"/>
  <c r="AZ233"/>
  <c r="BJ233"/>
  <c r="AZ232"/>
  <c r="BJ232"/>
  <c r="AZ231"/>
  <c r="BJ231"/>
  <c r="AZ230"/>
  <c r="BJ230"/>
  <c r="AZ229"/>
  <c r="BJ229"/>
  <c r="AZ228"/>
  <c r="BJ228"/>
  <c r="AZ226"/>
  <c r="BJ226"/>
  <c r="AZ225"/>
  <c r="BJ225"/>
  <c r="AZ224"/>
  <c r="BJ224"/>
  <c r="AZ223"/>
  <c r="BJ223"/>
  <c r="AZ222"/>
  <c r="BJ222"/>
  <c r="AZ221"/>
  <c r="BJ221"/>
  <c r="AZ220"/>
  <c r="BJ220"/>
  <c r="AZ219"/>
  <c r="BJ219"/>
  <c r="AZ218"/>
  <c r="BJ218"/>
  <c r="AZ217"/>
  <c r="BJ217"/>
  <c r="AZ216"/>
  <c r="BJ216"/>
  <c r="AZ215"/>
  <c r="BJ215"/>
  <c r="AZ214"/>
  <c r="BJ214"/>
  <c r="AZ213"/>
  <c r="BJ213"/>
  <c r="AZ212"/>
  <c r="BJ212"/>
  <c r="AZ211"/>
  <c r="BJ211"/>
  <c r="AZ210"/>
  <c r="BJ210"/>
  <c r="AZ209"/>
  <c r="BJ209"/>
  <c r="AZ208"/>
  <c r="BJ208"/>
  <c r="AZ207"/>
  <c r="BJ207"/>
  <c r="AZ206"/>
  <c r="BJ206"/>
  <c r="AZ205"/>
  <c r="BJ205"/>
  <c r="AZ204"/>
  <c r="BJ204"/>
  <c r="AZ203"/>
  <c r="BJ203"/>
  <c r="AZ202"/>
  <c r="BJ202"/>
  <c r="AZ201"/>
  <c r="BJ201"/>
  <c r="AZ200"/>
  <c r="BJ200"/>
  <c r="AZ199"/>
  <c r="BJ199"/>
  <c r="AZ198"/>
  <c r="BJ198"/>
  <c r="AZ197"/>
  <c r="BJ197"/>
  <c r="AZ196"/>
  <c r="BJ196"/>
  <c r="AZ195"/>
  <c r="BJ195"/>
  <c r="AZ194"/>
  <c r="BJ194"/>
  <c r="AZ193"/>
  <c r="BJ193"/>
  <c r="AZ192"/>
  <c r="BJ192"/>
  <c r="AZ163"/>
  <c r="BJ163"/>
  <c r="AZ162"/>
  <c r="BJ162"/>
  <c r="AZ161"/>
  <c r="BJ161"/>
  <c r="AZ160"/>
  <c r="BJ160"/>
  <c r="AZ159"/>
  <c r="BJ159"/>
  <c r="AZ158"/>
  <c r="BJ158"/>
  <c r="AZ156"/>
  <c r="BJ156"/>
  <c r="AZ155"/>
  <c r="BJ155"/>
  <c r="AZ154"/>
  <c r="BJ154"/>
  <c r="AZ153"/>
  <c r="BJ153"/>
  <c r="AZ152"/>
  <c r="BJ152"/>
  <c r="AZ151"/>
  <c r="BJ151"/>
  <c r="AZ150"/>
  <c r="BJ150"/>
  <c r="AZ149"/>
  <c r="BJ149"/>
  <c r="AZ148"/>
  <c r="BJ148"/>
  <c r="AZ147"/>
  <c r="BJ147"/>
  <c r="AZ136"/>
  <c r="BJ136"/>
  <c r="AZ135"/>
  <c r="BJ135"/>
  <c r="AZ134"/>
  <c r="BJ134"/>
  <c r="AZ133"/>
  <c r="BJ133"/>
  <c r="AZ132"/>
  <c r="BJ132"/>
  <c r="AZ131"/>
  <c r="BJ131"/>
  <c r="AZ130"/>
  <c r="BJ130"/>
  <c r="AZ129"/>
  <c r="BJ129"/>
  <c r="AZ128"/>
  <c r="BJ128"/>
  <c r="AZ127"/>
  <c r="BJ127"/>
  <c r="AZ126"/>
  <c r="BJ126"/>
  <c r="AZ125"/>
  <c r="BJ125"/>
  <c r="AZ124"/>
  <c r="BJ124"/>
  <c r="AZ123"/>
  <c r="BJ123"/>
  <c r="AZ122"/>
  <c r="BJ122"/>
  <c r="AZ121"/>
  <c r="BJ121"/>
  <c r="AZ120"/>
  <c r="BJ120"/>
  <c r="AZ119"/>
  <c r="BJ119"/>
  <c r="AZ118"/>
  <c r="BJ118"/>
  <c r="AZ117"/>
  <c r="BJ117"/>
  <c r="AZ116"/>
  <c r="BJ116"/>
  <c r="AZ115"/>
  <c r="BJ115"/>
  <c r="AZ114"/>
  <c r="BJ114"/>
  <c r="AZ112"/>
  <c r="BJ112"/>
  <c r="AZ111"/>
  <c r="BJ111"/>
  <c r="AZ110"/>
  <c r="BJ110"/>
  <c r="AZ109"/>
  <c r="BJ109"/>
  <c r="AZ108"/>
  <c r="BJ108"/>
  <c r="AZ107"/>
  <c r="BJ107"/>
  <c r="AZ104"/>
  <c r="BJ104"/>
  <c r="AZ101"/>
  <c r="BJ101"/>
  <c r="AZ100"/>
  <c r="BJ100"/>
  <c r="AZ99"/>
  <c r="BJ99"/>
  <c r="AZ98"/>
  <c r="BJ98"/>
  <c r="AZ97"/>
  <c r="BJ97"/>
  <c r="AZ96"/>
  <c r="BJ96"/>
  <c r="AZ95"/>
  <c r="BJ95"/>
  <c r="AZ94"/>
  <c r="BJ94"/>
  <c r="AZ93"/>
  <c r="BJ93"/>
  <c r="AZ92"/>
  <c r="BJ92"/>
  <c r="AZ91"/>
  <c r="BJ91"/>
  <c r="AZ90"/>
  <c r="BJ90"/>
  <c r="AZ89"/>
  <c r="BJ89"/>
  <c r="AZ88"/>
  <c r="BJ88"/>
  <c r="AZ87"/>
  <c r="BJ87"/>
  <c r="AZ86"/>
  <c r="BJ86"/>
  <c r="AZ85"/>
  <c r="BJ85"/>
  <c r="AZ84"/>
  <c r="BJ84"/>
  <c r="AZ83"/>
  <c r="BJ83"/>
  <c r="AZ82"/>
  <c r="BJ82"/>
  <c r="AZ81"/>
  <c r="BJ81"/>
  <c r="AZ31"/>
  <c r="BJ31"/>
  <c r="AZ30"/>
  <c r="BJ30" s="1"/>
  <c r="AZ29"/>
  <c r="BJ29" s="1"/>
  <c r="AZ28"/>
  <c r="BJ28" s="1"/>
  <c r="AZ27"/>
  <c r="BJ27" s="1"/>
  <c r="AZ26"/>
  <c r="BJ26" s="1"/>
  <c r="AZ25"/>
  <c r="BJ25" s="1"/>
  <c r="AZ24"/>
  <c r="BJ24" s="1"/>
  <c r="AZ23"/>
  <c r="BJ23" s="1"/>
  <c r="AZ22"/>
  <c r="BJ22" s="1"/>
  <c r="AZ21"/>
  <c r="BJ21" s="1"/>
  <c r="AZ20"/>
  <c r="BJ20" s="1"/>
  <c r="AZ19"/>
  <c r="BJ19" s="1"/>
  <c r="AZ18"/>
  <c r="BJ18" s="1"/>
  <c r="AZ17"/>
  <c r="BJ17" s="1"/>
  <c r="AZ16"/>
  <c r="BJ16" s="1"/>
  <c r="AZ15"/>
  <c r="BJ15" s="1"/>
  <c r="AZ14"/>
  <c r="BJ14" s="1"/>
  <c r="AZ13"/>
  <c r="BJ13" s="1"/>
  <c r="AZ12"/>
  <c r="BJ12" s="1"/>
  <c r="AK87" i="22"/>
  <c r="AK31"/>
  <c r="AS31"/>
  <c r="AK19"/>
  <c r="AK16"/>
  <c r="AS595"/>
  <c r="AS594"/>
  <c r="AS593"/>
  <c r="AS592"/>
  <c r="AS591"/>
  <c r="AS590"/>
  <c r="AS589"/>
  <c r="AS588"/>
  <c r="AS587"/>
  <c r="AS586"/>
  <c r="AS585"/>
  <c r="AS584"/>
  <c r="AS583"/>
  <c r="AS582"/>
  <c r="AS581"/>
  <c r="AS580"/>
  <c r="AS579"/>
  <c r="AS578"/>
  <c r="AS577"/>
  <c r="AS576"/>
  <c r="AS575"/>
  <c r="AS574"/>
  <c r="AS573"/>
  <c r="AS572"/>
  <c r="AS571"/>
  <c r="AS570"/>
  <c r="AS569"/>
  <c r="AS568"/>
  <c r="AS567"/>
  <c r="AS566"/>
  <c r="AS565"/>
  <c r="AS564"/>
  <c r="AS563"/>
  <c r="AS562"/>
  <c r="AS561"/>
  <c r="AS560"/>
  <c r="AS559"/>
  <c r="AS558"/>
  <c r="AS557"/>
  <c r="AS556"/>
  <c r="AS555"/>
  <c r="AS554"/>
  <c r="AS553"/>
  <c r="AS552"/>
  <c r="AS551"/>
  <c r="AS550"/>
  <c r="AS549"/>
  <c r="AS548"/>
  <c r="AU548" s="1"/>
  <c r="AS547"/>
  <c r="AS546"/>
  <c r="AS545"/>
  <c r="AS544"/>
  <c r="AS543"/>
  <c r="AS542"/>
  <c r="AS541"/>
  <c r="AS540"/>
  <c r="AS539"/>
  <c r="AS538"/>
  <c r="AS537"/>
  <c r="AS536"/>
  <c r="AS535"/>
  <c r="AS534"/>
  <c r="AS533"/>
  <c r="AS532"/>
  <c r="AS531"/>
  <c r="AS530"/>
  <c r="AS529"/>
  <c r="AS528"/>
  <c r="AS527"/>
  <c r="AS526"/>
  <c r="AS525"/>
  <c r="AS524"/>
  <c r="AS523"/>
  <c r="AS522"/>
  <c r="AS521"/>
  <c r="AS520"/>
  <c r="AS519"/>
  <c r="AS518"/>
  <c r="AS517"/>
  <c r="AS516"/>
  <c r="AS514"/>
  <c r="AS513"/>
  <c r="AS510"/>
  <c r="AS509"/>
  <c r="AS508"/>
  <c r="AS507"/>
  <c r="AS457"/>
  <c r="AS456"/>
  <c r="AS455"/>
  <c r="AS454"/>
  <c r="AS453"/>
  <c r="AS452"/>
  <c r="AS451"/>
  <c r="AS450"/>
  <c r="AS449"/>
  <c r="AS448"/>
  <c r="AS447"/>
  <c r="AS446"/>
  <c r="AS445"/>
  <c r="AS444"/>
  <c r="AS443"/>
  <c r="AS442"/>
  <c r="AS441"/>
  <c r="AS440"/>
  <c r="AS439"/>
  <c r="AS438"/>
  <c r="AS437"/>
  <c r="AS436"/>
  <c r="AS435"/>
  <c r="AS434"/>
  <c r="AS433"/>
  <c r="AS432"/>
  <c r="AS431"/>
  <c r="AS428"/>
  <c r="AS427"/>
  <c r="AS426"/>
  <c r="AS425"/>
  <c r="AS424"/>
  <c r="AS423"/>
  <c r="AS422"/>
  <c r="AS421"/>
  <c r="AS420"/>
  <c r="AS419"/>
  <c r="AS418"/>
  <c r="AS417"/>
  <c r="AS416"/>
  <c r="AS415"/>
  <c r="AS414"/>
  <c r="AS413"/>
  <c r="AS412"/>
  <c r="AS411"/>
  <c r="AS410"/>
  <c r="AS409"/>
  <c r="AS408"/>
  <c r="AS407"/>
  <c r="AS406"/>
  <c r="AS405"/>
  <c r="AS404"/>
  <c r="AS403"/>
  <c r="AS402"/>
  <c r="AS401"/>
  <c r="AS400"/>
  <c r="AS399"/>
  <c r="AS398"/>
  <c r="AS397"/>
  <c r="AS396"/>
  <c r="AS395"/>
  <c r="AS394"/>
  <c r="AS393"/>
  <c r="AS392"/>
  <c r="AS391"/>
  <c r="AS390"/>
  <c r="AS389"/>
  <c r="AS388"/>
  <c r="AS387"/>
  <c r="AS386"/>
  <c r="AS385"/>
  <c r="AS384"/>
  <c r="AS383"/>
  <c r="AS382"/>
  <c r="AS381"/>
  <c r="AS380"/>
  <c r="AS379"/>
  <c r="AS378"/>
  <c r="AS377"/>
  <c r="AS376"/>
  <c r="AS375"/>
  <c r="AS374"/>
  <c r="AS373"/>
  <c r="AS372"/>
  <c r="AS371"/>
  <c r="AS370"/>
  <c r="AS369"/>
  <c r="AS368"/>
  <c r="AS367"/>
  <c r="AS366"/>
  <c r="AS365"/>
  <c r="AS364"/>
  <c r="AS363"/>
  <c r="AS362"/>
  <c r="AS361"/>
  <c r="AS360"/>
  <c r="AS359"/>
  <c r="AS358"/>
  <c r="AS357"/>
  <c r="AS356"/>
  <c r="AS355"/>
  <c r="AS354"/>
  <c r="AS353"/>
  <c r="AS352"/>
  <c r="AS351"/>
  <c r="AS350"/>
  <c r="AS349"/>
  <c r="AS348"/>
  <c r="AS347"/>
  <c r="AS346"/>
  <c r="AS345"/>
  <c r="AS344"/>
  <c r="AS343"/>
  <c r="AS342"/>
  <c r="AS339"/>
  <c r="AS338"/>
  <c r="AS337"/>
  <c r="AS336"/>
  <c r="AS335"/>
  <c r="AS334"/>
  <c r="AS333"/>
  <c r="AS332"/>
  <c r="AS331"/>
  <c r="AS330"/>
  <c r="AS329"/>
  <c r="AS328"/>
  <c r="AS327"/>
  <c r="AS326"/>
  <c r="AS325"/>
  <c r="AS324"/>
  <c r="AS323"/>
  <c r="AS322"/>
  <c r="AS321"/>
  <c r="AS320"/>
  <c r="AS319"/>
  <c r="AS318"/>
  <c r="AS317"/>
  <c r="AS316"/>
  <c r="AS315"/>
  <c r="AS314"/>
  <c r="AS313"/>
  <c r="AS312"/>
  <c r="AS311"/>
  <c r="AS310"/>
  <c r="AS309"/>
  <c r="AS308"/>
  <c r="AS307"/>
  <c r="AS306"/>
  <c r="AS305"/>
  <c r="AS304"/>
  <c r="AS303"/>
  <c r="AS302"/>
  <c r="AS301"/>
  <c r="AS300"/>
  <c r="AS299"/>
  <c r="AS298"/>
  <c r="AS297"/>
  <c r="AS296"/>
  <c r="AS295"/>
  <c r="AS294"/>
  <c r="AS293"/>
  <c r="AS292"/>
  <c r="AS291"/>
  <c r="AS290"/>
  <c r="AS289"/>
  <c r="AS288"/>
  <c r="AS287"/>
  <c r="AS286"/>
  <c r="AS285"/>
  <c r="AS284"/>
  <c r="AS283"/>
  <c r="AS282"/>
  <c r="AS281"/>
  <c r="AS280"/>
  <c r="AS278"/>
  <c r="AS277"/>
  <c r="AS276"/>
  <c r="AS275"/>
  <c r="AS274"/>
  <c r="AS273"/>
  <c r="AS272"/>
  <c r="AS271"/>
  <c r="AS270"/>
  <c r="AS269"/>
  <c r="AS268"/>
  <c r="AS267"/>
  <c r="AS266"/>
  <c r="AS265"/>
  <c r="AS264"/>
  <c r="AS263"/>
  <c r="AS262"/>
  <c r="AS261"/>
  <c r="AS260"/>
  <c r="AS259"/>
  <c r="AS258"/>
  <c r="AS255"/>
  <c r="AS254"/>
  <c r="AS253"/>
  <c r="AS252"/>
  <c r="AS251"/>
  <c r="AS250"/>
  <c r="AS249"/>
  <c r="AS235"/>
  <c r="AS234"/>
  <c r="AS233"/>
  <c r="AS232"/>
  <c r="AS231"/>
  <c r="AS230"/>
  <c r="AS229"/>
  <c r="AS228"/>
  <c r="AS227"/>
  <c r="AS226"/>
  <c r="AS225"/>
  <c r="AS224"/>
  <c r="AS223"/>
  <c r="AS222"/>
  <c r="AS221"/>
  <c r="AS220"/>
  <c r="AS219"/>
  <c r="AS218"/>
  <c r="AS217"/>
  <c r="AS216"/>
  <c r="AS215"/>
  <c r="AS214"/>
  <c r="AS213"/>
  <c r="AS212"/>
  <c r="AS211"/>
  <c r="AS210"/>
  <c r="AS209"/>
  <c r="AS208"/>
  <c r="AS207"/>
  <c r="AS206"/>
  <c r="AS205"/>
  <c r="AS204"/>
  <c r="AS203"/>
  <c r="AS202"/>
  <c r="AS201"/>
  <c r="AS200"/>
  <c r="AS199"/>
  <c r="AS198"/>
  <c r="AS197"/>
  <c r="AS196"/>
  <c r="AS195"/>
  <c r="AS194"/>
  <c r="AS193"/>
  <c r="AS192"/>
  <c r="AS191"/>
  <c r="AS190"/>
  <c r="AS189"/>
  <c r="AS188"/>
  <c r="AS187"/>
  <c r="AS186"/>
  <c r="AS185"/>
  <c r="AS184"/>
  <c r="AS183"/>
  <c r="AS182"/>
  <c r="AS181"/>
  <c r="AS180"/>
  <c r="AS179"/>
  <c r="AS178"/>
  <c r="AS177"/>
  <c r="AS174"/>
  <c r="AS173"/>
  <c r="AS172"/>
  <c r="AS171"/>
  <c r="AS170"/>
  <c r="AS169"/>
  <c r="AU169" s="1"/>
  <c r="BL169" i="25" s="1"/>
  <c r="BT169" s="1"/>
  <c r="BV169" s="1"/>
  <c r="AS168" i="22"/>
  <c r="AS167"/>
  <c r="AS166"/>
  <c r="AS165"/>
  <c r="AS164"/>
  <c r="AS163"/>
  <c r="AS162"/>
  <c r="AS161"/>
  <c r="AS160"/>
  <c r="AS159"/>
  <c r="AS158"/>
  <c r="AS156"/>
  <c r="AS155"/>
  <c r="AS154"/>
  <c r="AS153"/>
  <c r="AS152"/>
  <c r="AS151"/>
  <c r="AS150"/>
  <c r="AS149"/>
  <c r="AS148"/>
  <c r="AS147"/>
  <c r="AS146"/>
  <c r="AS145"/>
  <c r="AS144"/>
  <c r="AS143"/>
  <c r="AS142"/>
  <c r="AS141"/>
  <c r="AS140"/>
  <c r="AU140"/>
  <c r="AS139"/>
  <c r="AS138"/>
  <c r="AU138" s="1"/>
  <c r="BL138" i="25" s="1"/>
  <c r="BT138" s="1"/>
  <c r="BV138" s="1"/>
  <c r="AS137" i="22"/>
  <c r="AS136"/>
  <c r="AS135"/>
  <c r="AS134"/>
  <c r="AS133"/>
  <c r="AS132"/>
  <c r="AS131"/>
  <c r="AS130"/>
  <c r="AS129"/>
  <c r="AS128"/>
  <c r="AS127"/>
  <c r="AS126"/>
  <c r="AS125"/>
  <c r="AS124"/>
  <c r="AS123"/>
  <c r="AS122"/>
  <c r="AS121"/>
  <c r="AS120"/>
  <c r="AS119"/>
  <c r="AS118"/>
  <c r="AS117"/>
  <c r="AS116"/>
  <c r="AS115"/>
  <c r="AS114"/>
  <c r="AS112"/>
  <c r="AS111"/>
  <c r="AS110"/>
  <c r="AS109"/>
  <c r="AS108"/>
  <c r="AS107"/>
  <c r="AS104"/>
  <c r="AS103"/>
  <c r="AS102"/>
  <c r="AS101"/>
  <c r="AS100"/>
  <c r="AS99"/>
  <c r="AS98"/>
  <c r="AS95"/>
  <c r="AS94"/>
  <c r="AS93"/>
  <c r="AS92"/>
  <c r="AS91"/>
  <c r="AS90"/>
  <c r="AS89"/>
  <c r="AS88"/>
  <c r="AS87"/>
  <c r="AS86"/>
  <c r="AS85"/>
  <c r="AS84"/>
  <c r="AS83"/>
  <c r="AS82"/>
  <c r="AS81"/>
  <c r="AS47"/>
  <c r="AS46"/>
  <c r="AU46" s="1"/>
  <c r="BL46" i="25" s="1"/>
  <c r="BT46" s="1"/>
  <c r="BV46" s="1"/>
  <c r="AS45" i="22"/>
  <c r="AS44"/>
  <c r="AS43"/>
  <c r="AS42"/>
  <c r="AS41"/>
  <c r="AS40"/>
  <c r="AS39"/>
  <c r="AS38"/>
  <c r="AS37"/>
  <c r="AS36"/>
  <c r="AU36" s="1"/>
  <c r="AS35"/>
  <c r="AS34"/>
  <c r="AS33"/>
  <c r="AS32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Y595"/>
  <c r="AU595"/>
  <c r="Y594"/>
  <c r="AU594"/>
  <c r="BL594" i="25" s="1"/>
  <c r="BT594" s="1"/>
  <c r="BV594" s="1"/>
  <c r="Y593" i="22"/>
  <c r="AU593"/>
  <c r="BL593" i="25" s="1"/>
  <c r="BT593" s="1"/>
  <c r="Y592" i="22"/>
  <c r="AU592" s="1"/>
  <c r="BL592" i="25" s="1"/>
  <c r="BT592" s="1"/>
  <c r="BV592" s="1"/>
  <c r="Y591" i="22"/>
  <c r="AU591" s="1"/>
  <c r="Y590"/>
  <c r="AU590" s="1"/>
  <c r="Y589"/>
  <c r="AU589" s="1"/>
  <c r="Y588"/>
  <c r="AU588" s="1"/>
  <c r="Y587"/>
  <c r="AU587" s="1"/>
  <c r="Y586"/>
  <c r="AU586" s="1"/>
  <c r="Y585"/>
  <c r="AU585" s="1"/>
  <c r="Y584"/>
  <c r="AU584" s="1"/>
  <c r="BL584" i="25" s="1"/>
  <c r="BT584" s="1"/>
  <c r="BV584" s="1"/>
  <c r="Y582" i="22"/>
  <c r="Y581"/>
  <c r="AU581"/>
  <c r="Y580"/>
  <c r="Y579"/>
  <c r="AU579" s="1"/>
  <c r="BL579" i="25" s="1"/>
  <c r="BT579" s="1"/>
  <c r="Y578" i="22"/>
  <c r="Y577"/>
  <c r="AU577"/>
  <c r="Y576"/>
  <c r="Y575"/>
  <c r="AU575" s="1"/>
  <c r="BL575" i="25" s="1"/>
  <c r="BT575" s="1"/>
  <c r="BV575" s="1"/>
  <c r="Y574" i="22"/>
  <c r="Y573"/>
  <c r="AU573"/>
  <c r="Y572"/>
  <c r="Y571"/>
  <c r="AU571" s="1"/>
  <c r="Y570"/>
  <c r="Y569"/>
  <c r="AU569"/>
  <c r="BL569" i="25" s="1"/>
  <c r="BT569" s="1"/>
  <c r="BV569" s="1"/>
  <c r="Y568" i="22"/>
  <c r="Y567"/>
  <c r="AU567" s="1"/>
  <c r="BL567" i="25" s="1"/>
  <c r="BT567" s="1"/>
  <c r="BV567" s="1"/>
  <c r="Y566" i="22"/>
  <c r="Y565"/>
  <c r="AU565"/>
  <c r="BL565" i="25" s="1"/>
  <c r="BT565" s="1"/>
  <c r="BV565" s="1"/>
  <c r="Y564" i="22"/>
  <c r="AU558"/>
  <c r="BL558" i="25" s="1"/>
  <c r="BT558" s="1"/>
  <c r="BV558" s="1"/>
  <c r="AU557" i="22"/>
  <c r="AU556"/>
  <c r="BL556" i="25"/>
  <c r="BT556" s="1"/>
  <c r="BV556" s="1"/>
  <c r="Y545" i="22"/>
  <c r="AU545" s="1"/>
  <c r="Y544"/>
  <c r="Y543"/>
  <c r="AU543"/>
  <c r="BL541" i="25" s="1"/>
  <c r="BT541" s="1"/>
  <c r="BV541" s="1"/>
  <c r="Y542" i="22"/>
  <c r="Y541"/>
  <c r="AU541" s="1"/>
  <c r="BL539" i="25" s="1"/>
  <c r="BT539" s="1"/>
  <c r="BV539" s="1"/>
  <c r="Y540" i="22"/>
  <c r="Y539"/>
  <c r="Y538"/>
  <c r="Y537"/>
  <c r="Y536"/>
  <c r="Y535"/>
  <c r="AU535"/>
  <c r="Y534"/>
  <c r="Y533"/>
  <c r="Y532"/>
  <c r="Y531"/>
  <c r="Y530"/>
  <c r="Y529"/>
  <c r="AU529" s="1"/>
  <c r="Y528"/>
  <c r="Y527"/>
  <c r="AU527"/>
  <c r="BL525" i="25" s="1"/>
  <c r="BT525" s="1"/>
  <c r="BV525" s="1"/>
  <c r="Y526" i="22"/>
  <c r="Y525"/>
  <c r="AU525" s="1"/>
  <c r="BL523" i="25" s="1"/>
  <c r="BT523" s="1"/>
  <c r="BV523" s="1"/>
  <c r="Y524" i="22"/>
  <c r="Y523"/>
  <c r="AU523"/>
  <c r="BL521" i="25" s="1"/>
  <c r="BT521" s="1"/>
  <c r="BV521" s="1"/>
  <c r="Y522" i="22"/>
  <c r="Y521"/>
  <c r="AU521" s="1"/>
  <c r="BL519" i="25" s="1"/>
  <c r="BT519" s="1"/>
  <c r="BV519" s="1"/>
  <c r="Y520" i="22"/>
  <c r="Y519"/>
  <c r="AU519"/>
  <c r="BL517" i="25" s="1"/>
  <c r="BT517" s="1"/>
  <c r="BV517" s="1"/>
  <c r="Y518" i="22"/>
  <c r="Y517"/>
  <c r="AU517" s="1"/>
  <c r="BL515" i="25" s="1"/>
  <c r="BT515" s="1"/>
  <c r="BV515" s="1"/>
  <c r="Y516" i="22"/>
  <c r="Y514"/>
  <c r="AU514"/>
  <c r="BL512" i="25" s="1"/>
  <c r="BT512" s="1"/>
  <c r="BV512" s="1"/>
  <c r="Y513" i="22"/>
  <c r="Y510"/>
  <c r="AU510" s="1"/>
  <c r="BL510" i="25" s="1"/>
  <c r="BT510" s="1"/>
  <c r="BV510" s="1"/>
  <c r="Y509" i="22"/>
  <c r="Y508"/>
  <c r="AU508"/>
  <c r="BL508" i="25" s="1"/>
  <c r="BT508" s="1"/>
  <c r="BV508" s="1"/>
  <c r="Y507" i="22"/>
  <c r="Y457"/>
  <c r="AU457" s="1"/>
  <c r="BL455" i="25" s="1"/>
  <c r="BT455" s="1"/>
  <c r="BV455" s="1"/>
  <c r="Y456" i="22"/>
  <c r="Y455"/>
  <c r="AU455"/>
  <c r="BL453" i="25" s="1"/>
  <c r="BT453" s="1"/>
  <c r="BV453" s="1"/>
  <c r="Y454" i="22"/>
  <c r="Y453"/>
  <c r="AU453" s="1"/>
  <c r="BL451" i="25" s="1"/>
  <c r="BT451" s="1"/>
  <c r="BV451" s="1"/>
  <c r="Y452" i="22"/>
  <c r="Y451"/>
  <c r="AU451"/>
  <c r="BL449" i="25" s="1"/>
  <c r="BT449" s="1"/>
  <c r="BV449" s="1"/>
  <c r="Y450" i="22"/>
  <c r="Y449"/>
  <c r="AU449" s="1"/>
  <c r="BL447" i="25" s="1"/>
  <c r="BT447" s="1"/>
  <c r="BV447" s="1"/>
  <c r="Y448" i="22"/>
  <c r="Y447"/>
  <c r="AU447"/>
  <c r="BL445" i="25" s="1"/>
  <c r="BT445" s="1"/>
  <c r="BV445" s="1"/>
  <c r="Y446" i="22"/>
  <c r="Y445"/>
  <c r="AU445" s="1"/>
  <c r="BL443" i="25" s="1"/>
  <c r="BT443" s="1"/>
  <c r="BV443" s="1"/>
  <c r="Y444" i="22"/>
  <c r="Y443"/>
  <c r="AU443"/>
  <c r="BL441" i="25" s="1"/>
  <c r="BT441" s="1"/>
  <c r="BV441" s="1"/>
  <c r="Y442" i="22"/>
  <c r="Y441"/>
  <c r="AU441" s="1"/>
  <c r="BL439" i="25" s="1"/>
  <c r="BT439" s="1"/>
  <c r="BV439" s="1"/>
  <c r="Y440" i="22"/>
  <c r="Y439"/>
  <c r="AU439"/>
  <c r="BL437" i="25" s="1"/>
  <c r="BT437" s="1"/>
  <c r="BV437" s="1"/>
  <c r="Y438" i="22"/>
  <c r="Y437"/>
  <c r="AU437" s="1"/>
  <c r="BL435" i="25" s="1"/>
  <c r="BT435" s="1"/>
  <c r="BV435" s="1"/>
  <c r="Y436" i="22"/>
  <c r="Y435"/>
  <c r="AU435"/>
  <c r="BL433" i="25" s="1"/>
  <c r="BT433" s="1"/>
  <c r="BV433" s="1"/>
  <c r="Y434" i="22"/>
  <c r="Y433"/>
  <c r="AU433" s="1"/>
  <c r="Y432"/>
  <c r="Y431"/>
  <c r="AU431"/>
  <c r="Y428"/>
  <c r="Y427"/>
  <c r="AU427" s="1"/>
  <c r="Y426"/>
  <c r="Y425"/>
  <c r="AU425"/>
  <c r="Y424"/>
  <c r="Y423"/>
  <c r="AU423" s="1"/>
  <c r="Y422"/>
  <c r="Y421"/>
  <c r="AU421"/>
  <c r="Y420"/>
  <c r="Y419"/>
  <c r="AU419" s="1"/>
  <c r="Y418"/>
  <c r="Y417"/>
  <c r="AU417"/>
  <c r="Y416"/>
  <c r="Y415"/>
  <c r="AU415" s="1"/>
  <c r="Y414"/>
  <c r="Y413"/>
  <c r="AU413"/>
  <c r="Y412"/>
  <c r="Y411"/>
  <c r="AU411" s="1"/>
  <c r="Y410"/>
  <c r="Y409"/>
  <c r="AU409"/>
  <c r="Y408"/>
  <c r="Y407"/>
  <c r="AU407" s="1"/>
  <c r="Y406"/>
  <c r="AU396"/>
  <c r="BL396" i="25" s="1"/>
  <c r="BT396" s="1"/>
  <c r="BV396" s="1"/>
  <c r="AU393" i="22"/>
  <c r="Y392"/>
  <c r="AU392"/>
  <c r="Y391"/>
  <c r="AU391"/>
  <c r="Y390"/>
  <c r="AU390"/>
  <c r="Y389"/>
  <c r="AU389"/>
  <c r="Y388"/>
  <c r="AU388"/>
  <c r="Y387"/>
  <c r="AU387"/>
  <c r="Y386"/>
  <c r="AU386"/>
  <c r="Y385"/>
  <c r="AU385"/>
  <c r="Y384"/>
  <c r="AU384"/>
  <c r="Y383"/>
  <c r="AU383"/>
  <c r="Y382"/>
  <c r="AU382"/>
  <c r="Y381"/>
  <c r="AU381"/>
  <c r="Y380"/>
  <c r="AU380"/>
  <c r="Y379"/>
  <c r="AU379"/>
  <c r="Y378"/>
  <c r="AU378"/>
  <c r="Y377"/>
  <c r="AU377"/>
  <c r="Y376"/>
  <c r="AU376"/>
  <c r="Y375"/>
  <c r="AU375"/>
  <c r="Y374"/>
  <c r="AU374"/>
  <c r="Y373"/>
  <c r="AU373"/>
  <c r="Y372"/>
  <c r="AU372"/>
  <c r="Y371"/>
  <c r="AU371"/>
  <c r="Y370"/>
  <c r="AU370"/>
  <c r="Y369"/>
  <c r="AU369"/>
  <c r="Y368"/>
  <c r="AU368"/>
  <c r="Y367"/>
  <c r="AU367"/>
  <c r="BL367" i="25" s="1"/>
  <c r="BT367" s="1"/>
  <c r="BV367" s="1"/>
  <c r="Y366" i="22"/>
  <c r="AU366"/>
  <c r="BL366" i="25" s="1"/>
  <c r="BT366" s="1"/>
  <c r="BV366" s="1"/>
  <c r="Y365" i="22"/>
  <c r="AU365"/>
  <c r="BL363" i="25" s="1"/>
  <c r="BT363" s="1"/>
  <c r="BV363" s="1"/>
  <c r="Y364" i="22"/>
  <c r="AU364"/>
  <c r="Y363"/>
  <c r="AU363"/>
  <c r="Y362"/>
  <c r="AU362"/>
  <c r="Y361"/>
  <c r="AU361"/>
  <c r="Y360"/>
  <c r="AU360"/>
  <c r="Y359"/>
  <c r="AU359"/>
  <c r="Y358"/>
  <c r="AU358"/>
  <c r="Y357"/>
  <c r="AU357"/>
  <c r="Y356"/>
  <c r="AU356"/>
  <c r="Y355"/>
  <c r="AU355"/>
  <c r="Y354"/>
  <c r="AU354"/>
  <c r="Y353"/>
  <c r="AU353"/>
  <c r="Y352"/>
  <c r="AU352"/>
  <c r="Y351"/>
  <c r="AU351"/>
  <c r="Y350"/>
  <c r="AU350"/>
  <c r="Y349"/>
  <c r="AU349"/>
  <c r="Y348"/>
  <c r="AU348"/>
  <c r="Y347"/>
  <c r="AU347"/>
  <c r="BL345" i="25" s="1"/>
  <c r="BT345" s="1"/>
  <c r="Y346" i="22"/>
  <c r="AU346" s="1"/>
  <c r="BL344" i="25" s="1"/>
  <c r="BT344" s="1"/>
  <c r="BV344" s="1"/>
  <c r="Y345" i="22"/>
  <c r="AU345" s="1"/>
  <c r="BL343" i="25" s="1"/>
  <c r="BT343" s="1"/>
  <c r="Y344" i="22"/>
  <c r="AU344" s="1"/>
  <c r="BL342" i="25" s="1"/>
  <c r="BT342" s="1"/>
  <c r="BV342" s="1"/>
  <c r="Y343" i="22"/>
  <c r="AU343" s="1"/>
  <c r="BL341" i="25" s="1"/>
  <c r="BT341" s="1"/>
  <c r="Y342" i="22"/>
  <c r="AU342" s="1"/>
  <c r="BL340" i="25" s="1"/>
  <c r="BT340" s="1"/>
  <c r="BV340" s="1"/>
  <c r="Y339" i="22"/>
  <c r="AU339" s="1"/>
  <c r="BL339" i="25" s="1"/>
  <c r="BT339" s="1"/>
  <c r="Y338" i="22"/>
  <c r="AU338"/>
  <c r="BL338" i="25" s="1"/>
  <c r="BT338" s="1"/>
  <c r="BV338" s="1"/>
  <c r="Y337" i="22"/>
  <c r="AU337" s="1"/>
  <c r="BL337" i="25" s="1"/>
  <c r="BT337" s="1"/>
  <c r="Y336" i="22"/>
  <c r="AU336" s="1"/>
  <c r="BL336" i="25" s="1"/>
  <c r="BT336" s="1"/>
  <c r="BV336" s="1"/>
  <c r="Y335" i="22"/>
  <c r="AU335" s="1"/>
  <c r="BL335" i="25" s="1"/>
  <c r="BT335" s="1"/>
  <c r="Y334" i="22"/>
  <c r="AU334"/>
  <c r="BL334" i="25" s="1"/>
  <c r="BT334" s="1"/>
  <c r="BV334" s="1"/>
  <c r="Y333" i="22"/>
  <c r="AU333"/>
  <c r="BL333" i="25" s="1"/>
  <c r="BT333" s="1"/>
  <c r="Y332" i="22"/>
  <c r="AU332" s="1"/>
  <c r="BL332" i="25" s="1"/>
  <c r="BT332" s="1"/>
  <c r="Y331" i="22"/>
  <c r="AU331"/>
  <c r="Y330"/>
  <c r="AU330"/>
  <c r="BL330" i="25" s="1"/>
  <c r="BT330" s="1"/>
  <c r="BV330" s="1"/>
  <c r="Y329" i="22"/>
  <c r="AU329" s="1"/>
  <c r="BL329" i="25" s="1"/>
  <c r="BT329" s="1"/>
  <c r="Y328" i="22"/>
  <c r="AU328" s="1"/>
  <c r="BL328" i="25" s="1"/>
  <c r="BT328" s="1"/>
  <c r="BV328" s="1"/>
  <c r="Y327" i="22"/>
  <c r="AU327"/>
  <c r="Y326"/>
  <c r="AU326"/>
  <c r="BL326" i="25" s="1"/>
  <c r="BT326" s="1"/>
  <c r="BV326" s="1"/>
  <c r="Y325" i="22"/>
  <c r="AU325"/>
  <c r="BL325" i="25" s="1"/>
  <c r="BT325" s="1"/>
  <c r="BV325" s="1"/>
  <c r="Y324" i="22"/>
  <c r="AU324" s="1"/>
  <c r="BL324" i="25" s="1"/>
  <c r="BT324" s="1"/>
  <c r="BV324" s="1"/>
  <c r="Y323" i="22"/>
  <c r="AU323" s="1"/>
  <c r="BL323" i="25" s="1"/>
  <c r="BT323" s="1"/>
  <c r="Y322" i="22"/>
  <c r="AU322"/>
  <c r="BL322" i="25" s="1"/>
  <c r="BT322" s="1"/>
  <c r="Y321" i="22"/>
  <c r="AU321" s="1"/>
  <c r="BL321" i="25" s="1"/>
  <c r="BT321" s="1"/>
  <c r="BV321" s="1"/>
  <c r="Y320" i="22"/>
  <c r="AU320"/>
  <c r="BL320" i="25" s="1"/>
  <c r="BT320" s="1"/>
  <c r="Y319" i="22"/>
  <c r="AU319"/>
  <c r="BL319" i="25" s="1"/>
  <c r="BT319" s="1"/>
  <c r="BV319" s="1"/>
  <c r="Y318" i="22"/>
  <c r="AU318" s="1"/>
  <c r="BL318" i="25" s="1"/>
  <c r="BT318" s="1"/>
  <c r="BV318" s="1"/>
  <c r="Y317" i="22"/>
  <c r="AU317" s="1"/>
  <c r="BL317" i="25" s="1"/>
  <c r="BT317" s="1"/>
  <c r="AU316" i="22"/>
  <c r="BL316" i="25" s="1"/>
  <c r="BT316" s="1"/>
  <c r="Y315" i="22"/>
  <c r="AU315" s="1"/>
  <c r="BL315" i="25" s="1"/>
  <c r="BT315" s="1"/>
  <c r="BV315" s="1"/>
  <c r="Y314" i="22"/>
  <c r="AU314" s="1"/>
  <c r="BL314" i="25" s="1"/>
  <c r="BT314" s="1"/>
  <c r="Y313" i="22"/>
  <c r="AU313" s="1"/>
  <c r="Y312"/>
  <c r="AU312" s="1"/>
  <c r="BL312" i="25" s="1"/>
  <c r="BT312" s="1"/>
  <c r="Y311" i="22"/>
  <c r="AU311" s="1"/>
  <c r="Y310"/>
  <c r="AU310" s="1"/>
  <c r="BL310" i="25" s="1"/>
  <c r="BT310" s="1"/>
  <c r="BV310" s="1"/>
  <c r="Y309" i="22"/>
  <c r="AU309" s="1"/>
  <c r="BL309" i="25" s="1"/>
  <c r="BT309" s="1"/>
  <c r="BV309" s="1"/>
  <c r="Y308" i="22"/>
  <c r="AU308" s="1"/>
  <c r="BL308" i="25" s="1"/>
  <c r="BT308" s="1"/>
  <c r="Y307" i="22"/>
  <c r="AU307" s="1"/>
  <c r="BL307" i="25" s="1"/>
  <c r="BT307" s="1"/>
  <c r="BV307" s="1"/>
  <c r="Y306" i="22"/>
  <c r="AU306" s="1"/>
  <c r="BL306" i="25" s="1"/>
  <c r="BT306" s="1"/>
  <c r="Y305" i="22"/>
  <c r="AU305"/>
  <c r="BL305" i="25" s="1"/>
  <c r="BT305" s="1"/>
  <c r="BV305" s="1"/>
  <c r="Y304" i="22"/>
  <c r="AU304" s="1"/>
  <c r="BL304" i="25" s="1"/>
  <c r="BT304" s="1"/>
  <c r="Y303" i="22"/>
  <c r="AU303" s="1"/>
  <c r="Y302"/>
  <c r="AU302" s="1"/>
  <c r="BL302" i="25" s="1"/>
  <c r="BT302" s="1"/>
  <c r="AU301" i="22"/>
  <c r="Y300"/>
  <c r="AU300" s="1"/>
  <c r="Y299"/>
  <c r="AU299" s="1"/>
  <c r="Y298"/>
  <c r="AU298" s="1"/>
  <c r="Y297"/>
  <c r="AU297" s="1"/>
  <c r="Y296"/>
  <c r="AU296" s="1"/>
  <c r="Y295"/>
  <c r="AU295" s="1"/>
  <c r="BL295" i="25" s="1"/>
  <c r="BT295" s="1"/>
  <c r="BV295" s="1"/>
  <c r="Y294" i="22"/>
  <c r="AU294" s="1"/>
  <c r="BL294" i="25" s="1"/>
  <c r="BT294" s="1"/>
  <c r="BV294" s="1"/>
  <c r="Y293" i="22"/>
  <c r="AU293"/>
  <c r="BL293" i="25" s="1"/>
  <c r="BT293" s="1"/>
  <c r="BV293" s="1"/>
  <c r="Y292" i="22"/>
  <c r="AU292"/>
  <c r="BL292" i="25" s="1"/>
  <c r="BT292" s="1"/>
  <c r="BV292" s="1"/>
  <c r="Y291" i="22"/>
  <c r="AU291" s="1"/>
  <c r="BL291" i="25" s="1"/>
  <c r="BT291" s="1"/>
  <c r="BV291" s="1"/>
  <c r="Y290" i="22"/>
  <c r="AU290" s="1"/>
  <c r="BL290" i="25" s="1"/>
  <c r="BT290" s="1"/>
  <c r="BV290" s="1"/>
  <c r="Y289" i="22"/>
  <c r="AU289"/>
  <c r="Y288"/>
  <c r="AU288"/>
  <c r="BL288" i="25" s="1"/>
  <c r="BT288" s="1"/>
  <c r="BV288" s="1"/>
  <c r="Y287" i="22"/>
  <c r="AU287"/>
  <c r="BL287" i="25" s="1"/>
  <c r="BT287" s="1"/>
  <c r="BV287" s="1"/>
  <c r="Y286" i="22"/>
  <c r="AU286" s="1"/>
  <c r="BL286" i="25" s="1"/>
  <c r="BT286" s="1"/>
  <c r="BV286" s="1"/>
  <c r="Y285" i="22"/>
  <c r="AU285" s="1"/>
  <c r="BL285" i="25" s="1"/>
  <c r="BT285" s="1"/>
  <c r="BV285" s="1"/>
  <c r="Y284" i="22"/>
  <c r="AU284"/>
  <c r="BL284" i="25" s="1"/>
  <c r="BT284" s="1"/>
  <c r="BV284" s="1"/>
  <c r="Y283" i="22"/>
  <c r="AU283"/>
  <c r="Y282"/>
  <c r="AU282"/>
  <c r="BL282" i="25" s="1"/>
  <c r="BT282" s="1"/>
  <c r="BV282" s="1"/>
  <c r="Y281" i="22"/>
  <c r="AU281" s="1"/>
  <c r="BL281" i="25" s="1"/>
  <c r="BT281" s="1"/>
  <c r="BV281" s="1"/>
  <c r="Y280" i="22"/>
  <c r="AU280" s="1"/>
  <c r="BL280" i="25" s="1"/>
  <c r="BT280" s="1"/>
  <c r="BV280" s="1"/>
  <c r="Y279" i="22"/>
  <c r="Y278"/>
  <c r="AU278" s="1"/>
  <c r="BL278" i="25" s="1"/>
  <c r="Y277" i="22"/>
  <c r="AU277"/>
  <c r="BL277" i="25" s="1"/>
  <c r="BT277" s="1"/>
  <c r="BV277" s="1"/>
  <c r="Y276" i="22"/>
  <c r="AU276"/>
  <c r="BL274" i="25" s="1"/>
  <c r="BT274" s="1"/>
  <c r="Y275" i="22"/>
  <c r="AU275" s="1"/>
  <c r="BL273" i="25" s="1"/>
  <c r="BT273" s="1"/>
  <c r="BV273" s="1"/>
  <c r="Y274" i="22"/>
  <c r="AU274" s="1"/>
  <c r="BL272" i="25" s="1"/>
  <c r="BT272" s="1"/>
  <c r="BV272" s="1"/>
  <c r="Y273" i="22"/>
  <c r="AU273"/>
  <c r="BL271" i="25" s="1"/>
  <c r="BT271" s="1"/>
  <c r="BV271" s="1"/>
  <c r="Y272" i="22"/>
  <c r="AU272"/>
  <c r="BL270" i="25" s="1"/>
  <c r="BT270" s="1"/>
  <c r="Y271" i="22"/>
  <c r="AU271" s="1"/>
  <c r="Y270"/>
  <c r="AU270" s="1"/>
  <c r="BL268" i="25" s="1"/>
  <c r="BT268" s="1"/>
  <c r="Y269" i="22"/>
  <c r="AU269"/>
  <c r="BL267" i="25" s="1"/>
  <c r="BT267" s="1"/>
  <c r="BV267" s="1"/>
  <c r="Y268" i="22"/>
  <c r="AU268" s="1"/>
  <c r="BL266" i="25" s="1"/>
  <c r="BT266" s="1"/>
  <c r="BV266" s="1"/>
  <c r="Y267" i="22"/>
  <c r="AU267" s="1"/>
  <c r="BL265" i="25" s="1"/>
  <c r="BT265" s="1"/>
  <c r="BV265" s="1"/>
  <c r="Y266" i="22"/>
  <c r="AU266" s="1"/>
  <c r="BL264" i="25" s="1"/>
  <c r="Y265" i="22"/>
  <c r="AU265"/>
  <c r="BL263" i="25" s="1"/>
  <c r="BT263" s="1"/>
  <c r="BV263" s="1"/>
  <c r="Y264" i="22"/>
  <c r="AU264" s="1"/>
  <c r="BL262" i="25" s="1"/>
  <c r="BT262" s="1"/>
  <c r="BV262" s="1"/>
  <c r="Y263" i="22"/>
  <c r="AU263" s="1"/>
  <c r="BL261" i="25" s="1"/>
  <c r="BT261" s="1"/>
  <c r="BV261" s="1"/>
  <c r="Y262" i="22"/>
  <c r="AU262"/>
  <c r="BL260" i="25" s="1"/>
  <c r="BT260" s="1"/>
  <c r="BV260" s="1"/>
  <c r="Y261" i="22"/>
  <c r="AU261"/>
  <c r="BL259" i="25" s="1"/>
  <c r="BT259" s="1"/>
  <c r="BV259" s="1"/>
  <c r="Y260" i="22"/>
  <c r="AU260" s="1"/>
  <c r="BL258" i="25" s="1"/>
  <c r="BT258" s="1"/>
  <c r="BV258" s="1"/>
  <c r="Y259" i="22"/>
  <c r="AU259" s="1"/>
  <c r="BL257" i="25" s="1"/>
  <c r="BT257" s="1"/>
  <c r="BV257" s="1"/>
  <c r="Y258" i="22"/>
  <c r="AU258" s="1"/>
  <c r="BL256" i="25" s="1"/>
  <c r="BT256" s="1"/>
  <c r="BV256" s="1"/>
  <c r="Y255" i="22"/>
  <c r="AU255" s="1"/>
  <c r="BL255" i="25" s="1"/>
  <c r="BT255" s="1"/>
  <c r="BV255" s="1"/>
  <c r="Y254" i="22"/>
  <c r="AU254" s="1"/>
  <c r="BL254" i="25" s="1"/>
  <c r="BT254" s="1"/>
  <c r="Y253" i="22"/>
  <c r="AU253" s="1"/>
  <c r="BL253" i="25" s="1"/>
  <c r="BT253" s="1"/>
  <c r="BV253" s="1"/>
  <c r="Y252" i="22"/>
  <c r="AU252" s="1"/>
  <c r="BL252" i="25" s="1"/>
  <c r="BT252" s="1"/>
  <c r="Y251" i="22"/>
  <c r="AU251" s="1"/>
  <c r="BL251" i="25" s="1"/>
  <c r="BT251" s="1"/>
  <c r="BV251" s="1"/>
  <c r="Y250" i="22"/>
  <c r="AU250" s="1"/>
  <c r="BL250" i="25" s="1"/>
  <c r="BT250" s="1"/>
  <c r="BV250" s="1"/>
  <c r="Y249" i="22"/>
  <c r="AU249" s="1"/>
  <c r="BL249" i="25" s="1"/>
  <c r="BT249" s="1"/>
  <c r="BV249" s="1"/>
  <c r="Y235" i="22"/>
  <c r="AU235" s="1"/>
  <c r="BL235" i="25" s="1"/>
  <c r="BT235" s="1"/>
  <c r="Y234" i="22"/>
  <c r="AU234" s="1"/>
  <c r="BL234" i="25" s="1"/>
  <c r="BT234" s="1"/>
  <c r="BV234" s="1"/>
  <c r="Y233" i="22"/>
  <c r="AU233" s="1"/>
  <c r="BL233" i="25" s="1"/>
  <c r="BT233" s="1"/>
  <c r="Y232" i="22"/>
  <c r="AU232" s="1"/>
  <c r="BL232" i="25" s="1"/>
  <c r="BT232" s="1"/>
  <c r="Y231" i="22"/>
  <c r="AU231" s="1"/>
  <c r="BL231" i="25" s="1"/>
  <c r="BT231" s="1"/>
  <c r="Y229" i="22"/>
  <c r="AU229" s="1"/>
  <c r="BL229" i="25" s="1"/>
  <c r="BT229" s="1"/>
  <c r="Y228" i="22"/>
  <c r="AU228" s="1"/>
  <c r="BL228" i="25" s="1"/>
  <c r="BT228" s="1"/>
  <c r="BV228" s="1"/>
  <c r="Y227" i="22"/>
  <c r="AU227" s="1"/>
  <c r="BL227" i="25" s="1"/>
  <c r="BT227" s="1"/>
  <c r="Y226" i="22"/>
  <c r="AU226" s="1"/>
  <c r="BL226" i="25" s="1"/>
  <c r="BT226" s="1"/>
  <c r="BV226" s="1"/>
  <c r="Y225" i="22"/>
  <c r="AU225" s="1"/>
  <c r="BL225" i="25" s="1"/>
  <c r="BT225" s="1"/>
  <c r="Y224" i="22"/>
  <c r="AU224" s="1"/>
  <c r="BL224" i="25" s="1"/>
  <c r="BT224" s="1"/>
  <c r="Y223" i="22"/>
  <c r="AU223" s="1"/>
  <c r="BL223" i="25" s="1"/>
  <c r="BT223" s="1"/>
  <c r="BV223" s="1"/>
  <c r="Y222" i="22"/>
  <c r="AU222" s="1"/>
  <c r="BL222" i="25" s="1"/>
  <c r="BT222" s="1"/>
  <c r="BV222" s="1"/>
  <c r="Y221" i="22"/>
  <c r="AU221" s="1"/>
  <c r="BL221" i="25" s="1"/>
  <c r="BT221" s="1"/>
  <c r="Y220" i="22"/>
  <c r="AU220"/>
  <c r="BL220" i="25" s="1"/>
  <c r="BT220" s="1"/>
  <c r="BV220" s="1"/>
  <c r="Y219" i="22"/>
  <c r="AU219" s="1"/>
  <c r="BL219" i="25" s="1"/>
  <c r="BT219" s="1"/>
  <c r="Y218" i="22"/>
  <c r="AU218" s="1"/>
  <c r="Y217"/>
  <c r="AU217" s="1"/>
  <c r="BL217" i="25"/>
  <c r="BT217" s="1"/>
  <c r="Y216" i="22"/>
  <c r="AU216" s="1"/>
  <c r="BL216" i="25"/>
  <c r="BT216" s="1"/>
  <c r="BV216" s="1"/>
  <c r="Y215" i="22"/>
  <c r="AU215" s="1"/>
  <c r="BL215" i="25"/>
  <c r="BT215" s="1"/>
  <c r="Y214" i="22"/>
  <c r="AU214"/>
  <c r="BL214" i="25" s="1"/>
  <c r="BT214" s="1"/>
  <c r="Y213" i="22"/>
  <c r="AU213"/>
  <c r="BL213" i="25" s="1"/>
  <c r="BT213" s="1"/>
  <c r="BV213" s="1"/>
  <c r="Y212" i="22"/>
  <c r="AU212" s="1"/>
  <c r="Y211"/>
  <c r="AU211" s="1"/>
  <c r="Y210"/>
  <c r="AU210" s="1"/>
  <c r="Y209"/>
  <c r="AU209" s="1"/>
  <c r="Y208"/>
  <c r="AU208" s="1"/>
  <c r="Y207"/>
  <c r="AU207" s="1"/>
  <c r="Y206"/>
  <c r="AU206" s="1"/>
  <c r="Y205"/>
  <c r="AU205" s="1"/>
  <c r="Y204"/>
  <c r="AU204" s="1"/>
  <c r="Y203"/>
  <c r="AU203" s="1"/>
  <c r="Y202"/>
  <c r="AU202" s="1"/>
  <c r="Y201"/>
  <c r="AU201" s="1"/>
  <c r="Y200"/>
  <c r="AU200" s="1"/>
  <c r="Y199"/>
  <c r="AU199" s="1"/>
  <c r="Y198"/>
  <c r="AU198" s="1"/>
  <c r="Y197"/>
  <c r="AU197" s="1"/>
  <c r="Y196"/>
  <c r="AU196" s="1"/>
  <c r="Y195"/>
  <c r="AU195" s="1"/>
  <c r="Y194"/>
  <c r="AU194" s="1"/>
  <c r="Y193"/>
  <c r="AU193" s="1"/>
  <c r="BL193" i="25" s="1"/>
  <c r="BT193" s="1"/>
  <c r="BV193" s="1"/>
  <c r="Y192" i="22"/>
  <c r="AU192" s="1"/>
  <c r="AU190"/>
  <c r="BL190" i="25" s="1"/>
  <c r="BT190" s="1"/>
  <c r="AU188" i="22"/>
  <c r="AU186"/>
  <c r="AU183"/>
  <c r="BL181" i="25"/>
  <c r="BT181" s="1"/>
  <c r="BV181" s="1"/>
  <c r="AU178" i="22"/>
  <c r="AU177"/>
  <c r="AU174"/>
  <c r="BL174" i="25"/>
  <c r="BT174" s="1"/>
  <c r="AU173" i="22"/>
  <c r="AU172"/>
  <c r="BL172" i="25" s="1"/>
  <c r="BT172" s="1"/>
  <c r="BV172" s="1"/>
  <c r="AU170" i="22"/>
  <c r="BL170" i="25" s="1"/>
  <c r="BT170" s="1"/>
  <c r="BV170" s="1"/>
  <c r="Y163" i="22"/>
  <c r="AU163"/>
  <c r="BL163" i="25" s="1"/>
  <c r="BT163" s="1"/>
  <c r="BV163" s="1"/>
  <c r="Y162" i="22"/>
  <c r="AU162" s="1"/>
  <c r="BL162" i="25" s="1"/>
  <c r="BT162" s="1"/>
  <c r="Y161" i="22"/>
  <c r="AU161" s="1"/>
  <c r="BL161" i="25" s="1"/>
  <c r="BT161" s="1"/>
  <c r="BV161" s="1"/>
  <c r="Y160" i="22"/>
  <c r="AU160" s="1"/>
  <c r="BL160" i="25" s="1"/>
  <c r="BT160" s="1"/>
  <c r="Y159" i="22"/>
  <c r="AU159"/>
  <c r="BL159" i="25" s="1"/>
  <c r="BT159" s="1"/>
  <c r="BV159" s="1"/>
  <c r="Y158" i="22"/>
  <c r="AU158" s="1"/>
  <c r="BL158" i="25" s="1"/>
  <c r="BT158" s="1"/>
  <c r="Y156" i="22"/>
  <c r="AU156" s="1"/>
  <c r="BL156" i="25" s="1"/>
  <c r="BT156" s="1"/>
  <c r="BV156" s="1"/>
  <c r="Y155" i="22"/>
  <c r="AU155" s="1"/>
  <c r="BL155" i="25" s="1"/>
  <c r="BT155" s="1"/>
  <c r="BV155" s="1"/>
  <c r="Y154" i="22"/>
  <c r="AU154"/>
  <c r="BL154" i="25" s="1"/>
  <c r="BT154" s="1"/>
  <c r="Y153" i="22"/>
  <c r="AU153"/>
  <c r="BL153" i="25" s="1"/>
  <c r="BT153" s="1"/>
  <c r="Y152" i="22"/>
  <c r="AU152"/>
  <c r="BL152" i="25" s="1"/>
  <c r="BT152" s="1"/>
  <c r="BV152" s="1"/>
  <c r="Y151" i="22"/>
  <c r="Y150"/>
  <c r="AU150" s="1"/>
  <c r="Y149"/>
  <c r="AU149" s="1"/>
  <c r="Y148"/>
  <c r="AU148" s="1"/>
  <c r="Y147"/>
  <c r="AU147" s="1"/>
  <c r="AU141"/>
  <c r="BL141" i="25" s="1"/>
  <c r="BT141" s="1"/>
  <c r="AU139" i="22"/>
  <c r="BL139" i="25"/>
  <c r="BT139" s="1"/>
  <c r="Y136" i="22"/>
  <c r="AU136" s="1"/>
  <c r="BL136" i="25" s="1"/>
  <c r="BT136" s="1"/>
  <c r="BV136" s="1"/>
  <c r="Y135" i="22"/>
  <c r="AU135" s="1"/>
  <c r="BL135" i="25" s="1"/>
  <c r="BT135" s="1"/>
  <c r="BV135" s="1"/>
  <c r="Y134" i="22"/>
  <c r="AU134"/>
  <c r="BL134" i="25" s="1"/>
  <c r="BT134" s="1"/>
  <c r="BV134" s="1"/>
  <c r="Y133" i="22"/>
  <c r="AU133"/>
  <c r="BL133" i="25" s="1"/>
  <c r="BT133" s="1"/>
  <c r="BV133" s="1"/>
  <c r="Y132" i="22"/>
  <c r="AU132" s="1"/>
  <c r="BL132" i="25" s="1"/>
  <c r="BT132" s="1"/>
  <c r="BV132" s="1"/>
  <c r="Y131" i="22"/>
  <c r="AU131" s="1"/>
  <c r="BL131" i="25" s="1"/>
  <c r="BT131" s="1"/>
  <c r="BV131" s="1"/>
  <c r="Y130" i="22"/>
  <c r="AU130"/>
  <c r="BL130" i="25" s="1"/>
  <c r="BT130" s="1"/>
  <c r="Y129" i="22"/>
  <c r="AU129"/>
  <c r="BL129" i="25" s="1"/>
  <c r="BT129" s="1"/>
  <c r="BV129" s="1"/>
  <c r="Y128" i="22"/>
  <c r="AU128"/>
  <c r="BL128" i="25" s="1"/>
  <c r="BT128" s="1"/>
  <c r="BV128" s="1"/>
  <c r="Y127" i="22"/>
  <c r="AU127" s="1"/>
  <c r="BL127" i="25" s="1"/>
  <c r="BT127" s="1"/>
  <c r="BV127" s="1"/>
  <c r="Y126" i="22"/>
  <c r="AU126" s="1"/>
  <c r="BL126" i="25" s="1"/>
  <c r="BT126" s="1"/>
  <c r="BV126" s="1"/>
  <c r="Y125" i="22"/>
  <c r="AU125"/>
  <c r="BL125" i="25" s="1"/>
  <c r="BT125" s="1"/>
  <c r="BV125" s="1"/>
  <c r="Y124" i="22"/>
  <c r="AU124"/>
  <c r="BL124" i="25" s="1"/>
  <c r="BT124" s="1"/>
  <c r="BV124" s="1"/>
  <c r="Y123" i="22"/>
  <c r="AU123" s="1"/>
  <c r="BL123" i="25" s="1"/>
  <c r="BT123" s="1"/>
  <c r="BV123" s="1"/>
  <c r="Y122" i="22"/>
  <c r="AU122" s="1"/>
  <c r="BL122" i="25" s="1"/>
  <c r="BT122" s="1"/>
  <c r="BV122" s="1"/>
  <c r="Y121" i="22"/>
  <c r="AU121"/>
  <c r="BL121" i="25" s="1"/>
  <c r="BT121" s="1"/>
  <c r="BV121" s="1"/>
  <c r="Y120" i="22"/>
  <c r="AU120"/>
  <c r="BL120" i="25" s="1"/>
  <c r="BT120" s="1"/>
  <c r="BV120" s="1"/>
  <c r="Y119" i="22"/>
  <c r="AU119" s="1"/>
  <c r="BL119" i="25" s="1"/>
  <c r="BT119" s="1"/>
  <c r="Y118" i="22"/>
  <c r="AU118" s="1"/>
  <c r="BL118" i="25" s="1"/>
  <c r="BT118" s="1"/>
  <c r="BV118" s="1"/>
  <c r="Y117" i="22"/>
  <c r="AU117" s="1"/>
  <c r="BL117" i="25" s="1"/>
  <c r="BT117" s="1"/>
  <c r="BV117" s="1"/>
  <c r="Y116" i="22"/>
  <c r="AU116"/>
  <c r="BL116" i="25" s="1"/>
  <c r="BT116" s="1"/>
  <c r="Y115" i="22"/>
  <c r="AU115"/>
  <c r="BL115" i="25" s="1"/>
  <c r="BT115" s="1"/>
  <c r="BV115" s="1"/>
  <c r="Y114" i="22"/>
  <c r="AU114"/>
  <c r="BL114" i="25" s="1"/>
  <c r="BT114" s="1"/>
  <c r="BV114" s="1"/>
  <c r="Y112" i="22"/>
  <c r="AU112" s="1"/>
  <c r="BL112" i="25" s="1"/>
  <c r="BT112" s="1"/>
  <c r="BV112" s="1"/>
  <c r="Y111" i="22"/>
  <c r="AU111" s="1"/>
  <c r="BL111" i="25" s="1"/>
  <c r="BT111" s="1"/>
  <c r="Y110" i="22"/>
  <c r="AU110"/>
  <c r="BL110" i="25" s="1"/>
  <c r="BT110" s="1"/>
  <c r="BV110" s="1"/>
  <c r="Y109" i="22"/>
  <c r="AU109" s="1"/>
  <c r="BL109" i="25" s="1"/>
  <c r="BT109" s="1"/>
  <c r="BV109" s="1"/>
  <c r="Y108" i="22"/>
  <c r="AU108" s="1"/>
  <c r="BL108" i="25" s="1"/>
  <c r="BT108" s="1"/>
  <c r="BV108" s="1"/>
  <c r="Y107" i="22"/>
  <c r="AU107"/>
  <c r="BL107" i="25" s="1"/>
  <c r="BT107" s="1"/>
  <c r="BV107" s="1"/>
  <c r="Y104" i="22"/>
  <c r="AU104"/>
  <c r="BL104" i="25" s="1"/>
  <c r="BT104" s="1"/>
  <c r="Y103" i="22"/>
  <c r="AU103" s="1"/>
  <c r="BL101" i="25" s="1"/>
  <c r="BT101" s="1"/>
  <c r="BV101" s="1"/>
  <c r="Y102" i="22"/>
  <c r="Y101"/>
  <c r="AU101"/>
  <c r="BL99" i="25" s="1"/>
  <c r="BT99" s="1"/>
  <c r="BV99" s="1"/>
  <c r="Y100" i="22"/>
  <c r="Y99"/>
  <c r="AU99" s="1"/>
  <c r="Y98"/>
  <c r="AU98" s="1"/>
  <c r="Y95"/>
  <c r="AU95" s="1"/>
  <c r="Y94"/>
  <c r="AU94" s="1"/>
  <c r="BL94" i="25" s="1"/>
  <c r="BT94" s="1"/>
  <c r="BV94" s="1"/>
  <c r="Y93" i="22"/>
  <c r="Y92"/>
  <c r="Y91"/>
  <c r="AU91" s="1"/>
  <c r="Y90"/>
  <c r="AU90" s="1"/>
  <c r="Y89"/>
  <c r="AU89" s="1"/>
  <c r="Y88"/>
  <c r="AU88" s="1"/>
  <c r="Y87"/>
  <c r="Y86"/>
  <c r="AU86"/>
  <c r="Y85"/>
  <c r="AU85"/>
  <c r="Y84"/>
  <c r="AU84"/>
  <c r="Y83"/>
  <c r="AU83"/>
  <c r="Y82"/>
  <c r="AU82"/>
  <c r="Y81"/>
  <c r="AU81"/>
  <c r="AU43"/>
  <c r="AU35"/>
  <c r="BL35" i="25" s="1"/>
  <c r="BT35" s="1"/>
  <c r="BV35" s="1"/>
  <c r="AU34" i="22"/>
  <c r="Y31"/>
  <c r="AU31" s="1"/>
  <c r="Y30"/>
  <c r="AU30" s="1"/>
  <c r="Y29"/>
  <c r="AU29" s="1"/>
  <c r="Y28"/>
  <c r="AU28" s="1"/>
  <c r="Y27"/>
  <c r="AU27" s="1"/>
  <c r="Y26"/>
  <c r="AU26" s="1"/>
  <c r="Y25"/>
  <c r="AU25" s="1"/>
  <c r="Y24"/>
  <c r="AU24" s="1"/>
  <c r="Y23"/>
  <c r="AU23" s="1"/>
  <c r="Y22"/>
  <c r="AU22" s="1"/>
  <c r="Y21"/>
  <c r="AU21" s="1"/>
  <c r="Y20"/>
  <c r="AU20" s="1"/>
  <c r="Y19"/>
  <c r="Y18"/>
  <c r="AU18"/>
  <c r="Y17"/>
  <c r="AU17"/>
  <c r="Y16"/>
  <c r="Y15"/>
  <c r="AU15" s="1"/>
  <c r="Y14"/>
  <c r="AU14" s="1"/>
  <c r="Y12"/>
  <c r="Y13"/>
  <c r="AU13"/>
  <c r="U395" i="14"/>
  <c r="AA395"/>
  <c r="W394" i="1"/>
  <c r="O394"/>
  <c r="U394" i="14"/>
  <c r="AM380" i="17"/>
  <c r="AW380" s="1"/>
  <c r="I382" i="16"/>
  <c r="G382" s="1"/>
  <c r="M393" i="2"/>
  <c r="W393" i="1"/>
  <c r="Y393"/>
  <c r="U393" i="14"/>
  <c r="AA393" s="1"/>
  <c r="M379" i="17"/>
  <c r="O382" i="15"/>
  <c r="AG382"/>
  <c r="I381" i="16"/>
  <c r="M392" i="2"/>
  <c r="W392" i="1"/>
  <c r="Y392"/>
  <c r="U392" i="14"/>
  <c r="AA392"/>
  <c r="M378" i="17"/>
  <c r="AW378"/>
  <c r="O381" i="15"/>
  <c r="AG381" s="1"/>
  <c r="I380" i="16"/>
  <c r="G380" s="1"/>
  <c r="U391" i="14"/>
  <c r="AA391" s="1"/>
  <c r="O380" i="15"/>
  <c r="AG380" s="1"/>
  <c r="I379" i="16"/>
  <c r="W390" i="1"/>
  <c r="Y390"/>
  <c r="U390" i="14"/>
  <c r="AA390"/>
  <c r="AM376" i="17"/>
  <c r="AW376"/>
  <c r="I378" i="16"/>
  <c r="G378"/>
  <c r="O392" i="10"/>
  <c r="G392"/>
  <c r="O389" i="1"/>
  <c r="Y389"/>
  <c r="U389" i="14"/>
  <c r="Q389"/>
  <c r="O378" i="15"/>
  <c r="AG378"/>
  <c r="I377" i="16"/>
  <c r="G377"/>
  <c r="M388" i="2"/>
  <c r="W388" i="1"/>
  <c r="Y388" s="1"/>
  <c r="U388" i="14"/>
  <c r="M374" i="17"/>
  <c r="AW374"/>
  <c r="S377" i="15"/>
  <c r="O377"/>
  <c r="I376" i="16"/>
  <c r="G376"/>
  <c r="G390" i="10"/>
  <c r="AI387" i="2"/>
  <c r="AE387" i="1"/>
  <c r="W387"/>
  <c r="Y387" s="1"/>
  <c r="AM387" s="1"/>
  <c r="U387" i="14"/>
  <c r="AA387" s="1"/>
  <c r="AM373" i="17"/>
  <c r="AW373" s="1"/>
  <c r="AA376" i="15"/>
  <c r="O376"/>
  <c r="AG376"/>
  <c r="I375" i="16"/>
  <c r="G375"/>
  <c r="O389" i="10"/>
  <c r="W386" i="1"/>
  <c r="U386" i="14"/>
  <c r="AA386"/>
  <c r="O375" i="15"/>
  <c r="AG375"/>
  <c r="I374" i="16"/>
  <c r="G374"/>
  <c r="G388" i="10"/>
  <c r="W385" i="1"/>
  <c r="U385" i="14"/>
  <c r="AA385"/>
  <c r="O374" i="15"/>
  <c r="AG374"/>
  <c r="I373" i="16"/>
  <c r="G373"/>
  <c r="W384" i="1"/>
  <c r="O384"/>
  <c r="Y384" s="1"/>
  <c r="AM384" s="1"/>
  <c r="U384" i="14"/>
  <c r="Q384"/>
  <c r="I372" i="16"/>
  <c r="G372" s="1"/>
  <c r="M381" i="2"/>
  <c r="W381" i="1"/>
  <c r="U381" i="14"/>
  <c r="AA381" s="1"/>
  <c r="M367" i="17"/>
  <c r="AE370" i="15"/>
  <c r="AG370"/>
  <c r="I369" i="16"/>
  <c r="U380" i="14"/>
  <c r="O369" i="15"/>
  <c r="I368" i="16"/>
  <c r="G368" s="1"/>
  <c r="W379" i="1"/>
  <c r="Y379" s="1"/>
  <c r="U379" i="14"/>
  <c r="AA379" s="1"/>
  <c r="AA368" i="15"/>
  <c r="O368"/>
  <c r="I367" i="16"/>
  <c r="G367" s="1"/>
  <c r="G381" i="10"/>
  <c r="S381" s="1"/>
  <c r="U378" i="14"/>
  <c r="O367" i="15"/>
  <c r="AG367"/>
  <c r="AI367" s="1"/>
  <c r="I366" i="16"/>
  <c r="G366" s="1"/>
  <c r="G379" i="10"/>
  <c r="O376" i="1"/>
  <c r="U376" i="14"/>
  <c r="AA376" s="1"/>
  <c r="Q376"/>
  <c r="O376" s="1"/>
  <c r="O365" i="15"/>
  <c r="I364" i="16"/>
  <c r="G364"/>
  <c r="O376" i="10"/>
  <c r="G376"/>
  <c r="AP373" i="2"/>
  <c r="M373"/>
  <c r="O373" i="1"/>
  <c r="U373" i="14"/>
  <c r="Q373"/>
  <c r="O373"/>
  <c r="M359" i="17"/>
  <c r="AW359"/>
  <c r="O362" i="15"/>
  <c r="AG362"/>
  <c r="AI362" s="1"/>
  <c r="I361" i="16"/>
  <c r="G361" s="1"/>
  <c r="U371" i="14"/>
  <c r="AA371" s="1"/>
  <c r="O360" i="15"/>
  <c r="AG360" s="1"/>
  <c r="AI360" s="1"/>
  <c r="I359" i="16"/>
  <c r="G373" i="10"/>
  <c r="W370" i="1"/>
  <c r="Y370"/>
  <c r="U370" i="14"/>
  <c r="O359" i="15"/>
  <c r="AG359" s="1"/>
  <c r="I358" i="16"/>
  <c r="G358" s="1"/>
  <c r="AE369" i="1"/>
  <c r="AK369" s="1"/>
  <c r="W369"/>
  <c r="U369" i="14"/>
  <c r="AA369"/>
  <c r="M355" i="17"/>
  <c r="AW355"/>
  <c r="AA358" i="15"/>
  <c r="AG358"/>
  <c r="I357" i="16"/>
  <c r="G370" i="10"/>
  <c r="K367" i="1"/>
  <c r="Y367"/>
  <c r="Y367" i="14"/>
  <c r="U367"/>
  <c r="Q367"/>
  <c r="S356" i="15"/>
  <c r="O356"/>
  <c r="I355" i="16"/>
  <c r="W366" i="1"/>
  <c r="U366" i="14"/>
  <c r="O355" i="15"/>
  <c r="AG355"/>
  <c r="I354" i="16"/>
  <c r="G354"/>
  <c r="AF354" s="1"/>
  <c r="W364" i="1"/>
  <c r="Y364" s="1"/>
  <c r="U364" i="14"/>
  <c r="AA364" s="1"/>
  <c r="O353" i="15"/>
  <c r="AG353" s="1"/>
  <c r="AI353" s="1"/>
  <c r="I352" i="16"/>
  <c r="G352"/>
  <c r="AF352" s="1"/>
  <c r="G364" i="10"/>
  <c r="K363" i="1"/>
  <c r="O363"/>
  <c r="U363" i="14"/>
  <c r="AA363"/>
  <c r="Q363"/>
  <c r="O352" i="15"/>
  <c r="AG352" s="1"/>
  <c r="AD351" i="16"/>
  <c r="AD348"/>
  <c r="I351"/>
  <c r="G351" s="1"/>
  <c r="AF351" s="1"/>
  <c r="U359" i="14"/>
  <c r="AA359"/>
  <c r="O348" i="15"/>
  <c r="I347" i="16"/>
  <c r="G347" s="1"/>
  <c r="G359" i="10"/>
  <c r="M358" i="2"/>
  <c r="W358" i="1"/>
  <c r="G358"/>
  <c r="U358" i="14"/>
  <c r="AA358" s="1"/>
  <c r="Q358"/>
  <c r="M344" i="17"/>
  <c r="AW344"/>
  <c r="O347" i="15"/>
  <c r="AG347" s="1"/>
  <c r="I346" i="16"/>
  <c r="G346" s="1"/>
  <c r="AF346" s="1"/>
  <c r="W354" i="1"/>
  <c r="U354" i="14"/>
  <c r="AA354" s="1"/>
  <c r="S354"/>
  <c r="O343" i="15"/>
  <c r="I342" i="16"/>
  <c r="G342" s="1"/>
  <c r="O354" i="10"/>
  <c r="U353" i="14"/>
  <c r="I341" i="16"/>
  <c r="G341" s="1"/>
  <c r="U351" i="14"/>
  <c r="O340" i="15"/>
  <c r="AG340"/>
  <c r="I337" i="16"/>
  <c r="G337"/>
  <c r="I351" i="10"/>
  <c r="G351"/>
  <c r="W350" i="1"/>
  <c r="U350" i="14"/>
  <c r="AA350" s="1"/>
  <c r="AE339" i="15"/>
  <c r="O339"/>
  <c r="I336" i="16"/>
  <c r="G336" s="1"/>
  <c r="W297" i="1"/>
  <c r="Y297"/>
  <c r="U297" i="14"/>
  <c r="AA297"/>
  <c r="O286" i="15"/>
  <c r="AG286"/>
  <c r="AI286" s="1"/>
  <c r="I285" i="16"/>
  <c r="G285" s="1"/>
  <c r="AF285" s="1"/>
  <c r="M296" i="1"/>
  <c r="U296" i="14"/>
  <c r="AA296" s="1"/>
  <c r="Q296"/>
  <c r="I284" i="16"/>
  <c r="G284"/>
  <c r="U294" i="14"/>
  <c r="AA294"/>
  <c r="O283" i="15"/>
  <c r="AG283"/>
  <c r="I282" i="16"/>
  <c r="G282"/>
  <c r="O294" i="10"/>
  <c r="G294"/>
  <c r="W293" i="1"/>
  <c r="Y293"/>
  <c r="U293" i="14"/>
  <c r="AA293"/>
  <c r="O282" i="15"/>
  <c r="AG282"/>
  <c r="I281" i="16"/>
  <c r="G281"/>
  <c r="AP292" i="2"/>
  <c r="AE292" i="1"/>
  <c r="AK292" s="1"/>
  <c r="W292"/>
  <c r="O292"/>
  <c r="Y292" s="1"/>
  <c r="U292" i="14"/>
  <c r="Q292"/>
  <c r="O292" s="1"/>
  <c r="O281" i="15"/>
  <c r="AG281" s="1"/>
  <c r="I280" i="16"/>
  <c r="G280" s="1"/>
  <c r="U291" i="14"/>
  <c r="Q291"/>
  <c r="O291"/>
  <c r="AM277" i="17"/>
  <c r="AW277"/>
  <c r="O280" i="15"/>
  <c r="AG280"/>
  <c r="AI280" s="1"/>
  <c r="I279" i="16"/>
  <c r="G279" s="1"/>
  <c r="G291" i="10"/>
  <c r="M290" i="2"/>
  <c r="W290" i="1"/>
  <c r="U290" i="14"/>
  <c r="G290"/>
  <c r="M276" i="17"/>
  <c r="AW276"/>
  <c r="O279" i="15"/>
  <c r="I278" i="16"/>
  <c r="G278" s="1"/>
  <c r="G290" i="10"/>
  <c r="W289" i="1"/>
  <c r="Y289"/>
  <c r="U289" i="14"/>
  <c r="O278" i="15"/>
  <c r="G277" i="16"/>
  <c r="K288" i="1"/>
  <c r="Y288" s="1"/>
  <c r="U288" i="14"/>
  <c r="Q288"/>
  <c r="G288"/>
  <c r="O277" i="15"/>
  <c r="AG277"/>
  <c r="I276" i="16"/>
  <c r="G276"/>
  <c r="K287" i="1"/>
  <c r="W287"/>
  <c r="O287"/>
  <c r="U287" i="14"/>
  <c r="AA287" s="1"/>
  <c r="Q287"/>
  <c r="G287"/>
  <c r="O276" i="15"/>
  <c r="AG276" s="1"/>
  <c r="I275" i="16"/>
  <c r="G275" s="1"/>
  <c r="AF275" s="1"/>
  <c r="X286" i="10"/>
  <c r="M286"/>
  <c r="U285" i="14"/>
  <c r="AA285"/>
  <c r="G285"/>
  <c r="O274" i="15"/>
  <c r="AG274" s="1"/>
  <c r="I274" i="16"/>
  <c r="G274" s="1"/>
  <c r="G285" i="10"/>
  <c r="W284" i="1"/>
  <c r="Y284"/>
  <c r="U284" i="14"/>
  <c r="O273" i="15"/>
  <c r="AG273" s="1"/>
  <c r="I273" i="16"/>
  <c r="G284" i="10"/>
  <c r="W283" i="1"/>
  <c r="O283"/>
  <c r="U283" i="14"/>
  <c r="AA283" s="1"/>
  <c r="Q283"/>
  <c r="O283" s="1"/>
  <c r="O272" i="15"/>
  <c r="I269" i="16"/>
  <c r="G269"/>
  <c r="G283" i="10"/>
  <c r="S283"/>
  <c r="U282" i="14"/>
  <c r="O271" i="15"/>
  <c r="AG271" s="1"/>
  <c r="I267" i="16"/>
  <c r="G267" s="1"/>
  <c r="G282" i="10"/>
  <c r="W281" i="1"/>
  <c r="Y281"/>
  <c r="AA281" i="14"/>
  <c r="O270" i="15"/>
  <c r="AG270" s="1"/>
  <c r="U280" i="14"/>
  <c r="AA280" s="1"/>
  <c r="O269" i="15"/>
  <c r="I265" i="16"/>
  <c r="G265"/>
  <c r="AF265" s="1"/>
  <c r="AE279" i="1"/>
  <c r="W279"/>
  <c r="Y279"/>
  <c r="U279" i="14"/>
  <c r="AA268" i="15"/>
  <c r="O268"/>
  <c r="I264" i="16"/>
  <c r="G264" s="1"/>
  <c r="AF264" s="1"/>
  <c r="G278" i="10"/>
  <c r="W277" i="1"/>
  <c r="Y277" s="1"/>
  <c r="U277" i="14"/>
  <c r="AA277" s="1"/>
  <c r="O266" i="15"/>
  <c r="AG266" s="1"/>
  <c r="I262" i="16"/>
  <c r="G262" s="1"/>
  <c r="O276" i="1"/>
  <c r="Y276" s="1"/>
  <c r="U276" i="14"/>
  <c r="Q276"/>
  <c r="O276"/>
  <c r="O265" i="15"/>
  <c r="AG265"/>
  <c r="I261" i="16"/>
  <c r="G261"/>
  <c r="AF261" s="1"/>
  <c r="U270" i="14"/>
  <c r="G270"/>
  <c r="K270"/>
  <c r="AA259" i="15"/>
  <c r="O259"/>
  <c r="I255" i="16"/>
  <c r="G255"/>
  <c r="AE269" i="1"/>
  <c r="O269"/>
  <c r="Y269" s="1"/>
  <c r="U269" i="14"/>
  <c r="AA269" s="1"/>
  <c r="Q269"/>
  <c r="G269"/>
  <c r="K269"/>
  <c r="O258" i="15"/>
  <c r="AG258"/>
  <c r="I254" i="16"/>
  <c r="G254"/>
  <c r="O269" i="10"/>
  <c r="G269"/>
  <c r="AP268" i="2"/>
  <c r="M268"/>
  <c r="K268" i="1"/>
  <c r="Y268"/>
  <c r="O268"/>
  <c r="U268" i="14"/>
  <c r="Q268"/>
  <c r="M254" i="17"/>
  <c r="AW254" s="1"/>
  <c r="O257" i="15"/>
  <c r="AG257" s="1"/>
  <c r="I253" i="16"/>
  <c r="G253" s="1"/>
  <c r="W267" i="1"/>
  <c r="U267" i="14"/>
  <c r="AA267"/>
  <c r="M267"/>
  <c r="K267"/>
  <c r="O256" i="15"/>
  <c r="AG256"/>
  <c r="I252" i="16"/>
  <c r="G267" i="10"/>
  <c r="W266" i="1"/>
  <c r="U266" i="14"/>
  <c r="AA266" s="1"/>
  <c r="M266"/>
  <c r="G266"/>
  <c r="AU252" i="17"/>
  <c r="AW252" s="1"/>
  <c r="O255" i="15"/>
  <c r="AG255" s="1"/>
  <c r="AI255" s="1"/>
  <c r="I251" i="16"/>
  <c r="G251"/>
  <c r="W265" i="1"/>
  <c r="U265" i="14"/>
  <c r="AA265" s="1"/>
  <c r="O254" i="15"/>
  <c r="AG254" s="1"/>
  <c r="I250" i="16"/>
  <c r="G250" s="1"/>
  <c r="O264" i="1"/>
  <c r="U264" i="14"/>
  <c r="Q264"/>
  <c r="O264" s="1"/>
  <c r="O253" i="15"/>
  <c r="I249" i="16"/>
  <c r="U262" i="14"/>
  <c r="AA262" s="1"/>
  <c r="G262"/>
  <c r="O251" i="15"/>
  <c r="I247" i="16"/>
  <c r="G262" i="10"/>
  <c r="W261" i="1"/>
  <c r="O261"/>
  <c r="Y261"/>
  <c r="U261" i="14"/>
  <c r="AA261"/>
  <c r="Q261"/>
  <c r="AM247" i="17"/>
  <c r="AW247" s="1"/>
  <c r="O250" i="15"/>
  <c r="AG250" s="1"/>
  <c r="I246" i="16"/>
  <c r="O261" i="10"/>
  <c r="O260" i="1"/>
  <c r="U260" i="14"/>
  <c r="G260"/>
  <c r="K260" s="1"/>
  <c r="M246" i="17"/>
  <c r="I245" i="16"/>
  <c r="U259" i="14"/>
  <c r="AI255" i="2"/>
  <c r="O255" i="1"/>
  <c r="Y255" s="1"/>
  <c r="U255" i="14"/>
  <c r="G255"/>
  <c r="K255"/>
  <c r="O244" i="15"/>
  <c r="AG244"/>
  <c r="I242" i="16"/>
  <c r="G242"/>
  <c r="AF242" s="1"/>
  <c r="G139" i="10"/>
  <c r="O139"/>
  <c r="W138" i="1"/>
  <c r="U137" i="14"/>
  <c r="AA137"/>
  <c r="G137"/>
  <c r="K137"/>
  <c r="AA127" i="15"/>
  <c r="O127"/>
  <c r="I122" i="16"/>
  <c r="G122"/>
  <c r="AP137" i="2"/>
  <c r="O137" i="1"/>
  <c r="Y137" s="1"/>
  <c r="U136" i="14"/>
  <c r="Q136"/>
  <c r="O126" i="15"/>
  <c r="AG126" s="1"/>
  <c r="AI126" s="1"/>
  <c r="I121" i="16"/>
  <c r="G121"/>
  <c r="O135" i="1"/>
  <c r="U134" i="14"/>
  <c r="AA134"/>
  <c r="Q134"/>
  <c r="O124" i="15"/>
  <c r="AG124" s="1"/>
  <c r="I119" i="16"/>
  <c r="G119" s="1"/>
  <c r="O134" i="1"/>
  <c r="Y133" i="14"/>
  <c r="U133"/>
  <c r="Q133"/>
  <c r="O123" i="15"/>
  <c r="AG123" s="1"/>
  <c r="I118" i="16"/>
  <c r="G118" s="1"/>
  <c r="W133" i="1"/>
  <c r="Y133" s="1"/>
  <c r="U132" i="14"/>
  <c r="AA122" i="15"/>
  <c r="O122"/>
  <c r="I117" i="16"/>
  <c r="G117"/>
  <c r="K131" i="1"/>
  <c r="O131"/>
  <c r="U130" i="14"/>
  <c r="AA130"/>
  <c r="Q130"/>
  <c r="I115" i="16"/>
  <c r="G115" s="1"/>
  <c r="O131" i="10"/>
  <c r="W130" i="1"/>
  <c r="Y130" s="1"/>
  <c r="Y129" i="14"/>
  <c r="U129"/>
  <c r="O119" i="15"/>
  <c r="AG119" s="1"/>
  <c r="I114" i="16"/>
  <c r="G114" s="1"/>
  <c r="O129" i="1"/>
  <c r="U128" i="14"/>
  <c r="AA128"/>
  <c r="O118" i="15"/>
  <c r="I113" i="16"/>
  <c r="U127" i="14"/>
  <c r="O117" i="15"/>
  <c r="AG117" s="1"/>
  <c r="AI117" s="1"/>
  <c r="I112" i="16"/>
  <c r="G112"/>
  <c r="W127" i="1"/>
  <c r="Y127"/>
  <c r="O116" i="15"/>
  <c r="AG116"/>
  <c r="I111" i="16"/>
  <c r="G111"/>
  <c r="U125" i="14"/>
  <c r="AA125"/>
  <c r="Q125"/>
  <c r="O115" i="15"/>
  <c r="AG115" s="1"/>
  <c r="AI115" s="1"/>
  <c r="I110" i="16"/>
  <c r="G110"/>
  <c r="W125" i="1"/>
  <c r="U125"/>
  <c r="O125"/>
  <c r="Y125"/>
  <c r="U124" i="14"/>
  <c r="O114" i="15"/>
  <c r="G114"/>
  <c r="M114"/>
  <c r="I109" i="16"/>
  <c r="G109"/>
  <c r="O136" i="1"/>
  <c r="Y136"/>
  <c r="U135" i="14"/>
  <c r="O125" i="15"/>
  <c r="AG125" s="1"/>
  <c r="I120" i="16"/>
  <c r="G120" s="1"/>
  <c r="Q123" i="10"/>
  <c r="K123"/>
  <c r="G123"/>
  <c r="W124" i="1"/>
  <c r="O124"/>
  <c r="Y124" s="1"/>
  <c r="U123" i="14"/>
  <c r="AA123" s="1"/>
  <c r="AA113" i="15"/>
  <c r="O113"/>
  <c r="I108" i="16"/>
  <c r="G122" i="10"/>
  <c r="W123" i="1"/>
  <c r="Y123" s="1"/>
  <c r="U122" i="14"/>
  <c r="AA122" s="1"/>
  <c r="AA112" i="15"/>
  <c r="O112"/>
  <c r="I107" i="16"/>
  <c r="G107" s="1"/>
  <c r="G119" i="10"/>
  <c r="AE120" i="1"/>
  <c r="W120"/>
  <c r="O120"/>
  <c r="Y119" i="14"/>
  <c r="U119"/>
  <c r="Q119"/>
  <c r="O119" s="1"/>
  <c r="AC119" s="1"/>
  <c r="O109" i="15"/>
  <c r="I104" i="16"/>
  <c r="G104"/>
  <c r="W119" i="1"/>
  <c r="Y119" s="1"/>
  <c r="U118" i="14"/>
  <c r="O108" i="15"/>
  <c r="AG108"/>
  <c r="I103" i="16"/>
  <c r="G103"/>
  <c r="G116" i="10"/>
  <c r="M117" i="2"/>
  <c r="K117" i="1"/>
  <c r="Y117"/>
  <c r="U116" i="14"/>
  <c r="G116"/>
  <c r="M102" i="17"/>
  <c r="AW102"/>
  <c r="O106" i="15"/>
  <c r="AG106"/>
  <c r="I101" i="16"/>
  <c r="G101"/>
  <c r="W88" i="1"/>
  <c r="Y88"/>
  <c r="U88" i="14"/>
  <c r="O79" i="15"/>
  <c r="AG79" s="1"/>
  <c r="M31" i="10"/>
  <c r="O31" i="1"/>
  <c r="AG28" i="15"/>
  <c r="G115" i="10"/>
  <c r="AI116" i="2"/>
  <c r="M116"/>
  <c r="U115" i="14"/>
  <c r="G115"/>
  <c r="M101" i="17"/>
  <c r="O105" i="15"/>
  <c r="I100" i="16"/>
  <c r="G100" s="1"/>
  <c r="U113" i="14"/>
  <c r="AM99" i="17"/>
  <c r="O103" i="15"/>
  <c r="AG103"/>
  <c r="AI103" s="1"/>
  <c r="G111" i="10"/>
  <c r="S111" s="1"/>
  <c r="K112" i="1"/>
  <c r="W112"/>
  <c r="O112"/>
  <c r="U111" i="14"/>
  <c r="AA111"/>
  <c r="Q111"/>
  <c r="O101" i="15"/>
  <c r="AG101" s="1"/>
  <c r="I96" i="16"/>
  <c r="G96" s="1"/>
  <c r="U110" i="14"/>
  <c r="AA110" s="1"/>
  <c r="O100" i="15"/>
  <c r="AG100" s="1"/>
  <c r="I95" i="16"/>
  <c r="W110" i="1"/>
  <c r="Y110"/>
  <c r="Y109" i="14"/>
  <c r="U109"/>
  <c r="O99" i="15"/>
  <c r="AG99"/>
  <c r="AI99" s="1"/>
  <c r="I94" i="16"/>
  <c r="O108" i="10"/>
  <c r="W109" i="1"/>
  <c r="O109"/>
  <c r="U108" i="14"/>
  <c r="AA108" s="1"/>
  <c r="Q108"/>
  <c r="U104"/>
  <c r="O93" i="15"/>
  <c r="I89" i="16"/>
  <c r="G89"/>
  <c r="W103" i="1"/>
  <c r="U103" i="14"/>
  <c r="AA103" s="1"/>
  <c r="O92" i="15"/>
  <c r="I88" i="16"/>
  <c r="G88"/>
  <c r="U102" i="14"/>
  <c r="AA102"/>
  <c r="Q102"/>
  <c r="O91" i="15"/>
  <c r="AG91" s="1"/>
  <c r="I87" i="16"/>
  <c r="G87" s="1"/>
  <c r="W101" i="1"/>
  <c r="Y101" s="1"/>
  <c r="U101" i="14"/>
  <c r="O90" i="15"/>
  <c r="AG90"/>
  <c r="I86" i="16"/>
  <c r="G86"/>
  <c r="M98" i="2"/>
  <c r="W100" i="1"/>
  <c r="Y100" s="1"/>
  <c r="U100" i="14"/>
  <c r="M86" i="17"/>
  <c r="AW86"/>
  <c r="AA89" i="15"/>
  <c r="O89"/>
  <c r="I85" i="16"/>
  <c r="G85"/>
  <c r="U99" i="14"/>
  <c r="O88" i="15"/>
  <c r="AG88" s="1"/>
  <c r="I84" i="16"/>
  <c r="G84" s="1"/>
  <c r="W96" i="1"/>
  <c r="Y96"/>
  <c r="U96" i="14"/>
  <c r="O85" i="15"/>
  <c r="AG85" s="1"/>
  <c r="I83" i="16"/>
  <c r="G83" s="1"/>
  <c r="W94" i="1"/>
  <c r="U94" i="14"/>
  <c r="O83" i="15"/>
  <c r="AG83" s="1"/>
  <c r="AI83" s="1"/>
  <c r="K82" i="16"/>
  <c r="I82"/>
  <c r="W93" i="1"/>
  <c r="Y93"/>
  <c r="U93" i="14"/>
  <c r="O82" i="15"/>
  <c r="I81" i="16"/>
  <c r="G81"/>
  <c r="W89" i="1"/>
  <c r="U89" i="14"/>
  <c r="AA89" s="1"/>
  <c r="Q89"/>
  <c r="O89" s="1"/>
  <c r="O80" i="15"/>
  <c r="AG80" s="1"/>
  <c r="AI80" s="1"/>
  <c r="I79" i="16"/>
  <c r="G79"/>
  <c r="I78"/>
  <c r="O88" i="10"/>
  <c r="S88"/>
  <c r="K88"/>
  <c r="K86" i="1"/>
  <c r="W86"/>
  <c r="O86"/>
  <c r="U86" i="14"/>
  <c r="Q86"/>
  <c r="O86" s="1"/>
  <c r="O77" i="15"/>
  <c r="AG77" s="1"/>
  <c r="AI77" s="1"/>
  <c r="I76" i="16"/>
  <c r="G76"/>
  <c r="O89" i="10"/>
  <c r="G89"/>
  <c r="K87" i="1"/>
  <c r="W87"/>
  <c r="O87"/>
  <c r="U87" i="14"/>
  <c r="Q87"/>
  <c r="O87"/>
  <c r="M76" i="17"/>
  <c r="AW76"/>
  <c r="O78" i="15"/>
  <c r="AG78"/>
  <c r="AI78" s="1"/>
  <c r="I77" i="16"/>
  <c r="G87" i="10"/>
  <c r="W85" i="1"/>
  <c r="Y85" s="1"/>
  <c r="U85" i="14"/>
  <c r="O76" i="15"/>
  <c r="AG76"/>
  <c r="I75" i="16"/>
  <c r="G75"/>
  <c r="M86" i="10"/>
  <c r="G86"/>
  <c r="S86" s="1"/>
  <c r="W84" i="1"/>
  <c r="O84"/>
  <c r="U84" i="14"/>
  <c r="AA84" s="1"/>
  <c r="Q84"/>
  <c r="O84" s="1"/>
  <c r="O75" i="15"/>
  <c r="AG75" s="1"/>
  <c r="K74" i="16"/>
  <c r="AD74" s="1"/>
  <c r="I74"/>
  <c r="U82" i="14"/>
  <c r="G82"/>
  <c r="O74" i="15"/>
  <c r="AG74"/>
  <c r="W81" i="1"/>
  <c r="Y81"/>
  <c r="M81" i="2"/>
  <c r="U81" i="14"/>
  <c r="M71" i="17"/>
  <c r="AA73" i="15"/>
  <c r="O73"/>
  <c r="G30" i="10"/>
  <c r="U30" i="14"/>
  <c r="AO28" i="17"/>
  <c r="AM28"/>
  <c r="O27" i="15"/>
  <c r="AG27" s="1"/>
  <c r="I27" i="16"/>
  <c r="G27" s="1"/>
  <c r="M29" i="2"/>
  <c r="W29" i="1"/>
  <c r="Y29"/>
  <c r="U29" i="14"/>
  <c r="M27" i="17"/>
  <c r="AW27" s="1"/>
  <c r="O26" i="15"/>
  <c r="AG26" s="1"/>
  <c r="I26" i="16"/>
  <c r="G26" s="1"/>
  <c r="G28" i="10"/>
  <c r="O28"/>
  <c r="W28" i="1"/>
  <c r="O28"/>
  <c r="U28" i="14"/>
  <c r="AA28" s="1"/>
  <c r="Q28"/>
  <c r="O28" s="1"/>
  <c r="O25" i="15"/>
  <c r="AG25" s="1"/>
  <c r="W27" i="1"/>
  <c r="U27" i="14"/>
  <c r="AA27"/>
  <c r="O24" i="15"/>
  <c r="AG24"/>
  <c r="AI24" s="1"/>
  <c r="I24" i="16"/>
  <c r="G24" s="1"/>
  <c r="G26" i="10"/>
  <c r="AG26" i="1"/>
  <c r="AK26"/>
  <c r="W26"/>
  <c r="Y26"/>
  <c r="U26" i="14"/>
  <c r="AA26"/>
  <c r="AA23" i="15"/>
  <c r="O23"/>
  <c r="I23" i="16"/>
  <c r="G23"/>
  <c r="AG22" i="15"/>
  <c r="U23" i="14"/>
  <c r="O21" i="15"/>
  <c r="AG21"/>
  <c r="I21" i="16"/>
  <c r="G21"/>
  <c r="U22" i="14"/>
  <c r="W22" i="1"/>
  <c r="O20" i="15"/>
  <c r="AG20"/>
  <c r="I20" i="16"/>
  <c r="G20"/>
  <c r="U20" i="14"/>
  <c r="O19" i="15"/>
  <c r="AG19" s="1"/>
  <c r="I19" i="16"/>
  <c r="G19" s="1"/>
  <c r="G19" i="10"/>
  <c r="M19"/>
  <c r="O19" i="1"/>
  <c r="U19" i="14"/>
  <c r="Q19"/>
  <c r="O19" s="1"/>
  <c r="O18" i="15"/>
  <c r="I18" i="16"/>
  <c r="W18" i="1"/>
  <c r="M18"/>
  <c r="O18"/>
  <c r="Y18" s="1"/>
  <c r="U18" i="14"/>
  <c r="AA17" i="15"/>
  <c r="U17"/>
  <c r="O17"/>
  <c r="I17" i="16"/>
  <c r="G17" s="1"/>
  <c r="G17" i="10"/>
  <c r="W17" i="1"/>
  <c r="U17" i="14"/>
  <c r="AA17" s="1"/>
  <c r="O16" i="15"/>
  <c r="AG16" s="1"/>
  <c r="I16" i="16"/>
  <c r="G16" i="10"/>
  <c r="W16" i="1"/>
  <c r="U16" i="14"/>
  <c r="AA16"/>
  <c r="M16" i="17"/>
  <c r="O15" i="15"/>
  <c r="AG15" s="1"/>
  <c r="I15" i="16"/>
  <c r="G15" s="1"/>
  <c r="M14" i="2"/>
  <c r="W14" i="1"/>
  <c r="Y14"/>
  <c r="U14" i="14"/>
  <c r="AA14"/>
  <c r="G14"/>
  <c r="M14" i="17"/>
  <c r="AW14" s="1"/>
  <c r="AA14" i="15"/>
  <c r="O14"/>
  <c r="I14" i="16"/>
  <c r="G13" i="10"/>
  <c r="S13"/>
  <c r="U13" i="14"/>
  <c r="AA13"/>
  <c r="O13" i="15"/>
  <c r="AG13"/>
  <c r="I13" i="16"/>
  <c r="G13"/>
  <c r="M12" i="2"/>
  <c r="U12" i="14"/>
  <c r="G12"/>
  <c r="M12" i="17"/>
  <c r="AW12" s="1"/>
  <c r="O12" i="15"/>
  <c r="AG12" s="1"/>
  <c r="AI12" s="1"/>
  <c r="AY12" i="17" s="1"/>
  <c r="BC12" s="1"/>
  <c r="BE12" s="1"/>
  <c r="I12" i="16"/>
  <c r="G12" s="1"/>
  <c r="G551" i="10"/>
  <c r="S551" s="1"/>
  <c r="AG547" i="1"/>
  <c r="AK547" s="1"/>
  <c r="W547"/>
  <c r="Y547" s="1"/>
  <c r="U547" i="14"/>
  <c r="AA547" s="1"/>
  <c r="AA536" i="15"/>
  <c r="O536"/>
  <c r="I534" i="16"/>
  <c r="W543" i="1"/>
  <c r="Y543"/>
  <c r="U543" i="14"/>
  <c r="O532" i="15"/>
  <c r="AG532" s="1"/>
  <c r="I530" i="16"/>
  <c r="G530" s="1"/>
  <c r="O550" i="10"/>
  <c r="M550"/>
  <c r="G550"/>
  <c r="K546" i="1"/>
  <c r="W546"/>
  <c r="O546"/>
  <c r="U546" i="14"/>
  <c r="Q546"/>
  <c r="O546"/>
  <c r="G546"/>
  <c r="O535" i="15"/>
  <c r="AG535" s="1"/>
  <c r="I533" i="16"/>
  <c r="G533" s="1"/>
  <c r="AF533" s="1"/>
  <c r="W544" i="1"/>
  <c r="Y544" s="1"/>
  <c r="U544" i="14"/>
  <c r="I531" i="16"/>
  <c r="G531"/>
  <c r="AF531" s="1"/>
  <c r="U542" i="14"/>
  <c r="O531" i="15"/>
  <c r="AG531"/>
  <c r="I529" i="16"/>
  <c r="G529"/>
  <c r="AP541" i="2"/>
  <c r="AG541" i="1"/>
  <c r="AK541" s="1"/>
  <c r="K541"/>
  <c r="W541"/>
  <c r="O541"/>
  <c r="U541" i="14"/>
  <c r="Q541"/>
  <c r="O541" s="1"/>
  <c r="O530" i="15"/>
  <c r="AG530" s="1"/>
  <c r="AI530" s="1"/>
  <c r="I528" i="16"/>
  <c r="G528"/>
  <c r="K543" i="10"/>
  <c r="S543"/>
  <c r="K539" i="1"/>
  <c r="W539"/>
  <c r="O539"/>
  <c r="U539" i="14"/>
  <c r="AA539" s="1"/>
  <c r="Q539"/>
  <c r="O528" i="15"/>
  <c r="AG528"/>
  <c r="I526" i="16"/>
  <c r="G526"/>
  <c r="G540" i="10"/>
  <c r="K536" i="1"/>
  <c r="U536" i="14"/>
  <c r="AA536"/>
  <c r="I523" i="16"/>
  <c r="G523"/>
  <c r="G538" i="10"/>
  <c r="W534" i="1"/>
  <c r="U534" i="14"/>
  <c r="O523" i="15"/>
  <c r="AG523" s="1"/>
  <c r="I521" i="16"/>
  <c r="G521" s="1"/>
  <c r="AF521" s="1"/>
  <c r="I519"/>
  <c r="G519"/>
  <c r="AF519" s="1"/>
  <c r="G537" i="10"/>
  <c r="S537" s="1"/>
  <c r="W533" i="1"/>
  <c r="Y533" s="1"/>
  <c r="AM533" s="1"/>
  <c r="BL533" i="2" s="1"/>
  <c r="BS533" s="1"/>
  <c r="BU533" s="1"/>
  <c r="U533" i="14"/>
  <c r="O522" i="15"/>
  <c r="AG522"/>
  <c r="I520" i="16"/>
  <c r="G520"/>
  <c r="W530" i="1"/>
  <c r="Y530"/>
  <c r="U530" i="14"/>
  <c r="AA530"/>
  <c r="O519" i="15"/>
  <c r="I517" i="16"/>
  <c r="G517" s="1"/>
  <c r="O533" i="10"/>
  <c r="K529" i="1"/>
  <c r="W529"/>
  <c r="O529"/>
  <c r="U529" i="14"/>
  <c r="AA529" s="1"/>
  <c r="Q529"/>
  <c r="O518" i="15"/>
  <c r="AG518"/>
  <c r="I516" i="16"/>
  <c r="G516"/>
  <c r="AF516" s="1"/>
  <c r="G532" i="10"/>
  <c r="U528" i="14"/>
  <c r="AA528"/>
  <c r="O517" i="15"/>
  <c r="I515" i="16"/>
  <c r="G515" s="1"/>
  <c r="AF515" s="1"/>
  <c r="U527" i="14"/>
  <c r="AA527"/>
  <c r="AA516" i="15"/>
  <c r="O516"/>
  <c r="I514" i="16"/>
  <c r="G514"/>
  <c r="AF514" s="1"/>
  <c r="K530" i="10"/>
  <c r="K526" i="1"/>
  <c r="W526"/>
  <c r="O526"/>
  <c r="U526" i="14"/>
  <c r="Q526"/>
  <c r="O515" i="15"/>
  <c r="AG515" s="1"/>
  <c r="I513" i="16"/>
  <c r="G513" s="1"/>
  <c r="W524" i="1"/>
  <c r="Y524" s="1"/>
  <c r="U524" i="14"/>
  <c r="O513" i="15"/>
  <c r="AG513"/>
  <c r="I511" i="16"/>
  <c r="G511"/>
  <c r="W523" i="1"/>
  <c r="U523" i="14"/>
  <c r="AA512" i="15"/>
  <c r="O512"/>
  <c r="I510" i="16"/>
  <c r="G510"/>
  <c r="G526" i="10"/>
  <c r="W522" i="1"/>
  <c r="O522"/>
  <c r="Y522"/>
  <c r="U522" i="14"/>
  <c r="O511" i="15"/>
  <c r="AG511" s="1"/>
  <c r="I509" i="16"/>
  <c r="G509" s="1"/>
  <c r="G525" i="10"/>
  <c r="O521" i="1"/>
  <c r="Y521"/>
  <c r="U521" i="14"/>
  <c r="AA521"/>
  <c r="Q521"/>
  <c r="O510" i="15"/>
  <c r="AG510" s="1"/>
  <c r="I508" i="16"/>
  <c r="G508" s="1"/>
  <c r="AA520" i="14"/>
  <c r="G507" i="16"/>
  <c r="K519" i="1"/>
  <c r="Y519" s="1"/>
  <c r="O519"/>
  <c r="U519" i="14"/>
  <c r="AA519"/>
  <c r="O508" i="15"/>
  <c r="AG508"/>
  <c r="I506" i="16"/>
  <c r="G506"/>
  <c r="AN516" i="2"/>
  <c r="AI518" i="1"/>
  <c r="U518" i="14"/>
  <c r="AA518"/>
  <c r="AO503" i="17"/>
  <c r="AW503"/>
  <c r="O507" i="15"/>
  <c r="AG507"/>
  <c r="I505" i="16"/>
  <c r="G505"/>
  <c r="O515" i="1"/>
  <c r="Y515"/>
  <c r="U515" i="14"/>
  <c r="I503" i="16"/>
  <c r="G503" s="1"/>
  <c r="AZ512" i="2"/>
  <c r="BJ512" s="1"/>
  <c r="AI514" i="1"/>
  <c r="AK514"/>
  <c r="W514"/>
  <c r="Y514"/>
  <c r="U514" i="14"/>
  <c r="O503" i="15"/>
  <c r="AG503" s="1"/>
  <c r="I502" i="16"/>
  <c r="G502" s="1"/>
  <c r="G517" i="10"/>
  <c r="O517"/>
  <c r="M517"/>
  <c r="M511" i="2"/>
  <c r="K513" i="1"/>
  <c r="O513"/>
  <c r="Y513"/>
  <c r="U513" i="14"/>
  <c r="Q513"/>
  <c r="M498" i="17"/>
  <c r="AW498"/>
  <c r="Q502" i="15"/>
  <c r="O502"/>
  <c r="AG502" s="1"/>
  <c r="AI502" s="1"/>
  <c r="AY498" i="17" s="1"/>
  <c r="BC498" s="1"/>
  <c r="BE498" s="1"/>
  <c r="I501" i="16"/>
  <c r="G501" s="1"/>
  <c r="W512" i="1"/>
  <c r="O512"/>
  <c r="U512" i="14"/>
  <c r="AA512" s="1"/>
  <c r="I500" i="16"/>
  <c r="G500" s="1"/>
  <c r="U515" i="10"/>
  <c r="G515"/>
  <c r="AN509" i="2"/>
  <c r="U511" i="14"/>
  <c r="AO496" i="17"/>
  <c r="AW496" s="1"/>
  <c r="K499" i="16"/>
  <c r="I499"/>
  <c r="X422" i="10"/>
  <c r="O422"/>
  <c r="AI419" i="2"/>
  <c r="AZ419" s="1"/>
  <c r="BJ419" s="1"/>
  <c r="O419" i="1"/>
  <c r="U419" i="14"/>
  <c r="I407" i="16"/>
  <c r="G407" s="1"/>
  <c r="G462" i="10"/>
  <c r="S462" s="1"/>
  <c r="W459" i="1"/>
  <c r="U459" i="14"/>
  <c r="O448" i="15"/>
  <c r="I447" i="16"/>
  <c r="G447"/>
  <c r="U458" i="14"/>
  <c r="I446" i="16"/>
  <c r="G446" s="1"/>
  <c r="O460" i="10"/>
  <c r="G460"/>
  <c r="S460"/>
  <c r="Y457" i="14"/>
  <c r="U457"/>
  <c r="AA457" s="1"/>
  <c r="AO443" i="17"/>
  <c r="M443"/>
  <c r="O446" i="15"/>
  <c r="I445" i="16"/>
  <c r="G445"/>
  <c r="W456" i="1"/>
  <c r="U456" i="14"/>
  <c r="O445" i="15"/>
  <c r="AG445"/>
  <c r="I444" i="16"/>
  <c r="G444"/>
  <c r="W454" i="1"/>
  <c r="K454"/>
  <c r="Y454" s="1"/>
  <c r="O454"/>
  <c r="U454" i="14"/>
  <c r="Q454"/>
  <c r="O454" s="1"/>
  <c r="O443" i="15"/>
  <c r="AG443" s="1"/>
  <c r="AI443" s="1"/>
  <c r="I442" i="16"/>
  <c r="G442"/>
  <c r="U453" i="14"/>
  <c r="AA442" i="15"/>
  <c r="O442"/>
  <c r="I441" i="16"/>
  <c r="G441" s="1"/>
  <c r="G455" i="10"/>
  <c r="O452" i="1"/>
  <c r="U452" i="14"/>
  <c r="Q452"/>
  <c r="O441" i="15"/>
  <c r="AG441" s="1"/>
  <c r="K440" i="16"/>
  <c r="AD440" s="1"/>
  <c r="I440"/>
  <c r="G454" i="10"/>
  <c r="O454"/>
  <c r="S454" s="1"/>
  <c r="O451" i="1"/>
  <c r="Y451" s="1"/>
  <c r="U451" i="14"/>
  <c r="G451"/>
  <c r="K451"/>
  <c r="O440" i="15"/>
  <c r="AG440"/>
  <c r="I439" i="16"/>
  <c r="G439"/>
  <c r="W450" i="1"/>
  <c r="U450" i="14"/>
  <c r="AA450" s="1"/>
  <c r="AA439" i="15"/>
  <c r="O439"/>
  <c r="AG439"/>
  <c r="I438" i="16"/>
  <c r="G438"/>
  <c r="BH449" i="2"/>
  <c r="AG449" i="1"/>
  <c r="W449"/>
  <c r="Y449"/>
  <c r="U449" i="14"/>
  <c r="O438" i="15"/>
  <c r="AG438" s="1"/>
  <c r="I437" i="16"/>
  <c r="G437" s="1"/>
  <c r="U448" i="14"/>
  <c r="AA448" s="1"/>
  <c r="O437" i="15"/>
  <c r="AG437" s="1"/>
  <c r="I436" i="16"/>
  <c r="G436" s="1"/>
  <c r="G450" i="10"/>
  <c r="W447" i="1"/>
  <c r="U447" i="14"/>
  <c r="O436" i="15"/>
  <c r="AG436"/>
  <c r="I435" i="16"/>
  <c r="G435"/>
  <c r="W446" i="1"/>
  <c r="U446" i="14"/>
  <c r="AA435" i="15"/>
  <c r="O435"/>
  <c r="AG435" s="1"/>
  <c r="I434" i="16"/>
  <c r="G434" s="1"/>
  <c r="AF434" s="1"/>
  <c r="G448" i="10"/>
  <c r="O445" i="1"/>
  <c r="Y445" s="1"/>
  <c r="U445" i="14"/>
  <c r="AA445" s="1"/>
  <c r="Q445"/>
  <c r="O445" s="1"/>
  <c r="O434" i="15"/>
  <c r="I433" i="16"/>
  <c r="G433"/>
  <c r="AF433" s="1"/>
  <c r="G447" i="10"/>
  <c r="S447" s="1"/>
  <c r="O444" i="1"/>
  <c r="U444" i="14"/>
  <c r="AA444"/>
  <c r="AA433" i="15"/>
  <c r="O433"/>
  <c r="I432" i="16"/>
  <c r="G432"/>
  <c r="O443" i="1"/>
  <c r="U443" i="14"/>
  <c r="Q443"/>
  <c r="O443"/>
  <c r="I431" i="16"/>
  <c r="G431"/>
  <c r="AG440" i="1"/>
  <c r="AK440"/>
  <c r="W440"/>
  <c r="Y440"/>
  <c r="U440" i="14"/>
  <c r="AA440"/>
  <c r="O429" i="15"/>
  <c r="AG429"/>
  <c r="I428" i="16"/>
  <c r="G428"/>
  <c r="O440" i="10"/>
  <c r="W437" i="1"/>
  <c r="U437" i="14"/>
  <c r="AA437"/>
  <c r="O426" i="15"/>
  <c r="I425" i="16"/>
  <c r="G439" i="10"/>
  <c r="S439"/>
  <c r="U436" i="14"/>
  <c r="AA436"/>
  <c r="U422" i="17"/>
  <c r="AW422"/>
  <c r="O425" i="15"/>
  <c r="AG425"/>
  <c r="AI425" s="1"/>
  <c r="M424" i="16"/>
  <c r="I424"/>
  <c r="G424"/>
  <c r="G423"/>
  <c r="G437" i="10"/>
  <c r="S437" s="1"/>
  <c r="M432" i="2"/>
  <c r="AZ432" s="1"/>
  <c r="BJ432" s="1"/>
  <c r="W434" i="1"/>
  <c r="M434"/>
  <c r="U434" i="14"/>
  <c r="M420" i="17"/>
  <c r="O423" i="15"/>
  <c r="AG423" s="1"/>
  <c r="AI423" s="1"/>
  <c r="I422" i="16"/>
  <c r="G422"/>
  <c r="G435" i="10"/>
  <c r="O432" i="1"/>
  <c r="Y432" s="1"/>
  <c r="U432" i="14"/>
  <c r="Q432"/>
  <c r="M418" i="17"/>
  <c r="AW418" s="1"/>
  <c r="O421" i="15"/>
  <c r="AG421" s="1"/>
  <c r="K420" i="16"/>
  <c r="AD420" s="1"/>
  <c r="I420"/>
  <c r="G434" i="10"/>
  <c r="M434"/>
  <c r="O431" i="1"/>
  <c r="U431" i="14"/>
  <c r="Q431"/>
  <c r="G431"/>
  <c r="O420" i="15"/>
  <c r="AG420"/>
  <c r="I419" i="16"/>
  <c r="G419"/>
  <c r="G430" i="10"/>
  <c r="O430"/>
  <c r="G427" i="14"/>
  <c r="K427"/>
  <c r="M427" i="2"/>
  <c r="O429" i="1"/>
  <c r="U427" i="14"/>
  <c r="AA427"/>
  <c r="Q427"/>
  <c r="M415" i="17"/>
  <c r="AW415" s="1"/>
  <c r="O418" i="15"/>
  <c r="AG418" s="1"/>
  <c r="I417" i="16"/>
  <c r="G417" s="1"/>
  <c r="W430" i="1"/>
  <c r="U430" i="14"/>
  <c r="G430"/>
  <c r="K430" s="1"/>
  <c r="O419" i="15"/>
  <c r="AG419" s="1"/>
  <c r="I418" i="16"/>
  <c r="G418" s="1"/>
  <c r="K425" i="1"/>
  <c r="Y425" s="1"/>
  <c r="W425"/>
  <c r="O425"/>
  <c r="U425" i="14"/>
  <c r="O414" i="15"/>
  <c r="AG414"/>
  <c r="I415" i="16"/>
  <c r="G415"/>
  <c r="G427" i="10"/>
  <c r="U424" i="14"/>
  <c r="AA424" s="1"/>
  <c r="G424"/>
  <c r="O413" i="15"/>
  <c r="I412" i="16"/>
  <c r="U423" i="14"/>
  <c r="Q423"/>
  <c r="O423" s="1"/>
  <c r="G423"/>
  <c r="O412" i="15"/>
  <c r="AG412"/>
  <c r="AI412" s="1"/>
  <c r="I411" i="16"/>
  <c r="G411" s="1"/>
  <c r="W422" i="1"/>
  <c r="Y422" s="1"/>
  <c r="U422" i="14"/>
  <c r="O411" i="15"/>
  <c r="AG411"/>
  <c r="K410" i="16"/>
  <c r="I410"/>
  <c r="O424" i="10"/>
  <c r="G424"/>
  <c r="AI421" i="2"/>
  <c r="AZ421"/>
  <c r="Y421" i="14"/>
  <c r="U421"/>
  <c r="AA421" s="1"/>
  <c r="G421"/>
  <c r="AO407" i="17"/>
  <c r="AW407"/>
  <c r="O410" i="15"/>
  <c r="AG410"/>
  <c r="I409" i="16"/>
  <c r="G409"/>
  <c r="W420" i="1"/>
  <c r="Y420"/>
  <c r="U420" i="14"/>
  <c r="AA420"/>
  <c r="G420"/>
  <c r="M406" i="17"/>
  <c r="AW406" s="1"/>
  <c r="O409" i="15"/>
  <c r="AG409"/>
  <c r="I408" i="16"/>
  <c r="G408"/>
  <c r="K421" i="10"/>
  <c r="S421"/>
  <c r="O418" i="1"/>
  <c r="Y418"/>
  <c r="U418" i="14"/>
  <c r="Q418"/>
  <c r="G418"/>
  <c r="K418"/>
  <c r="O407" i="15"/>
  <c r="AG407"/>
  <c r="I406" i="16"/>
  <c r="G406"/>
  <c r="G419" i="10"/>
  <c r="U416" i="14"/>
  <c r="G416"/>
  <c r="K416"/>
  <c r="O405" i="15"/>
  <c r="AG405"/>
  <c r="I404" i="16"/>
  <c r="I418" i="10"/>
  <c r="K418"/>
  <c r="AG415" i="1"/>
  <c r="AK415" s="1"/>
  <c r="W415"/>
  <c r="U415" i="14"/>
  <c r="O404" i="15"/>
  <c r="AG404" s="1"/>
  <c r="AI404" s="1"/>
  <c r="I403" i="16"/>
  <c r="G403"/>
  <c r="AF403" s="1"/>
  <c r="W412" i="1"/>
  <c r="AG412"/>
  <c r="Y412" i="14"/>
  <c r="U412"/>
  <c r="G412"/>
  <c r="O401" i="15"/>
  <c r="AG401"/>
  <c r="AI401" s="1"/>
  <c r="I400" i="16"/>
  <c r="G400" s="1"/>
  <c r="G413" i="10"/>
  <c r="S413" s="1"/>
  <c r="U410" i="2"/>
  <c r="Y410" i="14"/>
  <c r="U410"/>
  <c r="G410"/>
  <c r="AA399" i="15"/>
  <c r="O399"/>
  <c r="I398" i="16"/>
  <c r="G398" s="1"/>
  <c r="G72"/>
  <c r="G77"/>
  <c r="AW11" i="17"/>
  <c r="AG11" i="15"/>
  <c r="M11"/>
  <c r="M12"/>
  <c r="AW13" i="17"/>
  <c r="M13" i="15"/>
  <c r="M14"/>
  <c r="AW15" i="17"/>
  <c r="AW16"/>
  <c r="M15" i="15"/>
  <c r="AW17" i="17"/>
  <c r="M16" i="15"/>
  <c r="AW18" i="17"/>
  <c r="M17" i="15"/>
  <c r="AW19" i="17"/>
  <c r="AG18" i="15"/>
  <c r="M18"/>
  <c r="AW20" i="17"/>
  <c r="M19" i="15"/>
  <c r="AW21" i="17"/>
  <c r="M20" i="15"/>
  <c r="AW22" i="17"/>
  <c r="M21" i="15"/>
  <c r="AW23" i="17"/>
  <c r="M22" i="15"/>
  <c r="AW24" i="17"/>
  <c r="M23" i="15"/>
  <c r="AW25" i="17"/>
  <c r="M24" i="15"/>
  <c r="AW26" i="17"/>
  <c r="M25" i="15"/>
  <c r="M26"/>
  <c r="M27"/>
  <c r="AW29" i="17"/>
  <c r="M28" i="15"/>
  <c r="AW30" i="17"/>
  <c r="AW33"/>
  <c r="AG34" i="15"/>
  <c r="AI34"/>
  <c r="AW36" i="17"/>
  <c r="AW37"/>
  <c r="AW39"/>
  <c r="AG38" i="15"/>
  <c r="AI38" s="1"/>
  <c r="AW40" i="17"/>
  <c r="AG39" i="15"/>
  <c r="AW41" i="17"/>
  <c r="AG40" i="15"/>
  <c r="AI40"/>
  <c r="AW42" i="17"/>
  <c r="AG41" i="15"/>
  <c r="AI41" s="1"/>
  <c r="AW43" i="17"/>
  <c r="AW71"/>
  <c r="M73" i="15"/>
  <c r="AW72" i="17"/>
  <c r="M74" i="15"/>
  <c r="AW73" i="17"/>
  <c r="M75" i="15"/>
  <c r="AW74" i="17"/>
  <c r="M76" i="15"/>
  <c r="AW75" i="17"/>
  <c r="M77" i="15"/>
  <c r="M78"/>
  <c r="AW77" i="17"/>
  <c r="M79" i="15"/>
  <c r="AW78" i="17"/>
  <c r="M80" i="15"/>
  <c r="AW80" i="17"/>
  <c r="AG82" i="15"/>
  <c r="M82"/>
  <c r="AW81" i="17"/>
  <c r="M83" i="15"/>
  <c r="AG84"/>
  <c r="M84"/>
  <c r="AW82" i="17"/>
  <c r="M85" i="15"/>
  <c r="AW85" i="17"/>
  <c r="M88" i="15"/>
  <c r="M89"/>
  <c r="AW87" i="17"/>
  <c r="M90" i="15"/>
  <c r="AW88" i="17"/>
  <c r="M91" i="15"/>
  <c r="AW89" i="17"/>
  <c r="AG92" i="15"/>
  <c r="M92"/>
  <c r="AW90" i="17"/>
  <c r="AG93" i="15"/>
  <c r="M93"/>
  <c r="AW91" i="17"/>
  <c r="M94" i="15"/>
  <c r="AG95"/>
  <c r="M95"/>
  <c r="AG97"/>
  <c r="AW94" i="17"/>
  <c r="AG98" i="15"/>
  <c r="M98"/>
  <c r="AW95" i="17"/>
  <c r="M99" i="15"/>
  <c r="AW96" i="17"/>
  <c r="M100" i="15"/>
  <c r="AW97" i="17"/>
  <c r="M101" i="15"/>
  <c r="AW98" i="17"/>
  <c r="M102" i="15"/>
  <c r="AW99" i="17"/>
  <c r="M103" i="15"/>
  <c r="AW101" i="17"/>
  <c r="AG105" i="15"/>
  <c r="M105"/>
  <c r="M106"/>
  <c r="AW103" i="17"/>
  <c r="M107" i="15"/>
  <c r="AW104" i="17"/>
  <c r="M108" i="15"/>
  <c r="AW105" i="17"/>
  <c r="AG109" i="15"/>
  <c r="M109"/>
  <c r="AW106" i="17"/>
  <c r="AG110" i="15"/>
  <c r="M110"/>
  <c r="AW107" i="17"/>
  <c r="M111" i="15"/>
  <c r="AW108" i="17"/>
  <c r="M112" i="15"/>
  <c r="AW109" i="17"/>
  <c r="M113" i="15"/>
  <c r="AW110" i="17"/>
  <c r="AG114" i="15"/>
  <c r="AW111" i="17"/>
  <c r="M115" i="15"/>
  <c r="AW112" i="17"/>
  <c r="M116" i="15"/>
  <c r="AW113" i="17"/>
  <c r="M117" i="15"/>
  <c r="AW114" i="17"/>
  <c r="AG118" i="15"/>
  <c r="M118"/>
  <c r="AW115" i="17"/>
  <c r="M119" i="15"/>
  <c r="AW116" i="17"/>
  <c r="AG120" i="15"/>
  <c r="M120"/>
  <c r="AW117" i="17"/>
  <c r="AG121" i="15"/>
  <c r="M121"/>
  <c r="AW118" i="17"/>
  <c r="M122" i="15"/>
  <c r="AW119" i="17"/>
  <c r="M123" i="15"/>
  <c r="AW120" i="17"/>
  <c r="M124" i="15"/>
  <c r="AW121" i="17"/>
  <c r="M125" i="15"/>
  <c r="AW122" i="17"/>
  <c r="M126" i="15"/>
  <c r="AW123" i="17"/>
  <c r="M127" i="15"/>
  <c r="AW124" i="17"/>
  <c r="M128" i="15"/>
  <c r="AW125" i="17"/>
  <c r="M129" i="15"/>
  <c r="AW126" i="17"/>
  <c r="M130" i="15"/>
  <c r="M131"/>
  <c r="AW128" i="17"/>
  <c r="M132" i="15"/>
  <c r="AW129" i="17"/>
  <c r="M133" i="15"/>
  <c r="AW130" i="17"/>
  <c r="M134" i="15"/>
  <c r="AW131" i="17"/>
  <c r="M135" i="15"/>
  <c r="AW132" i="17"/>
  <c r="M136" i="15"/>
  <c r="AG137"/>
  <c r="M137"/>
  <c r="AW134" i="17"/>
  <c r="M138" i="15"/>
  <c r="AW135" i="17"/>
  <c r="M139" i="15"/>
  <c r="M140"/>
  <c r="AW137" i="17"/>
  <c r="M141" i="15"/>
  <c r="AW138" i="17"/>
  <c r="M142" i="15"/>
  <c r="AW139" i="17"/>
  <c r="M143" i="15"/>
  <c r="AW140" i="17"/>
  <c r="AG144" i="15"/>
  <c r="M144"/>
  <c r="AW141" i="17"/>
  <c r="M145" i="15"/>
  <c r="AW142" i="17"/>
  <c r="AG146" i="15"/>
  <c r="M146"/>
  <c r="AW143" i="17"/>
  <c r="AG147" i="15"/>
  <c r="M147"/>
  <c r="AW145" i="17"/>
  <c r="AG149" i="15"/>
  <c r="M149"/>
  <c r="M150"/>
  <c r="AW147" i="17"/>
  <c r="M151" i="15"/>
  <c r="AG152"/>
  <c r="M152"/>
  <c r="M153"/>
  <c r="AW150" i="17"/>
  <c r="AG154" i="15"/>
  <c r="M154"/>
  <c r="AW151" i="17"/>
  <c r="AW152"/>
  <c r="AW153"/>
  <c r="AW154"/>
  <c r="AW155"/>
  <c r="AW156"/>
  <c r="AW157"/>
  <c r="AG161" i="15"/>
  <c r="AI161"/>
  <c r="AW158" i="17"/>
  <c r="AW159"/>
  <c r="AG163" i="15"/>
  <c r="AI163"/>
  <c r="AY159" i="17" s="1"/>
  <c r="BC159" s="1"/>
  <c r="BE159" s="1"/>
  <c r="AW160"/>
  <c r="AG164" i="15"/>
  <c r="AW163" i="17"/>
  <c r="AG167" i="15"/>
  <c r="AW164" i="17"/>
  <c r="AG168" i="15"/>
  <c r="AI168"/>
  <c r="AW165" i="17"/>
  <c r="AG169" i="15"/>
  <c r="AI169" s="1"/>
  <c r="AY165" i="17" s="1"/>
  <c r="BC165" s="1"/>
  <c r="BE165" s="1"/>
  <c r="AW166"/>
  <c r="AW167"/>
  <c r="AW168"/>
  <c r="AW169"/>
  <c r="AW170"/>
  <c r="AG174" i="15"/>
  <c r="AI174" s="1"/>
  <c r="AY170" i="17" s="1"/>
  <c r="BC170" s="1"/>
  <c r="BE170" s="1"/>
  <c r="AW171"/>
  <c r="AG175" i="15"/>
  <c r="AI175" s="1"/>
  <c r="AY171" i="17" s="1"/>
  <c r="BC171" s="1"/>
  <c r="BE171" s="1"/>
  <c r="AW173"/>
  <c r="AW174"/>
  <c r="AW175"/>
  <c r="AG179" i="15"/>
  <c r="AI179" s="1"/>
  <c r="AY175" i="17" s="1"/>
  <c r="BC175" s="1"/>
  <c r="BE175" s="1"/>
  <c r="AW177"/>
  <c r="AW178"/>
  <c r="AW179"/>
  <c r="AW180"/>
  <c r="AG183" i="15"/>
  <c r="M183"/>
  <c r="AW181" i="17"/>
  <c r="M184" i="15"/>
  <c r="AW182" i="17"/>
  <c r="M185" i="15"/>
  <c r="AW183" i="17"/>
  <c r="AG186" i="15"/>
  <c r="M186"/>
  <c r="AW184" i="17"/>
  <c r="AG187" i="15"/>
  <c r="M187"/>
  <c r="AW185" i="17"/>
  <c r="AG188" i="15"/>
  <c r="M188"/>
  <c r="AW186" i="17"/>
  <c r="M189" i="15"/>
  <c r="AW187" i="17"/>
  <c r="M190" i="15"/>
  <c r="M191"/>
  <c r="AW189" i="17"/>
  <c r="M192" i="15"/>
  <c r="AW190" i="17"/>
  <c r="M193" i="15"/>
  <c r="AW191" i="17"/>
  <c r="M194" i="15"/>
  <c r="M195"/>
  <c r="M196"/>
  <c r="AW194" i="17"/>
  <c r="M197" i="15"/>
  <c r="AW195" i="17"/>
  <c r="M198" i="15"/>
  <c r="AW196" i="17"/>
  <c r="AG199" i="15"/>
  <c r="M199"/>
  <c r="AW197" i="17"/>
  <c r="M200" i="15"/>
  <c r="AW198" i="17"/>
  <c r="AG201" i="15"/>
  <c r="M201"/>
  <c r="M202"/>
  <c r="AW200" i="17"/>
  <c r="M203" i="15"/>
  <c r="AW201" i="17"/>
  <c r="M204" i="15"/>
  <c r="AG205"/>
  <c r="M205"/>
  <c r="AW203" i="17"/>
  <c r="M206" i="15"/>
  <c r="AW204" i="17"/>
  <c r="AG207" i="15"/>
  <c r="M207"/>
  <c r="M208"/>
  <c r="AW206" i="17"/>
  <c r="M209" i="15"/>
  <c r="AW207" i="17"/>
  <c r="M210" i="15"/>
  <c r="AW208" i="17"/>
  <c r="M211" i="15"/>
  <c r="AW209" i="17"/>
  <c r="M212" i="15"/>
  <c r="AI212"/>
  <c r="AW210" i="17"/>
  <c r="M213" i="15"/>
  <c r="AW211" i="17"/>
  <c r="AG214" i="15"/>
  <c r="AI214" s="1"/>
  <c r="AY211" i="17" s="1"/>
  <c r="BC211" s="1"/>
  <c r="BE211" s="1"/>
  <c r="AW212"/>
  <c r="M215" i="15"/>
  <c r="AW213" i="17"/>
  <c r="AG216" i="15"/>
  <c r="M216"/>
  <c r="AW214" i="17"/>
  <c r="AG217" i="15"/>
  <c r="M217"/>
  <c r="M218"/>
  <c r="AW216" i="17"/>
  <c r="AG219" i="15"/>
  <c r="M219"/>
  <c r="AW217" i="17"/>
  <c r="M220" i="15"/>
  <c r="AW218" i="17"/>
  <c r="AG221" i="15"/>
  <c r="M221"/>
  <c r="AW219" i="17"/>
  <c r="M222" i="15"/>
  <c r="AW220" i="17"/>
  <c r="AG223" i="15"/>
  <c r="M223"/>
  <c r="AW221" i="17"/>
  <c r="AG224" i="15"/>
  <c r="M224"/>
  <c r="AW222" i="17"/>
  <c r="M225" i="15"/>
  <c r="AW223" i="17"/>
  <c r="M226" i="15"/>
  <c r="M228"/>
  <c r="AW237" i="17"/>
  <c r="AG240" i="15"/>
  <c r="M240"/>
  <c r="AW238" i="17"/>
  <c r="AG241" i="15"/>
  <c r="M241"/>
  <c r="AW239" i="17"/>
  <c r="M242" i="15"/>
  <c r="AW240" i="17"/>
  <c r="M243" i="15"/>
  <c r="AW241" i="17"/>
  <c r="M244" i="15"/>
  <c r="AW244" i="17"/>
  <c r="M247" i="15"/>
  <c r="AW245" i="17"/>
  <c r="AG248" i="15"/>
  <c r="M248"/>
  <c r="AW246" i="17"/>
  <c r="AG249" i="15"/>
  <c r="M249"/>
  <c r="M250"/>
  <c r="AW248" i="17"/>
  <c r="AG251" i="15"/>
  <c r="M251"/>
  <c r="AW249" i="17"/>
  <c r="AG252" i="15"/>
  <c r="M252"/>
  <c r="AI252"/>
  <c r="AY249" i="17" s="1"/>
  <c r="BC249" s="1"/>
  <c r="BE249" s="1"/>
  <c r="AW250"/>
  <c r="AG253" i="15"/>
  <c r="M253"/>
  <c r="AW251" i="17"/>
  <c r="M254" i="15"/>
  <c r="M255"/>
  <c r="AW253" i="17"/>
  <c r="M256" i="15"/>
  <c r="M257"/>
  <c r="AW255" i="17"/>
  <c r="M258" i="15"/>
  <c r="AW256" i="17"/>
  <c r="M259" i="15"/>
  <c r="AW257" i="17"/>
  <c r="M260" i="15"/>
  <c r="AG261"/>
  <c r="M261"/>
  <c r="AW259" i="17"/>
  <c r="AG262" i="15"/>
  <c r="M262"/>
  <c r="AW260" i="17"/>
  <c r="M263" i="15"/>
  <c r="AW261" i="17"/>
  <c r="AG264" i="15"/>
  <c r="M264"/>
  <c r="AW262" i="17"/>
  <c r="M265" i="15"/>
  <c r="AW263" i="17"/>
  <c r="M266" i="15"/>
  <c r="AW264" i="17"/>
  <c r="M267" i="15"/>
  <c r="AW265" i="17"/>
  <c r="M268" i="15"/>
  <c r="AW266" i="17"/>
  <c r="AG269" i="15"/>
  <c r="M269"/>
  <c r="AW267" i="17"/>
  <c r="M270" i="15"/>
  <c r="AW268" i="17"/>
  <c r="M271" i="15"/>
  <c r="AW269" i="17"/>
  <c r="AG272" i="15"/>
  <c r="M272"/>
  <c r="AW270" i="17"/>
  <c r="M273" i="15"/>
  <c r="AW271" i="17"/>
  <c r="M274" i="15"/>
  <c r="AW272" i="17"/>
  <c r="AG275" i="15"/>
  <c r="M275"/>
  <c r="AW273" i="17"/>
  <c r="M276" i="15"/>
  <c r="AW274" i="17"/>
  <c r="M277" i="15"/>
  <c r="AW275" i="17"/>
  <c r="AG278" i="15"/>
  <c r="M278"/>
  <c r="AG279"/>
  <c r="M279"/>
  <c r="M280"/>
  <c r="AW278" i="17"/>
  <c r="M281" i="15"/>
  <c r="AW279" i="17"/>
  <c r="M282" i="15"/>
  <c r="AW280" i="17"/>
  <c r="M283" i="15"/>
  <c r="AW281" i="17"/>
  <c r="AG284" i="15"/>
  <c r="M284"/>
  <c r="AW282" i="17"/>
  <c r="AG285" i="15"/>
  <c r="M285"/>
  <c r="AW283" i="17"/>
  <c r="M286" i="15"/>
  <c r="AW284" i="17"/>
  <c r="AG287" i="15"/>
  <c r="M287"/>
  <c r="AW285" i="17"/>
  <c r="M288" i="15"/>
  <c r="AW286" i="17"/>
  <c r="AG289" i="15"/>
  <c r="M289"/>
  <c r="AG290"/>
  <c r="M290"/>
  <c r="AW288" i="17"/>
  <c r="M291" i="15"/>
  <c r="AW289" i="17"/>
  <c r="M292" i="15"/>
  <c r="AW290" i="17"/>
  <c r="M293" i="15"/>
  <c r="AW291" i="17"/>
  <c r="M294" i="15"/>
  <c r="AW292" i="17"/>
  <c r="AG295" i="15"/>
  <c r="M295"/>
  <c r="AW293" i="17"/>
  <c r="M296" i="15"/>
  <c r="M297"/>
  <c r="AW295" i="17"/>
  <c r="AG298" i="15"/>
  <c r="M298"/>
  <c r="AW296" i="17"/>
  <c r="M299" i="15"/>
  <c r="AW297" i="17"/>
  <c r="M300" i="15"/>
  <c r="AW298" i="17"/>
  <c r="M301" i="15"/>
  <c r="AW299" i="17"/>
  <c r="AG302" i="15"/>
  <c r="M302"/>
  <c r="AW300" i="17"/>
  <c r="M303" i="15"/>
  <c r="M304"/>
  <c r="AW302" i="17"/>
  <c r="M305" i="15"/>
  <c r="AW303" i="17"/>
  <c r="AG306" i="15"/>
  <c r="M306"/>
  <c r="AW304" i="17"/>
  <c r="M307" i="15"/>
  <c r="AW305" i="17"/>
  <c r="AG308" i="15"/>
  <c r="M308"/>
  <c r="AW306" i="17"/>
  <c r="AG309" i="15"/>
  <c r="M309"/>
  <c r="AI309" s="1"/>
  <c r="AY306" i="17" s="1"/>
  <c r="BC306" s="1"/>
  <c r="BE306" s="1"/>
  <c r="AG310" i="15"/>
  <c r="M310"/>
  <c r="AW308" i="17"/>
  <c r="M311" i="15"/>
  <c r="AW309" i="17"/>
  <c r="M312" i="15"/>
  <c r="M313"/>
  <c r="AW311" i="17"/>
  <c r="M314" i="15"/>
  <c r="AW312" i="17"/>
  <c r="AG315" i="15"/>
  <c r="M315"/>
  <c r="AW313" i="17"/>
  <c r="AG316" i="15"/>
  <c r="M316"/>
  <c r="AW314" i="17"/>
  <c r="AG317" i="15"/>
  <c r="M317"/>
  <c r="AI317" s="1"/>
  <c r="AY314" i="17" s="1"/>
  <c r="BC314" s="1"/>
  <c r="BE314" s="1"/>
  <c r="AW315"/>
  <c r="AG318" i="15"/>
  <c r="M318"/>
  <c r="AW316" i="17"/>
  <c r="AG319" i="15"/>
  <c r="M319"/>
  <c r="AW317" i="17"/>
  <c r="AG320" i="15"/>
  <c r="M320"/>
  <c r="AW318" i="17"/>
  <c r="AG321" i="15"/>
  <c r="M321"/>
  <c r="AW319" i="17"/>
  <c r="AG322" i="15"/>
  <c r="M322"/>
  <c r="AW320" i="17"/>
  <c r="AG323" i="15"/>
  <c r="M323"/>
  <c r="AW321" i="17"/>
  <c r="AG324" i="15"/>
  <c r="M324"/>
  <c r="AW322" i="17"/>
  <c r="M325" i="15"/>
  <c r="AW325" i="17"/>
  <c r="M328" i="15"/>
  <c r="AW326" i="17"/>
  <c r="AG329" i="15"/>
  <c r="M329"/>
  <c r="AW327" i="17"/>
  <c r="M330" i="15"/>
  <c r="AW328" i="17"/>
  <c r="AG331" i="15"/>
  <c r="M331"/>
  <c r="AW329" i="17"/>
  <c r="AG332" i="15"/>
  <c r="M332"/>
  <c r="AW330" i="17"/>
  <c r="AG333" i="15"/>
  <c r="M333"/>
  <c r="AW331" i="17"/>
  <c r="M334" i="15"/>
  <c r="AW332" i="17"/>
  <c r="M335" i="15"/>
  <c r="AW333" i="17"/>
  <c r="M336" i="15"/>
  <c r="AW334" i="17"/>
  <c r="M337" i="15"/>
  <c r="AW335" i="17"/>
  <c r="AG338" i="15"/>
  <c r="M338"/>
  <c r="AW336" i="17"/>
  <c r="M339" i="15"/>
  <c r="AW337" i="17"/>
  <c r="M340" i="15"/>
  <c r="AW338" i="17"/>
  <c r="AG341" i="15"/>
  <c r="M341"/>
  <c r="AW339" i="17"/>
  <c r="AG342" i="15"/>
  <c r="M342"/>
  <c r="AI342" s="1"/>
  <c r="AW340" i="17"/>
  <c r="AG343" i="15"/>
  <c r="M343"/>
  <c r="AW341" i="17"/>
  <c r="AG344" i="15"/>
  <c r="M344"/>
  <c r="AW342" i="17"/>
  <c r="AG345" i="15"/>
  <c r="M345"/>
  <c r="AW343" i="17"/>
  <c r="AG346" i="15"/>
  <c r="M346"/>
  <c r="M347"/>
  <c r="AW345" i="17"/>
  <c r="AG348" i="15"/>
  <c r="M348"/>
  <c r="AW346" i="17"/>
  <c r="M349" i="15"/>
  <c r="AW347" i="17"/>
  <c r="AG350" i="15"/>
  <c r="M350"/>
  <c r="AW348" i="17"/>
  <c r="AG351" i="15"/>
  <c r="M351"/>
  <c r="AW349" i="17"/>
  <c r="M352" i="15"/>
  <c r="AW350" i="17"/>
  <c r="M353" i="15"/>
  <c r="AW351" i="17"/>
  <c r="AG354" i="15"/>
  <c r="M354"/>
  <c r="AW352" i="17"/>
  <c r="M355" i="15"/>
  <c r="AW353" i="17"/>
  <c r="M356" i="15"/>
  <c r="AW354" i="17"/>
  <c r="AG357" i="15"/>
  <c r="M357"/>
  <c r="M358"/>
  <c r="AW356" i="17"/>
  <c r="M359" i="15"/>
  <c r="AW357" i="17"/>
  <c r="M360" i="15"/>
  <c r="AW358" i="17"/>
  <c r="AG361" i="15"/>
  <c r="M361"/>
  <c r="M362"/>
  <c r="AW360" i="17"/>
  <c r="AG363" i="15"/>
  <c r="M363"/>
  <c r="AW361" i="17"/>
  <c r="AG364" i="15"/>
  <c r="M364"/>
  <c r="AW362" i="17"/>
  <c r="AG365" i="15"/>
  <c r="M365"/>
  <c r="AW363" i="17"/>
  <c r="M366" i="15"/>
  <c r="AW364" i="17"/>
  <c r="M367" i="15"/>
  <c r="AW365" i="17"/>
  <c r="M368" i="15"/>
  <c r="AW366" i="17"/>
  <c r="AG369" i="15"/>
  <c r="M369"/>
  <c r="AW367" i="17"/>
  <c r="M370" i="15"/>
  <c r="AW368" i="17"/>
  <c r="AG371" i="15"/>
  <c r="M371"/>
  <c r="AW369" i="17"/>
  <c r="AG372" i="15"/>
  <c r="M372"/>
  <c r="AW370" i="17"/>
  <c r="AG373" i="15"/>
  <c r="M373"/>
  <c r="AW371" i="17"/>
  <c r="M374" i="15"/>
  <c r="AW372" i="17"/>
  <c r="M375" i="15"/>
  <c r="M376"/>
  <c r="M377"/>
  <c r="AW375" i="17"/>
  <c r="M378" i="15"/>
  <c r="AG379"/>
  <c r="M379"/>
  <c r="AW377" i="17"/>
  <c r="M380" i="15"/>
  <c r="M381"/>
  <c r="AW379" i="17"/>
  <c r="M382" i="15"/>
  <c r="AG383"/>
  <c r="M383"/>
  <c r="AW381" i="17"/>
  <c r="AG384" i="15"/>
  <c r="AG386"/>
  <c r="AW384" i="17"/>
  <c r="AG387" i="15"/>
  <c r="AW385" i="17"/>
  <c r="AG388" i="15"/>
  <c r="AW387" i="17"/>
  <c r="AW388"/>
  <c r="AG392" i="15"/>
  <c r="AW390" i="17"/>
  <c r="AW391"/>
  <c r="AW392"/>
  <c r="AW393"/>
  <c r="AW394"/>
  <c r="AG397" i="15"/>
  <c r="M397"/>
  <c r="AW395" i="17"/>
  <c r="AG398" i="15"/>
  <c r="M398"/>
  <c r="AW396" i="17"/>
  <c r="M399" i="15"/>
  <c r="AW397" i="17"/>
  <c r="AG400" i="15"/>
  <c r="M400"/>
  <c r="AW398" i="17"/>
  <c r="M401" i="15"/>
  <c r="AW399" i="17"/>
  <c r="AG402" i="15"/>
  <c r="M402"/>
  <c r="AW400" i="17"/>
  <c r="AG403" i="15"/>
  <c r="M403"/>
  <c r="AW401" i="17"/>
  <c r="M404" i="15"/>
  <c r="AW402" i="17"/>
  <c r="M405" i="15"/>
  <c r="AW403" i="17"/>
  <c r="AG406" i="15"/>
  <c r="M406"/>
  <c r="AW404" i="17"/>
  <c r="M407" i="15"/>
  <c r="AW405" i="17"/>
  <c r="AG408" i="15"/>
  <c r="M408"/>
  <c r="M409"/>
  <c r="M410"/>
  <c r="AW408" i="17"/>
  <c r="M411" i="15"/>
  <c r="AW409" i="17"/>
  <c r="M412" i="15"/>
  <c r="AW410" i="17"/>
  <c r="AG413" i="15"/>
  <c r="M413"/>
  <c r="AW411" i="17"/>
  <c r="M414" i="15"/>
  <c r="AW412" i="17"/>
  <c r="AG415" i="15"/>
  <c r="M415"/>
  <c r="M418"/>
  <c r="AW416" i="17"/>
  <c r="M419" i="15"/>
  <c r="AW417" i="17"/>
  <c r="M420" i="15"/>
  <c r="M421"/>
  <c r="AW419" i="17"/>
  <c r="AG422" i="15"/>
  <c r="M422"/>
  <c r="AW420" i="17"/>
  <c r="M423" i="15"/>
  <c r="AW421" i="17"/>
  <c r="AG424" i="15"/>
  <c r="M424"/>
  <c r="M425"/>
  <c r="AW423" i="17"/>
  <c r="AG426" i="15"/>
  <c r="M426"/>
  <c r="AW424" i="17"/>
  <c r="M427" i="15"/>
  <c r="AW425" i="17"/>
  <c r="AG428" i="15"/>
  <c r="M428"/>
  <c r="AW426" i="17"/>
  <c r="M429" i="15"/>
  <c r="AW427" i="17"/>
  <c r="M430" i="15"/>
  <c r="AW428" i="17"/>
  <c r="AG431" i="15"/>
  <c r="M431"/>
  <c r="AW429" i="17"/>
  <c r="AG432" i="15"/>
  <c r="M432"/>
  <c r="AW430" i="17"/>
  <c r="M433" i="15"/>
  <c r="AW431" i="17"/>
  <c r="AG434" i="15"/>
  <c r="M434"/>
  <c r="AW432" i="17"/>
  <c r="M435" i="15"/>
  <c r="AW433" i="17"/>
  <c r="M436" i="15"/>
  <c r="AW434" i="17"/>
  <c r="M437" i="15"/>
  <c r="AW435" i="17"/>
  <c r="M438" i="15"/>
  <c r="AW436" i="17"/>
  <c r="M439" i="15"/>
  <c r="AW437" i="17"/>
  <c r="M440" i="15"/>
  <c r="AW438" i="17"/>
  <c r="M441" i="15"/>
  <c r="AW439" i="17"/>
  <c r="M442" i="15"/>
  <c r="AW440" i="17"/>
  <c r="M443" i="15"/>
  <c r="AW441" i="17"/>
  <c r="M444" i="15"/>
  <c r="AW442" i="17"/>
  <c r="M445" i="15"/>
  <c r="AG446"/>
  <c r="M446"/>
  <c r="AW444" i="17"/>
  <c r="AG447" i="15"/>
  <c r="M447"/>
  <c r="AW445" i="17"/>
  <c r="AG448" i="15"/>
  <c r="M448"/>
  <c r="AW497" i="17"/>
  <c r="M502" i="15"/>
  <c r="AW499" i="17"/>
  <c r="M503" i="15"/>
  <c r="AW500" i="17"/>
  <c r="AG504" i="15"/>
  <c r="M504"/>
  <c r="AW502" i="17"/>
  <c r="AG505" i="15"/>
  <c r="M505"/>
  <c r="M507"/>
  <c r="AW504" i="17"/>
  <c r="M508" i="15"/>
  <c r="AW505" i="17"/>
  <c r="AG509" i="15"/>
  <c r="M509"/>
  <c r="AW506" i="17"/>
  <c r="M510" i="15"/>
  <c r="AW507" i="17"/>
  <c r="M511" i="15"/>
  <c r="AW508" i="17"/>
  <c r="M512" i="15"/>
  <c r="AW509" i="17"/>
  <c r="M513" i="15"/>
  <c r="AW510" i="17"/>
  <c r="AG514" i="15"/>
  <c r="M514"/>
  <c r="AW511" i="17"/>
  <c r="M515" i="15"/>
  <c r="AW512" i="17"/>
  <c r="M516" i="15"/>
  <c r="AW513" i="17"/>
  <c r="AG517" i="15"/>
  <c r="M517"/>
  <c r="AW514" i="17"/>
  <c r="M518" i="15"/>
  <c r="AW515" i="17"/>
  <c r="AG519" i="15"/>
  <c r="M519"/>
  <c r="AW516" i="17"/>
  <c r="AG520" i="15"/>
  <c r="M520"/>
  <c r="AW517" i="17"/>
  <c r="M521" i="15"/>
  <c r="AW518" i="17"/>
  <c r="M522" i="15"/>
  <c r="AW519" i="17"/>
  <c r="M523" i="15"/>
  <c r="AW520" i="17"/>
  <c r="AG524" i="15"/>
  <c r="M524"/>
  <c r="AW521" i="17"/>
  <c r="AG525" i="15"/>
  <c r="M525"/>
  <c r="AW522" i="17"/>
  <c r="AG526" i="15"/>
  <c r="M526"/>
  <c r="AW523" i="17"/>
  <c r="AG527" i="15"/>
  <c r="M527"/>
  <c r="AW524" i="17"/>
  <c r="M528" i="15"/>
  <c r="AW525" i="17"/>
  <c r="AG529" i="15"/>
  <c r="M529"/>
  <c r="AW526" i="17"/>
  <c r="M530" i="15"/>
  <c r="AW527" i="17"/>
  <c r="M531" i="15"/>
  <c r="AW528" i="17"/>
  <c r="M532" i="15"/>
  <c r="AW529" i="17"/>
  <c r="AG533" i="15"/>
  <c r="M533"/>
  <c r="AW530" i="17"/>
  <c r="AG534" i="15"/>
  <c r="M534"/>
  <c r="AW531" i="17"/>
  <c r="M535" i="15"/>
  <c r="AW532" i="17"/>
  <c r="M536" i="15"/>
  <c r="AW534" i="17"/>
  <c r="AW535"/>
  <c r="AG539" i="15"/>
  <c r="AW536" i="17"/>
  <c r="AW537"/>
  <c r="AW538"/>
  <c r="AW539"/>
  <c r="AW540"/>
  <c r="AW541"/>
  <c r="AW542"/>
  <c r="AW543"/>
  <c r="AG547" i="15"/>
  <c r="AW544" i="17"/>
  <c r="AG548" i="15"/>
  <c r="AI548" s="1"/>
  <c r="AY544" i="17" s="1"/>
  <c r="BC544" s="1"/>
  <c r="BE544" s="1"/>
  <c r="AW545"/>
  <c r="AG549" i="15"/>
  <c r="AW546" i="17"/>
  <c r="AW547"/>
  <c r="AW548"/>
  <c r="AI552" i="15"/>
  <c r="AW549" i="17"/>
  <c r="AG553" i="15"/>
  <c r="AI553" s="1"/>
  <c r="AW550" i="17"/>
  <c r="AG554" i="15"/>
  <c r="AW551" i="17"/>
  <c r="M555" i="15"/>
  <c r="AW552" i="17"/>
  <c r="AG556" i="15"/>
  <c r="M556"/>
  <c r="AW553" i="17"/>
  <c r="M557" i="15"/>
  <c r="AW554" i="17"/>
  <c r="AG558" i="15"/>
  <c r="M558"/>
  <c r="AW555" i="17"/>
  <c r="M559" i="15"/>
  <c r="AW556" i="17"/>
  <c r="M560" i="15"/>
  <c r="AW557" i="17"/>
  <c r="M561" i="15"/>
  <c r="AG562"/>
  <c r="M562"/>
  <c r="AW559" i="17"/>
  <c r="M563" i="15"/>
  <c r="AW560" i="17"/>
  <c r="M564" i="15"/>
  <c r="AW561" i="17"/>
  <c r="M565" i="15"/>
  <c r="AG566"/>
  <c r="M566"/>
  <c r="AW563" i="17"/>
  <c r="M567" i="15"/>
  <c r="M568"/>
  <c r="AW565" i="17"/>
  <c r="AG569" i="15"/>
  <c r="M569"/>
  <c r="AW566" i="17"/>
  <c r="M570" i="15"/>
  <c r="AW567" i="17"/>
  <c r="M571" i="15"/>
  <c r="AW568" i="17"/>
  <c r="M572" i="15"/>
  <c r="AW569" i="17"/>
  <c r="AG573" i="15"/>
  <c r="M573"/>
  <c r="AG574"/>
  <c r="M574"/>
  <c r="AW571" i="17"/>
  <c r="M575" i="15"/>
  <c r="AW572" i="17"/>
  <c r="M576" i="15"/>
  <c r="AW573" i="17"/>
  <c r="M577" i="15"/>
  <c r="AW574" i="17"/>
  <c r="M578" i="15"/>
  <c r="AW575" i="17"/>
  <c r="M579" i="15"/>
  <c r="AW576" i="17"/>
  <c r="M580" i="15"/>
  <c r="AW577" i="17"/>
  <c r="M581" i="15"/>
  <c r="AW580" i="17"/>
  <c r="M584" i="15"/>
  <c r="AW581" i="17"/>
  <c r="M585" i="15"/>
  <c r="M586"/>
  <c r="AW583" i="17"/>
  <c r="M587" i="15"/>
  <c r="AW584" i="17"/>
  <c r="AG588" i="15"/>
  <c r="M588"/>
  <c r="X551" i="10"/>
  <c r="X550"/>
  <c r="X549"/>
  <c r="X548"/>
  <c r="X547"/>
  <c r="X546"/>
  <c r="X545"/>
  <c r="X544"/>
  <c r="X543"/>
  <c r="X542"/>
  <c r="X541"/>
  <c r="X540"/>
  <c r="X539"/>
  <c r="X538"/>
  <c r="X537"/>
  <c r="X536"/>
  <c r="X535"/>
  <c r="X534"/>
  <c r="X533"/>
  <c r="X532"/>
  <c r="X531"/>
  <c r="X530"/>
  <c r="X529"/>
  <c r="X528"/>
  <c r="X527"/>
  <c r="X526"/>
  <c r="X525"/>
  <c r="X523"/>
  <c r="X522"/>
  <c r="X520"/>
  <c r="X519"/>
  <c r="X518"/>
  <c r="X517"/>
  <c r="X516"/>
  <c r="X515"/>
  <c r="X514"/>
  <c r="X513"/>
  <c r="X512"/>
  <c r="X511"/>
  <c r="X510"/>
  <c r="X509"/>
  <c r="X508"/>
  <c r="X506"/>
  <c r="X505"/>
  <c r="X504"/>
  <c r="X503"/>
  <c r="X502"/>
  <c r="S550"/>
  <c r="S549"/>
  <c r="S548"/>
  <c r="S547"/>
  <c r="S546"/>
  <c r="S545"/>
  <c r="S544"/>
  <c r="S542"/>
  <c r="S541"/>
  <c r="S540"/>
  <c r="S539"/>
  <c r="S538"/>
  <c r="S536"/>
  <c r="S535"/>
  <c r="S534"/>
  <c r="S533"/>
  <c r="S532"/>
  <c r="S531"/>
  <c r="S530"/>
  <c r="S529"/>
  <c r="S528"/>
  <c r="S527"/>
  <c r="S526"/>
  <c r="S525"/>
  <c r="S524"/>
  <c r="S523"/>
  <c r="S522"/>
  <c r="S520"/>
  <c r="S519"/>
  <c r="S518"/>
  <c r="S517"/>
  <c r="S516"/>
  <c r="S515"/>
  <c r="X499"/>
  <c r="X498"/>
  <c r="X497"/>
  <c r="X496"/>
  <c r="X495"/>
  <c r="X494"/>
  <c r="X491"/>
  <c r="X490"/>
  <c r="X489"/>
  <c r="X488"/>
  <c r="X487"/>
  <c r="X486"/>
  <c r="X484"/>
  <c r="X483"/>
  <c r="X482"/>
  <c r="X481"/>
  <c r="X480"/>
  <c r="X479"/>
  <c r="X478"/>
  <c r="X477"/>
  <c r="X476"/>
  <c r="X475"/>
  <c r="X474"/>
  <c r="X473"/>
  <c r="X472"/>
  <c r="X471"/>
  <c r="X470"/>
  <c r="X469"/>
  <c r="X468"/>
  <c r="X467"/>
  <c r="X466"/>
  <c r="X465"/>
  <c r="X464"/>
  <c r="X462"/>
  <c r="X461"/>
  <c r="X460"/>
  <c r="X459"/>
  <c r="X458"/>
  <c r="X457"/>
  <c r="X456"/>
  <c r="X455"/>
  <c r="X454"/>
  <c r="X453"/>
  <c r="X452"/>
  <c r="X451"/>
  <c r="X450"/>
  <c r="X449"/>
  <c r="X448"/>
  <c r="X447"/>
  <c r="X446"/>
  <c r="X445"/>
  <c r="X444"/>
  <c r="X443"/>
  <c r="X442"/>
  <c r="X441"/>
  <c r="X440"/>
  <c r="X439"/>
  <c r="X438"/>
  <c r="X437"/>
  <c r="X436"/>
  <c r="X435"/>
  <c r="X434"/>
  <c r="X431"/>
  <c r="X430"/>
  <c r="X429"/>
  <c r="X428"/>
  <c r="X427"/>
  <c r="X426"/>
  <c r="X425"/>
  <c r="X424"/>
  <c r="X423"/>
  <c r="X421"/>
  <c r="X420"/>
  <c r="X419"/>
  <c r="X418"/>
  <c r="X417"/>
  <c r="X416"/>
  <c r="X415"/>
  <c r="X414"/>
  <c r="X413"/>
  <c r="X412"/>
  <c r="X411"/>
  <c r="S461"/>
  <c r="S459"/>
  <c r="S458"/>
  <c r="S457"/>
  <c r="S456"/>
  <c r="S455"/>
  <c r="S453"/>
  <c r="S452"/>
  <c r="S451"/>
  <c r="S450"/>
  <c r="S449"/>
  <c r="S448"/>
  <c r="S446"/>
  <c r="S445"/>
  <c r="S444"/>
  <c r="S443"/>
  <c r="S442"/>
  <c r="S441"/>
  <c r="S440"/>
  <c r="S438"/>
  <c r="S436"/>
  <c r="S435"/>
  <c r="S434"/>
  <c r="S431"/>
  <c r="S430"/>
  <c r="S429"/>
  <c r="S428"/>
  <c r="S427"/>
  <c r="S426"/>
  <c r="S425"/>
  <c r="S424"/>
  <c r="S423"/>
  <c r="S422"/>
  <c r="S420"/>
  <c r="S419"/>
  <c r="S418"/>
  <c r="S417"/>
  <c r="S416"/>
  <c r="S415"/>
  <c r="S414"/>
  <c r="AA459" i="14"/>
  <c r="AK459" i="1"/>
  <c r="Y459"/>
  <c r="AZ459" i="2"/>
  <c r="BJ459" s="1"/>
  <c r="AZ547"/>
  <c r="BJ547" s="1"/>
  <c r="AA546" i="14"/>
  <c r="AK546" i="1"/>
  <c r="AZ546" i="2"/>
  <c r="BJ546" s="1"/>
  <c r="AZ545"/>
  <c r="BJ545" s="1"/>
  <c r="AK545" i="1"/>
  <c r="Y545"/>
  <c r="AM545"/>
  <c r="AA545" i="14"/>
  <c r="AA544"/>
  <c r="AK544" i="1"/>
  <c r="AZ544" i="2"/>
  <c r="BJ544" s="1"/>
  <c r="AZ543"/>
  <c r="BJ543" s="1"/>
  <c r="AK543" i="1"/>
  <c r="AM543"/>
  <c r="BL543" i="2" s="1"/>
  <c r="BS543" s="1"/>
  <c r="AA543" i="14"/>
  <c r="AA542"/>
  <c r="AK542" i="1"/>
  <c r="AM542"/>
  <c r="Y542"/>
  <c r="AZ542" i="2"/>
  <c r="BJ542" s="1"/>
  <c r="BL542" s="1"/>
  <c r="BS542" s="1"/>
  <c r="BU542" s="1"/>
  <c r="AA541" i="14"/>
  <c r="AZ541" i="2"/>
  <c r="BJ541"/>
  <c r="AA540" i="14"/>
  <c r="AK540" i="1"/>
  <c r="Y540"/>
  <c r="AZ540" i="2"/>
  <c r="BJ540" s="1"/>
  <c r="AK539" i="1"/>
  <c r="AZ539" i="2"/>
  <c r="BJ539"/>
  <c r="AA538" i="14"/>
  <c r="AK538" i="1"/>
  <c r="Y538"/>
  <c r="AZ538" i="2"/>
  <c r="BJ538" s="1"/>
  <c r="AA537" i="14"/>
  <c r="AK537" i="1"/>
  <c r="Y537"/>
  <c r="AZ537" i="2"/>
  <c r="BJ537" s="1"/>
  <c r="AK536" i="1"/>
  <c r="Y536"/>
  <c r="AZ536" i="2"/>
  <c r="BJ536"/>
  <c r="AZ535"/>
  <c r="BJ535"/>
  <c r="AK535" i="1"/>
  <c r="Y535"/>
  <c r="AA535" i="14"/>
  <c r="AA534"/>
  <c r="AK534" i="1"/>
  <c r="Y534"/>
  <c r="AZ534" i="2"/>
  <c r="BJ534" s="1"/>
  <c r="AA533" i="14"/>
  <c r="AK533" i="1"/>
  <c r="AZ533" i="2"/>
  <c r="BJ533"/>
  <c r="AA532" i="14"/>
  <c r="AK532" i="1"/>
  <c r="Y532"/>
  <c r="AZ532" i="2"/>
  <c r="BJ532" s="1"/>
  <c r="AA531" i="14"/>
  <c r="AK531" i="1"/>
  <c r="Y531"/>
  <c r="AM531" s="1"/>
  <c r="AZ531" i="2"/>
  <c r="BJ531" s="1"/>
  <c r="AK530" i="1"/>
  <c r="AZ530" i="2"/>
  <c r="BJ530"/>
  <c r="AK529" i="1"/>
  <c r="Y529"/>
  <c r="AM529"/>
  <c r="AZ529" i="2"/>
  <c r="BJ529"/>
  <c r="AK528" i="1"/>
  <c r="Y528"/>
  <c r="AZ528" i="2"/>
  <c r="BJ528"/>
  <c r="AK527" i="1"/>
  <c r="Y527"/>
  <c r="AZ527" i="2"/>
  <c r="BJ527"/>
  <c r="AA526" i="14"/>
  <c r="AK526" i="1"/>
  <c r="AZ526" i="2"/>
  <c r="BJ526"/>
  <c r="AA525" i="14"/>
  <c r="AK525" i="1"/>
  <c r="Y525"/>
  <c r="AZ525" i="2"/>
  <c r="BJ525" s="1"/>
  <c r="AA524" i="14"/>
  <c r="AK524" i="1"/>
  <c r="AZ524" i="2"/>
  <c r="BJ524" s="1"/>
  <c r="AA523" i="14"/>
  <c r="AK523" i="1"/>
  <c r="Y523"/>
  <c r="AZ523" i="2"/>
  <c r="BJ523" s="1"/>
  <c r="AA522" i="14"/>
  <c r="AK522" i="1"/>
  <c r="AM522" s="1"/>
  <c r="AZ520" i="2"/>
  <c r="BJ520" s="1"/>
  <c r="AK521" i="1"/>
  <c r="AZ519" i="2"/>
  <c r="BJ519"/>
  <c r="AK520" i="1"/>
  <c r="Y520"/>
  <c r="AZ518" i="2"/>
  <c r="BJ518" s="1"/>
  <c r="AK519" i="1"/>
  <c r="AZ517" i="2"/>
  <c r="BJ517"/>
  <c r="AK518" i="1"/>
  <c r="Y518"/>
  <c r="AZ516" i="2"/>
  <c r="BJ516"/>
  <c r="AA516" i="14"/>
  <c r="AK516" i="1"/>
  <c r="Y516"/>
  <c r="AZ514" i="2"/>
  <c r="BJ514" s="1"/>
  <c r="AA515" i="14"/>
  <c r="AK515" i="1"/>
  <c r="AM515"/>
  <c r="BL513" i="2" s="1"/>
  <c r="BS513" s="1"/>
  <c r="BU513" s="1"/>
  <c r="AZ513"/>
  <c r="BJ513"/>
  <c r="AA514" i="14"/>
  <c r="AA513"/>
  <c r="AK513" i="1"/>
  <c r="AZ511" i="2"/>
  <c r="BJ511" s="1"/>
  <c r="AK512" i="1"/>
  <c r="AZ510" i="2"/>
  <c r="BJ510"/>
  <c r="AA511" i="14"/>
  <c r="AK511" i="1"/>
  <c r="Y511"/>
  <c r="AZ509" i="2"/>
  <c r="BJ509" s="1"/>
  <c r="AK457" i="1"/>
  <c r="AM457" s="1"/>
  <c r="BL457" i="2" s="1"/>
  <c r="BS457" s="1"/>
  <c r="BU457" s="1"/>
  <c r="Y457" i="1"/>
  <c r="AZ457" i="2"/>
  <c r="BJ457"/>
  <c r="AA456" i="14"/>
  <c r="AK456" i="1"/>
  <c r="Y456"/>
  <c r="AM456" s="1"/>
  <c r="BL456" i="2" s="1"/>
  <c r="BS456" s="1"/>
  <c r="BU456" s="1"/>
  <c r="AZ456"/>
  <c r="BJ456" s="1"/>
  <c r="AZ455"/>
  <c r="BJ455" s="1"/>
  <c r="AK455" i="1"/>
  <c r="Y455"/>
  <c r="AA454" i="14"/>
  <c r="AK454" i="1"/>
  <c r="AM454" s="1"/>
  <c r="AZ454" i="2"/>
  <c r="BJ454" s="1"/>
  <c r="AA453" i="14"/>
  <c r="AK453" i="1"/>
  <c r="Y453"/>
  <c r="AZ453" i="2"/>
  <c r="BJ453"/>
  <c r="AA452" i="14"/>
  <c r="AK452" i="1"/>
  <c r="Y452"/>
  <c r="AZ452" i="2"/>
  <c r="BJ452" s="1"/>
  <c r="AA451" i="14"/>
  <c r="AK451" i="1"/>
  <c r="AZ451" i="2"/>
  <c r="BJ451" s="1"/>
  <c r="AK450" i="1"/>
  <c r="AM450" s="1"/>
  <c r="Y450"/>
  <c r="AZ450" i="2"/>
  <c r="BJ450"/>
  <c r="AA449" i="14"/>
  <c r="AK449" i="1"/>
  <c r="AZ449" i="2"/>
  <c r="BJ449"/>
  <c r="AK448" i="1"/>
  <c r="AM448"/>
  <c r="Y448"/>
  <c r="AZ448" i="2"/>
  <c r="BJ448" s="1"/>
  <c r="AA447" i="14"/>
  <c r="AK447" i="1"/>
  <c r="Y447"/>
  <c r="AZ447" i="2"/>
  <c r="BJ447"/>
  <c r="AA446" i="14"/>
  <c r="AK446" i="1"/>
  <c r="Y446"/>
  <c r="AZ446" i="2"/>
  <c r="BJ446"/>
  <c r="AK445" i="1"/>
  <c r="AZ445" i="2"/>
  <c r="BJ445" s="1"/>
  <c r="AK444" i="1"/>
  <c r="Y444"/>
  <c r="AZ444" i="2"/>
  <c r="BJ444" s="1"/>
  <c r="AA443" i="14"/>
  <c r="AK443" i="1"/>
  <c r="Y443"/>
  <c r="AZ443" i="2"/>
  <c r="BJ443"/>
  <c r="AA442" i="14"/>
  <c r="AK442" i="1"/>
  <c r="Y442"/>
  <c r="AZ442" i="2"/>
  <c r="BJ442" s="1"/>
  <c r="AA441" i="14"/>
  <c r="AK441" i="1"/>
  <c r="Y441"/>
  <c r="AZ441" i="2"/>
  <c r="BJ441"/>
  <c r="AZ440"/>
  <c r="BJ440"/>
  <c r="AZ437"/>
  <c r="BJ437"/>
  <c r="AK439" i="1"/>
  <c r="Y439"/>
  <c r="AA439" i="14"/>
  <c r="AK438" i="1"/>
  <c r="Y438"/>
  <c r="AM438"/>
  <c r="AZ436" i="2"/>
  <c r="BJ436"/>
  <c r="AK437" i="1"/>
  <c r="Y437"/>
  <c r="AZ435" i="2"/>
  <c r="BJ435"/>
  <c r="AK436" i="1"/>
  <c r="Y436"/>
  <c r="AZ434" i="2"/>
  <c r="BJ434"/>
  <c r="AA435" i="14"/>
  <c r="AK435" i="1"/>
  <c r="Y435"/>
  <c r="AZ433" i="2"/>
  <c r="BJ433" s="1"/>
  <c r="AK434" i="1"/>
  <c r="AA434" i="14"/>
  <c r="AA433"/>
  <c r="AK433" i="1"/>
  <c r="Y433"/>
  <c r="AZ431" i="2"/>
  <c r="BJ431" s="1"/>
  <c r="AA432" i="14"/>
  <c r="AK432" i="1"/>
  <c r="AZ430" i="2"/>
  <c r="BJ430" s="1"/>
  <c r="AA431" i="14"/>
  <c r="AK431" i="1"/>
  <c r="Y431"/>
  <c r="AZ429" i="2"/>
  <c r="BJ429"/>
  <c r="AA430" i="14"/>
  <c r="AK430" i="1"/>
  <c r="Y430"/>
  <c r="AZ428" i="2"/>
  <c r="BJ428"/>
  <c r="AK429" i="1"/>
  <c r="Y429"/>
  <c r="AZ427" i="2"/>
  <c r="BJ427"/>
  <c r="AA426" i="14"/>
  <c r="AK426" i="1"/>
  <c r="Y426"/>
  <c r="AZ426" i="2"/>
  <c r="BJ426" s="1"/>
  <c r="AA425" i="14"/>
  <c r="AK425" i="1"/>
  <c r="AZ425" i="2"/>
  <c r="BJ425" s="1"/>
  <c r="AK424" i="1"/>
  <c r="Y424"/>
  <c r="AZ424" i="2"/>
  <c r="BJ424"/>
  <c r="AA423" i="14"/>
  <c r="AK423" i="1"/>
  <c r="Y423"/>
  <c r="AZ423" i="2"/>
  <c r="BJ423" s="1"/>
  <c r="AA422" i="14"/>
  <c r="AK422" i="1"/>
  <c r="AZ422" i="2"/>
  <c r="BJ422" s="1"/>
  <c r="AK421" i="1"/>
  <c r="Y421"/>
  <c r="BJ421" i="2"/>
  <c r="AK420" i="1"/>
  <c r="AM420" s="1"/>
  <c r="AZ420" i="2"/>
  <c r="BJ420" s="1"/>
  <c r="AK419" i="1"/>
  <c r="Y419"/>
  <c r="AM419" s="1"/>
  <c r="AA419" i="14"/>
  <c r="AA418"/>
  <c r="AK418" i="1"/>
  <c r="AZ418" i="2"/>
  <c r="BJ418"/>
  <c r="AZ417"/>
  <c r="BJ417"/>
  <c r="AK417" i="1"/>
  <c r="Y417"/>
  <c r="AA417" i="14"/>
  <c r="AA416"/>
  <c r="AK416" i="1"/>
  <c r="Y416"/>
  <c r="AZ416" i="2"/>
  <c r="BJ416" s="1"/>
  <c r="AA415" i="14"/>
  <c r="Y415" i="1"/>
  <c r="AZ415" i="2"/>
  <c r="BJ415" s="1"/>
  <c r="AA414" i="14"/>
  <c r="AK414" i="1"/>
  <c r="Y414"/>
  <c r="AZ414" i="2"/>
  <c r="BJ414" s="1"/>
  <c r="AA413" i="14"/>
  <c r="AK413" i="1"/>
  <c r="Y413"/>
  <c r="AM413"/>
  <c r="BL413" i="2" s="1"/>
  <c r="BS413" s="1"/>
  <c r="BU413" s="1"/>
  <c r="AZ413"/>
  <c r="BJ413"/>
  <c r="AZ412"/>
  <c r="BJ412"/>
  <c r="AK412" i="1"/>
  <c r="AM412" s="1"/>
  <c r="BL412" i="2" s="1"/>
  <c r="BS412" s="1"/>
  <c r="Y412" i="1"/>
  <c r="AZ411" i="2"/>
  <c r="BJ411"/>
  <c r="AK411" i="1"/>
  <c r="Y411"/>
  <c r="AM411" s="1"/>
  <c r="AA411" i="14"/>
  <c r="AK410" i="1"/>
  <c r="Y410"/>
  <c r="AZ410" i="2"/>
  <c r="BJ410"/>
  <c r="AK458" i="1"/>
  <c r="Y458"/>
  <c r="K547" i="14"/>
  <c r="O547"/>
  <c r="K546"/>
  <c r="K545"/>
  <c r="O545"/>
  <c r="K544"/>
  <c r="O544"/>
  <c r="K543"/>
  <c r="O543"/>
  <c r="K542"/>
  <c r="O542"/>
  <c r="K541"/>
  <c r="K540"/>
  <c r="O540"/>
  <c r="K539"/>
  <c r="O539"/>
  <c r="K538"/>
  <c r="O538"/>
  <c r="K537"/>
  <c r="O537"/>
  <c r="K536"/>
  <c r="O536"/>
  <c r="K535"/>
  <c r="O535"/>
  <c r="K534"/>
  <c r="O534"/>
  <c r="K533"/>
  <c r="O533"/>
  <c r="K532"/>
  <c r="O532"/>
  <c r="K531"/>
  <c r="O531"/>
  <c r="K530"/>
  <c r="O530"/>
  <c r="K529"/>
  <c r="O529"/>
  <c r="K528"/>
  <c r="O528"/>
  <c r="K527"/>
  <c r="O527"/>
  <c r="AC527" s="1"/>
  <c r="K526"/>
  <c r="O526"/>
  <c r="K525"/>
  <c r="O525"/>
  <c r="K524"/>
  <c r="O524"/>
  <c r="K523"/>
  <c r="O523"/>
  <c r="K522"/>
  <c r="O522"/>
  <c r="K521"/>
  <c r="O521"/>
  <c r="K520"/>
  <c r="O520"/>
  <c r="K519"/>
  <c r="O519"/>
  <c r="K518"/>
  <c r="O518"/>
  <c r="K516"/>
  <c r="O516"/>
  <c r="K515"/>
  <c r="O515"/>
  <c r="K514"/>
  <c r="O514"/>
  <c r="K513"/>
  <c r="O513"/>
  <c r="K512"/>
  <c r="O512"/>
  <c r="K511"/>
  <c r="O511"/>
  <c r="AC510"/>
  <c r="AC504"/>
  <c r="AC498"/>
  <c r="AC494"/>
  <c r="AC489"/>
  <c r="AC484"/>
  <c r="AC477"/>
  <c r="AC473"/>
  <c r="AC469"/>
  <c r="AC464"/>
  <c r="AC460"/>
  <c r="K459"/>
  <c r="O459"/>
  <c r="K458"/>
  <c r="O458"/>
  <c r="AA458"/>
  <c r="K457"/>
  <c r="O457"/>
  <c r="K456"/>
  <c r="O456"/>
  <c r="K455"/>
  <c r="O455"/>
  <c r="K454"/>
  <c r="K453"/>
  <c r="O453"/>
  <c r="K452"/>
  <c r="O452"/>
  <c r="O451"/>
  <c r="K450"/>
  <c r="O450"/>
  <c r="K449"/>
  <c r="O449"/>
  <c r="K448"/>
  <c r="O448"/>
  <c r="K447"/>
  <c r="O447"/>
  <c r="K446"/>
  <c r="O446"/>
  <c r="K445"/>
  <c r="K444"/>
  <c r="O444"/>
  <c r="K443"/>
  <c r="K442"/>
  <c r="O442"/>
  <c r="K441"/>
  <c r="O441"/>
  <c r="K440"/>
  <c r="O440"/>
  <c r="K439"/>
  <c r="O439"/>
  <c r="K438"/>
  <c r="O438"/>
  <c r="K437"/>
  <c r="O437"/>
  <c r="K436"/>
  <c r="O436"/>
  <c r="K435"/>
  <c r="O435"/>
  <c r="K434"/>
  <c r="O434"/>
  <c r="K433"/>
  <c r="O433"/>
  <c r="K432"/>
  <c r="O432"/>
  <c r="K431"/>
  <c r="O431"/>
  <c r="O430"/>
  <c r="O427"/>
  <c r="K426"/>
  <c r="O426"/>
  <c r="K425"/>
  <c r="O425"/>
  <c r="K424"/>
  <c r="O424"/>
  <c r="K423"/>
  <c r="AC423" s="1"/>
  <c r="K422"/>
  <c r="O422"/>
  <c r="K421"/>
  <c r="O421"/>
  <c r="K420"/>
  <c r="O420"/>
  <c r="K419"/>
  <c r="O419"/>
  <c r="O418"/>
  <c r="K417"/>
  <c r="O417"/>
  <c r="O416"/>
  <c r="K415"/>
  <c r="O415"/>
  <c r="K414"/>
  <c r="O414"/>
  <c r="K413"/>
  <c r="O413"/>
  <c r="O412"/>
  <c r="K411"/>
  <c r="O411"/>
  <c r="K410"/>
  <c r="O410"/>
  <c r="G534" i="16"/>
  <c r="M534"/>
  <c r="W534"/>
  <c r="AD534"/>
  <c r="M533"/>
  <c r="W533"/>
  <c r="AD533"/>
  <c r="G532"/>
  <c r="M532"/>
  <c r="W532"/>
  <c r="AD532"/>
  <c r="M531"/>
  <c r="W531"/>
  <c r="AD531"/>
  <c r="M530"/>
  <c r="W530"/>
  <c r="AD530"/>
  <c r="M529"/>
  <c r="W529"/>
  <c r="AD529"/>
  <c r="M528"/>
  <c r="W528"/>
  <c r="AD528"/>
  <c r="G527"/>
  <c r="M527"/>
  <c r="W527"/>
  <c r="AD527"/>
  <c r="M526"/>
  <c r="W526"/>
  <c r="AD526"/>
  <c r="G525"/>
  <c r="M525"/>
  <c r="W525"/>
  <c r="AD525"/>
  <c r="G524"/>
  <c r="M524"/>
  <c r="W524"/>
  <c r="AD524"/>
  <c r="M523"/>
  <c r="W523"/>
  <c r="AD523"/>
  <c r="G522"/>
  <c r="M522"/>
  <c r="W522"/>
  <c r="AD522"/>
  <c r="M521"/>
  <c r="W521"/>
  <c r="AD521"/>
  <c r="M520"/>
  <c r="W520"/>
  <c r="AD520"/>
  <c r="M519"/>
  <c r="W519"/>
  <c r="AD519"/>
  <c r="G518"/>
  <c r="M518"/>
  <c r="W518"/>
  <c r="AD518"/>
  <c r="M517"/>
  <c r="W517"/>
  <c r="AD517"/>
  <c r="M516"/>
  <c r="W516"/>
  <c r="AD516"/>
  <c r="M515"/>
  <c r="W515"/>
  <c r="AD515"/>
  <c r="M514"/>
  <c r="W514"/>
  <c r="AD514"/>
  <c r="M513"/>
  <c r="W513"/>
  <c r="AD513"/>
  <c r="G512"/>
  <c r="M512"/>
  <c r="AF512" s="1"/>
  <c r="W512"/>
  <c r="AD512"/>
  <c r="M511"/>
  <c r="W511"/>
  <c r="AD511"/>
  <c r="M510"/>
  <c r="W510"/>
  <c r="AD510"/>
  <c r="M509"/>
  <c r="W509"/>
  <c r="AD509"/>
  <c r="M508"/>
  <c r="W508"/>
  <c r="AD508"/>
  <c r="M507"/>
  <c r="W507"/>
  <c r="AD507"/>
  <c r="M506"/>
  <c r="W506"/>
  <c r="AD506"/>
  <c r="M505"/>
  <c r="W505"/>
  <c r="AD505"/>
  <c r="M503"/>
  <c r="W503"/>
  <c r="AD503"/>
  <c r="M502"/>
  <c r="W502"/>
  <c r="AD502"/>
  <c r="M501"/>
  <c r="W501"/>
  <c r="AD501"/>
  <c r="M500"/>
  <c r="W500"/>
  <c r="AD500"/>
  <c r="M499"/>
  <c r="W499"/>
  <c r="AD499"/>
  <c r="AD498"/>
  <c r="AD497"/>
  <c r="AD496"/>
  <c r="AD495"/>
  <c r="AD494"/>
  <c r="AD493"/>
  <c r="AD492"/>
  <c r="AD491"/>
  <c r="AD490"/>
  <c r="AD489"/>
  <c r="AD488"/>
  <c r="AD487"/>
  <c r="AD486"/>
  <c r="AD485"/>
  <c r="AD484"/>
  <c r="AD483"/>
  <c r="AD482"/>
  <c r="AD479"/>
  <c r="AD478"/>
  <c r="AD477"/>
  <c r="AD476"/>
  <c r="AD475"/>
  <c r="AD474"/>
  <c r="AD473"/>
  <c r="AD472"/>
  <c r="AD471"/>
  <c r="AD470"/>
  <c r="AD468"/>
  <c r="AD467"/>
  <c r="AD466"/>
  <c r="AD465"/>
  <c r="AD464"/>
  <c r="AD463"/>
  <c r="AD462"/>
  <c r="AD461"/>
  <c r="AD460"/>
  <c r="AD459"/>
  <c r="AD458"/>
  <c r="AD457"/>
  <c r="AD456"/>
  <c r="AD455"/>
  <c r="AD454"/>
  <c r="AD453"/>
  <c r="AD452"/>
  <c r="AD451"/>
  <c r="AD450"/>
  <c r="AD449"/>
  <c r="AD448"/>
  <c r="M447"/>
  <c r="W447"/>
  <c r="AD447"/>
  <c r="M446"/>
  <c r="W446"/>
  <c r="AD446"/>
  <c r="M445"/>
  <c r="W445"/>
  <c r="AD445"/>
  <c r="M444"/>
  <c r="W444"/>
  <c r="AD444"/>
  <c r="G443"/>
  <c r="M443"/>
  <c r="W443"/>
  <c r="AD443"/>
  <c r="M442"/>
  <c r="W442"/>
  <c r="AD442"/>
  <c r="M441"/>
  <c r="W441"/>
  <c r="AD441"/>
  <c r="M440"/>
  <c r="W440"/>
  <c r="M439"/>
  <c r="W439"/>
  <c r="AD439"/>
  <c r="M438"/>
  <c r="W438"/>
  <c r="AD438"/>
  <c r="M437"/>
  <c r="W437"/>
  <c r="AD437"/>
  <c r="M436"/>
  <c r="W436"/>
  <c r="AD436"/>
  <c r="M435"/>
  <c r="W435"/>
  <c r="AD435"/>
  <c r="M434"/>
  <c r="W434"/>
  <c r="AD434"/>
  <c r="M433"/>
  <c r="W433"/>
  <c r="AD433"/>
  <c r="M432"/>
  <c r="W432"/>
  <c r="AD432"/>
  <c r="M431"/>
  <c r="W431"/>
  <c r="AD431"/>
  <c r="G430"/>
  <c r="M430"/>
  <c r="W430"/>
  <c r="AD430"/>
  <c r="G429"/>
  <c r="M429"/>
  <c r="W429"/>
  <c r="AD429"/>
  <c r="M428"/>
  <c r="W428"/>
  <c r="AD428"/>
  <c r="M427"/>
  <c r="W427"/>
  <c r="AD427"/>
  <c r="M426"/>
  <c r="W426"/>
  <c r="AD426"/>
  <c r="G425"/>
  <c r="M425"/>
  <c r="W425"/>
  <c r="AD425"/>
  <c r="W424"/>
  <c r="AD424"/>
  <c r="M423"/>
  <c r="W423"/>
  <c r="AD423"/>
  <c r="M422"/>
  <c r="W422"/>
  <c r="AD422"/>
  <c r="G421"/>
  <c r="M421"/>
  <c r="W421"/>
  <c r="AD421"/>
  <c r="M420"/>
  <c r="W420"/>
  <c r="M419"/>
  <c r="W419"/>
  <c r="AD419"/>
  <c r="M418"/>
  <c r="W418"/>
  <c r="AD418"/>
  <c r="M417"/>
  <c r="W417"/>
  <c r="AD417"/>
  <c r="G416"/>
  <c r="M416"/>
  <c r="W416"/>
  <c r="AD416"/>
  <c r="M415"/>
  <c r="W415"/>
  <c r="AD415"/>
  <c r="G412"/>
  <c r="M412"/>
  <c r="W412"/>
  <c r="AD412"/>
  <c r="M411"/>
  <c r="W411"/>
  <c r="AD411"/>
  <c r="M410"/>
  <c r="W410"/>
  <c r="M409"/>
  <c r="W409"/>
  <c r="AD409"/>
  <c r="M408"/>
  <c r="W408"/>
  <c r="AD408"/>
  <c r="M407"/>
  <c r="W407"/>
  <c r="AD407"/>
  <c r="M406"/>
  <c r="W406"/>
  <c r="AD406"/>
  <c r="G405"/>
  <c r="M405"/>
  <c r="W405"/>
  <c r="AD405"/>
  <c r="G404"/>
  <c r="M404"/>
  <c r="W404"/>
  <c r="AD404"/>
  <c r="M403"/>
  <c r="W403"/>
  <c r="AD403"/>
  <c r="G402"/>
  <c r="M402"/>
  <c r="W402"/>
  <c r="AD402"/>
  <c r="G401"/>
  <c r="M401"/>
  <c r="W401"/>
  <c r="AD401"/>
  <c r="M400"/>
  <c r="W400"/>
  <c r="AD400"/>
  <c r="G399"/>
  <c r="M399"/>
  <c r="W399"/>
  <c r="AD399"/>
  <c r="M398"/>
  <c r="W398"/>
  <c r="AD398"/>
  <c r="AK409" i="1"/>
  <c r="Y409"/>
  <c r="AZ409" i="2"/>
  <c r="BJ409" s="1"/>
  <c r="AA409" i="14"/>
  <c r="AK408" i="1"/>
  <c r="AM408"/>
  <c r="Y408"/>
  <c r="AZ408" i="2"/>
  <c r="BJ408" s="1"/>
  <c r="AA408" i="14"/>
  <c r="AA407"/>
  <c r="AK407" i="1"/>
  <c r="BJ407" i="2"/>
  <c r="AK406" i="1"/>
  <c r="AM406" s="1"/>
  <c r="AA405" i="14"/>
  <c r="AK405" i="1"/>
  <c r="BJ405" i="2"/>
  <c r="AA404" i="14"/>
  <c r="AK404" i="1"/>
  <c r="AA403" i="14"/>
  <c r="AK403" i="1"/>
  <c r="AA402" i="14"/>
  <c r="BJ402" i="2"/>
  <c r="BL402" s="1"/>
  <c r="BS402" s="1"/>
  <c r="BU402" s="1"/>
  <c r="AK401" i="1"/>
  <c r="BJ401" i="2"/>
  <c r="AK400" i="1"/>
  <c r="BJ400" i="2"/>
  <c r="AA400" i="14"/>
  <c r="O393"/>
  <c r="X373" i="10"/>
  <c r="X361"/>
  <c r="X410"/>
  <c r="X409"/>
  <c r="X408"/>
  <c r="X407"/>
  <c r="X406"/>
  <c r="X405"/>
  <c r="X404"/>
  <c r="X403"/>
  <c r="X402"/>
  <c r="X401"/>
  <c r="X400"/>
  <c r="X399"/>
  <c r="X398"/>
  <c r="X397"/>
  <c r="X396"/>
  <c r="X395"/>
  <c r="X394"/>
  <c r="X393"/>
  <c r="X392"/>
  <c r="X391"/>
  <c r="X390"/>
  <c r="X389"/>
  <c r="X388"/>
  <c r="X387"/>
  <c r="X386"/>
  <c r="X385"/>
  <c r="X384"/>
  <c r="X383"/>
  <c r="X382"/>
  <c r="X381"/>
  <c r="X380"/>
  <c r="X379"/>
  <c r="X378"/>
  <c r="X377"/>
  <c r="X376"/>
  <c r="X375"/>
  <c r="X374"/>
  <c r="X372"/>
  <c r="X371"/>
  <c r="X370"/>
  <c r="X369"/>
  <c r="X366"/>
  <c r="X365"/>
  <c r="X364"/>
  <c r="X363"/>
  <c r="X362"/>
  <c r="X360"/>
  <c r="X358"/>
  <c r="X357"/>
  <c r="X356"/>
  <c r="X359"/>
  <c r="X355"/>
  <c r="X354"/>
  <c r="X353"/>
  <c r="X352"/>
  <c r="X351"/>
  <c r="X315"/>
  <c r="X349"/>
  <c r="X348"/>
  <c r="X347"/>
  <c r="X346"/>
  <c r="X345"/>
  <c r="X344"/>
  <c r="X343"/>
  <c r="X342"/>
  <c r="X341"/>
  <c r="X340"/>
  <c r="X339"/>
  <c r="X338"/>
  <c r="X337"/>
  <c r="X336"/>
  <c r="X335"/>
  <c r="X334"/>
  <c r="X333"/>
  <c r="X332"/>
  <c r="X331"/>
  <c r="X330"/>
  <c r="X329"/>
  <c r="X328"/>
  <c r="X327"/>
  <c r="X326"/>
  <c r="X325"/>
  <c r="X324"/>
  <c r="X323"/>
  <c r="X322"/>
  <c r="X321"/>
  <c r="X320"/>
  <c r="X319"/>
  <c r="X318"/>
  <c r="X317"/>
  <c r="X316"/>
  <c r="X314"/>
  <c r="X313"/>
  <c r="X312"/>
  <c r="X311"/>
  <c r="X310"/>
  <c r="X309"/>
  <c r="X308"/>
  <c r="X307"/>
  <c r="X304"/>
  <c r="X303"/>
  <c r="X302"/>
  <c r="Y236" i="1"/>
  <c r="AK236"/>
  <c r="AZ236" i="2"/>
  <c r="BJ236" s="1"/>
  <c r="AA236" i="14"/>
  <c r="Y231" i="1"/>
  <c r="K230" i="14"/>
  <c r="AA230"/>
  <c r="O230"/>
  <c r="Y226" i="1"/>
  <c r="Y219"/>
  <c r="AZ219" i="2"/>
  <c r="BJ219"/>
  <c r="AK237" i="1"/>
  <c r="AZ237" i="2"/>
  <c r="BJ237" s="1"/>
  <c r="AK235" i="1"/>
  <c r="AZ235" i="2"/>
  <c r="BJ235"/>
  <c r="AA234" i="14"/>
  <c r="AK234" i="1"/>
  <c r="AZ234" i="2"/>
  <c r="BJ234" s="1"/>
  <c r="AA233" i="14"/>
  <c r="AK233" i="1"/>
  <c r="AZ233" i="2"/>
  <c r="BJ233" s="1"/>
  <c r="Y232" i="1"/>
  <c r="AK232"/>
  <c r="AZ232" i="2"/>
  <c r="BJ232" s="1"/>
  <c r="AA231" i="14"/>
  <c r="AK231" i="1"/>
  <c r="AZ231" i="2"/>
  <c r="BJ231" s="1"/>
  <c r="AK230" i="1"/>
  <c r="AM230" s="1"/>
  <c r="AZ230" i="2"/>
  <c r="BJ230" s="1"/>
  <c r="Y229" i="1"/>
  <c r="AA228" i="14"/>
  <c r="AK228" i="1"/>
  <c r="AM228" s="1"/>
  <c r="AZ228" i="2"/>
  <c r="BJ228" s="1"/>
  <c r="Y227" i="1"/>
  <c r="AK227"/>
  <c r="AZ227" i="2"/>
  <c r="BJ227"/>
  <c r="AA226" i="14"/>
  <c r="AK226" i="1"/>
  <c r="AM226" s="1"/>
  <c r="AZ226" i="2"/>
  <c r="BJ226" s="1"/>
  <c r="AA225" i="14"/>
  <c r="AK225" i="1"/>
  <c r="Y225"/>
  <c r="AM225" s="1"/>
  <c r="BL225" i="2" s="1"/>
  <c r="BS225" s="1"/>
  <c r="BU225" s="1"/>
  <c r="AZ225"/>
  <c r="BJ225" s="1"/>
  <c r="Y224" i="1"/>
  <c r="AK224"/>
  <c r="AM224"/>
  <c r="AZ224" i="2"/>
  <c r="BJ224"/>
  <c r="AK223" i="1"/>
  <c r="AZ223" i="2"/>
  <c r="BJ223" s="1"/>
  <c r="Y222" i="1"/>
  <c r="AK222"/>
  <c r="AM222" s="1"/>
  <c r="BL222" i="2" s="1"/>
  <c r="BS222" s="1"/>
  <c r="AZ222"/>
  <c r="BJ222" s="1"/>
  <c r="Y221" i="1"/>
  <c r="AK221"/>
  <c r="AM221" s="1"/>
  <c r="AZ221" i="2"/>
  <c r="BJ221" s="1"/>
  <c r="AA220" i="14"/>
  <c r="AK220" i="1"/>
  <c r="AM220"/>
  <c r="AZ220" i="2"/>
  <c r="BJ220"/>
  <c r="AA218" i="14"/>
  <c r="Y218" i="1"/>
  <c r="AK218"/>
  <c r="AZ218" i="2"/>
  <c r="BJ218" s="1"/>
  <c r="AZ217"/>
  <c r="BJ217"/>
  <c r="AK217" i="1"/>
  <c r="AM217"/>
  <c r="BL217" i="2" s="1"/>
  <c r="BS217" s="1"/>
  <c r="BU217" s="1"/>
  <c r="AA217" i="14"/>
  <c r="AK216" i="1"/>
  <c r="Y216"/>
  <c r="AM216"/>
  <c r="BL216" i="2" s="1"/>
  <c r="BS216" s="1"/>
  <c r="BU216" s="1"/>
  <c r="AZ216"/>
  <c r="BJ216"/>
  <c r="AA216" i="14"/>
  <c r="AZ215" i="2"/>
  <c r="BJ215"/>
  <c r="AK215" i="1"/>
  <c r="Y215"/>
  <c r="X350" i="10"/>
  <c r="S350"/>
  <c r="S348"/>
  <c r="S347"/>
  <c r="S346"/>
  <c r="S345"/>
  <c r="S344"/>
  <c r="S343"/>
  <c r="S342"/>
  <c r="S341"/>
  <c r="S340"/>
  <c r="S339"/>
  <c r="AA362" i="14"/>
  <c r="AK362" i="1"/>
  <c r="Y362"/>
  <c r="AM362" s="1"/>
  <c r="AZ362" i="2"/>
  <c r="BJ362" s="1"/>
  <c r="AA361" i="14"/>
  <c r="AK361" i="1"/>
  <c r="Y361"/>
  <c r="AM361" s="1"/>
  <c r="AZ361" i="2"/>
  <c r="BJ361" s="1"/>
  <c r="AA360" i="14"/>
  <c r="Y360" i="1"/>
  <c r="AK360"/>
  <c r="AM360" s="1"/>
  <c r="BL360" i="2" s="1"/>
  <c r="BS360" s="1"/>
  <c r="BU360" s="1"/>
  <c r="AZ360"/>
  <c r="BJ360"/>
  <c r="Y359" i="1"/>
  <c r="AK359"/>
  <c r="AZ359" i="2"/>
  <c r="BJ359"/>
  <c r="Y358" i="1"/>
  <c r="AK358"/>
  <c r="AZ358" i="2"/>
  <c r="BJ358" s="1"/>
  <c r="AA357" i="14"/>
  <c r="AK357" i="1"/>
  <c r="AM357"/>
  <c r="Y357"/>
  <c r="AZ357" i="2"/>
  <c r="BJ357" s="1"/>
  <c r="BL357" s="1"/>
  <c r="BS357" s="1"/>
  <c r="BU357" s="1"/>
  <c r="AK356" i="1"/>
  <c r="AZ356" i="2"/>
  <c r="BJ356" s="1"/>
  <c r="AA355" i="14"/>
  <c r="AK355" i="1"/>
  <c r="AM355" s="1"/>
  <c r="BL355" i="2" s="1"/>
  <c r="BS355" s="1"/>
  <c r="BU355" s="1"/>
  <c r="Y355" i="1"/>
  <c r="AZ355" i="2"/>
  <c r="BJ355"/>
  <c r="AK354" i="1"/>
  <c r="Y354"/>
  <c r="AZ354" i="2"/>
  <c r="BJ354"/>
  <c r="AA353" i="14"/>
  <c r="Y353" i="1"/>
  <c r="AK353"/>
  <c r="AM353"/>
  <c r="BL353" i="2" s="1"/>
  <c r="BS353" s="1"/>
  <c r="BU353" s="1"/>
  <c r="AZ353"/>
  <c r="BJ353"/>
  <c r="AA352" i="14"/>
  <c r="AK352" i="1"/>
  <c r="Y352"/>
  <c r="AM352" s="1"/>
  <c r="AZ352" i="2"/>
  <c r="BJ352" s="1"/>
  <c r="AA351" i="14"/>
  <c r="Y351" i="1"/>
  <c r="AK351"/>
  <c r="AZ351" i="2"/>
  <c r="BJ351"/>
  <c r="Y350" i="1"/>
  <c r="AK350"/>
  <c r="AZ350" i="2"/>
  <c r="BJ350"/>
  <c r="AK349" i="1"/>
  <c r="Y349"/>
  <c r="AZ349" i="2"/>
  <c r="BJ349" s="1"/>
  <c r="AA349" i="14"/>
  <c r="AK348" i="1"/>
  <c r="AZ346" i="2"/>
  <c r="BJ346" s="1"/>
  <c r="AK347" i="1"/>
  <c r="AZ345" i="2"/>
  <c r="BJ345" s="1"/>
  <c r="AA347" i="14"/>
  <c r="AK346" i="1"/>
  <c r="AZ344" i="2"/>
  <c r="BJ344" s="1"/>
  <c r="AA346" i="14"/>
  <c r="AK345" i="1"/>
  <c r="AM345"/>
  <c r="Y345"/>
  <c r="AZ343" i="2"/>
  <c r="BJ343" s="1"/>
  <c r="AA345" i="14"/>
  <c r="AK344" i="1"/>
  <c r="AZ342" i="2"/>
  <c r="BJ342" s="1"/>
  <c r="AA344" i="14"/>
  <c r="AK343" i="1"/>
  <c r="Y343"/>
  <c r="AZ341" i="2"/>
  <c r="BJ341"/>
  <c r="AA343" i="14"/>
  <c r="AK342" i="1"/>
  <c r="Y342"/>
  <c r="AZ340" i="2"/>
  <c r="BJ340" s="1"/>
  <c r="AA342" i="14"/>
  <c r="AK341" i="1"/>
  <c r="Y341"/>
  <c r="AZ339" i="2"/>
  <c r="BJ339"/>
  <c r="AK340" i="1"/>
  <c r="Y340"/>
  <c r="AZ338" i="2"/>
  <c r="BJ338"/>
  <c r="AA338" i="14"/>
  <c r="AK339" i="1"/>
  <c r="Y339"/>
  <c r="AZ337" i="2"/>
  <c r="BJ337"/>
  <c r="AA337" i="14"/>
  <c r="AK336" i="1"/>
  <c r="Y336"/>
  <c r="AZ336" i="2"/>
  <c r="BJ336" s="1"/>
  <c r="AA336" i="14"/>
  <c r="AA335"/>
  <c r="Y335" i="1"/>
  <c r="AK335"/>
  <c r="AZ335" i="2"/>
  <c r="BJ335" s="1"/>
  <c r="AA334" i="14"/>
  <c r="Y334" i="1"/>
  <c r="AK334"/>
  <c r="AZ334" i="2"/>
  <c r="BJ334"/>
  <c r="AK333" i="1"/>
  <c r="Y333"/>
  <c r="AZ333" i="2"/>
  <c r="BJ333"/>
  <c r="AA333" i="14"/>
  <c r="AK332" i="1"/>
  <c r="Y332"/>
  <c r="AZ332" i="2"/>
  <c r="BJ332" s="1"/>
  <c r="AA332" i="14"/>
  <c r="AA331"/>
  <c r="AK331" i="1"/>
  <c r="AM331" s="1"/>
  <c r="AZ331" i="2"/>
  <c r="BJ331" s="1"/>
  <c r="Y330" i="1"/>
  <c r="AK330"/>
  <c r="AM330"/>
  <c r="AZ330" i="2"/>
  <c r="BJ330"/>
  <c r="Y329" i="1"/>
  <c r="AZ329" i="2"/>
  <c r="BJ329" s="1"/>
  <c r="AA328" i="14"/>
  <c r="Y328" i="1"/>
  <c r="AK328"/>
  <c r="AZ328" i="2"/>
  <c r="BJ328"/>
  <c r="AA327" i="14"/>
  <c r="Y327" i="1"/>
  <c r="AK327"/>
  <c r="AZ327" i="2"/>
  <c r="BJ327" s="1"/>
  <c r="Y326" i="1"/>
  <c r="AK326"/>
  <c r="AZ326" i="2"/>
  <c r="BJ326" s="1"/>
  <c r="Y325" i="1"/>
  <c r="AK325"/>
  <c r="AZ325" i="2"/>
  <c r="BJ325" s="1"/>
  <c r="AA324" i="14"/>
  <c r="Y324" i="1"/>
  <c r="AK324"/>
  <c r="AZ324" i="2"/>
  <c r="BJ324"/>
  <c r="AA323" i="14"/>
  <c r="Y323" i="1"/>
  <c r="AK323"/>
  <c r="AZ323" i="2"/>
  <c r="BJ323"/>
  <c r="AA322" i="14"/>
  <c r="Y322" i="1"/>
  <c r="AK322"/>
  <c r="AZ322" i="2"/>
  <c r="BJ322" s="1"/>
  <c r="AA321" i="14"/>
  <c r="AK321" i="1"/>
  <c r="Y321"/>
  <c r="AZ321" i="2"/>
  <c r="BJ321"/>
  <c r="AA320" i="14"/>
  <c r="AK320" i="1"/>
  <c r="Y320"/>
  <c r="AZ320" i="2"/>
  <c r="BJ320" s="1"/>
  <c r="O349" i="14"/>
  <c r="K349"/>
  <c r="O348"/>
  <c r="K348"/>
  <c r="AC348"/>
  <c r="O347"/>
  <c r="K347"/>
  <c r="O346"/>
  <c r="K346"/>
  <c r="AC346" s="1"/>
  <c r="O345"/>
  <c r="K345"/>
  <c r="O344"/>
  <c r="K344"/>
  <c r="AC344"/>
  <c r="O343"/>
  <c r="K343"/>
  <c r="O342"/>
  <c r="K342"/>
  <c r="O341"/>
  <c r="K341"/>
  <c r="O338"/>
  <c r="AC338"/>
  <c r="K338"/>
  <c r="O337"/>
  <c r="K337"/>
  <c r="O336"/>
  <c r="K336"/>
  <c r="W335" i="16"/>
  <c r="M335"/>
  <c r="G335"/>
  <c r="W334"/>
  <c r="M334"/>
  <c r="W333"/>
  <c r="M333"/>
  <c r="W332"/>
  <c r="M332"/>
  <c r="G332"/>
  <c r="W331"/>
  <c r="M331"/>
  <c r="W330"/>
  <c r="M330"/>
  <c r="G330"/>
  <c r="W329"/>
  <c r="M329"/>
  <c r="G329"/>
  <c r="W328"/>
  <c r="M328"/>
  <c r="G328"/>
  <c r="W327"/>
  <c r="M327"/>
  <c r="W326"/>
  <c r="M326"/>
  <c r="G326"/>
  <c r="W325"/>
  <c r="M325"/>
  <c r="W324"/>
  <c r="M324"/>
  <c r="AD324"/>
  <c r="AD325"/>
  <c r="AD326"/>
  <c r="AD327"/>
  <c r="AD328"/>
  <c r="AD329"/>
  <c r="AD330"/>
  <c r="AD331"/>
  <c r="AD332"/>
  <c r="AD333"/>
  <c r="AD334"/>
  <c r="AD335"/>
  <c r="X238" i="10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M197" i="16"/>
  <c r="X215" i="10"/>
  <c r="X214"/>
  <c r="X213"/>
  <c r="X212"/>
  <c r="X211"/>
  <c r="X210"/>
  <c r="X209"/>
  <c r="Y207" i="1"/>
  <c r="AK207"/>
  <c r="AZ207" i="2"/>
  <c r="BJ207"/>
  <c r="AK206" i="1"/>
  <c r="AM206"/>
  <c r="AZ206" i="2"/>
  <c r="BJ206"/>
  <c r="AA206" i="14"/>
  <c r="X208" i="10"/>
  <c r="X207"/>
  <c r="X206"/>
  <c r="G189" i="16"/>
  <c r="M189"/>
  <c r="W189"/>
  <c r="AD189"/>
  <c r="M184"/>
  <c r="M185"/>
  <c r="W185"/>
  <c r="AD185"/>
  <c r="AK191" i="1"/>
  <c r="X168" i="10"/>
  <c r="BJ167" i="2"/>
  <c r="AK167" i="1"/>
  <c r="AA166" i="14"/>
  <c r="M153" i="16"/>
  <c r="AD153"/>
  <c r="AK186" i="1"/>
  <c r="BJ186" i="2"/>
  <c r="AA185" i="14"/>
  <c r="AK185" i="1"/>
  <c r="BJ185" i="2"/>
  <c r="AA184" i="14"/>
  <c r="AK184" i="1"/>
  <c r="BJ184" i="2"/>
  <c r="AA183" i="14"/>
  <c r="AK183" i="1"/>
  <c r="BJ183" i="2"/>
  <c r="AK182" i="1"/>
  <c r="AA181" i="14"/>
  <c r="AK181" i="1"/>
  <c r="BJ179" i="2"/>
  <c r="AK180" i="1"/>
  <c r="AA179" i="14"/>
  <c r="AK179" i="1"/>
  <c r="BJ177" i="2"/>
  <c r="AK178" i="1"/>
  <c r="AM178"/>
  <c r="BL176" i="2" s="1"/>
  <c r="BS176" s="1"/>
  <c r="AK175" i="1"/>
  <c r="BJ175" i="2"/>
  <c r="AA174" i="14"/>
  <c r="AK174" i="1"/>
  <c r="AM174" s="1"/>
  <c r="BJ174" i="2"/>
  <c r="AA173" i="14"/>
  <c r="AK173" i="1"/>
  <c r="BJ173" i="2"/>
  <c r="AK172" i="1"/>
  <c r="BJ172" i="2"/>
  <c r="AA171" i="14"/>
  <c r="AK171" i="1"/>
  <c r="AM171"/>
  <c r="BJ171" i="2"/>
  <c r="BL171"/>
  <c r="BS171" s="1"/>
  <c r="BJ170"/>
  <c r="AK169" i="1"/>
  <c r="BJ169" i="2"/>
  <c r="AK168" i="1"/>
  <c r="AA165" i="14"/>
  <c r="AK166" i="1"/>
  <c r="AM166" s="1"/>
  <c r="BL166" i="2" s="1"/>
  <c r="BS166" s="1"/>
  <c r="BU166" s="1"/>
  <c r="BJ166"/>
  <c r="AK165" i="1"/>
  <c r="Y165"/>
  <c r="AZ165" i="2"/>
  <c r="BJ165" s="1"/>
  <c r="AA164" i="14"/>
  <c r="AA163"/>
  <c r="Y164" i="1"/>
  <c r="AK164"/>
  <c r="AZ164" i="2"/>
  <c r="BJ164" s="1"/>
  <c r="AK163" i="1"/>
  <c r="AZ163" i="2"/>
  <c r="BJ163" s="1"/>
  <c r="AK162" i="1"/>
  <c r="Y162"/>
  <c r="AZ162" i="2"/>
  <c r="BJ162"/>
  <c r="AA161" i="14"/>
  <c r="K159"/>
  <c r="X205" i="10"/>
  <c r="X204"/>
  <c r="X203"/>
  <c r="X202"/>
  <c r="X201"/>
  <c r="X200"/>
  <c r="X199"/>
  <c r="X198"/>
  <c r="X197"/>
  <c r="X196"/>
  <c r="X195"/>
  <c r="X194"/>
  <c r="X193"/>
  <c r="X192"/>
  <c r="X191"/>
  <c r="X190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7"/>
  <c r="X166"/>
  <c r="X165"/>
  <c r="X164"/>
  <c r="X163"/>
  <c r="X162"/>
  <c r="X161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577"/>
  <c r="X576"/>
  <c r="X575"/>
  <c r="X603"/>
  <c r="X602"/>
  <c r="X601"/>
  <c r="X600"/>
  <c r="X599"/>
  <c r="X598"/>
  <c r="X597"/>
  <c r="X596"/>
  <c r="X595"/>
  <c r="X594"/>
  <c r="X593"/>
  <c r="X592"/>
  <c r="X591"/>
  <c r="X590"/>
  <c r="X589"/>
  <c r="X588"/>
  <c r="X587"/>
  <c r="X586"/>
  <c r="X585"/>
  <c r="X584"/>
  <c r="X583"/>
  <c r="X582"/>
  <c r="X581"/>
  <c r="X580"/>
  <c r="X579"/>
  <c r="X578"/>
  <c r="X574"/>
  <c r="X573"/>
  <c r="X572"/>
  <c r="X571"/>
  <c r="X570"/>
  <c r="X569"/>
  <c r="X568"/>
  <c r="X567"/>
  <c r="X566"/>
  <c r="X565"/>
  <c r="X564"/>
  <c r="X563"/>
  <c r="X562"/>
  <c r="X561"/>
  <c r="X560"/>
  <c r="X559"/>
  <c r="X558"/>
  <c r="X555"/>
  <c r="X554"/>
  <c r="X553"/>
  <c r="X552"/>
  <c r="S603"/>
  <c r="S602"/>
  <c r="S600"/>
  <c r="S599"/>
  <c r="S598"/>
  <c r="S597"/>
  <c r="S596"/>
  <c r="S595"/>
  <c r="S594"/>
  <c r="S593"/>
  <c r="S592"/>
  <c r="S591"/>
  <c r="S590"/>
  <c r="S589"/>
  <c r="S588"/>
  <c r="S587"/>
  <c r="S586"/>
  <c r="S585"/>
  <c r="S584"/>
  <c r="S583"/>
  <c r="S582"/>
  <c r="S581"/>
  <c r="S580"/>
  <c r="S579"/>
  <c r="S578"/>
  <c r="S577"/>
  <c r="S576"/>
  <c r="S575"/>
  <c r="S574"/>
  <c r="S572"/>
  <c r="S570"/>
  <c r="S569"/>
  <c r="S568"/>
  <c r="S567"/>
  <c r="S566"/>
  <c r="S565"/>
  <c r="S564"/>
  <c r="S562"/>
  <c r="S560"/>
  <c r="S559"/>
  <c r="S558"/>
  <c r="S555"/>
  <c r="S553"/>
  <c r="S552"/>
  <c r="AK599" i="1"/>
  <c r="Y599"/>
  <c r="AZ597" i="2"/>
  <c r="BJ597"/>
  <c r="AA599" i="14"/>
  <c r="AK598" i="1"/>
  <c r="Y598"/>
  <c r="AZ596" i="2"/>
  <c r="BJ596"/>
  <c r="AK597" i="1"/>
  <c r="Y597"/>
  <c r="AZ595" i="2"/>
  <c r="BJ595"/>
  <c r="AK596" i="1"/>
  <c r="Y596"/>
  <c r="AZ594" i="2"/>
  <c r="BJ594" s="1"/>
  <c r="AA596" i="14"/>
  <c r="AK595" i="1"/>
  <c r="Y595"/>
  <c r="AM595"/>
  <c r="BL593" i="2" s="1"/>
  <c r="BS593" s="1"/>
  <c r="BU593" s="1"/>
  <c r="AZ593"/>
  <c r="BJ593"/>
  <c r="AA595" i="14"/>
  <c r="AK594" i="1"/>
  <c r="Y594"/>
  <c r="AZ592" i="2"/>
  <c r="BJ592" s="1"/>
  <c r="AA592" i="14"/>
  <c r="AZ591" i="2"/>
  <c r="BJ591"/>
  <c r="AK591" i="1"/>
  <c r="Y591"/>
  <c r="AK590"/>
  <c r="Y590"/>
  <c r="AZ590" i="2"/>
  <c r="BJ590" s="1"/>
  <c r="AA590" i="14"/>
  <c r="AK589" i="1"/>
  <c r="AZ589" i="2"/>
  <c r="BJ589" s="1"/>
  <c r="AA589" i="14"/>
  <c r="AK588" i="1"/>
  <c r="Y588"/>
  <c r="AZ588" i="2"/>
  <c r="BJ588" s="1"/>
  <c r="AK587" i="1"/>
  <c r="Y587"/>
  <c r="AM587"/>
  <c r="AZ587" i="2"/>
  <c r="BJ587"/>
  <c r="AA587" i="14"/>
  <c r="AK586" i="1"/>
  <c r="Y586"/>
  <c r="AZ586" i="2"/>
  <c r="BJ586" s="1"/>
  <c r="AA586" i="14"/>
  <c r="AK585" i="1"/>
  <c r="Y585"/>
  <c r="AZ585" i="2"/>
  <c r="BJ585"/>
  <c r="AA585" i="14"/>
  <c r="AK584" i="1"/>
  <c r="Y584"/>
  <c r="AZ584" i="2"/>
  <c r="BJ584" s="1"/>
  <c r="AA584" i="14"/>
  <c r="AK583" i="1"/>
  <c r="AM583"/>
  <c r="Y583"/>
  <c r="AZ583" i="2"/>
  <c r="BJ583" s="1"/>
  <c r="AA583" i="14"/>
  <c r="AK582" i="1"/>
  <c r="Y582"/>
  <c r="AZ582" i="2"/>
  <c r="BJ582"/>
  <c r="AK581" i="1"/>
  <c r="Y581"/>
  <c r="AZ581" i="2"/>
  <c r="BJ581" s="1"/>
  <c r="AA581" i="14"/>
  <c r="AK580" i="1"/>
  <c r="Y580"/>
  <c r="AZ580" i="2"/>
  <c r="BJ580"/>
  <c r="AA580" i="14"/>
  <c r="AK579" i="1"/>
  <c r="Y579"/>
  <c r="AM579"/>
  <c r="BL579" i="2" s="1"/>
  <c r="BS579" s="1"/>
  <c r="BU579" s="1"/>
  <c r="AZ579"/>
  <c r="BJ579"/>
  <c r="AA579" i="14"/>
  <c r="AK578" i="1"/>
  <c r="Y578"/>
  <c r="AZ578" i="2"/>
  <c r="BJ578"/>
  <c r="AK577" i="1"/>
  <c r="Y577"/>
  <c r="AZ577" i="2"/>
  <c r="BJ577" s="1"/>
  <c r="AA577" i="14"/>
  <c r="AZ576" i="2"/>
  <c r="BJ576"/>
  <c r="AK576" i="1"/>
  <c r="Y576"/>
  <c r="AA576" i="14"/>
  <c r="AK575" i="1"/>
  <c r="Y575"/>
  <c r="AZ575" i="2"/>
  <c r="BJ575" s="1"/>
  <c r="AK574" i="1"/>
  <c r="AM574" s="1"/>
  <c r="BL574" i="2" s="1"/>
  <c r="BS574" s="1"/>
  <c r="BU574" s="1"/>
  <c r="AZ574"/>
  <c r="BJ574"/>
  <c r="AA574" i="14"/>
  <c r="AK573" i="1"/>
  <c r="AZ573" i="2"/>
  <c r="BJ573"/>
  <c r="AA573" i="14"/>
  <c r="AK572" i="1"/>
  <c r="Y572"/>
  <c r="AZ572" i="2"/>
  <c r="BJ572" s="1"/>
  <c r="AA572" i="14"/>
  <c r="AK571" i="1"/>
  <c r="AZ571" i="2"/>
  <c r="BJ571" s="1"/>
  <c r="AA571" i="14"/>
  <c r="AK570" i="1"/>
  <c r="AZ570" i="2"/>
  <c r="BJ570" s="1"/>
  <c r="AK569" i="1"/>
  <c r="Y569"/>
  <c r="AM569"/>
  <c r="AZ569" i="2"/>
  <c r="BJ569"/>
  <c r="AA569" i="14"/>
  <c r="AK568" i="1"/>
  <c r="Y568"/>
  <c r="AZ568" i="2"/>
  <c r="BJ568" s="1"/>
  <c r="AA568" i="14"/>
  <c r="AK567" i="1"/>
  <c r="Y567"/>
  <c r="AZ567" i="2"/>
  <c r="BJ567"/>
  <c r="AA567" i="14"/>
  <c r="AK566" i="1"/>
  <c r="AZ566" i="2"/>
  <c r="BJ566"/>
  <c r="AA566" i="14"/>
  <c r="BJ565" i="2"/>
  <c r="AK565" i="1"/>
  <c r="AA565" i="14"/>
  <c r="BJ564" i="2"/>
  <c r="AK564" i="1"/>
  <c r="AM564"/>
  <c r="AA564" i="14"/>
  <c r="AK563" i="1"/>
  <c r="AM563" s="1"/>
  <c r="BJ563" i="2"/>
  <c r="AK562" i="1"/>
  <c r="AM562"/>
  <c r="BJ562" i="2"/>
  <c r="AK561" i="1"/>
  <c r="AM561" s="1"/>
  <c r="BL561" i="2" s="1"/>
  <c r="BS561" s="1"/>
  <c r="BJ561"/>
  <c r="AA561" i="14"/>
  <c r="AK560" i="1"/>
  <c r="BJ560" i="2"/>
  <c r="AA560" i="14"/>
  <c r="AK559" i="1"/>
  <c r="AM559"/>
  <c r="BJ559" i="2"/>
  <c r="AA559" i="14"/>
  <c r="AK558" i="1"/>
  <c r="BJ558" i="2"/>
  <c r="AA558" i="14"/>
  <c r="AK557" i="1"/>
  <c r="AM557" s="1"/>
  <c r="BL557" i="2" s="1"/>
  <c r="BS557" s="1"/>
  <c r="BJ557"/>
  <c r="AA557" i="14"/>
  <c r="AK556" i="1"/>
  <c r="AK555"/>
  <c r="AM555"/>
  <c r="BJ555" i="2"/>
  <c r="AK554" i="1"/>
  <c r="BJ554" i="2"/>
  <c r="AK553" i="1"/>
  <c r="AA553" i="14"/>
  <c r="AK552" i="1"/>
  <c r="BJ552" i="2"/>
  <c r="AK551" i="1"/>
  <c r="AM551" s="1"/>
  <c r="BJ551" i="2"/>
  <c r="AA551" i="14"/>
  <c r="AK549" i="1"/>
  <c r="BJ549" i="2"/>
  <c r="AA549" i="14"/>
  <c r="AK548" i="1"/>
  <c r="AA548" i="14"/>
  <c r="BJ550" i="2"/>
  <c r="AK550" i="1"/>
  <c r="AM550"/>
  <c r="BL550" i="2" s="1"/>
  <c r="BS550" s="1"/>
  <c r="K599" i="14"/>
  <c r="O599"/>
  <c r="K598"/>
  <c r="O598"/>
  <c r="AC598" s="1"/>
  <c r="K597"/>
  <c r="O597"/>
  <c r="K596"/>
  <c r="O596"/>
  <c r="AC596"/>
  <c r="K595"/>
  <c r="O595"/>
  <c r="K592"/>
  <c r="O592"/>
  <c r="K591"/>
  <c r="O591"/>
  <c r="K590"/>
  <c r="O590"/>
  <c r="AC590" s="1"/>
  <c r="K589"/>
  <c r="O589"/>
  <c r="K588"/>
  <c r="O588"/>
  <c r="AC588"/>
  <c r="K587"/>
  <c r="O587"/>
  <c r="AC587" s="1"/>
  <c r="K586"/>
  <c r="O586"/>
  <c r="AC586"/>
  <c r="K585"/>
  <c r="O585"/>
  <c r="K584"/>
  <c r="O584"/>
  <c r="K583"/>
  <c r="O583"/>
  <c r="AC583" s="1"/>
  <c r="K582"/>
  <c r="O582"/>
  <c r="AC582"/>
  <c r="K581"/>
  <c r="O581"/>
  <c r="K580"/>
  <c r="O580"/>
  <c r="AC580" s="1"/>
  <c r="K579"/>
  <c r="O579"/>
  <c r="AC579"/>
  <c r="K578"/>
  <c r="O578"/>
  <c r="K577"/>
  <c r="O577"/>
  <c r="K576"/>
  <c r="O576"/>
  <c r="AC576" s="1"/>
  <c r="K575"/>
  <c r="O575"/>
  <c r="K574"/>
  <c r="O574"/>
  <c r="K573"/>
  <c r="O573"/>
  <c r="AC573"/>
  <c r="K572"/>
  <c r="O572"/>
  <c r="K571"/>
  <c r="O571"/>
  <c r="K570"/>
  <c r="O570"/>
  <c r="K569"/>
  <c r="O569"/>
  <c r="K568"/>
  <c r="O568"/>
  <c r="K567"/>
  <c r="O567"/>
  <c r="K566"/>
  <c r="O566"/>
  <c r="AC566" s="1"/>
  <c r="K559"/>
  <c r="O559"/>
  <c r="K558"/>
  <c r="O558"/>
  <c r="AC551"/>
  <c r="M587" i="16"/>
  <c r="W587"/>
  <c r="AD587"/>
  <c r="G586"/>
  <c r="M586"/>
  <c r="W586"/>
  <c r="AD586"/>
  <c r="M585"/>
  <c r="W585"/>
  <c r="AD585"/>
  <c r="G584"/>
  <c r="M584"/>
  <c r="W584"/>
  <c r="AD584"/>
  <c r="G583"/>
  <c r="M583"/>
  <c r="W583"/>
  <c r="AD583"/>
  <c r="G582"/>
  <c r="M582"/>
  <c r="W582"/>
  <c r="AD582"/>
  <c r="G581"/>
  <c r="M581"/>
  <c r="W581"/>
  <c r="AD581"/>
  <c r="M580"/>
  <c r="W580"/>
  <c r="AD580"/>
  <c r="M579"/>
  <c r="W579"/>
  <c r="AD579"/>
  <c r="G578"/>
  <c r="M578"/>
  <c r="W578"/>
  <c r="AD578"/>
  <c r="G577"/>
  <c r="M577"/>
  <c r="W577"/>
  <c r="AD577"/>
  <c r="M576"/>
  <c r="W576"/>
  <c r="AD576"/>
  <c r="G575"/>
  <c r="M575"/>
  <c r="W575"/>
  <c r="AD575"/>
  <c r="G574"/>
  <c r="M574"/>
  <c r="AF574"/>
  <c r="W574"/>
  <c r="AD574"/>
  <c r="G573"/>
  <c r="M573"/>
  <c r="AF573" s="1"/>
  <c r="W573"/>
  <c r="AD573"/>
  <c r="M572"/>
  <c r="W572"/>
  <c r="AD572"/>
  <c r="G571"/>
  <c r="M571"/>
  <c r="W571"/>
  <c r="AD571"/>
  <c r="G570"/>
  <c r="M570"/>
  <c r="W570"/>
  <c r="AD570"/>
  <c r="M569"/>
  <c r="W569"/>
  <c r="AD569"/>
  <c r="G568"/>
  <c r="M568"/>
  <c r="W568"/>
  <c r="AD568"/>
  <c r="G567"/>
  <c r="M567"/>
  <c r="W567"/>
  <c r="AD567"/>
  <c r="M566"/>
  <c r="W566"/>
  <c r="AD566"/>
  <c r="M565"/>
  <c r="W565"/>
  <c r="AD565"/>
  <c r="M564"/>
  <c r="W564"/>
  <c r="AD564"/>
  <c r="G563"/>
  <c r="M563"/>
  <c r="W563"/>
  <c r="AD563"/>
  <c r="G562"/>
  <c r="M562"/>
  <c r="W562"/>
  <c r="AD562"/>
  <c r="G561"/>
  <c r="M561"/>
  <c r="W561"/>
  <c r="AD561"/>
  <c r="G560"/>
  <c r="M560"/>
  <c r="W560"/>
  <c r="AD560"/>
  <c r="G559"/>
  <c r="M559"/>
  <c r="W559"/>
  <c r="AD559"/>
  <c r="M558"/>
  <c r="W558"/>
  <c r="AD558"/>
  <c r="M557"/>
  <c r="W557"/>
  <c r="AD557"/>
  <c r="M554"/>
  <c r="W554"/>
  <c r="AD554"/>
  <c r="AD553"/>
  <c r="AD552"/>
  <c r="AD551"/>
  <c r="AD550"/>
  <c r="AD549"/>
  <c r="AD548"/>
  <c r="AD547"/>
  <c r="AD546"/>
  <c r="AD545"/>
  <c r="AD544"/>
  <c r="AD543"/>
  <c r="AD542"/>
  <c r="AD541"/>
  <c r="AD540"/>
  <c r="AD539"/>
  <c r="AD538"/>
  <c r="AD537"/>
  <c r="AD535"/>
  <c r="X301" i="10"/>
  <c r="X300"/>
  <c r="X299"/>
  <c r="X298"/>
  <c r="X297"/>
  <c r="X296"/>
  <c r="X295"/>
  <c r="X294"/>
  <c r="X293"/>
  <c r="X292"/>
  <c r="X291"/>
  <c r="X290"/>
  <c r="X289"/>
  <c r="X288"/>
  <c r="X285"/>
  <c r="X284"/>
  <c r="X283"/>
  <c r="X282"/>
  <c r="X281"/>
  <c r="X280"/>
  <c r="S298"/>
  <c r="S297"/>
  <c r="S296"/>
  <c r="S295"/>
  <c r="S294"/>
  <c r="S293"/>
  <c r="S292"/>
  <c r="S291"/>
  <c r="S290"/>
  <c r="S289"/>
  <c r="S288"/>
  <c r="S287"/>
  <c r="S286"/>
  <c r="S285"/>
  <c r="S284"/>
  <c r="S282"/>
  <c r="S281"/>
  <c r="S280"/>
  <c r="X278"/>
  <c r="X277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S278"/>
  <c r="S277"/>
  <c r="S276"/>
  <c r="S275"/>
  <c r="S274"/>
  <c r="S273"/>
  <c r="S272"/>
  <c r="S271"/>
  <c r="S270"/>
  <c r="S269"/>
  <c r="S268"/>
  <c r="S267"/>
  <c r="S266"/>
  <c r="S265"/>
  <c r="S264"/>
  <c r="S263"/>
  <c r="S262"/>
  <c r="S261"/>
  <c r="S260"/>
  <c r="S259"/>
  <c r="S257"/>
  <c r="S256"/>
  <c r="S255"/>
  <c r="S254"/>
  <c r="Y300" i="1"/>
  <c r="AK300"/>
  <c r="AZ300" i="2"/>
  <c r="BJ300" s="1"/>
  <c r="Y299" i="1"/>
  <c r="AK299"/>
  <c r="AZ299" i="2"/>
  <c r="BJ299" s="1"/>
  <c r="Y298" i="1"/>
  <c r="AK298"/>
  <c r="AZ298" i="2"/>
  <c r="BJ298" s="1"/>
  <c r="AK297" i="1"/>
  <c r="AZ297" i="2"/>
  <c r="BJ297"/>
  <c r="AK296" i="1"/>
  <c r="Y296"/>
  <c r="AZ296" i="2"/>
  <c r="BJ296" s="1"/>
  <c r="AK295" i="1"/>
  <c r="Y295"/>
  <c r="AZ295" i="2"/>
  <c r="BJ295" s="1"/>
  <c r="AK294" i="1"/>
  <c r="Y294"/>
  <c r="AZ294" i="2"/>
  <c r="BJ294"/>
  <c r="AK293" i="1"/>
  <c r="AZ293" i="2"/>
  <c r="BJ293" s="1"/>
  <c r="AZ292"/>
  <c r="BJ292" s="1"/>
  <c r="AK291" i="1"/>
  <c r="Y291"/>
  <c r="AZ291" i="2"/>
  <c r="BJ291" s="1"/>
  <c r="AK290" i="1"/>
  <c r="Y290"/>
  <c r="AZ290" i="2"/>
  <c r="BJ290" s="1"/>
  <c r="AK289" i="1"/>
  <c r="AZ289" i="2"/>
  <c r="BJ289"/>
  <c r="AK288" i="1"/>
  <c r="AZ288" i="2"/>
  <c r="BJ288" s="1"/>
  <c r="AK287" i="1"/>
  <c r="AZ287" i="2"/>
  <c r="BJ287" s="1"/>
  <c r="AK286" i="1"/>
  <c r="Y286"/>
  <c r="AZ286" i="2"/>
  <c r="BJ286" s="1"/>
  <c r="AK285" i="1"/>
  <c r="Y285"/>
  <c r="AZ285" i="2"/>
  <c r="BJ285" s="1"/>
  <c r="AK284" i="1"/>
  <c r="AM284" s="1"/>
  <c r="BL284" i="2" s="1"/>
  <c r="BS284" s="1"/>
  <c r="BU284" s="1"/>
  <c r="AZ284"/>
  <c r="BJ284" s="1"/>
  <c r="AK283" i="1"/>
  <c r="AZ283" i="2"/>
  <c r="BJ283" s="1"/>
  <c r="AK282" i="1"/>
  <c r="Y282"/>
  <c r="AZ282" i="2"/>
  <c r="BJ282" s="1"/>
  <c r="AK281" i="1"/>
  <c r="AM281"/>
  <c r="BL281" i="2" s="1"/>
  <c r="BS281" s="1"/>
  <c r="BU281" s="1"/>
  <c r="AZ281"/>
  <c r="BJ281"/>
  <c r="AK280" i="1"/>
  <c r="Y280"/>
  <c r="AZ280" i="2"/>
  <c r="BJ280"/>
  <c r="AK279" i="1"/>
  <c r="AM279" s="1"/>
  <c r="AZ279" i="2"/>
  <c r="BJ279" s="1"/>
  <c r="AK278" i="1"/>
  <c r="Y278"/>
  <c r="AZ278" i="2"/>
  <c r="BJ278" s="1"/>
  <c r="AK277" i="1"/>
  <c r="AZ277" i="2"/>
  <c r="BJ277" s="1"/>
  <c r="Y302" i="1"/>
  <c r="AK302"/>
  <c r="AZ302" i="2"/>
  <c r="BJ302" s="1"/>
  <c r="Y301" i="1"/>
  <c r="AK301"/>
  <c r="AZ301" i="2"/>
  <c r="BJ301"/>
  <c r="AA300" i="14"/>
  <c r="AA299"/>
  <c r="AA298"/>
  <c r="AA295"/>
  <c r="AA292"/>
  <c r="AA291"/>
  <c r="AA290"/>
  <c r="AA289"/>
  <c r="AA288"/>
  <c r="AA286"/>
  <c r="AA284"/>
  <c r="AA282"/>
  <c r="AA279"/>
  <c r="AA278"/>
  <c r="AK276" i="1"/>
  <c r="AZ276" i="2"/>
  <c r="BJ276" s="1"/>
  <c r="AA276" i="14"/>
  <c r="AK274" i="1"/>
  <c r="Y274"/>
  <c r="AZ274" i="2"/>
  <c r="BJ274"/>
  <c r="AK272" i="1"/>
  <c r="Y272"/>
  <c r="AZ272" i="2"/>
  <c r="BJ272" s="1"/>
  <c r="AK271" i="1"/>
  <c r="Y271"/>
  <c r="AZ271" i="2"/>
  <c r="BJ271" s="1"/>
  <c r="AK270" i="1"/>
  <c r="Y270"/>
  <c r="AZ270" i="2"/>
  <c r="BJ270" s="1"/>
  <c r="AA270" i="14"/>
  <c r="AK269" i="1"/>
  <c r="AZ269" i="2"/>
  <c r="BJ269" s="1"/>
  <c r="AK268" i="1"/>
  <c r="AZ268" i="2"/>
  <c r="BJ268"/>
  <c r="AA268" i="14"/>
  <c r="AK267" i="1"/>
  <c r="Y267"/>
  <c r="AZ267" i="2"/>
  <c r="BJ267"/>
  <c r="AK266" i="1"/>
  <c r="Y266"/>
  <c r="AZ266" i="2"/>
  <c r="BJ266" s="1"/>
  <c r="AK265" i="1"/>
  <c r="Y265"/>
  <c r="AZ265" i="2"/>
  <c r="BJ265" s="1"/>
  <c r="AK264" i="1"/>
  <c r="Y264"/>
  <c r="AZ262" i="2"/>
  <c r="BJ262"/>
  <c r="AA264" i="14"/>
  <c r="AK263" i="1"/>
  <c r="Y263"/>
  <c r="AZ261" i="2"/>
  <c r="BJ261" s="1"/>
  <c r="AA263" i="14"/>
  <c r="AK262" i="1"/>
  <c r="Y262"/>
  <c r="AZ260" i="2"/>
  <c r="BJ260"/>
  <c r="AK261" i="1"/>
  <c r="AZ259" i="2"/>
  <c r="BJ259" s="1"/>
  <c r="AK260" i="1"/>
  <c r="Y260"/>
  <c r="AZ258" i="2"/>
  <c r="BJ258" s="1"/>
  <c r="AA260" i="14"/>
  <c r="AK259" i="1"/>
  <c r="Y259"/>
  <c r="AZ257" i="2"/>
  <c r="BJ257"/>
  <c r="AA259" i="14"/>
  <c r="AK258" i="1"/>
  <c r="Y258"/>
  <c r="AZ256" i="2"/>
  <c r="BJ256" s="1"/>
  <c r="AK255" i="1"/>
  <c r="AZ255" i="2"/>
  <c r="BJ255"/>
  <c r="AA255" i="14"/>
  <c r="AK254" i="1"/>
  <c r="Y254"/>
  <c r="AZ254" i="2"/>
  <c r="BJ254" s="1"/>
  <c r="AA254" i="14"/>
  <c r="AK253" i="1"/>
  <c r="Y253"/>
  <c r="AZ253" i="2"/>
  <c r="BJ253" s="1"/>
  <c r="AA253" i="14"/>
  <c r="AK252" i="1"/>
  <c r="Y252"/>
  <c r="AZ252" i="2"/>
  <c r="BJ252"/>
  <c r="AA252" i="14"/>
  <c r="AK251" i="1"/>
  <c r="Y251"/>
  <c r="AZ251" i="2"/>
  <c r="BJ251" s="1"/>
  <c r="AA251" i="14"/>
  <c r="BS275" i="2"/>
  <c r="AZ275"/>
  <c r="BJ275" s="1"/>
  <c r="AK275" i="1"/>
  <c r="Y275"/>
  <c r="K297" i="14"/>
  <c r="O297"/>
  <c r="K296"/>
  <c r="O296"/>
  <c r="K295"/>
  <c r="O295"/>
  <c r="K294"/>
  <c r="O294"/>
  <c r="K293"/>
  <c r="O293"/>
  <c r="K292"/>
  <c r="K291"/>
  <c r="O290"/>
  <c r="K289"/>
  <c r="O289"/>
  <c r="K288"/>
  <c r="O288"/>
  <c r="K287"/>
  <c r="O287"/>
  <c r="K286"/>
  <c r="O286"/>
  <c r="K285"/>
  <c r="O285"/>
  <c r="K284"/>
  <c r="O284"/>
  <c r="K283"/>
  <c r="K282"/>
  <c r="O282"/>
  <c r="K281"/>
  <c r="O281"/>
  <c r="K280"/>
  <c r="O280"/>
  <c r="K279"/>
  <c r="O279"/>
  <c r="K278"/>
  <c r="O278"/>
  <c r="K277"/>
  <c r="O277"/>
  <c r="K276"/>
  <c r="AC276" s="1"/>
  <c r="K275"/>
  <c r="O275"/>
  <c r="AA275"/>
  <c r="K274"/>
  <c r="O274"/>
  <c r="K273"/>
  <c r="O273"/>
  <c r="AA273"/>
  <c r="K272"/>
  <c r="O272"/>
  <c r="K271"/>
  <c r="O271"/>
  <c r="O270"/>
  <c r="O269"/>
  <c r="K268"/>
  <c r="O268"/>
  <c r="O267"/>
  <c r="O266"/>
  <c r="K265"/>
  <c r="O265"/>
  <c r="K264"/>
  <c r="K263"/>
  <c r="O263"/>
  <c r="K262"/>
  <c r="O262"/>
  <c r="K261"/>
  <c r="O261"/>
  <c r="O260"/>
  <c r="K259"/>
  <c r="O259"/>
  <c r="K256"/>
  <c r="O256"/>
  <c r="O255"/>
  <c r="K254"/>
  <c r="O254"/>
  <c r="K253"/>
  <c r="O253"/>
  <c r="K252"/>
  <c r="O252"/>
  <c r="K251"/>
  <c r="O251"/>
  <c r="M285" i="16"/>
  <c r="W285"/>
  <c r="AD285"/>
  <c r="M284"/>
  <c r="W284"/>
  <c r="AD284"/>
  <c r="G283"/>
  <c r="M283"/>
  <c r="W283"/>
  <c r="AD283"/>
  <c r="M282"/>
  <c r="W282"/>
  <c r="AD282"/>
  <c r="M281"/>
  <c r="W281"/>
  <c r="AD281"/>
  <c r="M280"/>
  <c r="W280"/>
  <c r="AD280"/>
  <c r="M279"/>
  <c r="W279"/>
  <c r="AD279"/>
  <c r="M278"/>
  <c r="W278"/>
  <c r="AD278"/>
  <c r="M277"/>
  <c r="W277"/>
  <c r="AD277"/>
  <c r="M276"/>
  <c r="W276"/>
  <c r="AD276"/>
  <c r="M275"/>
  <c r="W275"/>
  <c r="AD275"/>
  <c r="G272"/>
  <c r="M272"/>
  <c r="AD272"/>
  <c r="M274"/>
  <c r="W274"/>
  <c r="AD274"/>
  <c r="G273"/>
  <c r="M273"/>
  <c r="W273"/>
  <c r="AD273"/>
  <c r="M269"/>
  <c r="W269"/>
  <c r="AD269"/>
  <c r="M267"/>
  <c r="W267"/>
  <c r="AD267"/>
  <c r="G266"/>
  <c r="M266"/>
  <c r="W266"/>
  <c r="AD266"/>
  <c r="M265"/>
  <c r="W265"/>
  <c r="AD265"/>
  <c r="M264"/>
  <c r="W264"/>
  <c r="AD264"/>
  <c r="M262"/>
  <c r="W262"/>
  <c r="AD262"/>
  <c r="M261"/>
  <c r="W261"/>
  <c r="AD261"/>
  <c r="M259"/>
  <c r="W259"/>
  <c r="G258"/>
  <c r="W258"/>
  <c r="AD258"/>
  <c r="M257"/>
  <c r="W257"/>
  <c r="AD257"/>
  <c r="G256"/>
  <c r="M256"/>
  <c r="W256"/>
  <c r="AD256"/>
  <c r="M255"/>
  <c r="W255"/>
  <c r="AD255"/>
  <c r="M254"/>
  <c r="W254"/>
  <c r="AD254"/>
  <c r="M253"/>
  <c r="W253"/>
  <c r="AD253"/>
  <c r="G252"/>
  <c r="M252"/>
  <c r="W252"/>
  <c r="AD252"/>
  <c r="M251"/>
  <c r="W251"/>
  <c r="AD251"/>
  <c r="M250"/>
  <c r="W250"/>
  <c r="AD250"/>
  <c r="G249"/>
  <c r="M249"/>
  <c r="W249"/>
  <c r="AD249"/>
  <c r="G248"/>
  <c r="M248"/>
  <c r="W248"/>
  <c r="AD248"/>
  <c r="G247"/>
  <c r="M247"/>
  <c r="W247"/>
  <c r="AD247"/>
  <c r="G246"/>
  <c r="M246"/>
  <c r="W246"/>
  <c r="AD246"/>
  <c r="G245"/>
  <c r="M245"/>
  <c r="W245"/>
  <c r="AD245"/>
  <c r="M244"/>
  <c r="W244"/>
  <c r="G243"/>
  <c r="M243"/>
  <c r="W243"/>
  <c r="AD243"/>
  <c r="M242"/>
  <c r="W242"/>
  <c r="AD242"/>
  <c r="G241"/>
  <c r="M241"/>
  <c r="W241"/>
  <c r="AD241"/>
  <c r="G240"/>
  <c r="M240"/>
  <c r="W240"/>
  <c r="AD240"/>
  <c r="G239"/>
  <c r="M239"/>
  <c r="W239"/>
  <c r="AD239"/>
  <c r="AD238"/>
  <c r="G233"/>
  <c r="M233"/>
  <c r="W233"/>
  <c r="AD233"/>
  <c r="M226"/>
  <c r="W226"/>
  <c r="AD226"/>
  <c r="AA99" i="14"/>
  <c r="AA93"/>
  <c r="Y89" i="1"/>
  <c r="AA100" i="14"/>
  <c r="AK100" i="1"/>
  <c r="AZ98" i="2"/>
  <c r="BJ98" s="1"/>
  <c r="Y99" i="1"/>
  <c r="AK99"/>
  <c r="AZ97" i="2"/>
  <c r="BJ97" s="1"/>
  <c r="AA96" i="14"/>
  <c r="AK96" i="1"/>
  <c r="AZ96" i="2"/>
  <c r="BJ96" s="1"/>
  <c r="AA95" i="14"/>
  <c r="AK95" i="1"/>
  <c r="AM95"/>
  <c r="Y95"/>
  <c r="AZ95" i="2"/>
  <c r="BJ95" s="1"/>
  <c r="BL95" s="1"/>
  <c r="BS95" s="1"/>
  <c r="BU95" s="1"/>
  <c r="AA94" i="14"/>
  <c r="AK94" i="1"/>
  <c r="Y94"/>
  <c r="AZ94" i="2"/>
  <c r="BJ94" s="1"/>
  <c r="AK93" i="1"/>
  <c r="AZ93" i="2"/>
  <c r="BJ93" s="1"/>
  <c r="AK91" i="1"/>
  <c r="Y91"/>
  <c r="AZ91" i="2"/>
  <c r="BJ91" s="1"/>
  <c r="AA91" i="14"/>
  <c r="AK90" i="1"/>
  <c r="Y90"/>
  <c r="AZ90" i="2"/>
  <c r="BJ90"/>
  <c r="AA90" i="14"/>
  <c r="AK89" i="1"/>
  <c r="AZ89" i="2"/>
  <c r="BJ89"/>
  <c r="AK88" i="1"/>
  <c r="AZ88" i="2"/>
  <c r="BJ88"/>
  <c r="AA88" i="14"/>
  <c r="AK87" i="1"/>
  <c r="AZ87" i="2"/>
  <c r="BJ87"/>
  <c r="AA87" i="14"/>
  <c r="AK86" i="1"/>
  <c r="AZ86" i="2"/>
  <c r="BJ86" s="1"/>
  <c r="AA86" i="14"/>
  <c r="M76" i="16"/>
  <c r="W76"/>
  <c r="AD76"/>
  <c r="M77"/>
  <c r="W77"/>
  <c r="AD77"/>
  <c r="X139" i="10"/>
  <c r="X138"/>
  <c r="X137"/>
  <c r="X136"/>
  <c r="X135"/>
  <c r="X134"/>
  <c r="X133"/>
  <c r="X132"/>
  <c r="X131"/>
  <c r="X128"/>
  <c r="X127"/>
  <c r="X126"/>
  <c r="X125"/>
  <c r="X124"/>
  <c r="X123"/>
  <c r="X122"/>
  <c r="X121"/>
  <c r="X120"/>
  <c r="X119"/>
  <c r="X118"/>
  <c r="X117"/>
  <c r="X116"/>
  <c r="X115"/>
  <c r="X113"/>
  <c r="X112"/>
  <c r="X111"/>
  <c r="X110"/>
  <c r="X109"/>
  <c r="X108"/>
  <c r="X105"/>
  <c r="X104"/>
  <c r="X103"/>
  <c r="X102"/>
  <c r="X101"/>
  <c r="X100"/>
  <c r="X99"/>
  <c r="X98"/>
  <c r="X97"/>
  <c r="X96"/>
  <c r="X95"/>
  <c r="X93"/>
  <c r="G34" i="16"/>
  <c r="W33"/>
  <c r="M33"/>
  <c r="S209" i="10"/>
  <c r="S412"/>
  <c r="S411"/>
  <c r="S410"/>
  <c r="S409"/>
  <c r="S408"/>
  <c r="S406"/>
  <c r="S405"/>
  <c r="S404"/>
  <c r="S402"/>
  <c r="S401"/>
  <c r="S400"/>
  <c r="S399"/>
  <c r="S398"/>
  <c r="S397"/>
  <c r="S396"/>
  <c r="S395"/>
  <c r="S394"/>
  <c r="S393"/>
  <c r="S392"/>
  <c r="S391"/>
  <c r="S390"/>
  <c r="S389"/>
  <c r="S388"/>
  <c r="S387"/>
  <c r="S386"/>
  <c r="S385"/>
  <c r="S384"/>
  <c r="S383"/>
  <c r="S382"/>
  <c r="S380"/>
  <c r="S379"/>
  <c r="S378"/>
  <c r="S377"/>
  <c r="S376"/>
  <c r="S375"/>
  <c r="S374"/>
  <c r="S373"/>
  <c r="S372"/>
  <c r="S371"/>
  <c r="S370"/>
  <c r="S369"/>
  <c r="S366"/>
  <c r="S365"/>
  <c r="S364"/>
  <c r="S363"/>
  <c r="S362"/>
  <c r="S360"/>
  <c r="S359"/>
  <c r="S358"/>
  <c r="S357"/>
  <c r="S356"/>
  <c r="S355"/>
  <c r="S354"/>
  <c r="S353"/>
  <c r="S352"/>
  <c r="S338"/>
  <c r="S337"/>
  <c r="S336"/>
  <c r="S335"/>
  <c r="S334"/>
  <c r="S332"/>
  <c r="S331"/>
  <c r="S330"/>
  <c r="S329"/>
  <c r="S328"/>
  <c r="S327"/>
  <c r="S326"/>
  <c r="S325"/>
  <c r="S324"/>
  <c r="S323"/>
  <c r="S322"/>
  <c r="S320"/>
  <c r="S319"/>
  <c r="S318"/>
  <c r="S317"/>
  <c r="S316"/>
  <c r="S315"/>
  <c r="S314"/>
  <c r="S313"/>
  <c r="S312"/>
  <c r="S311"/>
  <c r="S310"/>
  <c r="S308"/>
  <c r="S307"/>
  <c r="S304"/>
  <c r="S302"/>
  <c r="S301"/>
  <c r="S300"/>
  <c r="S299"/>
  <c r="S238"/>
  <c r="S237"/>
  <c r="S236"/>
  <c r="S235"/>
  <c r="S233"/>
  <c r="S232"/>
  <c r="S231"/>
  <c r="S230"/>
  <c r="S229"/>
  <c r="S228"/>
  <c r="S227"/>
  <c r="S226"/>
  <c r="S225"/>
  <c r="S224"/>
  <c r="S223"/>
  <c r="S222"/>
  <c r="S221"/>
  <c r="S219"/>
  <c r="S218"/>
  <c r="S217"/>
  <c r="S216"/>
  <c r="S215"/>
  <c r="S214"/>
  <c r="S213"/>
  <c r="S212"/>
  <c r="S211"/>
  <c r="S210"/>
  <c r="S208"/>
  <c r="S206"/>
  <c r="S205"/>
  <c r="S203"/>
  <c r="S202"/>
  <c r="S201"/>
  <c r="S200"/>
  <c r="S199"/>
  <c r="S198"/>
  <c r="S197"/>
  <c r="S196"/>
  <c r="S195"/>
  <c r="S166"/>
  <c r="S165"/>
  <c r="S163"/>
  <c r="S162"/>
  <c r="S161"/>
  <c r="S159"/>
  <c r="S158"/>
  <c r="S157"/>
  <c r="S156"/>
  <c r="S153"/>
  <c r="S152"/>
  <c r="S151"/>
  <c r="S150"/>
  <c r="S139"/>
  <c r="S138"/>
  <c r="S137"/>
  <c r="S136"/>
  <c r="S135"/>
  <c r="S134"/>
  <c r="S133"/>
  <c r="S132"/>
  <c r="S131"/>
  <c r="S128"/>
  <c r="S127"/>
  <c r="S126"/>
  <c r="S125"/>
  <c r="S124"/>
  <c r="S123"/>
  <c r="S122"/>
  <c r="S121"/>
  <c r="S120"/>
  <c r="S119"/>
  <c r="S118"/>
  <c r="S117"/>
  <c r="S116"/>
  <c r="S115"/>
  <c r="S113"/>
  <c r="S112"/>
  <c r="S110"/>
  <c r="S109"/>
  <c r="S108"/>
  <c r="S105"/>
  <c r="S104"/>
  <c r="S103"/>
  <c r="S102"/>
  <c r="S101"/>
  <c r="S100"/>
  <c r="S99"/>
  <c r="S98"/>
  <c r="S97"/>
  <c r="S96"/>
  <c r="S95"/>
  <c r="S94"/>
  <c r="S93"/>
  <c r="S91"/>
  <c r="S90"/>
  <c r="S89"/>
  <c r="S87"/>
  <c r="S85"/>
  <c r="S84"/>
  <c r="S83"/>
  <c r="S47"/>
  <c r="S46"/>
  <c r="S45"/>
  <c r="S44"/>
  <c r="S43"/>
  <c r="S42"/>
  <c r="X41"/>
  <c r="S41"/>
  <c r="X40"/>
  <c r="S40"/>
  <c r="X39"/>
  <c r="S39"/>
  <c r="X38"/>
  <c r="S38"/>
  <c r="X37"/>
  <c r="S37"/>
  <c r="X36"/>
  <c r="S36"/>
  <c r="X35"/>
  <c r="S35"/>
  <c r="X34"/>
  <c r="S34"/>
  <c r="X33"/>
  <c r="S33"/>
  <c r="X32"/>
  <c r="S32"/>
  <c r="X31"/>
  <c r="S31"/>
  <c r="X30"/>
  <c r="S30"/>
  <c r="X29"/>
  <c r="S29"/>
  <c r="X28"/>
  <c r="S28"/>
  <c r="X27"/>
  <c r="S27"/>
  <c r="X26"/>
  <c r="S26"/>
  <c r="X25"/>
  <c r="S25"/>
  <c r="X24"/>
  <c r="S24"/>
  <c r="X23"/>
  <c r="S23"/>
  <c r="X22"/>
  <c r="S22"/>
  <c r="X21"/>
  <c r="S21"/>
  <c r="X20"/>
  <c r="S20"/>
  <c r="X19"/>
  <c r="S19"/>
  <c r="X18"/>
  <c r="S18"/>
  <c r="X17"/>
  <c r="S17"/>
  <c r="X16"/>
  <c r="S16"/>
  <c r="X15"/>
  <c r="X14"/>
  <c r="S14"/>
  <c r="X13"/>
  <c r="AZ458" i="2"/>
  <c r="BJ458"/>
  <c r="AZ363"/>
  <c r="BJ363" s="1"/>
  <c r="Y363" i="1"/>
  <c r="AK363"/>
  <c r="AM363"/>
  <c r="AK187"/>
  <c r="AZ101" i="2"/>
  <c r="BJ101" s="1"/>
  <c r="AK101" i="1"/>
  <c r="AA101" i="14"/>
  <c r="BJ399" i="2"/>
  <c r="AK399" i="1"/>
  <c r="BJ398" i="2"/>
  <c r="AK398" i="1"/>
  <c r="AM398" s="1"/>
  <c r="BL398" i="2" s="1"/>
  <c r="BS398" s="1"/>
  <c r="BU398" s="1"/>
  <c r="AA398" i="14"/>
  <c r="BJ397" i="2"/>
  <c r="AK397" i="1"/>
  <c r="AM397" s="1"/>
  <c r="AA397" i="14"/>
  <c r="BJ396" i="2"/>
  <c r="AK396" i="1"/>
  <c r="AM396" s="1"/>
  <c r="BJ395" i="2"/>
  <c r="AK395" i="1"/>
  <c r="AM395"/>
  <c r="AZ394" i="2"/>
  <c r="BJ394"/>
  <c r="AK394" i="1"/>
  <c r="AA394" i="14"/>
  <c r="AZ393" i="2"/>
  <c r="BJ393" s="1"/>
  <c r="AK393" i="1"/>
  <c r="AM393" s="1"/>
  <c r="AZ392" i="2"/>
  <c r="BJ392"/>
  <c r="AK392" i="1"/>
  <c r="AZ391" i="2"/>
  <c r="BJ391"/>
  <c r="Y391" i="1"/>
  <c r="AK391"/>
  <c r="AZ390" i="2"/>
  <c r="BJ390" s="1"/>
  <c r="AK390" i="1"/>
  <c r="AZ389" i="2"/>
  <c r="BJ389"/>
  <c r="AK389" i="1"/>
  <c r="AM389"/>
  <c r="AA389" i="14"/>
  <c r="AZ388" i="2"/>
  <c r="BJ388" s="1"/>
  <c r="AK388" i="1"/>
  <c r="AA388" i="14"/>
  <c r="AZ387" i="2"/>
  <c r="BJ387" s="1"/>
  <c r="AK387" i="1"/>
  <c r="AZ386" i="2"/>
  <c r="BJ386"/>
  <c r="Y386" i="1"/>
  <c r="AM386"/>
  <c r="BL386" i="2" s="1"/>
  <c r="BS386" s="1"/>
  <c r="BU386" s="1"/>
  <c r="AK386" i="1"/>
  <c r="AZ385" i="2"/>
  <c r="BJ385" s="1"/>
  <c r="Y385" i="1"/>
  <c r="AK385"/>
  <c r="AZ384" i="2"/>
  <c r="BJ384" s="1"/>
  <c r="AK384" i="1"/>
  <c r="AA384" i="14"/>
  <c r="AZ383" i="2"/>
  <c r="BJ383" s="1"/>
  <c r="AK383" i="1"/>
  <c r="Y383"/>
  <c r="AZ382" i="2"/>
  <c r="BJ382"/>
  <c r="Y382" i="1"/>
  <c r="AK382"/>
  <c r="AA382" i="14"/>
  <c r="AZ381" i="2"/>
  <c r="BJ381" s="1"/>
  <c r="Y381" i="1"/>
  <c r="AM381"/>
  <c r="BL381" i="2" s="1"/>
  <c r="BS381" s="1"/>
  <c r="BU381" s="1"/>
  <c r="AK381" i="1"/>
  <c r="AZ380" i="2"/>
  <c r="BJ380" s="1"/>
  <c r="Y380" i="1"/>
  <c r="AK380"/>
  <c r="AA380" i="14"/>
  <c r="AZ379" i="2"/>
  <c r="BJ379"/>
  <c r="AK379" i="1"/>
  <c r="AZ378" i="2"/>
  <c r="BJ378" s="1"/>
  <c r="Y378" i="1"/>
  <c r="AM378"/>
  <c r="BL378" i="2" s="1"/>
  <c r="AK378" i="1"/>
  <c r="AA378" i="14"/>
  <c r="AZ377" i="2"/>
  <c r="BJ377"/>
  <c r="AK377" i="1"/>
  <c r="Y377"/>
  <c r="AA377" i="14"/>
  <c r="AZ376" i="2"/>
  <c r="BJ376"/>
  <c r="Y376" i="1"/>
  <c r="AK376"/>
  <c r="AZ375" i="2"/>
  <c r="BJ375" s="1"/>
  <c r="AK375" i="1"/>
  <c r="AM375" s="1"/>
  <c r="BL375" i="2" s="1"/>
  <c r="BS375" s="1"/>
  <c r="BU375" s="1"/>
  <c r="Y375" i="1"/>
  <c r="AA375" i="14"/>
  <c r="AZ374" i="2"/>
  <c r="BJ374" s="1"/>
  <c r="Y374" i="1"/>
  <c r="AK374"/>
  <c r="AA374" i="14"/>
  <c r="AZ373" i="2"/>
  <c r="BJ373" s="1"/>
  <c r="Y373" i="1"/>
  <c r="AK373"/>
  <c r="AA373" i="14"/>
  <c r="AZ372" i="2"/>
  <c r="BJ372"/>
  <c r="AK372" i="1"/>
  <c r="Y372"/>
  <c r="AA372" i="14"/>
  <c r="AZ371" i="2"/>
  <c r="BJ371" s="1"/>
  <c r="Y371" i="1"/>
  <c r="AK371"/>
  <c r="AZ370" i="2"/>
  <c r="BJ370" s="1"/>
  <c r="AK370" i="1"/>
  <c r="AM370" s="1"/>
  <c r="AA370" i="14"/>
  <c r="AZ369" i="2"/>
  <c r="BJ369"/>
  <c r="Y369" i="1"/>
  <c r="AZ368" i="2"/>
  <c r="BJ368"/>
  <c r="AK368" i="1"/>
  <c r="Y368"/>
  <c r="AM368" s="1"/>
  <c r="AZ367" i="2"/>
  <c r="BJ367" s="1"/>
  <c r="AK367" i="1"/>
  <c r="AZ366" i="2"/>
  <c r="BJ366"/>
  <c r="AK366" i="1"/>
  <c r="Y366"/>
  <c r="AA366" i="14"/>
  <c r="AZ365" i="2"/>
  <c r="BJ365" s="1"/>
  <c r="Y365" i="1"/>
  <c r="AK365"/>
  <c r="AA365" i="14"/>
  <c r="AZ364" i="2"/>
  <c r="BJ364"/>
  <c r="AK364" i="1"/>
  <c r="AZ319" i="2"/>
  <c r="BJ319" s="1"/>
  <c r="Y319" i="1"/>
  <c r="AK319"/>
  <c r="AZ318" i="2"/>
  <c r="BJ318" s="1"/>
  <c r="Y318" i="1"/>
  <c r="AK318"/>
  <c r="AZ317" i="2"/>
  <c r="BJ317"/>
  <c r="Y317" i="1"/>
  <c r="AK317"/>
  <c r="AA317" i="14"/>
  <c r="AZ316" i="2"/>
  <c r="BJ316" s="1"/>
  <c r="Y316" i="1"/>
  <c r="AK316"/>
  <c r="AM316" s="1"/>
  <c r="BL316" i="2" s="1"/>
  <c r="BS316" s="1"/>
  <c r="AA316" i="14"/>
  <c r="AZ315" i="2"/>
  <c r="BJ315" s="1"/>
  <c r="Y315" i="1"/>
  <c r="AK315"/>
  <c r="AA315" i="14"/>
  <c r="AZ314" i="2"/>
  <c r="BJ314"/>
  <c r="Y314" i="1"/>
  <c r="AK314"/>
  <c r="AA314" i="14"/>
  <c r="AZ313" i="2"/>
  <c r="BJ313" s="1"/>
  <c r="Y313" i="1"/>
  <c r="AK313"/>
  <c r="AA313" i="14"/>
  <c r="AZ312" i="2"/>
  <c r="BJ312" s="1"/>
  <c r="Y312" i="1"/>
  <c r="AK312"/>
  <c r="AA312" i="14"/>
  <c r="AZ311" i="2"/>
  <c r="BJ311"/>
  <c r="AA311" i="14"/>
  <c r="AZ310" i="2"/>
  <c r="BJ310" s="1"/>
  <c r="AK310" i="1"/>
  <c r="Y310"/>
  <c r="AA310" i="14"/>
  <c r="AZ309" i="2"/>
  <c r="BJ309"/>
  <c r="AK309" i="1"/>
  <c r="Y309"/>
  <c r="AA309" i="14"/>
  <c r="AZ308" i="2"/>
  <c r="BJ308" s="1"/>
  <c r="AK308" i="1"/>
  <c r="AM308" s="1"/>
  <c r="BL308" i="2" s="1"/>
  <c r="BS308" s="1"/>
  <c r="BU308" s="1"/>
  <c r="AA308" i="14"/>
  <c r="AZ307" i="2"/>
  <c r="BJ307"/>
  <c r="AK307" i="1"/>
  <c r="AM307"/>
  <c r="BL307" i="2" s="1"/>
  <c r="BS307" s="1"/>
  <c r="BU307" s="1"/>
  <c r="AA307" i="14"/>
  <c r="AZ306" i="2"/>
  <c r="BJ306" s="1"/>
  <c r="Y306" i="1"/>
  <c r="AK306"/>
  <c r="AA306" i="14"/>
  <c r="AZ305" i="2"/>
  <c r="BJ305"/>
  <c r="Y305" i="1"/>
  <c r="AK305"/>
  <c r="AZ304" i="2"/>
  <c r="BJ304"/>
  <c r="Y304" i="1"/>
  <c r="AK304"/>
  <c r="AA304" i="14"/>
  <c r="AZ303" i="2"/>
  <c r="BJ303" s="1"/>
  <c r="AK303" i="1"/>
  <c r="Y303"/>
  <c r="AZ214" i="2"/>
  <c r="BJ214" s="1"/>
  <c r="AK214" i="1"/>
  <c r="AM214" s="1"/>
  <c r="AA214" i="14"/>
  <c r="AZ213" i="2"/>
  <c r="BJ213"/>
  <c r="Y213" i="1"/>
  <c r="AK213"/>
  <c r="AZ212" i="2"/>
  <c r="BJ212"/>
  <c r="Y212" i="1"/>
  <c r="AK212"/>
  <c r="AA212" i="14"/>
  <c r="AZ211" i="2"/>
  <c r="BJ211" s="1"/>
  <c r="AK211" i="1"/>
  <c r="AZ210" i="2"/>
  <c r="BJ210"/>
  <c r="AK210" i="1"/>
  <c r="AA210" i="14"/>
  <c r="AZ209" i="2"/>
  <c r="BJ209"/>
  <c r="Y209" i="1"/>
  <c r="AK209"/>
  <c r="AZ208" i="2"/>
  <c r="BJ208"/>
  <c r="Y208" i="1"/>
  <c r="AK208"/>
  <c r="AA208" i="14"/>
  <c r="AZ205" i="2"/>
  <c r="BJ205" s="1"/>
  <c r="Y205" i="1"/>
  <c r="AK205"/>
  <c r="AZ204" i="2"/>
  <c r="BJ204" s="1"/>
  <c r="AK204" i="1"/>
  <c r="Y204"/>
  <c r="AA204" i="14"/>
  <c r="AZ203" i="2"/>
  <c r="BJ203" s="1"/>
  <c r="Y203" i="1"/>
  <c r="AK203"/>
  <c r="AA203" i="14"/>
  <c r="AZ202" i="2"/>
  <c r="BJ202"/>
  <c r="Y202" i="1"/>
  <c r="AK202"/>
  <c r="AA202" i="14"/>
  <c r="AZ201" i="2"/>
  <c r="BJ201" s="1"/>
  <c r="Y201" i="1"/>
  <c r="AK201"/>
  <c r="AA201" i="14"/>
  <c r="AZ200" i="2"/>
  <c r="BJ200"/>
  <c r="AK200" i="1"/>
  <c r="Y200"/>
  <c r="AA200" i="14"/>
  <c r="AZ199" i="2"/>
  <c r="BJ199" s="1"/>
  <c r="AK199" i="1"/>
  <c r="AM199" s="1"/>
  <c r="Y199"/>
  <c r="AA199" i="14"/>
  <c r="AZ198" i="2"/>
  <c r="BJ198" s="1"/>
  <c r="AK198" i="1"/>
  <c r="AA198" i="14"/>
  <c r="AZ197" i="2"/>
  <c r="BJ197" s="1"/>
  <c r="Y197" i="1"/>
  <c r="AK197"/>
  <c r="AZ196" i="2"/>
  <c r="BJ196" s="1"/>
  <c r="AK196" i="1"/>
  <c r="Y196"/>
  <c r="AA196" i="14"/>
  <c r="AZ195" i="2"/>
  <c r="BJ195"/>
  <c r="Y195" i="1"/>
  <c r="AK195"/>
  <c r="AM195" s="1"/>
  <c r="BL195" i="2" s="1"/>
  <c r="BS195" s="1"/>
  <c r="BU195" s="1"/>
  <c r="AA195" i="14"/>
  <c r="AZ194" i="2"/>
  <c r="BJ194"/>
  <c r="AK194" i="1"/>
  <c r="Y194"/>
  <c r="AA194" i="14"/>
  <c r="AK193" i="1"/>
  <c r="BJ192" i="2"/>
  <c r="AK192" i="1"/>
  <c r="AM192" s="1"/>
  <c r="BL192" i="2" s="1"/>
  <c r="BS192" s="1"/>
  <c r="BU192" s="1"/>
  <c r="AA192" i="14"/>
  <c r="AA191"/>
  <c r="BJ190" i="2"/>
  <c r="AK190" i="1"/>
  <c r="AM190"/>
  <c r="BL190" i="2" s="1"/>
  <c r="BS190" s="1"/>
  <c r="BU190" s="1"/>
  <c r="AA190" i="14"/>
  <c r="BJ189" i="2"/>
  <c r="AK189" i="1"/>
  <c r="AM189" s="1"/>
  <c r="BL189" i="2" s="1"/>
  <c r="BS189" s="1"/>
  <c r="BU189" s="1"/>
  <c r="AA189" i="14"/>
  <c r="BJ188" i="2"/>
  <c r="AK188" i="1"/>
  <c r="AZ161" i="2"/>
  <c r="BJ161"/>
  <c r="Y161" i="1"/>
  <c r="AA160" i="14"/>
  <c r="AZ160" i="2"/>
  <c r="BJ160" s="1"/>
  <c r="Y160" i="1"/>
  <c r="AK160"/>
  <c r="AM160"/>
  <c r="BL160" i="2" s="1"/>
  <c r="BS160" s="1"/>
  <c r="BU160" s="1"/>
  <c r="AA159" i="14"/>
  <c r="AZ158" i="2"/>
  <c r="BJ158" s="1"/>
  <c r="AK158" i="1"/>
  <c r="Y158"/>
  <c r="AA157" i="14"/>
  <c r="AZ157" i="2"/>
  <c r="BJ157" s="1"/>
  <c r="Y157" i="1"/>
  <c r="AK157"/>
  <c r="AA156" i="14"/>
  <c r="AZ156" i="2"/>
  <c r="BJ156"/>
  <c r="Y156" i="1"/>
  <c r="AK156"/>
  <c r="AA155" i="14"/>
  <c r="AZ155" i="2"/>
  <c r="BJ155" s="1"/>
  <c r="Y155" i="1"/>
  <c r="AK155"/>
  <c r="AZ154" i="2"/>
  <c r="BJ154" s="1"/>
  <c r="AK154" i="1"/>
  <c r="AA153" i="14"/>
  <c r="AZ153" i="2"/>
  <c r="BJ153"/>
  <c r="Y153" i="1"/>
  <c r="AK153"/>
  <c r="AA152" i="14"/>
  <c r="AZ152" i="2"/>
  <c r="BJ152" s="1"/>
  <c r="AK152" i="1"/>
  <c r="AZ151" i="2"/>
  <c r="BJ151"/>
  <c r="AK151" i="1"/>
  <c r="Y151"/>
  <c r="AA150" i="14"/>
  <c r="AZ150" i="2"/>
  <c r="BJ150"/>
  <c r="AK150" i="1"/>
  <c r="Y150"/>
  <c r="AM150"/>
  <c r="BL150" i="2" s="1"/>
  <c r="BS150" s="1"/>
  <c r="BU150" s="1"/>
  <c r="AA149" i="14"/>
  <c r="AZ149" i="2"/>
  <c r="BJ149" s="1"/>
  <c r="AK149" i="1"/>
  <c r="AM149" s="1"/>
  <c r="BL149" i="2" s="1"/>
  <c r="BS149" s="1"/>
  <c r="BU149" s="1"/>
  <c r="AA148" i="14"/>
  <c r="AK148" i="1"/>
  <c r="AK147"/>
  <c r="AK146"/>
  <c r="AK145"/>
  <c r="AM145" s="1"/>
  <c r="AK144"/>
  <c r="AK143"/>
  <c r="AK142"/>
  <c r="AK141"/>
  <c r="AM141"/>
  <c r="BL141" i="2" s="1"/>
  <c r="BS141" s="1"/>
  <c r="BU141" s="1"/>
  <c r="AK140" i="1"/>
  <c r="AK139"/>
  <c r="AZ138" i="2"/>
  <c r="BJ138"/>
  <c r="Y138" i="1"/>
  <c r="AK138"/>
  <c r="AZ137" i="2"/>
  <c r="BJ137"/>
  <c r="AK137" i="1"/>
  <c r="AA136" i="14"/>
  <c r="AZ136" i="2"/>
  <c r="BJ136" s="1"/>
  <c r="AK136" i="1"/>
  <c r="AM136" s="1"/>
  <c r="BL136" i="2" s="1"/>
  <c r="BS136" s="1"/>
  <c r="BU136" s="1"/>
  <c r="AA135" i="14"/>
  <c r="AZ135" i="2"/>
  <c r="BJ135"/>
  <c r="Y135" i="1"/>
  <c r="AK135"/>
  <c r="AZ134" i="2"/>
  <c r="BJ134"/>
  <c r="Y134" i="1"/>
  <c r="AK134"/>
  <c r="AZ133" i="2"/>
  <c r="BJ133" s="1"/>
  <c r="AK133" i="1"/>
  <c r="AM133" s="1"/>
  <c r="AA132" i="14"/>
  <c r="AZ132" i="2"/>
  <c r="BJ132"/>
  <c r="Y132" i="1"/>
  <c r="AK132"/>
  <c r="AM132" s="1"/>
  <c r="BL132" i="2" s="1"/>
  <c r="BS132" s="1"/>
  <c r="BU132" s="1"/>
  <c r="AA131" i="14"/>
  <c r="AZ131" i="2"/>
  <c r="BJ131"/>
  <c r="AK131" i="1"/>
  <c r="AZ130" i="2"/>
  <c r="BJ130"/>
  <c r="AK130" i="1"/>
  <c r="AZ129" i="2"/>
  <c r="BJ129"/>
  <c r="Y129" i="1"/>
  <c r="AK129"/>
  <c r="AZ128" i="2"/>
  <c r="BJ128"/>
  <c r="AK128" i="1"/>
  <c r="Y128"/>
  <c r="AA127" i="14"/>
  <c r="AZ127" i="2"/>
  <c r="BJ127"/>
  <c r="AK127" i="1"/>
  <c r="AA126" i="14"/>
  <c r="AZ126" i="2"/>
  <c r="BJ126" s="1"/>
  <c r="Y126" i="1"/>
  <c r="AK126"/>
  <c r="AZ125" i="2"/>
  <c r="BJ125" s="1"/>
  <c r="AK125" i="1"/>
  <c r="AM125"/>
  <c r="BL125" i="2" s="1"/>
  <c r="BS125" s="1"/>
  <c r="BU125" s="1"/>
  <c r="AA124" i="14"/>
  <c r="AZ124" i="2"/>
  <c r="BJ124" s="1"/>
  <c r="AK124" i="1"/>
  <c r="AZ123" i="2"/>
  <c r="BJ123" s="1"/>
  <c r="AK123" i="1"/>
  <c r="AZ122" i="2"/>
  <c r="BJ122"/>
  <c r="Y122" i="1"/>
  <c r="AK122"/>
  <c r="AA121" i="14"/>
  <c r="AZ121" i="2"/>
  <c r="BJ121" s="1"/>
  <c r="Y121" i="1"/>
  <c r="AK121"/>
  <c r="AA120" i="14"/>
  <c r="AZ120" i="2"/>
  <c r="BJ120"/>
  <c r="AK120" i="1"/>
  <c r="AA119" i="14"/>
  <c r="AZ119" i="2"/>
  <c r="BJ119"/>
  <c r="AK119" i="1"/>
  <c r="AA118" i="14"/>
  <c r="AZ118" i="2"/>
  <c r="BJ118"/>
  <c r="Y118" i="1"/>
  <c r="AK118"/>
  <c r="AZ117" i="2"/>
  <c r="BJ117" s="1"/>
  <c r="AK117" i="1"/>
  <c r="AA116" i="14"/>
  <c r="AZ116" i="2"/>
  <c r="BJ116" s="1"/>
  <c r="Y116" i="1"/>
  <c r="AK116"/>
  <c r="AA115" i="14"/>
  <c r="AZ114" i="2"/>
  <c r="BJ114" s="1"/>
  <c r="Y114" i="1"/>
  <c r="AM114"/>
  <c r="BL114" i="2" s="1"/>
  <c r="BS114" s="1"/>
  <c r="BU114" s="1"/>
  <c r="AK114" i="1"/>
  <c r="AA113" i="14"/>
  <c r="AZ113" i="2"/>
  <c r="Y113" i="1"/>
  <c r="AK113"/>
  <c r="AA112" i="14"/>
  <c r="AZ112" i="2"/>
  <c r="BJ112"/>
  <c r="AK112" i="1"/>
  <c r="AZ111" i="2"/>
  <c r="BJ111" s="1"/>
  <c r="Y111" i="1"/>
  <c r="AK111"/>
  <c r="AZ110" i="2"/>
  <c r="BJ110"/>
  <c r="AK110" i="1"/>
  <c r="AZ109" i="2"/>
  <c r="BJ109" s="1"/>
  <c r="AK109" i="1"/>
  <c r="AZ115" i="2"/>
  <c r="BJ115"/>
  <c r="AK108" i="1"/>
  <c r="AZ106" i="2"/>
  <c r="BJ106" s="1"/>
  <c r="AK106" i="1"/>
  <c r="Y106"/>
  <c r="AZ105" i="2"/>
  <c r="BJ105" s="1"/>
  <c r="Y105" i="1"/>
  <c r="AK105"/>
  <c r="AZ104" i="2"/>
  <c r="BJ104"/>
  <c r="Y104" i="1"/>
  <c r="AK104"/>
  <c r="AA104" i="14"/>
  <c r="AZ103" i="2"/>
  <c r="BJ103"/>
  <c r="Y103" i="1"/>
  <c r="AM103"/>
  <c r="BL103" i="2" s="1"/>
  <c r="BS103" s="1"/>
  <c r="BU103" s="1"/>
  <c r="AK103" i="1"/>
  <c r="AZ102" i="2"/>
  <c r="BJ102" s="1"/>
  <c r="Y102" i="1"/>
  <c r="AK102"/>
  <c r="AZ85" i="2"/>
  <c r="BJ85" s="1"/>
  <c r="AK85" i="1"/>
  <c r="AA85" i="14"/>
  <c r="AZ84" i="2"/>
  <c r="BJ84"/>
  <c r="AK84" i="1"/>
  <c r="AZ83" i="2"/>
  <c r="BJ83" s="1"/>
  <c r="AK83" i="1"/>
  <c r="Y83"/>
  <c r="AA83" i="14"/>
  <c r="AZ82" i="2"/>
  <c r="BJ82"/>
  <c r="Y82" i="1"/>
  <c r="AK82"/>
  <c r="AA82" i="14"/>
  <c r="AZ81" i="2"/>
  <c r="BJ81" s="1"/>
  <c r="AK81" i="1"/>
  <c r="AA81" i="14"/>
  <c r="BJ47" i="2"/>
  <c r="AK47" i="1"/>
  <c r="BJ46" i="2"/>
  <c r="AK46" i="1"/>
  <c r="AA46" i="14"/>
  <c r="BJ45" i="2"/>
  <c r="AK45" i="1"/>
  <c r="AA45" i="14"/>
  <c r="BJ44" i="2"/>
  <c r="AK44" i="1"/>
  <c r="BJ43" i="2"/>
  <c r="AK43" i="1"/>
  <c r="AA43" i="14"/>
  <c r="AK42" i="1"/>
  <c r="BJ41" i="2"/>
  <c r="AK41" i="1"/>
  <c r="AA41" i="14"/>
  <c r="BJ40" i="2"/>
  <c r="AK40" i="1"/>
  <c r="AK39"/>
  <c r="AM39" s="1"/>
  <c r="BL39" i="2" s="1"/>
  <c r="BS39" s="1"/>
  <c r="BU39" s="1"/>
  <c r="AA39" i="14"/>
  <c r="AK38" i="1"/>
  <c r="BJ37" i="2"/>
  <c r="AK37" i="1"/>
  <c r="AA37" i="14"/>
  <c r="AK36" i="1"/>
  <c r="AM36"/>
  <c r="BL36" i="2" s="1"/>
  <c r="BS36" s="1"/>
  <c r="BU36" s="1"/>
  <c r="AA36" i="14"/>
  <c r="BJ35" i="2"/>
  <c r="AK35" i="1"/>
  <c r="AM35" s="1"/>
  <c r="BL35" i="2" s="1"/>
  <c r="BS35" s="1"/>
  <c r="AA35" i="14"/>
  <c r="BJ34" i="2"/>
  <c r="AK34" i="1"/>
  <c r="AM34" s="1"/>
  <c r="AA34" i="14"/>
  <c r="BJ33" i="2"/>
  <c r="AK33" i="1"/>
  <c r="BJ32" i="2"/>
  <c r="AK32" i="1"/>
  <c r="AZ31" i="2"/>
  <c r="BJ31"/>
  <c r="Y31" i="1"/>
  <c r="AK31"/>
  <c r="AA31" i="14"/>
  <c r="AZ30" i="2"/>
  <c r="BJ30" s="1"/>
  <c r="Y30" i="1"/>
  <c r="AK30"/>
  <c r="AA30" i="14"/>
  <c r="AZ29" i="2"/>
  <c r="BJ29" s="1"/>
  <c r="AK29" i="1"/>
  <c r="AA29" i="14"/>
  <c r="AZ28" i="2"/>
  <c r="BJ28"/>
  <c r="AK28" i="1"/>
  <c r="AZ27" i="2"/>
  <c r="BJ27" s="1"/>
  <c r="Y27" i="1"/>
  <c r="AK27"/>
  <c r="AZ26" i="2"/>
  <c r="BJ26" s="1"/>
  <c r="AZ25"/>
  <c r="BJ25"/>
  <c r="AK25" i="1"/>
  <c r="Y25"/>
  <c r="AA25" i="14"/>
  <c r="AZ24" i="2"/>
  <c r="BJ24" s="1"/>
  <c r="Y24" i="1"/>
  <c r="AK24"/>
  <c r="AA24" i="14"/>
  <c r="AZ23" i="2"/>
  <c r="BJ23"/>
  <c r="Y23" i="1"/>
  <c r="AK23"/>
  <c r="AA23" i="14"/>
  <c r="AZ22" i="2"/>
  <c r="BJ22" s="1"/>
  <c r="Y22" i="1"/>
  <c r="AK22"/>
  <c r="AA22" i="14"/>
  <c r="AZ21" i="2"/>
  <c r="BJ21"/>
  <c r="AK21" i="1"/>
  <c r="Y21"/>
  <c r="AA21" i="14"/>
  <c r="AZ20" i="2"/>
  <c r="BJ20"/>
  <c r="Y20" i="1"/>
  <c r="AK20"/>
  <c r="AA20" i="14"/>
  <c r="AZ19" i="2"/>
  <c r="BJ19"/>
  <c r="Y19" i="1"/>
  <c r="AK19"/>
  <c r="AA19" i="14"/>
  <c r="AZ18" i="2"/>
  <c r="BJ18"/>
  <c r="AK18" i="1"/>
  <c r="AA18" i="14"/>
  <c r="AZ17" i="2"/>
  <c r="BJ17" s="1"/>
  <c r="Y17" i="1"/>
  <c r="AK17"/>
  <c r="AZ16" i="2"/>
  <c r="BJ16" s="1"/>
  <c r="Y16" i="1"/>
  <c r="AK16"/>
  <c r="AZ15" i="2"/>
  <c r="BJ15"/>
  <c r="AK15" i="1"/>
  <c r="AM15"/>
  <c r="BL15" i="2" s="1"/>
  <c r="BS15" s="1"/>
  <c r="BU15" s="1"/>
  <c r="Y15" i="1"/>
  <c r="AA15" i="14"/>
  <c r="AZ14" i="2"/>
  <c r="BJ14"/>
  <c r="AK14" i="1"/>
  <c r="AZ13" i="2"/>
  <c r="BJ13"/>
  <c r="Y13" i="1"/>
  <c r="AK13"/>
  <c r="AZ11" i="2"/>
  <c r="BJ11" s="1"/>
  <c r="K320" i="14"/>
  <c r="O320"/>
  <c r="AC320" s="1"/>
  <c r="K161"/>
  <c r="O161"/>
  <c r="K86"/>
  <c r="K409"/>
  <c r="O409"/>
  <c r="K408"/>
  <c r="O408"/>
  <c r="AC406"/>
  <c r="K395"/>
  <c r="O395"/>
  <c r="K394"/>
  <c r="O394"/>
  <c r="K393"/>
  <c r="K392"/>
  <c r="O392"/>
  <c r="K391"/>
  <c r="O391"/>
  <c r="K390"/>
  <c r="O390"/>
  <c r="K389"/>
  <c r="O389"/>
  <c r="K388"/>
  <c r="O388"/>
  <c r="K387"/>
  <c r="O387"/>
  <c r="K386"/>
  <c r="O386"/>
  <c r="K385"/>
  <c r="O385"/>
  <c r="K384"/>
  <c r="O384"/>
  <c r="K383"/>
  <c r="O383"/>
  <c r="K382"/>
  <c r="O382"/>
  <c r="K381"/>
  <c r="O381"/>
  <c r="K380"/>
  <c r="O380"/>
  <c r="K379"/>
  <c r="O379"/>
  <c r="K378"/>
  <c r="O378"/>
  <c r="K377"/>
  <c r="O377"/>
  <c r="K376"/>
  <c r="K375"/>
  <c r="O375"/>
  <c r="K374"/>
  <c r="O374"/>
  <c r="K373"/>
  <c r="K372"/>
  <c r="O372"/>
  <c r="K371"/>
  <c r="O371"/>
  <c r="K370"/>
  <c r="O370"/>
  <c r="K369"/>
  <c r="O369"/>
  <c r="K368"/>
  <c r="O368"/>
  <c r="K367"/>
  <c r="O367"/>
  <c r="K366"/>
  <c r="O366"/>
  <c r="O365"/>
  <c r="AC365"/>
  <c r="K364"/>
  <c r="O364"/>
  <c r="K363"/>
  <c r="O363"/>
  <c r="K362"/>
  <c r="O362"/>
  <c r="K361"/>
  <c r="O361"/>
  <c r="K360"/>
  <c r="O360"/>
  <c r="K359"/>
  <c r="O359"/>
  <c r="K358"/>
  <c r="O358"/>
  <c r="K357"/>
  <c r="O357"/>
  <c r="K356"/>
  <c r="O356"/>
  <c r="K355"/>
  <c r="O355"/>
  <c r="K354"/>
  <c r="O354"/>
  <c r="K353"/>
  <c r="O353"/>
  <c r="K352"/>
  <c r="O352"/>
  <c r="K351"/>
  <c r="O351"/>
  <c r="K350"/>
  <c r="O350"/>
  <c r="AC342"/>
  <c r="K335"/>
  <c r="O335"/>
  <c r="K334"/>
  <c r="O334"/>
  <c r="K333"/>
  <c r="O333"/>
  <c r="K332"/>
  <c r="O332"/>
  <c r="K331"/>
  <c r="O331"/>
  <c r="K330"/>
  <c r="O330"/>
  <c r="K329"/>
  <c r="O329"/>
  <c r="K328"/>
  <c r="O328"/>
  <c r="K327"/>
  <c r="O327"/>
  <c r="K326"/>
  <c r="O326"/>
  <c r="K325"/>
  <c r="O325"/>
  <c r="K324"/>
  <c r="O324"/>
  <c r="K323"/>
  <c r="O323"/>
  <c r="K322"/>
  <c r="O322"/>
  <c r="K321"/>
  <c r="O321"/>
  <c r="K319"/>
  <c r="O319"/>
  <c r="K318"/>
  <c r="O318"/>
  <c r="K317"/>
  <c r="O317"/>
  <c r="K316"/>
  <c r="O316"/>
  <c r="K315"/>
  <c r="O315"/>
  <c r="K314"/>
  <c r="O314"/>
  <c r="K313"/>
  <c r="O313"/>
  <c r="K312"/>
  <c r="O312"/>
  <c r="K311"/>
  <c r="O311"/>
  <c r="K310"/>
  <c r="O310"/>
  <c r="K309"/>
  <c r="O309"/>
  <c r="K308"/>
  <c r="O308"/>
  <c r="K307"/>
  <c r="O307"/>
  <c r="K306"/>
  <c r="O306"/>
  <c r="K305"/>
  <c r="O305"/>
  <c r="K304"/>
  <c r="O304"/>
  <c r="K303"/>
  <c r="O303"/>
  <c r="K302"/>
  <c r="O302"/>
  <c r="K301"/>
  <c r="O301"/>
  <c r="K300"/>
  <c r="O300"/>
  <c r="K299"/>
  <c r="O299"/>
  <c r="K298"/>
  <c r="O298"/>
  <c r="K237"/>
  <c r="O237"/>
  <c r="K236"/>
  <c r="O236"/>
  <c r="K235"/>
  <c r="O235"/>
  <c r="K234"/>
  <c r="O234"/>
  <c r="K233"/>
  <c r="O233"/>
  <c r="K232"/>
  <c r="O232"/>
  <c r="K231"/>
  <c r="O231"/>
  <c r="K229"/>
  <c r="O229"/>
  <c r="K228"/>
  <c r="O228"/>
  <c r="K227"/>
  <c r="O227"/>
  <c r="K226"/>
  <c r="O226"/>
  <c r="K225"/>
  <c r="O225"/>
  <c r="O224"/>
  <c r="K223"/>
  <c r="O223"/>
  <c r="K222"/>
  <c r="O222"/>
  <c r="K221"/>
  <c r="O221"/>
  <c r="K220"/>
  <c r="O220"/>
  <c r="K219"/>
  <c r="O219"/>
  <c r="K218"/>
  <c r="O218"/>
  <c r="K217"/>
  <c r="O217"/>
  <c r="K216"/>
  <c r="O216"/>
  <c r="K215"/>
  <c r="O215"/>
  <c r="K214"/>
  <c r="O214"/>
  <c r="K213"/>
  <c r="O213"/>
  <c r="K212"/>
  <c r="O212"/>
  <c r="K211"/>
  <c r="O211"/>
  <c r="K210"/>
  <c r="O210"/>
  <c r="K209"/>
  <c r="O209"/>
  <c r="K208"/>
  <c r="O208"/>
  <c r="K207"/>
  <c r="O207"/>
  <c r="O206"/>
  <c r="K205"/>
  <c r="O205"/>
  <c r="K204"/>
  <c r="K203"/>
  <c r="O203"/>
  <c r="K202"/>
  <c r="O202"/>
  <c r="K201"/>
  <c r="O201"/>
  <c r="K200"/>
  <c r="O200"/>
  <c r="K199"/>
  <c r="O199"/>
  <c r="K198"/>
  <c r="O198"/>
  <c r="K197"/>
  <c r="O197"/>
  <c r="K196"/>
  <c r="O196"/>
  <c r="K195"/>
  <c r="O195"/>
  <c r="K194"/>
  <c r="O194"/>
  <c r="AC191"/>
  <c r="AC184"/>
  <c r="AC180"/>
  <c r="AC174"/>
  <c r="AC170"/>
  <c r="AC165"/>
  <c r="K164"/>
  <c r="O164"/>
  <c r="O163"/>
  <c r="K162"/>
  <c r="O162"/>
  <c r="K160"/>
  <c r="O160"/>
  <c r="O159"/>
  <c r="AC159" s="1"/>
  <c r="K157"/>
  <c r="O157"/>
  <c r="K156"/>
  <c r="O156"/>
  <c r="K155"/>
  <c r="O155"/>
  <c r="K154"/>
  <c r="O154"/>
  <c r="K153"/>
  <c r="O153"/>
  <c r="K152"/>
  <c r="O152"/>
  <c r="K151"/>
  <c r="O151"/>
  <c r="K150"/>
  <c r="O150"/>
  <c r="K149"/>
  <c r="O149"/>
  <c r="K148"/>
  <c r="O148"/>
  <c r="AC146"/>
  <c r="AC140"/>
  <c r="O137"/>
  <c r="K136"/>
  <c r="O136"/>
  <c r="K135"/>
  <c r="O135"/>
  <c r="K134"/>
  <c r="O134"/>
  <c r="K133"/>
  <c r="O133"/>
  <c r="K132"/>
  <c r="O132"/>
  <c r="K131"/>
  <c r="O131"/>
  <c r="K130"/>
  <c r="O130"/>
  <c r="K129"/>
  <c r="O129"/>
  <c r="K128"/>
  <c r="O128"/>
  <c r="K127"/>
  <c r="O127"/>
  <c r="K126"/>
  <c r="O126"/>
  <c r="K125"/>
  <c r="O125"/>
  <c r="K124"/>
  <c r="O124"/>
  <c r="K123"/>
  <c r="O123"/>
  <c r="K122"/>
  <c r="O122"/>
  <c r="K121"/>
  <c r="O121"/>
  <c r="K120"/>
  <c r="O120"/>
  <c r="K119"/>
  <c r="K118"/>
  <c r="O118"/>
  <c r="K117"/>
  <c r="O117"/>
  <c r="K116"/>
  <c r="O116"/>
  <c r="K115"/>
  <c r="O115"/>
  <c r="K113"/>
  <c r="O113"/>
  <c r="K112"/>
  <c r="O112"/>
  <c r="K111"/>
  <c r="O111"/>
  <c r="K110"/>
  <c r="O110"/>
  <c r="K109"/>
  <c r="O109"/>
  <c r="K108"/>
  <c r="O108"/>
  <c r="K105"/>
  <c r="O105"/>
  <c r="K104"/>
  <c r="O104"/>
  <c r="K103"/>
  <c r="O103"/>
  <c r="K102"/>
  <c r="O102"/>
  <c r="K101"/>
  <c r="O101"/>
  <c r="K100"/>
  <c r="O100"/>
  <c r="K99"/>
  <c r="O99"/>
  <c r="K96"/>
  <c r="O96"/>
  <c r="K95"/>
  <c r="O95"/>
  <c r="K94"/>
  <c r="O94"/>
  <c r="K93"/>
  <c r="O93"/>
  <c r="K91"/>
  <c r="O91"/>
  <c r="K90"/>
  <c r="O90"/>
  <c r="K89"/>
  <c r="K88"/>
  <c r="O88"/>
  <c r="K87"/>
  <c r="K85"/>
  <c r="O85"/>
  <c r="K84"/>
  <c r="K83"/>
  <c r="O83"/>
  <c r="K82"/>
  <c r="O82"/>
  <c r="K81"/>
  <c r="O81"/>
  <c r="AC47"/>
  <c r="AC42"/>
  <c r="AC38"/>
  <c r="AC33"/>
  <c r="K31"/>
  <c r="O31"/>
  <c r="K30"/>
  <c r="O30"/>
  <c r="K29"/>
  <c r="O29"/>
  <c r="K28"/>
  <c r="K27"/>
  <c r="O27"/>
  <c r="K26"/>
  <c r="O26"/>
  <c r="K25"/>
  <c r="O25"/>
  <c r="K24"/>
  <c r="O24"/>
  <c r="K23"/>
  <c r="O23"/>
  <c r="K22"/>
  <c r="O22"/>
  <c r="K21"/>
  <c r="O21"/>
  <c r="K20"/>
  <c r="O20"/>
  <c r="K19"/>
  <c r="K18"/>
  <c r="O18"/>
  <c r="K17"/>
  <c r="O17"/>
  <c r="K16"/>
  <c r="O16"/>
  <c r="K15"/>
  <c r="O15"/>
  <c r="K14"/>
  <c r="O14"/>
  <c r="K13"/>
  <c r="O13"/>
  <c r="W397" i="16"/>
  <c r="M397"/>
  <c r="G397"/>
  <c r="W396"/>
  <c r="M396"/>
  <c r="G396"/>
  <c r="W382"/>
  <c r="M382"/>
  <c r="W381"/>
  <c r="M381"/>
  <c r="G381"/>
  <c r="AF381" s="1"/>
  <c r="W380"/>
  <c r="M380"/>
  <c r="W379"/>
  <c r="M379"/>
  <c r="G379"/>
  <c r="W378"/>
  <c r="M378"/>
  <c r="W377"/>
  <c r="M377"/>
  <c r="W376"/>
  <c r="M376"/>
  <c r="W375"/>
  <c r="M375"/>
  <c r="W374"/>
  <c r="M374"/>
  <c r="W373"/>
  <c r="M373"/>
  <c r="W372"/>
  <c r="M372"/>
  <c r="W371"/>
  <c r="M371"/>
  <c r="G371"/>
  <c r="W370"/>
  <c r="M370"/>
  <c r="G370"/>
  <c r="W369"/>
  <c r="M369"/>
  <c r="G369"/>
  <c r="W368"/>
  <c r="M368"/>
  <c r="W367"/>
  <c r="M367"/>
  <c r="W366"/>
  <c r="M366"/>
  <c r="W365"/>
  <c r="M365"/>
  <c r="W364"/>
  <c r="M364"/>
  <c r="W363"/>
  <c r="M363"/>
  <c r="G363"/>
  <c r="W362"/>
  <c r="M362"/>
  <c r="G362"/>
  <c r="W361"/>
  <c r="M361"/>
  <c r="W360"/>
  <c r="M360"/>
  <c r="G360"/>
  <c r="AF360" s="1"/>
  <c r="W359"/>
  <c r="M359"/>
  <c r="G359"/>
  <c r="W358"/>
  <c r="M358"/>
  <c r="W357"/>
  <c r="M357"/>
  <c r="G357"/>
  <c r="W356"/>
  <c r="M356"/>
  <c r="G356"/>
  <c r="W355"/>
  <c r="M355"/>
  <c r="G355"/>
  <c r="W354"/>
  <c r="M354"/>
  <c r="W353"/>
  <c r="M353"/>
  <c r="G353"/>
  <c r="W352"/>
  <c r="M352"/>
  <c r="W351"/>
  <c r="M351"/>
  <c r="W350"/>
  <c r="M350"/>
  <c r="G350"/>
  <c r="W349"/>
  <c r="M349"/>
  <c r="G349"/>
  <c r="W348"/>
  <c r="M348"/>
  <c r="W347"/>
  <c r="M347"/>
  <c r="W346"/>
  <c r="M346"/>
  <c r="W345"/>
  <c r="M345"/>
  <c r="G345"/>
  <c r="W344"/>
  <c r="M344"/>
  <c r="G344"/>
  <c r="W343"/>
  <c r="M343"/>
  <c r="G343"/>
  <c r="W341"/>
  <c r="M341"/>
  <c r="W340"/>
  <c r="M340"/>
  <c r="W337"/>
  <c r="M337"/>
  <c r="W336"/>
  <c r="M336"/>
  <c r="W323"/>
  <c r="M323"/>
  <c r="G323"/>
  <c r="W322"/>
  <c r="M322"/>
  <c r="W321"/>
  <c r="M321"/>
  <c r="G321"/>
  <c r="W320"/>
  <c r="M320"/>
  <c r="G320"/>
  <c r="W319"/>
  <c r="M319"/>
  <c r="G319"/>
  <c r="W318"/>
  <c r="M318"/>
  <c r="W317"/>
  <c r="M317"/>
  <c r="W316"/>
  <c r="M316"/>
  <c r="G316"/>
  <c r="AF316" s="1"/>
  <c r="W315"/>
  <c r="M315"/>
  <c r="W314"/>
  <c r="M314"/>
  <c r="G314"/>
  <c r="W313"/>
  <c r="M313"/>
  <c r="G313"/>
  <c r="W312"/>
  <c r="M312"/>
  <c r="W311"/>
  <c r="M311"/>
  <c r="G311"/>
  <c r="W310"/>
  <c r="M310"/>
  <c r="G310"/>
  <c r="W309"/>
  <c r="M309"/>
  <c r="G309"/>
  <c r="W308"/>
  <c r="M308"/>
  <c r="G308"/>
  <c r="W307"/>
  <c r="M307"/>
  <c r="G307"/>
  <c r="W306"/>
  <c r="M306"/>
  <c r="W305"/>
  <c r="M305"/>
  <c r="G305"/>
  <c r="W304"/>
  <c r="M304"/>
  <c r="G304"/>
  <c r="W303"/>
  <c r="M303"/>
  <c r="W302"/>
  <c r="M302"/>
  <c r="G302"/>
  <c r="W301"/>
  <c r="M301"/>
  <c r="G301"/>
  <c r="W300"/>
  <c r="M300"/>
  <c r="G300"/>
  <c r="W299"/>
  <c r="M299"/>
  <c r="G299"/>
  <c r="W298"/>
  <c r="M298"/>
  <c r="G298"/>
  <c r="W297"/>
  <c r="M297"/>
  <c r="G297"/>
  <c r="W296"/>
  <c r="M296"/>
  <c r="G296"/>
  <c r="W295"/>
  <c r="M295"/>
  <c r="G295"/>
  <c r="W294"/>
  <c r="M294"/>
  <c r="G294"/>
  <c r="W293"/>
  <c r="M293"/>
  <c r="W292"/>
  <c r="M292"/>
  <c r="G292"/>
  <c r="W291"/>
  <c r="M291"/>
  <c r="G291"/>
  <c r="W290"/>
  <c r="M290"/>
  <c r="W289"/>
  <c r="M289"/>
  <c r="G289"/>
  <c r="W288"/>
  <c r="M288"/>
  <c r="G288"/>
  <c r="W287"/>
  <c r="M287"/>
  <c r="G287"/>
  <c r="W286"/>
  <c r="M286"/>
  <c r="G286"/>
  <c r="W224"/>
  <c r="M224"/>
  <c r="W223"/>
  <c r="M223"/>
  <c r="W222"/>
  <c r="M222"/>
  <c r="W221"/>
  <c r="M221"/>
  <c r="W220"/>
  <c r="M220"/>
  <c r="W219"/>
  <c r="M219"/>
  <c r="W217"/>
  <c r="M217"/>
  <c r="W216"/>
  <c r="M216"/>
  <c r="W215"/>
  <c r="M215"/>
  <c r="W214"/>
  <c r="M214"/>
  <c r="W213"/>
  <c r="M213"/>
  <c r="W212"/>
  <c r="M212"/>
  <c r="G212"/>
  <c r="W211"/>
  <c r="M211"/>
  <c r="G211"/>
  <c r="W210"/>
  <c r="M210"/>
  <c r="W209"/>
  <c r="M209"/>
  <c r="G209"/>
  <c r="W208"/>
  <c r="M208"/>
  <c r="G208"/>
  <c r="W207"/>
  <c r="M207"/>
  <c r="W206"/>
  <c r="M206"/>
  <c r="W205"/>
  <c r="W204"/>
  <c r="M204"/>
  <c r="G204"/>
  <c r="W203"/>
  <c r="M203"/>
  <c r="G203"/>
  <c r="W202"/>
  <c r="M202"/>
  <c r="W198"/>
  <c r="M198"/>
  <c r="W197"/>
  <c r="W196"/>
  <c r="M196"/>
  <c r="W195"/>
  <c r="M195"/>
  <c r="G195"/>
  <c r="W194"/>
  <c r="M194"/>
  <c r="W193"/>
  <c r="M193"/>
  <c r="G193"/>
  <c r="W192"/>
  <c r="M192"/>
  <c r="AF192" s="1"/>
  <c r="W191"/>
  <c r="M191"/>
  <c r="G191"/>
  <c r="M190"/>
  <c r="W188"/>
  <c r="M188"/>
  <c r="G188"/>
  <c r="W187"/>
  <c r="M187"/>
  <c r="W186"/>
  <c r="M186"/>
  <c r="W184"/>
  <c r="G184"/>
  <c r="W183"/>
  <c r="M183"/>
  <c r="G183"/>
  <c r="W182"/>
  <c r="M182"/>
  <c r="W181"/>
  <c r="M181"/>
  <c r="W180"/>
  <c r="M180"/>
  <c r="W179"/>
  <c r="M179"/>
  <c r="W178"/>
  <c r="M178"/>
  <c r="G178"/>
  <c r="M177"/>
  <c r="G177"/>
  <c r="M176"/>
  <c r="G176"/>
  <c r="M175"/>
  <c r="M174"/>
  <c r="G174"/>
  <c r="M173"/>
  <c r="G173"/>
  <c r="M172"/>
  <c r="M171"/>
  <c r="G171"/>
  <c r="M170"/>
  <c r="G170"/>
  <c r="M169"/>
  <c r="G169"/>
  <c r="M168"/>
  <c r="M167"/>
  <c r="G167"/>
  <c r="M166"/>
  <c r="G166"/>
  <c r="AF166"/>
  <c r="M165"/>
  <c r="M164"/>
  <c r="G164"/>
  <c r="M163"/>
  <c r="G163"/>
  <c r="M162"/>
  <c r="M161"/>
  <c r="G161"/>
  <c r="M160"/>
  <c r="G160"/>
  <c r="M159"/>
  <c r="M158"/>
  <c r="G158"/>
  <c r="M157"/>
  <c r="G157"/>
  <c r="M156"/>
  <c r="G156"/>
  <c r="M155"/>
  <c r="M154"/>
  <c r="G154"/>
  <c r="M152"/>
  <c r="G152"/>
  <c r="W151"/>
  <c r="M151"/>
  <c r="G151"/>
  <c r="W150"/>
  <c r="M150"/>
  <c r="G150"/>
  <c r="W149"/>
  <c r="M149"/>
  <c r="W148"/>
  <c r="M148"/>
  <c r="G148"/>
  <c r="W147"/>
  <c r="M147"/>
  <c r="G147"/>
  <c r="W146"/>
  <c r="M146"/>
  <c r="G146"/>
  <c r="W144"/>
  <c r="M144"/>
  <c r="G144"/>
  <c r="W143"/>
  <c r="M143"/>
  <c r="G143"/>
  <c r="W142"/>
  <c r="G142"/>
  <c r="W141"/>
  <c r="M141"/>
  <c r="W140"/>
  <c r="M140"/>
  <c r="G140"/>
  <c r="W139"/>
  <c r="M139"/>
  <c r="W138"/>
  <c r="M138"/>
  <c r="G138"/>
  <c r="W137"/>
  <c r="M137"/>
  <c r="G137"/>
  <c r="W136"/>
  <c r="M136"/>
  <c r="G136"/>
  <c r="W135"/>
  <c r="M135"/>
  <c r="G135"/>
  <c r="W134"/>
  <c r="M134"/>
  <c r="W133"/>
  <c r="M133"/>
  <c r="W130"/>
  <c r="M130"/>
  <c r="G130"/>
  <c r="G129"/>
  <c r="W128"/>
  <c r="M128"/>
  <c r="G128"/>
  <c r="W127"/>
  <c r="M127"/>
  <c r="G127"/>
  <c r="W126"/>
  <c r="M126"/>
  <c r="W125"/>
  <c r="M125"/>
  <c r="W124"/>
  <c r="M124"/>
  <c r="W123"/>
  <c r="M123"/>
  <c r="G123"/>
  <c r="W122"/>
  <c r="M122"/>
  <c r="W121"/>
  <c r="M121"/>
  <c r="W120"/>
  <c r="M120"/>
  <c r="W119"/>
  <c r="M119"/>
  <c r="W118"/>
  <c r="M118"/>
  <c r="W117"/>
  <c r="M117"/>
  <c r="W116"/>
  <c r="M116"/>
  <c r="G116"/>
  <c r="W115"/>
  <c r="M115"/>
  <c r="W114"/>
  <c r="M114"/>
  <c r="W113"/>
  <c r="M113"/>
  <c r="G113"/>
  <c r="W112"/>
  <c r="M112"/>
  <c r="W111"/>
  <c r="M111"/>
  <c r="W110"/>
  <c r="M110"/>
  <c r="W109"/>
  <c r="M109"/>
  <c r="W108"/>
  <c r="M108"/>
  <c r="G108"/>
  <c r="W107"/>
  <c r="M107"/>
  <c r="W106"/>
  <c r="M106"/>
  <c r="W105"/>
  <c r="M105"/>
  <c r="G105"/>
  <c r="W104"/>
  <c r="M104"/>
  <c r="W103"/>
  <c r="M103"/>
  <c r="W102"/>
  <c r="M102"/>
  <c r="W101"/>
  <c r="M101"/>
  <c r="W100"/>
  <c r="M100"/>
  <c r="W98"/>
  <c r="M98"/>
  <c r="G98"/>
  <c r="W97"/>
  <c r="M97"/>
  <c r="G97"/>
  <c r="W96"/>
  <c r="M96"/>
  <c r="W95"/>
  <c r="M95"/>
  <c r="G95"/>
  <c r="W94"/>
  <c r="M94"/>
  <c r="G94"/>
  <c r="W93"/>
  <c r="M93"/>
  <c r="G93"/>
  <c r="W90"/>
  <c r="M90"/>
  <c r="W89"/>
  <c r="M89"/>
  <c r="W88"/>
  <c r="M88"/>
  <c r="W87"/>
  <c r="M87"/>
  <c r="W86"/>
  <c r="M86"/>
  <c r="W85"/>
  <c r="M85"/>
  <c r="W84"/>
  <c r="M84"/>
  <c r="W83"/>
  <c r="M83"/>
  <c r="W82"/>
  <c r="M82"/>
  <c r="W81"/>
  <c r="M81"/>
  <c r="W79"/>
  <c r="M79"/>
  <c r="W78"/>
  <c r="M78"/>
  <c r="G78"/>
  <c r="W75"/>
  <c r="M75"/>
  <c r="W74"/>
  <c r="M74"/>
  <c r="W42"/>
  <c r="M42"/>
  <c r="W41"/>
  <c r="M41"/>
  <c r="W40"/>
  <c r="M40"/>
  <c r="G40"/>
  <c r="W39"/>
  <c r="M39"/>
  <c r="W38"/>
  <c r="M38"/>
  <c r="G38"/>
  <c r="W37"/>
  <c r="M37"/>
  <c r="W36"/>
  <c r="M36"/>
  <c r="G36"/>
  <c r="W35"/>
  <c r="M35"/>
  <c r="W34"/>
  <c r="M34"/>
  <c r="W32"/>
  <c r="M32"/>
  <c r="G32"/>
  <c r="W31"/>
  <c r="M31"/>
  <c r="W30"/>
  <c r="M30"/>
  <c r="G30"/>
  <c r="W29"/>
  <c r="M29"/>
  <c r="W28"/>
  <c r="M28"/>
  <c r="G28"/>
  <c r="W27"/>
  <c r="M27"/>
  <c r="W26"/>
  <c r="M26"/>
  <c r="W25"/>
  <c r="M25"/>
  <c r="G25"/>
  <c r="W24"/>
  <c r="M24"/>
  <c r="W23"/>
  <c r="M23"/>
  <c r="M22"/>
  <c r="G22"/>
  <c r="W21"/>
  <c r="M21"/>
  <c r="W20"/>
  <c r="M20"/>
  <c r="W19"/>
  <c r="M19"/>
  <c r="W18"/>
  <c r="M18"/>
  <c r="G18"/>
  <c r="W17"/>
  <c r="M17"/>
  <c r="W16"/>
  <c r="M16"/>
  <c r="G16"/>
  <c r="W15"/>
  <c r="M15"/>
  <c r="W14"/>
  <c r="M14"/>
  <c r="G14"/>
  <c r="W13"/>
  <c r="M13"/>
  <c r="M12"/>
  <c r="W12"/>
  <c r="AK11" i="1"/>
  <c r="Y11"/>
  <c r="S279" i="10"/>
  <c r="AZ273" i="2"/>
  <c r="BJ273"/>
  <c r="Y273" i="1"/>
  <c r="AA11" i="14"/>
  <c r="O11"/>
  <c r="K11"/>
  <c r="AD298" i="16"/>
  <c r="AD299"/>
  <c r="W11"/>
  <c r="M11"/>
  <c r="G11"/>
  <c r="AD157"/>
  <c r="AD159"/>
  <c r="AD156"/>
  <c r="AF137"/>
  <c r="AD137"/>
  <c r="AD138"/>
  <c r="AD123"/>
  <c r="AF212"/>
  <c r="AD212"/>
  <c r="AD213"/>
  <c r="AD203"/>
  <c r="AD197"/>
  <c r="AD196"/>
  <c r="AF393"/>
  <c r="M342"/>
  <c r="W342"/>
  <c r="M199"/>
  <c r="W199"/>
  <c r="M129"/>
  <c r="W129"/>
  <c r="AD340"/>
  <c r="AD82"/>
  <c r="AD311"/>
  <c r="AD22"/>
  <c r="AD18"/>
  <c r="AD356"/>
  <c r="AD290"/>
  <c r="AD297"/>
  <c r="AD174"/>
  <c r="AD158"/>
  <c r="AD151"/>
  <c r="AD397"/>
  <c r="AD391"/>
  <c r="AD386"/>
  <c r="AD363"/>
  <c r="AD360"/>
  <c r="AD321"/>
  <c r="AD308"/>
  <c r="AD184"/>
  <c r="AD183"/>
  <c r="AD169"/>
  <c r="AD160"/>
  <c r="AD142"/>
  <c r="AD112"/>
  <c r="AD120"/>
  <c r="AD114"/>
  <c r="AD30"/>
  <c r="X501" i="10"/>
  <c r="X12"/>
  <c r="AK12" i="1"/>
  <c r="AD12" i="16"/>
  <c r="AD11"/>
  <c r="X11" i="10"/>
  <c r="W10"/>
  <c r="BF598" i="2"/>
  <c r="X500" i="10"/>
  <c r="AD288" i="16"/>
  <c r="AK273" i="1"/>
  <c r="BS273" i="2"/>
  <c r="AA12" i="14"/>
  <c r="Y12" i="1"/>
  <c r="AM12" s="1"/>
  <c r="AZ12" i="2"/>
  <c r="BJ12" s="1"/>
  <c r="K12" i="14"/>
  <c r="O12"/>
  <c r="S12" i="10"/>
  <c r="AD396" i="16"/>
  <c r="AD395"/>
  <c r="AD394"/>
  <c r="AD393"/>
  <c r="AD392"/>
  <c r="AD390"/>
  <c r="AD389"/>
  <c r="AD388"/>
  <c r="AD387"/>
  <c r="AD385"/>
  <c r="AD384"/>
  <c r="AD383"/>
  <c r="AD382"/>
  <c r="AD381"/>
  <c r="AD380"/>
  <c r="AD379"/>
  <c r="AD378"/>
  <c r="AD377"/>
  <c r="AD376"/>
  <c r="AD375"/>
  <c r="AD374"/>
  <c r="AD373"/>
  <c r="AD372"/>
  <c r="AD371"/>
  <c r="AD370"/>
  <c r="AD369"/>
  <c r="AD368"/>
  <c r="AD367"/>
  <c r="AD366"/>
  <c r="AD365"/>
  <c r="AD364"/>
  <c r="AD362"/>
  <c r="AD361"/>
  <c r="AD359"/>
  <c r="AD358"/>
  <c r="AD357"/>
  <c r="AD355"/>
  <c r="AD354"/>
  <c r="AD353"/>
  <c r="AD352"/>
  <c r="AD350"/>
  <c r="AD349"/>
  <c r="AD347"/>
  <c r="AD346"/>
  <c r="AD345"/>
  <c r="AD344"/>
  <c r="AD343"/>
  <c r="AD342"/>
  <c r="AD341"/>
  <c r="AD337"/>
  <c r="AD336"/>
  <c r="AD323"/>
  <c r="AD322"/>
  <c r="AD320"/>
  <c r="AD319"/>
  <c r="AD318"/>
  <c r="AD317"/>
  <c r="AD316"/>
  <c r="AD315"/>
  <c r="AD314"/>
  <c r="AD313"/>
  <c r="AD312"/>
  <c r="AD310"/>
  <c r="AD309"/>
  <c r="AD307"/>
  <c r="AD306"/>
  <c r="AD305"/>
  <c r="AD304"/>
  <c r="AD303"/>
  <c r="AD302"/>
  <c r="AD301"/>
  <c r="AD300"/>
  <c r="AD296"/>
  <c r="AD295"/>
  <c r="AD294"/>
  <c r="AD293"/>
  <c r="AD292"/>
  <c r="AD291"/>
  <c r="AD289"/>
  <c r="AD287"/>
  <c r="AD286"/>
  <c r="AD224"/>
  <c r="AD223"/>
  <c r="AD222"/>
  <c r="AD221"/>
  <c r="AD220"/>
  <c r="AD219"/>
  <c r="AD217"/>
  <c r="AD216"/>
  <c r="AD215"/>
  <c r="AD214"/>
  <c r="AD211"/>
  <c r="AD210"/>
  <c r="AD209"/>
  <c r="AD208"/>
  <c r="AD207"/>
  <c r="AD206"/>
  <c r="AD205"/>
  <c r="AD204"/>
  <c r="AD202"/>
  <c r="AD199"/>
  <c r="AD198"/>
  <c r="AD195"/>
  <c r="AD194"/>
  <c r="AD193"/>
  <c r="AD192"/>
  <c r="AD191"/>
  <c r="AD188"/>
  <c r="AD187"/>
  <c r="AD186"/>
  <c r="AD182"/>
  <c r="AD181"/>
  <c r="AD180"/>
  <c r="AD179"/>
  <c r="AD178"/>
  <c r="AD177"/>
  <c r="AD176"/>
  <c r="AD175"/>
  <c r="AD173"/>
  <c r="AD172"/>
  <c r="AD171"/>
  <c r="AD170"/>
  <c r="AD168"/>
  <c r="AD167"/>
  <c r="AD166"/>
  <c r="AD165"/>
  <c r="AD164"/>
  <c r="AD163"/>
  <c r="AD162"/>
  <c r="AD161"/>
  <c r="AD155"/>
  <c r="AD154"/>
  <c r="AD152"/>
  <c r="AD150"/>
  <c r="AD149"/>
  <c r="AD148"/>
  <c r="AD147"/>
  <c r="AD146"/>
  <c r="AD144"/>
  <c r="AD143"/>
  <c r="AD141"/>
  <c r="AD140"/>
  <c r="AD139"/>
  <c r="AD136"/>
  <c r="AD135"/>
  <c r="AD134"/>
  <c r="AD133"/>
  <c r="AD130"/>
  <c r="AD129"/>
  <c r="AD128"/>
  <c r="AD127"/>
  <c r="AD126"/>
  <c r="AD125"/>
  <c r="AD124"/>
  <c r="AD122"/>
  <c r="AD121"/>
  <c r="AD119"/>
  <c r="AD118"/>
  <c r="AD117"/>
  <c r="AD116"/>
  <c r="AD115"/>
  <c r="AD113"/>
  <c r="AD111"/>
  <c r="AD110"/>
  <c r="AD109"/>
  <c r="AD108"/>
  <c r="AD107"/>
  <c r="AD106"/>
  <c r="AD105"/>
  <c r="AD104"/>
  <c r="AD103"/>
  <c r="AD102"/>
  <c r="AD101"/>
  <c r="AD100"/>
  <c r="AD98"/>
  <c r="AD97"/>
  <c r="AD96"/>
  <c r="AD95"/>
  <c r="AD94"/>
  <c r="AD93"/>
  <c r="AD90"/>
  <c r="AD89"/>
  <c r="AD88"/>
  <c r="AD87"/>
  <c r="AD86"/>
  <c r="AD85"/>
  <c r="AD84"/>
  <c r="AD83"/>
  <c r="AD81"/>
  <c r="AD79"/>
  <c r="AD78"/>
  <c r="AD75"/>
  <c r="AD73"/>
  <c r="AD72"/>
  <c r="AD42"/>
  <c r="AD41"/>
  <c r="AD40"/>
  <c r="AD39"/>
  <c r="AD38"/>
  <c r="AD37"/>
  <c r="AD36"/>
  <c r="AD35"/>
  <c r="AD34"/>
  <c r="AD33"/>
  <c r="AD32"/>
  <c r="AD31"/>
  <c r="AD29"/>
  <c r="AD28"/>
  <c r="AD27"/>
  <c r="AD26"/>
  <c r="AD25"/>
  <c r="AD24"/>
  <c r="AD23"/>
  <c r="AD21"/>
  <c r="AD20"/>
  <c r="AD19"/>
  <c r="AD17"/>
  <c r="AD16"/>
  <c r="AD15"/>
  <c r="AD14"/>
  <c r="AD13"/>
  <c r="AC260" i="14"/>
  <c r="AC449"/>
  <c r="AF405" i="16"/>
  <c r="AF449"/>
  <c r="AF243"/>
  <c r="BL569" i="2"/>
  <c r="BS569" s="1"/>
  <c r="BU569" s="1"/>
  <c r="AM598" i="1"/>
  <c r="AM437"/>
  <c r="AM528"/>
  <c r="AM46"/>
  <c r="AM278"/>
  <c r="BL278" i="2" s="1"/>
  <c r="BS278" s="1"/>
  <c r="BU278" s="1"/>
  <c r="BL174"/>
  <c r="BS174" s="1"/>
  <c r="BU174" s="1"/>
  <c r="AC483" i="14"/>
  <c r="AC441"/>
  <c r="AI388" i="15"/>
  <c r="AY385" i="17"/>
  <c r="BC385" s="1"/>
  <c r="BE385" s="1"/>
  <c r="AC415" i="14"/>
  <c r="AM444" i="1"/>
  <c r="AC436" i="14"/>
  <c r="AC432"/>
  <c r="AC431"/>
  <c r="AC419"/>
  <c r="AC459"/>
  <c r="AC457"/>
  <c r="AM451" i="1"/>
  <c r="AC529" i="14"/>
  <c r="AC526"/>
  <c r="AC521"/>
  <c r="AC518"/>
  <c r="AC543"/>
  <c r="AC539"/>
  <c r="AC118"/>
  <c r="AI365" i="15"/>
  <c r="AY362" i="17"/>
  <c r="BC362" s="1"/>
  <c r="BE362" s="1"/>
  <c r="AC367" i="14"/>
  <c r="AC360"/>
  <c r="AU19" i="22"/>
  <c r="BL19" i="25" s="1"/>
  <c r="BT19" s="1"/>
  <c r="BV19" s="1"/>
  <c r="AU92" i="22"/>
  <c r="AU100"/>
  <c r="AU102"/>
  <c r="AU16"/>
  <c r="BL16" i="25" s="1"/>
  <c r="BT16" s="1"/>
  <c r="BV16" s="1"/>
  <c r="AU87" i="22"/>
  <c r="BL87" i="25" s="1"/>
  <c r="BT87" s="1"/>
  <c r="BV87" s="1"/>
  <c r="AU93" i="22"/>
  <c r="K561" i="14"/>
  <c r="AI261" i="15"/>
  <c r="AC163" i="14"/>
  <c r="AC197"/>
  <c r="AC162"/>
  <c r="AC201"/>
  <c r="AC164"/>
  <c r="AC200"/>
  <c r="AC204"/>
  <c r="AC208"/>
  <c r="AI459" i="15"/>
  <c r="AF560" i="16"/>
  <c r="AF330"/>
  <c r="AF487"/>
  <c r="AF485"/>
  <c r="AF460"/>
  <c r="AU59" i="22"/>
  <c r="BL59" i="25" s="1"/>
  <c r="BT59" s="1"/>
  <c r="BV59" s="1"/>
  <c r="AU60" i="22"/>
  <c r="BL60" i="25"/>
  <c r="BT60" s="1"/>
  <c r="BV60" s="1"/>
  <c r="AU62" i="22"/>
  <c r="BL62" i="25"/>
  <c r="BT62" s="1"/>
  <c r="AU65" i="22"/>
  <c r="AU71"/>
  <c r="BL184" i="25"/>
  <c r="BT184" s="1"/>
  <c r="BL186"/>
  <c r="BT186" s="1"/>
  <c r="BV186" s="1"/>
  <c r="BL557"/>
  <c r="BT557"/>
  <c r="AZ505"/>
  <c r="BJ505"/>
  <c r="AZ39"/>
  <c r="BJ39"/>
  <c r="AZ42"/>
  <c r="BJ42"/>
  <c r="AU48" i="22"/>
  <c r="BL48" i="25" s="1"/>
  <c r="BT48" s="1"/>
  <c r="AU32" i="22"/>
  <c r="AU146"/>
  <c r="AU404"/>
  <c r="BL404" i="25" s="1"/>
  <c r="BT404" s="1"/>
  <c r="BV404" s="1"/>
  <c r="AU563" i="22"/>
  <c r="AU33"/>
  <c r="BL33" i="25" s="1"/>
  <c r="BT33" s="1"/>
  <c r="BV33" s="1"/>
  <c r="AU403" i="22"/>
  <c r="BL403" i="25" s="1"/>
  <c r="BT403" s="1"/>
  <c r="BV403" s="1"/>
  <c r="AU405" i="22"/>
  <c r="BL405" i="25"/>
  <c r="BT405" s="1"/>
  <c r="BV405" s="1"/>
  <c r="AU560" i="22"/>
  <c r="BL560" i="25" s="1"/>
  <c r="BT560" s="1"/>
  <c r="BV560" s="1"/>
  <c r="Y460" i="22"/>
  <c r="AU460" s="1"/>
  <c r="BL460" i="25" s="1"/>
  <c r="BT460" s="1"/>
  <c r="BV460" s="1"/>
  <c r="AU468" i="22"/>
  <c r="BL468" i="25"/>
  <c r="BT468" s="1"/>
  <c r="BV468" s="1"/>
  <c r="Y469" i="22"/>
  <c r="AU469" s="1"/>
  <c r="BL469" i="25" s="1"/>
  <c r="BT469" s="1"/>
  <c r="BV469" s="1"/>
  <c r="AU472" i="22"/>
  <c r="BL472" i="25"/>
  <c r="BT472" s="1"/>
  <c r="BV472" s="1"/>
  <c r="AU473" i="22"/>
  <c r="BL473" i="25" s="1"/>
  <c r="BT473" s="1"/>
  <c r="BV473" s="1"/>
  <c r="AU478" i="22"/>
  <c r="BL478" i="25"/>
  <c r="BT478" s="1"/>
  <c r="BV478" s="1"/>
  <c r="AU496" i="22"/>
  <c r="BL496" i="25" s="1"/>
  <c r="BT496" s="1"/>
  <c r="BV496" s="1"/>
  <c r="AU498" i="22"/>
  <c r="AU499"/>
  <c r="BL499" i="25" s="1"/>
  <c r="BT499" s="1"/>
  <c r="BV499" s="1"/>
  <c r="AU504" i="22"/>
  <c r="BL504" i="25" s="1"/>
  <c r="BT504" s="1"/>
  <c r="BV504" s="1"/>
  <c r="Y505" i="22"/>
  <c r="AU505" s="1"/>
  <c r="BL505" i="25" s="1"/>
  <c r="BT505" s="1"/>
  <c r="BV505" s="1"/>
  <c r="K74" i="26"/>
  <c r="AC74" s="1"/>
  <c r="AC561"/>
  <c r="AC456"/>
  <c r="AA458"/>
  <c r="AA465"/>
  <c r="AC476"/>
  <c r="AA477"/>
  <c r="AA478"/>
  <c r="AA479"/>
  <c r="AA480"/>
  <c r="AA487"/>
  <c r="AA491"/>
  <c r="K494"/>
  <c r="AC494"/>
  <c r="AA495"/>
  <c r="AC499"/>
  <c r="AA501"/>
  <c r="AA505"/>
  <c r="AC82" i="14"/>
  <c r="AU481" i="22"/>
  <c r="BL481" i="25" s="1"/>
  <c r="BT481" s="1"/>
  <c r="BV481" s="1"/>
  <c r="BL52"/>
  <c r="BT52" s="1"/>
  <c r="BV52" s="1"/>
  <c r="BL76"/>
  <c r="BT76" s="1"/>
  <c r="BV76" s="1"/>
  <c r="AD259" i="16"/>
  <c r="BU65" i="2"/>
  <c r="AC71" i="26"/>
  <c r="AC71" i="14"/>
  <c r="AC60"/>
  <c r="BL46" i="2"/>
  <c r="BS46" s="1"/>
  <c r="BU46" s="1"/>
  <c r="AU483" i="22"/>
  <c r="BL483" i="25" s="1"/>
  <c r="BT483" s="1"/>
  <c r="BV483" s="1"/>
  <c r="AC481" i="26"/>
  <c r="AC58"/>
  <c r="AU58" i="22"/>
  <c r="BL58" i="25"/>
  <c r="BT58" s="1"/>
  <c r="BV58" s="1"/>
  <c r="AC59" i="14"/>
  <c r="AU466" i="22"/>
  <c r="BL466" i="25"/>
  <c r="BT466" s="1"/>
  <c r="BV466" s="1"/>
  <c r="AC464" i="26"/>
  <c r="AU561" i="22"/>
  <c r="BL561" i="25"/>
  <c r="BT561" s="1"/>
  <c r="BV561" s="1"/>
  <c r="AC309" i="26"/>
  <c r="AC305" i="14"/>
  <c r="AI249" i="15"/>
  <c r="AY246" i="17"/>
  <c r="BC246" s="1"/>
  <c r="BE246" s="1"/>
  <c r="BL65" i="25"/>
  <c r="BT65"/>
  <c r="BL587"/>
  <c r="BT587"/>
  <c r="AU488" i="22"/>
  <c r="BL488" i="25"/>
  <c r="BT488" s="1"/>
  <c r="BV488" s="1"/>
  <c r="AM576" i="1"/>
  <c r="AC480" i="14"/>
  <c r="K503"/>
  <c r="AC503"/>
  <c r="AC311"/>
  <c r="AC531"/>
  <c r="AA464"/>
  <c r="AA471"/>
  <c r="AA477"/>
  <c r="AC51"/>
  <c r="AC54"/>
  <c r="AC58"/>
  <c r="AC63"/>
  <c r="AC66"/>
  <c r="AC69"/>
  <c r="AC74"/>
  <c r="AA76"/>
  <c r="AC78"/>
  <c r="AC87"/>
  <c r="AC110"/>
  <c r="AC123"/>
  <c r="AC136"/>
  <c r="AC156"/>
  <c r="AC211"/>
  <c r="AC227"/>
  <c r="AC331"/>
  <c r="AC335"/>
  <c r="AC354"/>
  <c r="AC361"/>
  <c r="AC377"/>
  <c r="AC382"/>
  <c r="AC384"/>
  <c r="AC161"/>
  <c r="AC265"/>
  <c r="AC280"/>
  <c r="AC289"/>
  <c r="AC297"/>
  <c r="AC577"/>
  <c r="AC581"/>
  <c r="AC585"/>
  <c r="AC337"/>
  <c r="AC424"/>
  <c r="AC444"/>
  <c r="AC450"/>
  <c r="AC511"/>
  <c r="AC519"/>
  <c r="AC524"/>
  <c r="AC530"/>
  <c r="AC536"/>
  <c r="AC417"/>
  <c r="AC375"/>
  <c r="AC332"/>
  <c r="AC328"/>
  <c r="AC324"/>
  <c r="AC319"/>
  <c r="AM318" i="1"/>
  <c r="BL318" i="2" s="1"/>
  <c r="BS318" s="1"/>
  <c r="BU318" s="1"/>
  <c r="AC317" i="14"/>
  <c r="AM315" i="1"/>
  <c r="BL315" i="2" s="1"/>
  <c r="BS315" s="1"/>
  <c r="BU315" s="1"/>
  <c r="AC315" i="14"/>
  <c r="AC309"/>
  <c r="AC304"/>
  <c r="BL300" i="25"/>
  <c r="BT300" s="1"/>
  <c r="BL299"/>
  <c r="BT299" s="1"/>
  <c r="BV299"/>
  <c r="BL298"/>
  <c r="BT298"/>
  <c r="BL297"/>
  <c r="BT297"/>
  <c r="BV297" s="1"/>
  <c r="AM298" i="1"/>
  <c r="AM127"/>
  <c r="BL127" i="2" s="1"/>
  <c r="BS127" s="1"/>
  <c r="BU127" s="1"/>
  <c r="AM27" i="1"/>
  <c r="BL27" i="2" s="1"/>
  <c r="BS27" s="1"/>
  <c r="BU27" s="1"/>
  <c r="AC298" i="14"/>
  <c r="AC352"/>
  <c r="AM227" i="1"/>
  <c r="BL227" i="2" s="1"/>
  <c r="BS227" s="1"/>
  <c r="BU227" s="1"/>
  <c r="AM165" i="1"/>
  <c r="BL165" i="2" s="1"/>
  <c r="BS165" s="1"/>
  <c r="BU165" s="1"/>
  <c r="AM212" i="1"/>
  <c r="BL212" i="2" s="1"/>
  <c r="BS212" s="1"/>
  <c r="BU212" s="1"/>
  <c r="AM301" i="1"/>
  <c r="BL301" i="2" s="1"/>
  <c r="BS301" s="1"/>
  <c r="BU301" s="1"/>
  <c r="AM320" i="1"/>
  <c r="AM366"/>
  <c r="BL366" i="2" s="1"/>
  <c r="BS366" s="1"/>
  <c r="BU366" s="1"/>
  <c r="AM354" i="1"/>
  <c r="AM380"/>
  <c r="AM371"/>
  <c r="BL371" i="2" s="1"/>
  <c r="BS371" s="1"/>
  <c r="AM391" i="1"/>
  <c r="BL391" i="2" s="1"/>
  <c r="BS391" s="1"/>
  <c r="BU391" s="1"/>
  <c r="AC433" i="14"/>
  <c r="AC438"/>
  <c r="AM455" i="1"/>
  <c r="BL455" i="2" s="1"/>
  <c r="BS455" s="1"/>
  <c r="BU455" s="1"/>
  <c r="AC455" i="14"/>
  <c r="AU485" i="22"/>
  <c r="BL485" i="25" s="1"/>
  <c r="BT485" s="1"/>
  <c r="AC483" i="26"/>
  <c r="AU502" i="22"/>
  <c r="BL502" i="25" s="1"/>
  <c r="BT502" s="1"/>
  <c r="BV502" s="1"/>
  <c r="AM442" i="1"/>
  <c r="BL442" i="2" s="1"/>
  <c r="BS442" s="1"/>
  <c r="BU442" s="1"/>
  <c r="AM423" i="1"/>
  <c r="AM468"/>
  <c r="AM494"/>
  <c r="BL589" i="25"/>
  <c r="BT589" s="1"/>
  <c r="BL595"/>
  <c r="BT595" s="1"/>
  <c r="AC594" i="26"/>
  <c r="AC593"/>
  <c r="BL591" i="25"/>
  <c r="BT591" s="1"/>
  <c r="BL590"/>
  <c r="BT590" s="1"/>
  <c r="BV590" s="1"/>
  <c r="AC592" i="14"/>
  <c r="BL588" i="25"/>
  <c r="BT588" s="1"/>
  <c r="BV588" s="1"/>
  <c r="BL586"/>
  <c r="BT586"/>
  <c r="BV586" s="1"/>
  <c r="AM586" i="1"/>
  <c r="AC584" i="14"/>
  <c r="AC577" i="26"/>
  <c r="AC578" i="14"/>
  <c r="AC574"/>
  <c r="BL571" i="25"/>
  <c r="BT571" s="1"/>
  <c r="BV571" s="1"/>
  <c r="BL564" i="2"/>
  <c r="BS564" s="1"/>
  <c r="BU564" s="1"/>
  <c r="AM572" i="1"/>
  <c r="AM599"/>
  <c r="BL597" i="2" s="1"/>
  <c r="BS597" s="1"/>
  <c r="BU597" s="1"/>
  <c r="AM597" i="1"/>
  <c r="BL595" i="2" s="1"/>
  <c r="BS595" s="1"/>
  <c r="AM536" i="1"/>
  <c r="BL536" i="2" s="1"/>
  <c r="BS536" s="1"/>
  <c r="BU536" s="1"/>
  <c r="AM527" i="1"/>
  <c r="BL527" i="2"/>
  <c r="BS527" s="1"/>
  <c r="AM566" i="1"/>
  <c r="BL566" i="2" s="1"/>
  <c r="AM582" i="1"/>
  <c r="BL582" i="2" s="1"/>
  <c r="BS582" s="1"/>
  <c r="BU582" s="1"/>
  <c r="AC567" i="14"/>
  <c r="AC271"/>
  <c r="AM215" i="1"/>
  <c r="BL215" i="2" s="1"/>
  <c r="BS215" s="1"/>
  <c r="BU215" s="1"/>
  <c r="AC215" i="14"/>
  <c r="AM251" i="1"/>
  <c r="AC552" i="14"/>
  <c r="AU549" i="22"/>
  <c r="BL547" i="25" s="1"/>
  <c r="BT547" s="1"/>
  <c r="AM237" i="1"/>
  <c r="BL237" i="2" s="1"/>
  <c r="BS237" s="1"/>
  <c r="BU237" s="1"/>
  <c r="AC232" i="26"/>
  <c r="AC233" i="14"/>
  <c r="AM232" i="1"/>
  <c r="AC232" i="14"/>
  <c r="AM229" i="1"/>
  <c r="AC221" i="14"/>
  <c r="AC405" i="26"/>
  <c r="AC222"/>
  <c r="AC219" i="14"/>
  <c r="W263" i="16"/>
  <c r="BJ113" i="2"/>
  <c r="M263" i="16"/>
  <c r="X279" i="10"/>
  <c r="AD263" i="16"/>
  <c r="G263"/>
  <c r="W260"/>
  <c r="S260" s="1"/>
  <c r="AU151" i="22"/>
  <c r="BL149" i="25"/>
  <c r="BT149"/>
  <c r="K412" i="14"/>
  <c r="AC412"/>
  <c r="AC16"/>
  <c r="AC30"/>
  <c r="AC93"/>
  <c r="AC117"/>
  <c r="AC126"/>
  <c r="AC149"/>
  <c r="AC206"/>
  <c r="AC217"/>
  <c r="AC299"/>
  <c r="AC316"/>
  <c r="AC359"/>
  <c r="AC370"/>
  <c r="AC380"/>
  <c r="AC393"/>
  <c r="AC409"/>
  <c r="AC281"/>
  <c r="AC294"/>
  <c r="AC589"/>
  <c r="AC591"/>
  <c r="AC411"/>
  <c r="AC422"/>
  <c r="AC425"/>
  <c r="AC446"/>
  <c r="AC447"/>
  <c r="AC453"/>
  <c r="AC515"/>
  <c r="AC516"/>
  <c r="AC534"/>
  <c r="AC535"/>
  <c r="AC547"/>
  <c r="AC560"/>
  <c r="AC190"/>
  <c r="O467"/>
  <c r="AC467"/>
  <c r="AC481"/>
  <c r="AA483"/>
  <c r="AA497"/>
  <c r="AA502"/>
  <c r="AC53"/>
  <c r="AC65"/>
  <c r="AC72"/>
  <c r="AC73"/>
  <c r="AC75"/>
  <c r="AC246"/>
  <c r="AC413"/>
  <c r="AC421"/>
  <c r="AC442"/>
  <c r="AC512"/>
  <c r="AC514"/>
  <c r="AC522"/>
  <c r="AC528"/>
  <c r="AC533"/>
  <c r="AC538"/>
  <c r="AC545"/>
  <c r="AA472"/>
  <c r="AA476"/>
  <c r="AA482"/>
  <c r="AA484"/>
  <c r="AA496"/>
  <c r="AC249"/>
  <c r="AC28"/>
  <c r="AC99"/>
  <c r="AC109"/>
  <c r="AC125"/>
  <c r="AC148"/>
  <c r="AC157"/>
  <c r="AC207"/>
  <c r="AC223"/>
  <c r="AC303"/>
  <c r="AC321"/>
  <c r="AC357"/>
  <c r="AC372"/>
  <c r="AC391"/>
  <c r="AC261"/>
  <c r="AC279"/>
  <c r="AC296"/>
  <c r="AC559"/>
  <c r="AC575"/>
  <c r="AC597"/>
  <c r="AC397"/>
  <c r="AC400"/>
  <c r="AC55"/>
  <c r="AC57"/>
  <c r="AC61"/>
  <c r="AC68"/>
  <c r="AC70"/>
  <c r="AC76"/>
  <c r="AC244"/>
  <c r="AC114"/>
  <c r="AW443" i="17"/>
  <c r="AW32"/>
  <c r="AW35"/>
  <c r="AY35" s="1"/>
  <c r="BC35" s="1"/>
  <c r="BE35" s="1"/>
  <c r="AW301"/>
  <c r="AW146"/>
  <c r="AF99" i="16"/>
  <c r="AF69"/>
  <c r="AF98"/>
  <c r="AF136"/>
  <c r="AF129"/>
  <c r="AF563"/>
  <c r="AF93"/>
  <c r="AF359"/>
  <c r="AF249"/>
  <c r="AF401"/>
  <c r="AF429"/>
  <c r="AF146"/>
  <c r="AF188"/>
  <c r="AF296"/>
  <c r="AF199"/>
  <c r="AF147"/>
  <c r="AF301"/>
  <c r="AF344"/>
  <c r="AF370"/>
  <c r="AF397"/>
  <c r="AF235"/>
  <c r="AF28"/>
  <c r="AF157"/>
  <c r="AF184"/>
  <c r="G420"/>
  <c r="AF420"/>
  <c r="G389"/>
  <c r="AF389"/>
  <c r="AF16"/>
  <c r="AF97"/>
  <c r="AF256"/>
  <c r="AF546"/>
  <c r="AF548"/>
  <c r="AF230"/>
  <c r="AF152"/>
  <c r="AF163"/>
  <c r="AF183"/>
  <c r="AF203"/>
  <c r="AF288"/>
  <c r="AF294"/>
  <c r="AF299"/>
  <c r="AF311"/>
  <c r="AF350"/>
  <c r="AF578"/>
  <c r="AF430"/>
  <c r="AF169"/>
  <c r="AF51"/>
  <c r="AF207"/>
  <c r="AD410"/>
  <c r="AF72"/>
  <c r="AU12" i="22"/>
  <c r="BL12" i="25" s="1"/>
  <c r="BT12" s="1"/>
  <c r="BV12" s="1"/>
  <c r="AU406" i="22"/>
  <c r="BL406" i="25" s="1"/>
  <c r="BT406" s="1"/>
  <c r="BV406" s="1"/>
  <c r="AU408" i="22"/>
  <c r="BL408" i="25" s="1"/>
  <c r="BT408" s="1"/>
  <c r="BV408" s="1"/>
  <c r="AU410" i="22"/>
  <c r="BL410" i="25" s="1"/>
  <c r="BT410" s="1"/>
  <c r="BV410" s="1"/>
  <c r="AU412" i="22"/>
  <c r="BL412" i="25" s="1"/>
  <c r="BT412" s="1"/>
  <c r="BV412" s="1"/>
  <c r="AU414" i="22"/>
  <c r="BL414" i="25" s="1"/>
  <c r="BT414" s="1"/>
  <c r="BV414" s="1"/>
  <c r="AU416" i="22"/>
  <c r="BL416" i="25" s="1"/>
  <c r="BT416" s="1"/>
  <c r="BV416" s="1"/>
  <c r="AU418" i="22"/>
  <c r="BL418" i="25" s="1"/>
  <c r="BT418" s="1"/>
  <c r="BV418" s="1"/>
  <c r="AU420" i="22"/>
  <c r="BL420" i="25" s="1"/>
  <c r="BT420" s="1"/>
  <c r="BV420" s="1"/>
  <c r="AU422" i="22"/>
  <c r="AU424"/>
  <c r="BL424" i="25" s="1"/>
  <c r="BT424" s="1"/>
  <c r="BV424" s="1"/>
  <c r="AU426" i="22"/>
  <c r="BL426" i="25" s="1"/>
  <c r="BT426" s="1"/>
  <c r="BV426" s="1"/>
  <c r="AU428" i="22"/>
  <c r="BL428" i="25" s="1"/>
  <c r="BT428" s="1"/>
  <c r="BV428" s="1"/>
  <c r="AU432" i="22"/>
  <c r="BL430" i="25" s="1"/>
  <c r="BT430" s="1"/>
  <c r="BV430" s="1"/>
  <c r="AU434" i="22"/>
  <c r="AU436"/>
  <c r="AU438"/>
  <c r="AU440"/>
  <c r="AU442"/>
  <c r="AU444"/>
  <c r="AU446"/>
  <c r="AU448"/>
  <c r="AU450"/>
  <c r="AU452"/>
  <c r="AU454"/>
  <c r="AU456"/>
  <c r="AU507"/>
  <c r="AU509"/>
  <c r="AU513"/>
  <c r="AU516"/>
  <c r="AU520"/>
  <c r="AU522"/>
  <c r="AU524"/>
  <c r="AU526"/>
  <c r="AU528"/>
  <c r="BL526" i="25"/>
  <c r="BT526" s="1"/>
  <c r="BV526" s="1"/>
  <c r="AU530" i="22"/>
  <c r="BL528" i="25" s="1"/>
  <c r="BT528" s="1"/>
  <c r="BV528" s="1"/>
  <c r="AU532" i="22"/>
  <c r="AU534"/>
  <c r="AU536"/>
  <c r="BL534" i="25" s="1"/>
  <c r="BT534" s="1"/>
  <c r="BV534" s="1"/>
  <c r="AU538" i="22"/>
  <c r="BL536" i="25" s="1"/>
  <c r="BT536" s="1"/>
  <c r="BV536" s="1"/>
  <c r="AU540" i="22"/>
  <c r="BL538" i="25" s="1"/>
  <c r="BT538" s="1"/>
  <c r="BV538" s="1"/>
  <c r="AU542" i="22"/>
  <c r="BL540" i="25" s="1"/>
  <c r="BT540" s="1"/>
  <c r="BV540" s="1"/>
  <c r="AU544" i="22"/>
  <c r="BL542" i="25" s="1"/>
  <c r="BT542" s="1"/>
  <c r="BV542" s="1"/>
  <c r="AU564" i="22"/>
  <c r="BL564" i="25" s="1"/>
  <c r="BT564" s="1"/>
  <c r="BV564" s="1"/>
  <c r="AU566" i="22"/>
  <c r="BL566" i="25" s="1"/>
  <c r="BT566" s="1"/>
  <c r="BV566" s="1"/>
  <c r="AU568" i="22"/>
  <c r="BL568" i="25"/>
  <c r="BT568" s="1"/>
  <c r="BV568" s="1"/>
  <c r="AU570" i="22"/>
  <c r="BL570" i="25" s="1"/>
  <c r="BT570" s="1"/>
  <c r="BV570" s="1"/>
  <c r="AU572" i="22"/>
  <c r="AU574"/>
  <c r="AU576"/>
  <c r="BL576" i="25" s="1"/>
  <c r="BT576" s="1"/>
  <c r="AU578" i="22"/>
  <c r="BL578" i="25" s="1"/>
  <c r="BT578" s="1"/>
  <c r="BV578" s="1"/>
  <c r="AU580" i="22"/>
  <c r="AU582"/>
  <c r="BL582" i="25" s="1"/>
  <c r="BT582" s="1"/>
  <c r="BV582" s="1"/>
  <c r="AC157" i="26"/>
  <c r="AC158" i="14"/>
  <c r="AF559" i="16"/>
  <c r="AF570"/>
  <c r="AF581"/>
  <c r="AF583"/>
  <c r="AF538"/>
  <c r="AF564"/>
  <c r="AF426"/>
  <c r="AF290"/>
  <c r="AF303"/>
  <c r="AF204"/>
  <c r="AF209"/>
  <c r="AF222"/>
  <c r="AF304"/>
  <c r="AF309"/>
  <c r="AF314"/>
  <c r="AF319"/>
  <c r="AF320"/>
  <c r="AF34"/>
  <c r="AF246"/>
  <c r="AF247"/>
  <c r="AF266"/>
  <c r="AF273"/>
  <c r="AF272"/>
  <c r="AF421"/>
  <c r="G74"/>
  <c r="AF74"/>
  <c r="AF474"/>
  <c r="AF484"/>
  <c r="AF491"/>
  <c r="AF48"/>
  <c r="AF55"/>
  <c r="AF58"/>
  <c r="AF63"/>
  <c r="AF41"/>
  <c r="AF185"/>
  <c r="AF232"/>
  <c r="AF145"/>
  <c r="AF130"/>
  <c r="AF125"/>
  <c r="AF142"/>
  <c r="AF244"/>
  <c r="AF22"/>
  <c r="AF105"/>
  <c r="AF108"/>
  <c r="AF113"/>
  <c r="AF123"/>
  <c r="AF127"/>
  <c r="AF135"/>
  <c r="AF138"/>
  <c r="AF143"/>
  <c r="AF144"/>
  <c r="AF150"/>
  <c r="AF151"/>
  <c r="AF154"/>
  <c r="AF158"/>
  <c r="AF164"/>
  <c r="AF167"/>
  <c r="AF173"/>
  <c r="AF176"/>
  <c r="AF187"/>
  <c r="AF193"/>
  <c r="AF196"/>
  <c r="AF208"/>
  <c r="AF210"/>
  <c r="AF211"/>
  <c r="AF214"/>
  <c r="AF286"/>
  <c r="AF287"/>
  <c r="AF289"/>
  <c r="AF292"/>
  <c r="AF295"/>
  <c r="AF298"/>
  <c r="AF300"/>
  <c r="AF302"/>
  <c r="AF305"/>
  <c r="AF307"/>
  <c r="AF308"/>
  <c r="AF310"/>
  <c r="AF313"/>
  <c r="AF321"/>
  <c r="AF323"/>
  <c r="AF345"/>
  <c r="AF349"/>
  <c r="AF353"/>
  <c r="AF355"/>
  <c r="AF362"/>
  <c r="AF363"/>
  <c r="AF369"/>
  <c r="AF371"/>
  <c r="AF379"/>
  <c r="AF396"/>
  <c r="AF239"/>
  <c r="AF240"/>
  <c r="AF241"/>
  <c r="AF258"/>
  <c r="AF561"/>
  <c r="AF562"/>
  <c r="AF571"/>
  <c r="AF577"/>
  <c r="AF582"/>
  <c r="AF584"/>
  <c r="AF329"/>
  <c r="AF333"/>
  <c r="AF402"/>
  <c r="AF331"/>
  <c r="G410"/>
  <c r="AF410" s="1"/>
  <c r="AF335"/>
  <c r="AF558"/>
  <c r="AF585"/>
  <c r="AF216"/>
  <c r="AF233"/>
  <c r="AF557"/>
  <c r="AF567"/>
  <c r="AF568"/>
  <c r="AF575"/>
  <c r="AF399"/>
  <c r="AF412"/>
  <c r="AF425"/>
  <c r="AF443"/>
  <c r="AF527"/>
  <c r="AF534"/>
  <c r="G440"/>
  <c r="AF440"/>
  <c r="AF231"/>
  <c r="AF306"/>
  <c r="AF11"/>
  <c r="AF14"/>
  <c r="AF25"/>
  <c r="AF30"/>
  <c r="AF32"/>
  <c r="AF36"/>
  <c r="AF38"/>
  <c r="AF40"/>
  <c r="AF78"/>
  <c r="AF95"/>
  <c r="AF245"/>
  <c r="AF248"/>
  <c r="AF252"/>
  <c r="AF77"/>
  <c r="G82"/>
  <c r="AF82"/>
  <c r="AF254"/>
  <c r="AZ36" i="25"/>
  <c r="BJ36" s="1"/>
  <c r="BL36" s="1"/>
  <c r="BT36" s="1"/>
  <c r="BV36" s="1"/>
  <c r="AU143" i="22"/>
  <c r="BL143" i="25" s="1"/>
  <c r="BT143" s="1"/>
  <c r="BV143" s="1"/>
  <c r="AU145" i="22"/>
  <c r="BL145" i="25" s="1"/>
  <c r="BT145" s="1"/>
  <c r="AU465" i="22"/>
  <c r="BL465" i="25" s="1"/>
  <c r="BT465" s="1"/>
  <c r="BV465" s="1"/>
  <c r="Y470" i="22"/>
  <c r="AU470"/>
  <c r="BL470" i="25" s="1"/>
  <c r="BT470" s="1"/>
  <c r="BV470" s="1"/>
  <c r="AU491" i="22"/>
  <c r="BL491" i="25" s="1"/>
  <c r="BT491" s="1"/>
  <c r="BV491" s="1"/>
  <c r="AU493" i="22"/>
  <c r="AU503"/>
  <c r="BL503" i="25" s="1"/>
  <c r="BT503" s="1"/>
  <c r="AU142" i="22"/>
  <c r="BL142" i="25" s="1"/>
  <c r="BT142" s="1"/>
  <c r="AU144" i="22"/>
  <c r="BL144" i="25" s="1"/>
  <c r="BT144" s="1"/>
  <c r="BV144" s="1"/>
  <c r="AU189" i="22"/>
  <c r="AU550"/>
  <c r="AA329" i="26"/>
  <c r="AC506"/>
  <c r="AA312"/>
  <c r="AA322"/>
  <c r="BL559" i="2"/>
  <c r="BS559" s="1"/>
  <c r="BU559" s="1"/>
  <c r="AM210" i="1"/>
  <c r="BL210" i="2" s="1"/>
  <c r="BS210" s="1"/>
  <c r="BU210" s="1"/>
  <c r="AM311" i="1"/>
  <c r="BL311" i="2" s="1"/>
  <c r="BS311" s="1"/>
  <c r="BU311" s="1"/>
  <c r="AM404" i="1"/>
  <c r="AM407"/>
  <c r="AM485"/>
  <c r="BL485" i="2" s="1"/>
  <c r="BS485" s="1"/>
  <c r="BU485" s="1"/>
  <c r="AM40" i="1"/>
  <c r="AM43"/>
  <c r="AM47"/>
  <c r="BL47" i="2" s="1"/>
  <c r="BS47" s="1"/>
  <c r="BU47" s="1"/>
  <c r="AM139" i="1"/>
  <c r="BL139" i="2" s="1"/>
  <c r="BS139" s="1"/>
  <c r="BU139" s="1"/>
  <c r="AM399" i="1"/>
  <c r="BL399" i="2" s="1"/>
  <c r="BS399" s="1"/>
  <c r="BU399" s="1"/>
  <c r="AM253" i="1"/>
  <c r="AM254"/>
  <c r="BL254" i="2" s="1"/>
  <c r="BS254" s="1"/>
  <c r="BU254" s="1"/>
  <c r="AM270" i="1"/>
  <c r="AM272"/>
  <c r="BL272" i="2" s="1"/>
  <c r="BS272" s="1"/>
  <c r="AM274" i="1"/>
  <c r="BL274" i="2" s="1"/>
  <c r="BS274" s="1"/>
  <c r="BU274" s="1"/>
  <c r="AM286" i="1"/>
  <c r="AM291"/>
  <c r="AM558"/>
  <c r="AM560"/>
  <c r="BL560" i="2"/>
  <c r="BS560" s="1"/>
  <c r="BU560" s="1"/>
  <c r="AM162" i="1"/>
  <c r="BL162" i="2" s="1"/>
  <c r="BS162" s="1"/>
  <c r="BU162" s="1"/>
  <c r="AM164" i="1"/>
  <c r="BL164" i="2" s="1"/>
  <c r="BS164" s="1"/>
  <c r="BU164" s="1"/>
  <c r="AM180" i="1"/>
  <c r="AM184"/>
  <c r="AM186"/>
  <c r="AM207"/>
  <c r="AM321"/>
  <c r="BL321" i="2" s="1"/>
  <c r="BS321" s="1"/>
  <c r="BU321" s="1"/>
  <c r="AM333" i="1"/>
  <c r="AM425"/>
  <c r="BL425" i="2" s="1"/>
  <c r="BS425" s="1"/>
  <c r="BU425" s="1"/>
  <c r="AM524" i="1"/>
  <c r="BL524" i="2" s="1"/>
  <c r="BS524" s="1"/>
  <c r="BU524" s="1"/>
  <c r="Y434" i="1"/>
  <c r="AM434" s="1"/>
  <c r="BL432" i="2" s="1"/>
  <c r="BS432" s="1"/>
  <c r="BU432" s="1"/>
  <c r="Y109" i="1"/>
  <c r="AM109" s="1"/>
  <c r="BL109" i="2" s="1"/>
  <c r="BS109" s="1"/>
  <c r="BU109" s="1"/>
  <c r="Y131" i="1"/>
  <c r="AM131" s="1"/>
  <c r="BL131" i="2" s="1"/>
  <c r="BS131" s="1"/>
  <c r="BU131" s="1"/>
  <c r="Y403" i="1"/>
  <c r="Y565"/>
  <c r="Y187"/>
  <c r="AM187" s="1"/>
  <c r="BL187" i="2" s="1"/>
  <c r="BS187" s="1"/>
  <c r="BU187" s="1"/>
  <c r="Y193" i="1"/>
  <c r="AM242"/>
  <c r="AM244"/>
  <c r="Y245"/>
  <c r="AM245"/>
  <c r="AC49" i="14"/>
  <c r="AC64"/>
  <c r="AA133"/>
  <c r="K266"/>
  <c r="AA488"/>
  <c r="AF140" i="16"/>
  <c r="AF586"/>
  <c r="AF189"/>
  <c r="AF326"/>
  <c r="AF332"/>
  <c r="BL187" i="25"/>
  <c r="BT187" s="1"/>
  <c r="BV187" s="1"/>
  <c r="Y547" i="22"/>
  <c r="Y552"/>
  <c r="AU552"/>
  <c r="BL552" i="25" s="1"/>
  <c r="BT552" s="1"/>
  <c r="BV552" s="1"/>
  <c r="Y553" i="22"/>
  <c r="AU553" s="1"/>
  <c r="BL553" i="25" s="1"/>
  <c r="BT553" s="1"/>
  <c r="BV553" s="1"/>
  <c r="AU37" i="22"/>
  <c r="Y179"/>
  <c r="Y185"/>
  <c r="AA164" i="26"/>
  <c r="AC166"/>
  <c r="AA166"/>
  <c r="AA168"/>
  <c r="AC169"/>
  <c r="AC170"/>
  <c r="AC173"/>
  <c r="AA174"/>
  <c r="AC59"/>
  <c r="AC68"/>
  <c r="AC70"/>
  <c r="K72"/>
  <c r="AA74"/>
  <c r="AC75"/>
  <c r="AA75"/>
  <c r="AC76"/>
  <c r="AA76"/>
  <c r="AC77"/>
  <c r="AC79"/>
  <c r="AA79"/>
  <c r="AA80"/>
  <c r="AA211"/>
  <c r="AA207"/>
  <c r="AA205"/>
  <c r="AA194"/>
  <c r="AA209"/>
  <c r="AA215"/>
  <c r="AA214"/>
  <c r="AA218"/>
  <c r="AA219"/>
  <c r="AA224"/>
  <c r="AA225"/>
  <c r="AA227"/>
  <c r="AA235"/>
  <c r="AA547"/>
  <c r="AC238"/>
  <c r="AA574"/>
  <c r="AA575"/>
  <c r="AA577"/>
  <c r="AA579"/>
  <c r="AA581"/>
  <c r="AA583"/>
  <c r="AA591"/>
  <c r="AA593"/>
  <c r="AA595"/>
  <c r="AA587"/>
  <c r="AA502"/>
  <c r="AA483"/>
  <c r="AA434"/>
  <c r="AA379"/>
  <c r="AA332"/>
  <c r="AA313"/>
  <c r="AA314"/>
  <c r="AA316"/>
  <c r="AA317"/>
  <c r="AA320"/>
  <c r="AM82" i="1"/>
  <c r="BL82" i="2" s="1"/>
  <c r="BS82" s="1"/>
  <c r="BU82" s="1"/>
  <c r="AM83" i="1"/>
  <c r="AM102"/>
  <c r="BL102" i="2" s="1"/>
  <c r="BS102" s="1"/>
  <c r="BU102" s="1"/>
  <c r="AM104" i="1"/>
  <c r="BL104" i="2" s="1"/>
  <c r="AM105" i="1"/>
  <c r="BL105" i="2" s="1"/>
  <c r="BS105" s="1"/>
  <c r="BU105" s="1"/>
  <c r="AM106" i="1"/>
  <c r="BL106" i="2" s="1"/>
  <c r="BS106" s="1"/>
  <c r="BU106" s="1"/>
  <c r="AM108" i="1"/>
  <c r="AM111"/>
  <c r="BL111" i="2" s="1"/>
  <c r="BS111" s="1"/>
  <c r="BU111" s="1"/>
  <c r="AM118" i="1"/>
  <c r="BL118" i="2" s="1"/>
  <c r="BS118" s="1"/>
  <c r="BU118" s="1"/>
  <c r="AM124" i="1"/>
  <c r="BL124" i="2" s="1"/>
  <c r="BS124" s="1"/>
  <c r="BU124" s="1"/>
  <c r="AM126" i="1"/>
  <c r="BL126" i="2" s="1"/>
  <c r="BS126" s="1"/>
  <c r="BU126" s="1"/>
  <c r="AM334" i="1"/>
  <c r="BL334" i="2"/>
  <c r="BS334" s="1"/>
  <c r="BU334" s="1"/>
  <c r="AM335" i="1"/>
  <c r="AM336"/>
  <c r="AM339"/>
  <c r="AM341"/>
  <c r="BL339" i="2" s="1"/>
  <c r="BS339" s="1"/>
  <c r="BU339" s="1"/>
  <c r="AM347" i="1"/>
  <c r="AM349"/>
  <c r="BL349" i="2" s="1"/>
  <c r="BS349" s="1"/>
  <c r="BU349" s="1"/>
  <c r="AM532" i="1"/>
  <c r="AM459"/>
  <c r="AM495"/>
  <c r="Y497"/>
  <c r="AM497" s="1"/>
  <c r="BL497" i="2" s="1"/>
  <c r="BS497" s="1"/>
  <c r="BU497" s="1"/>
  <c r="AM446" i="1"/>
  <c r="AM64"/>
  <c r="AC554" i="14"/>
  <c r="AC67"/>
  <c r="AG17" i="15"/>
  <c r="AI17" s="1"/>
  <c r="AY18" i="17" s="1"/>
  <c r="BC18" s="1"/>
  <c r="BE18" s="1"/>
  <c r="AF291" i="16"/>
  <c r="AF343"/>
  <c r="AU38" i="22"/>
  <c r="BL498" i="25"/>
  <c r="BT498" s="1"/>
  <c r="AU246" i="22"/>
  <c r="AC175" i="26"/>
  <c r="AC177"/>
  <c r="AA178"/>
  <c r="AC180"/>
  <c r="AA180"/>
  <c r="AC181"/>
  <c r="AA182"/>
  <c r="AA184"/>
  <c r="AC186"/>
  <c r="AC189"/>
  <c r="AA54"/>
  <c r="AA56"/>
  <c r="AA57"/>
  <c r="AC60"/>
  <c r="AA64"/>
  <c r="AA373"/>
  <c r="AA361"/>
  <c r="AA333"/>
  <c r="AA335"/>
  <c r="AA337"/>
  <c r="AA405"/>
  <c r="AA506"/>
  <c r="AA471"/>
  <c r="AA585"/>
  <c r="AA196"/>
  <c r="AA188"/>
  <c r="K548"/>
  <c r="AC548" s="1"/>
  <c r="AA562"/>
  <c r="AA570"/>
  <c r="K574"/>
  <c r="AC574" s="1"/>
  <c r="AM13" i="1"/>
  <c r="BL13" i="2" s="1"/>
  <c r="BS13" s="1"/>
  <c r="BU13" s="1"/>
  <c r="AM113" i="1"/>
  <c r="BL113" i="2" s="1"/>
  <c r="BS113" s="1"/>
  <c r="BU113" s="1"/>
  <c r="AM116" i="1"/>
  <c r="BL116" i="2" s="1"/>
  <c r="BS116" s="1"/>
  <c r="BU116" s="1"/>
  <c r="AM128" i="1"/>
  <c r="BL128" i="2" s="1"/>
  <c r="BS128" s="1"/>
  <c r="BU128" s="1"/>
  <c r="AM129" i="1"/>
  <c r="AM134"/>
  <c r="BL134" i="2" s="1"/>
  <c r="BS134" s="1"/>
  <c r="BU134" s="1"/>
  <c r="AM135" i="1"/>
  <c r="BL135" i="2" s="1"/>
  <c r="BS135" s="1"/>
  <c r="BU135" s="1"/>
  <c r="AM383" i="1"/>
  <c r="BL383" i="2" s="1"/>
  <c r="BS383" s="1"/>
  <c r="BU383" s="1"/>
  <c r="AM94" i="1"/>
  <c r="BL94" i="2" s="1"/>
  <c r="BS94" s="1"/>
  <c r="BU94" s="1"/>
  <c r="AM258" i="1"/>
  <c r="BL256" i="2" s="1"/>
  <c r="BS256" s="1"/>
  <c r="BU256" s="1"/>
  <c r="AM260" i="1"/>
  <c r="AM262"/>
  <c r="AM265"/>
  <c r="BL265" i="2" s="1"/>
  <c r="BS265" s="1"/>
  <c r="BU265" s="1"/>
  <c r="AM266" i="1"/>
  <c r="BL266" i="2" s="1"/>
  <c r="BS266" s="1"/>
  <c r="BU266" s="1"/>
  <c r="AM267" i="1"/>
  <c r="BL267" i="2" s="1"/>
  <c r="BS267" s="1"/>
  <c r="BU267" s="1"/>
  <c r="AM268" i="1"/>
  <c r="BL268" i="2" s="1"/>
  <c r="BS268" s="1"/>
  <c r="BU268" s="1"/>
  <c r="AM302" i="1"/>
  <c r="BL302" i="2" s="1"/>
  <c r="BS302" s="1"/>
  <c r="BU302" s="1"/>
  <c r="AM280" i="1"/>
  <c r="BL280" i="2" s="1"/>
  <c r="BS280" s="1"/>
  <c r="BU280" s="1"/>
  <c r="AM282" i="1"/>
  <c r="BL282" i="2" s="1"/>
  <c r="BS282" s="1"/>
  <c r="BU282" s="1"/>
  <c r="AM288" i="1"/>
  <c r="BL288" i="2" s="1"/>
  <c r="BS288" s="1"/>
  <c r="BU288" s="1"/>
  <c r="AM294" i="1"/>
  <c r="BL294" i="2" s="1"/>
  <c r="BS294" s="1"/>
  <c r="BU294" s="1"/>
  <c r="AM299" i="1"/>
  <c r="AM573"/>
  <c r="AM577"/>
  <c r="BL577" i="2" s="1"/>
  <c r="BS577" s="1"/>
  <c r="BU577" s="1"/>
  <c r="AM581" i="1"/>
  <c r="BL581" i="2" s="1"/>
  <c r="BS581" s="1"/>
  <c r="BU581" s="1"/>
  <c r="AM588" i="1"/>
  <c r="AM589"/>
  <c r="BL589" i="2" s="1"/>
  <c r="BS589" s="1"/>
  <c r="BU589" s="1"/>
  <c r="AM591" i="1"/>
  <c r="BL591" i="2" s="1"/>
  <c r="BS591" s="1"/>
  <c r="BU591" s="1"/>
  <c r="AM325" i="1"/>
  <c r="AM327"/>
  <c r="AM328"/>
  <c r="BL328" i="2" s="1"/>
  <c r="BS328" s="1"/>
  <c r="BU328" s="1"/>
  <c r="AM351" i="1"/>
  <c r="BL351" i="2" s="1"/>
  <c r="BS351" s="1"/>
  <c r="BU351" s="1"/>
  <c r="AM431" i="1"/>
  <c r="BL429" i="2" s="1"/>
  <c r="BS429" s="1"/>
  <c r="BU429" s="1"/>
  <c r="AM435" i="1"/>
  <c r="AM436"/>
  <c r="AM439"/>
  <c r="BL437" i="2"/>
  <c r="BS437" s="1"/>
  <c r="BU437" s="1"/>
  <c r="AM453" i="1"/>
  <c r="BL453" i="2" s="1"/>
  <c r="BS453" s="1"/>
  <c r="BU453" s="1"/>
  <c r="AM519" i="1"/>
  <c r="BL517" i="2" s="1"/>
  <c r="BS517" s="1"/>
  <c r="BU517" s="1"/>
  <c r="AM520" i="1"/>
  <c r="AM523"/>
  <c r="BL523" i="2" s="1"/>
  <c r="BS523" s="1"/>
  <c r="BU523" s="1"/>
  <c r="AM538" i="1"/>
  <c r="BL538" i="2" s="1"/>
  <c r="BS538" s="1"/>
  <c r="BU538" s="1"/>
  <c r="Y512" i="1"/>
  <c r="AM512"/>
  <c r="BL510" i="2" s="1"/>
  <c r="BS510" s="1"/>
  <c r="BU510" s="1"/>
  <c r="Y120" i="1"/>
  <c r="AM120"/>
  <c r="Y394"/>
  <c r="AM394"/>
  <c r="BL394" i="2" s="1"/>
  <c r="BS394" s="1"/>
  <c r="BU394" s="1"/>
  <c r="AM510" i="1"/>
  <c r="BL508" i="2" s="1"/>
  <c r="BS508" s="1"/>
  <c r="BU508" s="1"/>
  <c r="AM48" i="1"/>
  <c r="BL48" i="2" s="1"/>
  <c r="BS48" s="1"/>
  <c r="BU48" s="1"/>
  <c r="AM51" i="1"/>
  <c r="BL51" i="2"/>
  <c r="BS51" s="1"/>
  <c r="BU51" s="1"/>
  <c r="AM63" i="1"/>
  <c r="BL63" i="2" s="1"/>
  <c r="BS63" s="1"/>
  <c r="BU63" s="1"/>
  <c r="AM77" i="1"/>
  <c r="AM78"/>
  <c r="Y65"/>
  <c r="AM443"/>
  <c r="AM445"/>
  <c r="Y283"/>
  <c r="AC273" i="14"/>
  <c r="AC277"/>
  <c r="AC286"/>
  <c r="AC287"/>
  <c r="AC414"/>
  <c r="AC532"/>
  <c r="AC563"/>
  <c r="AC167"/>
  <c r="AC482"/>
  <c r="AC101"/>
  <c r="AC327"/>
  <c r="AC139"/>
  <c r="AC142"/>
  <c r="AC495"/>
  <c r="AW28" i="17"/>
  <c r="AI398" i="15"/>
  <c r="AY395" i="17"/>
  <c r="BC395" s="1"/>
  <c r="BE395" s="1"/>
  <c r="AY15"/>
  <c r="BC15"/>
  <c r="BE15" s="1"/>
  <c r="BL269" i="25"/>
  <c r="BT269" s="1"/>
  <c r="BV269" s="1"/>
  <c r="BL301"/>
  <c r="BT301" s="1"/>
  <c r="BV301" s="1"/>
  <c r="BL303"/>
  <c r="BT303" s="1"/>
  <c r="BV303" s="1"/>
  <c r="BL311"/>
  <c r="BT311"/>
  <c r="BV311" s="1"/>
  <c r="BL313"/>
  <c r="BT313" s="1"/>
  <c r="BV313" s="1"/>
  <c r="BL327"/>
  <c r="BT327" s="1"/>
  <c r="BV327" s="1"/>
  <c r="BL331"/>
  <c r="BT331" s="1"/>
  <c r="BV331" s="1"/>
  <c r="Y137" i="22"/>
  <c r="AU137" s="1"/>
  <c r="BL137" i="25" s="1"/>
  <c r="BT137" s="1"/>
  <c r="BV137" s="1"/>
  <c r="BL175"/>
  <c r="BT175"/>
  <c r="BV175" s="1"/>
  <c r="Y67" i="22"/>
  <c r="AU67"/>
  <c r="BL67" i="25" s="1"/>
  <c r="BT67" s="1"/>
  <c r="BV67" s="1"/>
  <c r="Y68" i="22"/>
  <c r="BL147" i="25"/>
  <c r="BT147" s="1"/>
  <c r="Y191" i="22"/>
  <c r="AU191" s="1"/>
  <c r="BL191" i="25" s="1"/>
  <c r="BT191" s="1"/>
  <c r="BV191" s="1"/>
  <c r="AU474" i="22"/>
  <c r="BL474" i="25"/>
  <c r="BT474" s="1"/>
  <c r="AU476" i="22"/>
  <c r="BL476" i="25"/>
  <c r="BT476" s="1"/>
  <c r="BV476" s="1"/>
  <c r="AU479" i="22"/>
  <c r="BL479" i="25" s="1"/>
  <c r="BT479" s="1"/>
  <c r="BV479" s="1"/>
  <c r="Y80" i="22"/>
  <c r="AU80" s="1"/>
  <c r="BL80" i="25" s="1"/>
  <c r="BT80" s="1"/>
  <c r="BV80" s="1"/>
  <c r="BL176"/>
  <c r="BT176" s="1"/>
  <c r="AU236" i="22"/>
  <c r="Y237"/>
  <c r="AU237" s="1"/>
  <c r="AU242"/>
  <c r="Y243"/>
  <c r="AU243"/>
  <c r="Y247"/>
  <c r="AU247"/>
  <c r="AA142" i="26"/>
  <c r="AC143"/>
  <c r="AA144"/>
  <c r="AA145"/>
  <c r="AC146"/>
  <c r="AA146"/>
  <c r="AA549"/>
  <c r="AA552"/>
  <c r="AC555"/>
  <c r="AC556"/>
  <c r="AA32"/>
  <c r="AA33"/>
  <c r="AC34"/>
  <c r="AC35"/>
  <c r="AC36"/>
  <c r="AA457"/>
  <c r="AC460"/>
  <c r="AA468"/>
  <c r="AC470"/>
  <c r="AC477"/>
  <c r="AA345"/>
  <c r="AA476"/>
  <c r="AA197"/>
  <c r="AA231"/>
  <c r="AA232"/>
  <c r="AA233"/>
  <c r="AC236"/>
  <c r="AC237"/>
  <c r="AA237"/>
  <c r="AA238"/>
  <c r="AC239"/>
  <c r="AA239"/>
  <c r="AA343"/>
  <c r="AA274"/>
  <c r="AA162"/>
  <c r="AA160"/>
  <c r="AA158"/>
  <c r="AC154"/>
  <c r="AA154"/>
  <c r="AA102"/>
  <c r="AA111"/>
  <c r="AA116"/>
  <c r="AA119"/>
  <c r="AA130"/>
  <c r="AA147"/>
  <c r="AA52"/>
  <c r="AA53"/>
  <c r="AC54"/>
  <c r="AA62"/>
  <c r="AC66"/>
  <c r="AC67"/>
  <c r="AA67"/>
  <c r="AA254"/>
  <c r="AA252"/>
  <c r="AA268"/>
  <c r="AA270"/>
  <c r="AA327"/>
  <c r="AA71"/>
  <c r="AA464"/>
  <c r="AA568"/>
  <c r="BL397" i="2"/>
  <c r="BS397" s="1"/>
  <c r="BU397" s="1"/>
  <c r="BL562"/>
  <c r="BS562" s="1"/>
  <c r="BU562" s="1"/>
  <c r="BL450"/>
  <c r="BS450" s="1"/>
  <c r="BU450" s="1"/>
  <c r="Y526" i="1"/>
  <c r="AM526" s="1"/>
  <c r="BL526" i="2" s="1"/>
  <c r="BS526" s="1"/>
  <c r="BU526" s="1"/>
  <c r="Y539" i="1"/>
  <c r="AM539" s="1"/>
  <c r="BL539" i="2" s="1"/>
  <c r="BS539" s="1"/>
  <c r="BU539" s="1"/>
  <c r="Y541" i="1"/>
  <c r="AM541"/>
  <c r="BL541" i="2" s="1"/>
  <c r="BS541" s="1"/>
  <c r="BU541" s="1"/>
  <c r="Y546" i="1"/>
  <c r="AM546"/>
  <c r="Y87"/>
  <c r="AM87"/>
  <c r="BL87" i="2" s="1"/>
  <c r="BS87" s="1"/>
  <c r="BU87" s="1"/>
  <c r="AM283" i="1"/>
  <c r="Y287"/>
  <c r="AM287" s="1"/>
  <c r="BL287" i="2" s="1"/>
  <c r="BS287" s="1"/>
  <c r="BU287" s="1"/>
  <c r="AM292" i="1"/>
  <c r="BL292" i="2" s="1"/>
  <c r="BS292" s="1"/>
  <c r="BU292" s="1"/>
  <c r="AM18" i="1"/>
  <c r="BL18" i="2" s="1"/>
  <c r="BS18" s="1"/>
  <c r="BU18" s="1"/>
  <c r="AM23" i="1"/>
  <c r="BL23" i="2" s="1"/>
  <c r="BS23" s="1"/>
  <c r="BU23" s="1"/>
  <c r="AM25" i="1"/>
  <c r="BL25" i="2" s="1"/>
  <c r="BS25" s="1"/>
  <c r="BU25" s="1"/>
  <c r="AM38" i="1"/>
  <c r="AM41"/>
  <c r="BL41" i="2" s="1"/>
  <c r="BS41" s="1"/>
  <c r="BU41" s="1"/>
  <c r="AM121" i="1"/>
  <c r="BL121" i="2" s="1"/>
  <c r="BS121" s="1"/>
  <c r="BU121" s="1"/>
  <c r="AM306" i="1"/>
  <c r="BL306" i="2" s="1"/>
  <c r="BS306" s="1"/>
  <c r="BU306" s="1"/>
  <c r="AM285" i="1"/>
  <c r="AM293"/>
  <c r="AM552"/>
  <c r="AM172"/>
  <c r="AM173"/>
  <c r="AM179"/>
  <c r="AM182"/>
  <c r="AM185"/>
  <c r="AM350"/>
  <c r="BL350" i="2" s="1"/>
  <c r="BS350" s="1"/>
  <c r="BU350" s="1"/>
  <c r="AM235" i="1"/>
  <c r="AM236"/>
  <c r="BL236" i="2" s="1"/>
  <c r="BS236" s="1"/>
  <c r="BU236" s="1"/>
  <c r="AM403" i="1"/>
  <c r="BL403" i="2" s="1"/>
  <c r="BS403" s="1"/>
  <c r="BU403" s="1"/>
  <c r="AM405" i="1"/>
  <c r="AM418"/>
  <c r="BL418" i="2" s="1"/>
  <c r="BS418" s="1"/>
  <c r="BU418" s="1"/>
  <c r="AM447" i="1"/>
  <c r="BL447" i="2" s="1"/>
  <c r="BS447" s="1"/>
  <c r="BU447" s="1"/>
  <c r="BL451"/>
  <c r="BS451"/>
  <c r="BU451" s="1"/>
  <c r="AM535" i="1"/>
  <c r="BL535" i="2" s="1"/>
  <c r="BS535" s="1"/>
  <c r="BU535" s="1"/>
  <c r="AM540" i="1"/>
  <c r="BL540" i="2" s="1"/>
  <c r="BS540" s="1"/>
  <c r="BU540" s="1"/>
  <c r="Y553" i="1"/>
  <c r="Y556"/>
  <c r="Y37"/>
  <c r="Y42"/>
  <c r="AM42" s="1"/>
  <c r="BL42" i="2" s="1"/>
  <c r="BS42" s="1"/>
  <c r="BU42" s="1"/>
  <c r="Y183" i="1"/>
  <c r="AM483"/>
  <c r="BL483" i="2" s="1"/>
  <c r="BS483" s="1"/>
  <c r="BU483" s="1"/>
  <c r="Y488" i="1"/>
  <c r="AM488" s="1"/>
  <c r="BL488" i="2" s="1"/>
  <c r="BS488" s="1"/>
  <c r="BU488" s="1"/>
  <c r="AM505" i="1"/>
  <c r="AM509"/>
  <c r="AM49"/>
  <c r="AM53"/>
  <c r="AM71"/>
  <c r="BL71" i="2" s="1"/>
  <c r="BS71" s="1"/>
  <c r="BU71" s="1"/>
  <c r="AM65" i="1"/>
  <c r="BL65" i="2" s="1"/>
  <c r="AC19" i="14"/>
  <c r="AC85"/>
  <c r="AC135"/>
  <c r="AC323"/>
  <c r="AC374"/>
  <c r="AC268"/>
  <c r="AC272"/>
  <c r="AC275"/>
  <c r="AC345"/>
  <c r="AC349"/>
  <c r="AC448"/>
  <c r="AC456"/>
  <c r="AC523"/>
  <c r="AC525"/>
  <c r="AA410"/>
  <c r="AC485"/>
  <c r="AC487"/>
  <c r="AC56"/>
  <c r="AC138"/>
  <c r="AC39"/>
  <c r="AC41"/>
  <c r="AC171"/>
  <c r="AC177"/>
  <c r="AC179"/>
  <c r="AC497"/>
  <c r="AI419" i="15"/>
  <c r="AY416" i="17"/>
  <c r="BC416" s="1"/>
  <c r="BE416" s="1"/>
  <c r="AF448" i="16"/>
  <c r="AF552"/>
  <c r="BL146" i="25"/>
  <c r="BT146" s="1"/>
  <c r="BV146" s="1"/>
  <c r="BL32"/>
  <c r="BT32"/>
  <c r="BV32" s="1"/>
  <c r="BL151"/>
  <c r="BT151" s="1"/>
  <c r="BV151" s="1"/>
  <c r="BL563"/>
  <c r="BT563" s="1"/>
  <c r="BV563" s="1"/>
  <c r="BL34"/>
  <c r="BT34" s="1"/>
  <c r="BV34" s="1"/>
  <c r="BL43"/>
  <c r="BT43"/>
  <c r="BL218"/>
  <c r="BT218"/>
  <c r="BV218" s="1"/>
  <c r="BT264"/>
  <c r="BV264" s="1"/>
  <c r="BT278"/>
  <c r="BV278" s="1"/>
  <c r="BL283"/>
  <c r="BT283" s="1"/>
  <c r="BV283" s="1"/>
  <c r="BL289"/>
  <c r="BT289" s="1"/>
  <c r="BV289" s="1"/>
  <c r="BL432"/>
  <c r="BT432" s="1"/>
  <c r="BV432" s="1"/>
  <c r="BL434"/>
  <c r="BT434"/>
  <c r="BV434" s="1"/>
  <c r="BL436"/>
  <c r="BT436" s="1"/>
  <c r="BV436" s="1"/>
  <c r="BL438"/>
  <c r="BT438" s="1"/>
  <c r="BV438" s="1"/>
  <c r="BL440"/>
  <c r="BT440" s="1"/>
  <c r="BV440" s="1"/>
  <c r="BL442"/>
  <c r="BT442"/>
  <c r="BV442" s="1"/>
  <c r="BL444"/>
  <c r="BT444" s="1"/>
  <c r="BV444" s="1"/>
  <c r="BL446"/>
  <c r="BT446" s="1"/>
  <c r="BV446" s="1"/>
  <c r="BL448"/>
  <c r="BT448" s="1"/>
  <c r="BV448" s="1"/>
  <c r="BL450"/>
  <c r="BT450"/>
  <c r="BV450" s="1"/>
  <c r="BL452"/>
  <c r="BT452" s="1"/>
  <c r="BV452" s="1"/>
  <c r="BL454"/>
  <c r="BT454" s="1"/>
  <c r="BV454" s="1"/>
  <c r="BL507"/>
  <c r="BT507" s="1"/>
  <c r="BV507" s="1"/>
  <c r="BL509"/>
  <c r="BT509"/>
  <c r="BV509" s="1"/>
  <c r="BL511"/>
  <c r="BT511" s="1"/>
  <c r="BV511" s="1"/>
  <c r="BL514"/>
  <c r="BT514" s="1"/>
  <c r="BV514" s="1"/>
  <c r="BL518"/>
  <c r="BT518" s="1"/>
  <c r="BV518" s="1"/>
  <c r="BL520"/>
  <c r="BT520"/>
  <c r="BV520" s="1"/>
  <c r="BL522"/>
  <c r="BT522" s="1"/>
  <c r="BV522" s="1"/>
  <c r="BL524"/>
  <c r="BT524" s="1"/>
  <c r="BV524" s="1"/>
  <c r="BL530"/>
  <c r="BT530" s="1"/>
  <c r="BV530" s="1"/>
  <c r="BL532"/>
  <c r="BT532"/>
  <c r="BV532" s="1"/>
  <c r="BL585"/>
  <c r="BT585" s="1"/>
  <c r="BV585" s="1"/>
  <c r="AZ401"/>
  <c r="BJ401" s="1"/>
  <c r="BL401" s="1"/>
  <c r="BT401" s="1"/>
  <c r="BV401" s="1"/>
  <c r="AZ544"/>
  <c r="BJ544" s="1"/>
  <c r="BL461"/>
  <c r="BT461" s="1"/>
  <c r="BV461" s="1"/>
  <c r="BL53"/>
  <c r="BT53"/>
  <c r="BV53" s="1"/>
  <c r="AU471" i="22"/>
  <c r="BL572" i="25"/>
  <c r="BT572" s="1"/>
  <c r="BV572" s="1"/>
  <c r="BL140"/>
  <c r="BT140" s="1"/>
  <c r="BV140" s="1"/>
  <c r="BL393"/>
  <c r="BT393"/>
  <c r="BV393" s="1"/>
  <c r="Y42" i="22"/>
  <c r="AU42"/>
  <c r="Y44"/>
  <c r="AU44"/>
  <c r="AU168"/>
  <c r="Y171"/>
  <c r="AU171" s="1"/>
  <c r="BL171" i="25" s="1"/>
  <c r="BT171" s="1"/>
  <c r="BV171" s="1"/>
  <c r="Y467" i="22"/>
  <c r="AU467" s="1"/>
  <c r="BL467" i="25" s="1"/>
  <c r="BT467" s="1"/>
  <c r="BV467" s="1"/>
  <c r="BL71"/>
  <c r="BT71"/>
  <c r="BV71" s="1"/>
  <c r="AU531" i="22"/>
  <c r="AU533"/>
  <c r="BL531" i="25" s="1"/>
  <c r="BT531" s="1"/>
  <c r="BV531" s="1"/>
  <c r="AU537" i="22"/>
  <c r="AU539"/>
  <c r="BL573" i="25"/>
  <c r="BT573" s="1"/>
  <c r="BV573" s="1"/>
  <c r="Y397" i="22"/>
  <c r="AU397" s="1"/>
  <c r="BL397" i="25" s="1"/>
  <c r="BT397" s="1"/>
  <c r="BV397" s="1"/>
  <c r="Y559" i="22"/>
  <c r="AU559"/>
  <c r="AU45"/>
  <c r="BL45" i="25" s="1"/>
  <c r="BT45" s="1"/>
  <c r="AU167" i="22"/>
  <c r="BL167" i="25" s="1"/>
  <c r="BT167" s="1"/>
  <c r="BV167" s="1"/>
  <c r="AU179" i="22"/>
  <c r="BL177" i="25" s="1"/>
  <c r="BT177" s="1"/>
  <c r="BV177" s="1"/>
  <c r="AU180" i="22"/>
  <c r="BL178" i="25" s="1"/>
  <c r="BT178" s="1"/>
  <c r="BV178" s="1"/>
  <c r="AU184" i="22"/>
  <c r="Y458"/>
  <c r="AU458"/>
  <c r="AU480"/>
  <c r="BL480" i="25"/>
  <c r="BT480" s="1"/>
  <c r="BV480" s="1"/>
  <c r="AU482" i="22"/>
  <c r="BL482" i="25" s="1"/>
  <c r="BT482" s="1"/>
  <c r="BV482" s="1"/>
  <c r="AU484" i="22"/>
  <c r="Y486"/>
  <c r="AU486" s="1"/>
  <c r="BL486" i="25" s="1"/>
  <c r="BT486" s="1"/>
  <c r="BV486" s="1"/>
  <c r="Y495" i="22"/>
  <c r="AU495"/>
  <c r="AU506"/>
  <c r="AS50"/>
  <c r="Y57"/>
  <c r="AU57"/>
  <c r="BL57" i="25" s="1"/>
  <c r="BT57" s="1"/>
  <c r="BV57" s="1"/>
  <c r="AU64" i="22"/>
  <c r="BL64" i="25" s="1"/>
  <c r="BT64" s="1"/>
  <c r="BV64" s="1"/>
  <c r="AU77" i="22"/>
  <c r="BL77" i="25" s="1"/>
  <c r="BT77" s="1"/>
  <c r="BV77" s="1"/>
  <c r="AU78" i="22"/>
  <c r="BL78" i="25"/>
  <c r="BT78" s="1"/>
  <c r="BV78" s="1"/>
  <c r="Y79" i="22"/>
  <c r="AU79" s="1"/>
  <c r="BL79" i="25" s="1"/>
  <c r="BT79" s="1"/>
  <c r="BV79" s="1"/>
  <c r="AU241" i="22"/>
  <c r="AC544" i="26"/>
  <c r="AA544"/>
  <c r="AA545"/>
  <c r="AA560"/>
  <c r="AA456"/>
  <c r="AC457"/>
  <c r="AA461"/>
  <c r="AC462"/>
  <c r="AA467"/>
  <c r="AC468"/>
  <c r="AC469"/>
  <c r="AC472"/>
  <c r="AC473"/>
  <c r="AC478"/>
  <c r="AC482"/>
  <c r="AC491"/>
  <c r="AC495"/>
  <c r="AC496"/>
  <c r="AC80"/>
  <c r="AA229"/>
  <c r="AC242"/>
  <c r="AC566"/>
  <c r="AA341"/>
  <c r="BV341" i="25"/>
  <c r="AA296" i="26"/>
  <c r="AA298"/>
  <c r="AA300"/>
  <c r="AA302"/>
  <c r="AA304"/>
  <c r="AA306"/>
  <c r="AA153"/>
  <c r="AA11"/>
  <c r="AA113"/>
  <c r="AA139"/>
  <c r="AA141"/>
  <c r="AA558"/>
  <c r="AA37"/>
  <c r="AC38"/>
  <c r="AA38"/>
  <c r="AA39"/>
  <c r="AC40"/>
  <c r="AA41"/>
  <c r="AC42"/>
  <c r="AA42"/>
  <c r="AA43"/>
  <c r="AC45"/>
  <c r="AA45"/>
  <c r="AC46"/>
  <c r="AA47"/>
  <c r="AC49"/>
  <c r="AA49"/>
  <c r="AC52"/>
  <c r="AA55"/>
  <c r="AC56"/>
  <c r="AA61"/>
  <c r="AC62"/>
  <c r="AC64"/>
  <c r="AC69"/>
  <c r="AA69"/>
  <c r="AC73"/>
  <c r="AA339"/>
  <c r="AA199"/>
  <c r="AA203"/>
  <c r="AC312"/>
  <c r="AC317"/>
  <c r="AC323"/>
  <c r="AC274"/>
  <c r="BL555" i="2"/>
  <c r="BS555" s="1"/>
  <c r="BU555" s="1"/>
  <c r="BL404"/>
  <c r="BS404"/>
  <c r="BU404" s="1"/>
  <c r="BL343"/>
  <c r="BS343" s="1"/>
  <c r="BU343" s="1"/>
  <c r="BL40"/>
  <c r="BS40" s="1"/>
  <c r="BU40" s="1"/>
  <c r="AZ501"/>
  <c r="BJ501" s="1"/>
  <c r="BL501" s="1"/>
  <c r="BS501" s="1"/>
  <c r="BU501" s="1"/>
  <c r="AM369" i="1"/>
  <c r="BL369" i="2" s="1"/>
  <c r="BS369" s="1"/>
  <c r="BU369" s="1"/>
  <c r="AM373" i="1"/>
  <c r="AM374"/>
  <c r="BL374" i="2" s="1"/>
  <c r="BS374" s="1"/>
  <c r="BU374" s="1"/>
  <c r="AM275" i="1"/>
  <c r="AM340"/>
  <c r="BL338" i="2" s="1"/>
  <c r="BS338" s="1"/>
  <c r="BU338" s="1"/>
  <c r="AM343" i="1"/>
  <c r="BL341" i="2" s="1"/>
  <c r="BS341" s="1"/>
  <c r="BU341" s="1"/>
  <c r="AM234" i="1"/>
  <c r="AM421"/>
  <c r="BL421" i="2" s="1"/>
  <c r="BS421" s="1"/>
  <c r="BU421" s="1"/>
  <c r="AM426" i="1"/>
  <c r="BL426" i="2" s="1"/>
  <c r="BS426" s="1"/>
  <c r="BU426" s="1"/>
  <c r="AM144" i="1"/>
  <c r="AM115"/>
  <c r="BL115" i="2" s="1"/>
  <c r="BS115" s="1"/>
  <c r="BU115" s="1"/>
  <c r="AM273" i="1"/>
  <c r="AM29"/>
  <c r="BL29" i="2" s="1"/>
  <c r="BS29" s="1"/>
  <c r="BU29" s="1"/>
  <c r="AM31" i="1"/>
  <c r="AM45"/>
  <c r="AM153"/>
  <c r="BL153" i="2" s="1"/>
  <c r="BS153" s="1"/>
  <c r="BU153" s="1"/>
  <c r="AM157" i="1"/>
  <c r="AM193"/>
  <c r="BL193" i="2" s="1"/>
  <c r="BS193" s="1"/>
  <c r="AM208" i="1"/>
  <c r="BL253" i="2"/>
  <c r="BS253" s="1"/>
  <c r="BU253" s="1"/>
  <c r="AM565" i="1"/>
  <c r="BL565" i="2"/>
  <c r="BS565" s="1"/>
  <c r="BU565" s="1"/>
  <c r="AM167" i="1"/>
  <c r="AM452"/>
  <c r="BL452" i="2" s="1"/>
  <c r="BS452" s="1"/>
  <c r="BU452" s="1"/>
  <c r="Y549" i="1"/>
  <c r="AM549"/>
  <c r="BL549" i="2" s="1"/>
  <c r="BS549" s="1"/>
  <c r="BU549" s="1"/>
  <c r="Y554" i="1"/>
  <c r="AM554" s="1"/>
  <c r="BL554" i="2" s="1"/>
  <c r="BS554" s="1"/>
  <c r="BU554" s="1"/>
  <c r="Y44" i="1"/>
  <c r="AM44" s="1"/>
  <c r="BL44" i="2" s="1"/>
  <c r="BS44" s="1"/>
  <c r="BU44" s="1"/>
  <c r="Y181" i="1"/>
  <c r="AM481"/>
  <c r="BL481" i="2" s="1"/>
  <c r="BS481" s="1"/>
  <c r="BU481" s="1"/>
  <c r="AM489" i="1"/>
  <c r="AM498"/>
  <c r="BL498" i="2" s="1"/>
  <c r="BS498" s="1"/>
  <c r="BU498" s="1"/>
  <c r="AM502" i="1"/>
  <c r="AM503"/>
  <c r="AM58"/>
  <c r="BL58" i="2" s="1"/>
  <c r="BS58" s="1"/>
  <c r="BU58" s="1"/>
  <c r="AM61" i="1"/>
  <c r="AM66"/>
  <c r="AM70"/>
  <c r="AM73"/>
  <c r="BL73" i="2" s="1"/>
  <c r="BS73" s="1"/>
  <c r="BU73" s="1"/>
  <c r="AM75" i="1"/>
  <c r="AM241"/>
  <c r="AC252" i="14"/>
  <c r="AC254"/>
  <c r="AC256"/>
  <c r="AC341"/>
  <c r="AC343"/>
  <c r="AC439"/>
  <c r="AC440"/>
  <c r="AC458"/>
  <c r="AC513"/>
  <c r="AC542"/>
  <c r="AC544"/>
  <c r="AA129"/>
  <c r="AA168"/>
  <c r="AC169"/>
  <c r="AC173"/>
  <c r="AC181"/>
  <c r="AC183"/>
  <c r="AC463"/>
  <c r="AA463"/>
  <c r="AC490"/>
  <c r="AC499"/>
  <c r="AC52"/>
  <c r="AC62"/>
  <c r="AC80"/>
  <c r="AC239"/>
  <c r="AC26"/>
  <c r="AC100"/>
  <c r="AC122"/>
  <c r="AC154"/>
  <c r="AC155"/>
  <c r="AC306"/>
  <c r="AC308"/>
  <c r="AC362"/>
  <c r="AC364"/>
  <c r="AC386"/>
  <c r="AC387"/>
  <c r="AC266"/>
  <c r="AW533" i="17"/>
  <c r="AG60" i="15"/>
  <c r="AI60"/>
  <c r="AY61" i="17" s="1"/>
  <c r="BC61" s="1"/>
  <c r="BE61" s="1"/>
  <c r="AI529" i="15"/>
  <c r="AY525" i="17"/>
  <c r="BC525" s="1"/>
  <c r="BE525" s="1"/>
  <c r="AI413" i="15"/>
  <c r="AY410" i="17" s="1"/>
  <c r="BC410" s="1"/>
  <c r="BE410" s="1"/>
  <c r="AI361" i="15"/>
  <c r="AY358" i="17"/>
  <c r="BC358" s="1"/>
  <c r="BE358" s="1"/>
  <c r="AF524" i="16"/>
  <c r="AF475"/>
  <c r="BL11" i="25"/>
  <c r="BT11" s="1"/>
  <c r="BV11" s="1"/>
  <c r="BL182"/>
  <c r="BT182"/>
  <c r="BV182" s="1"/>
  <c r="AZ237"/>
  <c r="BJ237"/>
  <c r="BL93"/>
  <c r="BT93" s="1"/>
  <c r="BV93" s="1"/>
  <c r="BL148"/>
  <c r="BT148" s="1"/>
  <c r="BV148" s="1"/>
  <c r="BL150"/>
  <c r="BT150" s="1"/>
  <c r="BV150" s="1"/>
  <c r="BL195"/>
  <c r="BT195"/>
  <c r="BV195" s="1"/>
  <c r="BL197"/>
  <c r="BT197" s="1"/>
  <c r="BV197" s="1"/>
  <c r="BL199"/>
  <c r="BT199" s="1"/>
  <c r="BV199" s="1"/>
  <c r="BL201"/>
  <c r="BT201" s="1"/>
  <c r="BV201" s="1"/>
  <c r="BL205"/>
  <c r="BT205"/>
  <c r="BV205" s="1"/>
  <c r="BL207"/>
  <c r="BT207" s="1"/>
  <c r="BV207" s="1"/>
  <c r="BL209"/>
  <c r="BT209" s="1"/>
  <c r="BV209" s="1"/>
  <c r="BL211"/>
  <c r="BT211" s="1"/>
  <c r="BV211" s="1"/>
  <c r="Y401" i="22"/>
  <c r="AU401"/>
  <c r="AU546"/>
  <c r="BL544" i="25" s="1"/>
  <c r="BT544" s="1"/>
  <c r="BV544" s="1"/>
  <c r="Y551" i="22"/>
  <c r="AU551" s="1"/>
  <c r="BL549" i="25" s="1"/>
  <c r="BT549" s="1"/>
  <c r="BV549" s="1"/>
  <c r="Y554" i="22"/>
  <c r="AU554"/>
  <c r="BL554" i="25" s="1"/>
  <c r="BT554" s="1"/>
  <c r="BV554" s="1"/>
  <c r="Y459" i="22"/>
  <c r="AU459"/>
  <c r="BL459" i="25" s="1"/>
  <c r="BT459" s="1"/>
  <c r="BV459" s="1"/>
  <c r="AU487" i="22"/>
  <c r="BL487" i="25" s="1"/>
  <c r="BT487" s="1"/>
  <c r="BV487" s="1"/>
  <c r="AU489" i="22"/>
  <c r="BL489" i="25" s="1"/>
  <c r="BT489" s="1"/>
  <c r="BV489" s="1"/>
  <c r="AU492" i="22"/>
  <c r="BL492" i="25"/>
  <c r="BT492" s="1"/>
  <c r="BV492" s="1"/>
  <c r="AU63" i="22"/>
  <c r="Y74"/>
  <c r="AU74"/>
  <c r="BL74" i="25" s="1"/>
  <c r="BT74" s="1"/>
  <c r="BV74" s="1"/>
  <c r="Y238" i="22"/>
  <c r="AU238"/>
  <c r="Y244"/>
  <c r="AU244"/>
  <c r="AU583"/>
  <c r="BL92" i="25"/>
  <c r="BT92" s="1"/>
  <c r="BV92" s="1"/>
  <c r="BL98"/>
  <c r="BT98" s="1"/>
  <c r="BV98" s="1"/>
  <c r="BL100"/>
  <c r="BT100"/>
  <c r="BV100" s="1"/>
  <c r="BL192"/>
  <c r="BT192" s="1"/>
  <c r="BL194"/>
  <c r="BT194" s="1"/>
  <c r="BV194" s="1"/>
  <c r="BL196"/>
  <c r="BT196"/>
  <c r="BV196" s="1"/>
  <c r="BL198"/>
  <c r="BT198" s="1"/>
  <c r="BV198" s="1"/>
  <c r="BL200"/>
  <c r="BT200" s="1"/>
  <c r="BV200" s="1"/>
  <c r="BL202"/>
  <c r="BT202" s="1"/>
  <c r="BV202" s="1"/>
  <c r="BL206"/>
  <c r="BT206"/>
  <c r="BV206" s="1"/>
  <c r="BL208"/>
  <c r="BT208" s="1"/>
  <c r="BV208" s="1"/>
  <c r="BL210"/>
  <c r="BT210" s="1"/>
  <c r="BV210" s="1"/>
  <c r="BL212"/>
  <c r="BT212" s="1"/>
  <c r="BV212" s="1"/>
  <c r="AU547" i="22"/>
  <c r="AU555"/>
  <c r="AU562"/>
  <c r="AU185"/>
  <c r="BL183" i="25" s="1"/>
  <c r="BT183" s="1"/>
  <c r="BV183" s="1"/>
  <c r="K247" i="26"/>
  <c r="AC247"/>
  <c r="AC497"/>
  <c r="AC72"/>
  <c r="BV557" i="25"/>
  <c r="AC119" i="26"/>
  <c r="AC130"/>
  <c r="AC152"/>
  <c r="AC158"/>
  <c r="AC160"/>
  <c r="AC162"/>
  <c r="AC190"/>
  <c r="AC192"/>
  <c r="AC194"/>
  <c r="AC196"/>
  <c r="AC224"/>
  <c r="AC226"/>
  <c r="AC228"/>
  <c r="AC230"/>
  <c r="K320"/>
  <c r="AC320" s="1"/>
  <c r="AC322"/>
  <c r="AC342"/>
  <c r="AC344"/>
  <c r="AC346"/>
  <c r="AC348"/>
  <c r="AC350"/>
  <c r="AC352"/>
  <c r="AC354"/>
  <c r="AC356"/>
  <c r="AC358"/>
  <c r="AC360"/>
  <c r="AC362"/>
  <c r="AC364"/>
  <c r="AC366"/>
  <c r="AC368"/>
  <c r="AC370"/>
  <c r="AC372"/>
  <c r="AA323"/>
  <c r="AC394"/>
  <c r="AC395"/>
  <c r="AC547"/>
  <c r="AC325"/>
  <c r="AC327"/>
  <c r="AC329"/>
  <c r="AC333"/>
  <c r="AC335"/>
  <c r="AC337"/>
  <c r="AC339"/>
  <c r="AC343"/>
  <c r="AC345"/>
  <c r="AC361"/>
  <c r="AC373"/>
  <c r="AC379"/>
  <c r="AC434"/>
  <c r="AC562"/>
  <c r="AC564"/>
  <c r="AC568"/>
  <c r="AC570"/>
  <c r="AC572"/>
  <c r="AC575"/>
  <c r="AC137"/>
  <c r="AC138"/>
  <c r="AC139"/>
  <c r="AC142"/>
  <c r="AC144"/>
  <c r="AC396"/>
  <c r="AA399"/>
  <c r="AA402"/>
  <c r="AA403"/>
  <c r="AA404"/>
  <c r="AC550"/>
  <c r="AA550"/>
  <c r="AC558"/>
  <c r="AC560"/>
  <c r="AA460"/>
  <c r="AA463"/>
  <c r="AA469"/>
  <c r="AA473"/>
  <c r="AA484"/>
  <c r="AC501"/>
  <c r="AC505"/>
  <c r="AA48"/>
  <c r="AC51"/>
  <c r="AC53"/>
  <c r="AC55"/>
  <c r="AC57"/>
  <c r="AC61"/>
  <c r="AC63"/>
  <c r="AA66"/>
  <c r="AA68"/>
  <c r="AA70"/>
  <c r="AA72"/>
  <c r="AC78"/>
  <c r="AC244"/>
  <c r="AA236"/>
  <c r="AA244"/>
  <c r="AC245"/>
  <c r="AA245"/>
  <c r="AC246"/>
  <c r="AA246"/>
  <c r="BL551" i="2"/>
  <c r="BS551" s="1"/>
  <c r="BU551" s="1"/>
  <c r="BL396"/>
  <c r="BS396" s="1"/>
  <c r="BL552"/>
  <c r="BS552" s="1"/>
  <c r="BL444"/>
  <c r="BS444" s="1"/>
  <c r="AZ467"/>
  <c r="BJ467"/>
  <c r="BL53"/>
  <c r="BS53" s="1"/>
  <c r="BU53" s="1"/>
  <c r="AM33" i="1"/>
  <c r="BL283" i="2"/>
  <c r="BS283"/>
  <c r="BU283" s="1"/>
  <c r="AM553" i="1"/>
  <c r="BL553" i="2"/>
  <c r="BS553" s="1"/>
  <c r="BU553" s="1"/>
  <c r="BS566"/>
  <c r="BU566" s="1"/>
  <c r="AM183" i="1"/>
  <c r="AM342"/>
  <c r="BL340" i="2" s="1"/>
  <c r="BS340" s="1"/>
  <c r="BU340" s="1"/>
  <c r="BL446"/>
  <c r="BS446" s="1"/>
  <c r="BU446" s="1"/>
  <c r="BL448"/>
  <c r="BS448" s="1"/>
  <c r="BU448" s="1"/>
  <c r="BL529"/>
  <c r="BS529" s="1"/>
  <c r="BU529" s="1"/>
  <c r="AM143" i="1"/>
  <c r="Y32"/>
  <c r="AM32" s="1"/>
  <c r="BL32" i="2" s="1"/>
  <c r="BS32" s="1"/>
  <c r="BU32" s="1"/>
  <c r="AM473" i="1"/>
  <c r="BL473" i="2" s="1"/>
  <c r="BS473" s="1"/>
  <c r="BU473" s="1"/>
  <c r="AM57" i="1"/>
  <c r="BL57" i="2" s="1"/>
  <c r="BS57" s="1"/>
  <c r="BU57" s="1"/>
  <c r="AM72" i="1"/>
  <c r="BL72" i="2"/>
  <c r="BS72" s="1"/>
  <c r="BU72" s="1"/>
  <c r="AM76" i="1"/>
  <c r="AM240"/>
  <c r="AM19"/>
  <c r="BL19" i="2" s="1"/>
  <c r="BS19" s="1"/>
  <c r="BU19" s="1"/>
  <c r="AM20" i="1"/>
  <c r="BL20" i="2" s="1"/>
  <c r="BS20" s="1"/>
  <c r="BU20" s="1"/>
  <c r="AM22" i="1"/>
  <c r="BL22" i="2" s="1"/>
  <c r="BS22" s="1"/>
  <c r="BU22" s="1"/>
  <c r="AM30" i="1"/>
  <c r="BL30" i="2" s="1"/>
  <c r="BS30" s="1"/>
  <c r="BU30" s="1"/>
  <c r="AM122" i="1"/>
  <c r="BL122" i="2" s="1"/>
  <c r="BS122" s="1"/>
  <c r="BU122" s="1"/>
  <c r="BL129"/>
  <c r="BS129"/>
  <c r="BU129" s="1"/>
  <c r="BL199"/>
  <c r="BS199" s="1"/>
  <c r="BU199" s="1"/>
  <c r="BL251"/>
  <c r="BS251" s="1"/>
  <c r="BU251" s="1"/>
  <c r="AM295" i="1"/>
  <c r="BL295" i="2" s="1"/>
  <c r="BS295" s="1"/>
  <c r="BU295" s="1"/>
  <c r="BL299"/>
  <c r="BS299"/>
  <c r="BU299" s="1"/>
  <c r="AM181" i="1"/>
  <c r="BL179" i="2"/>
  <c r="BS179" s="1"/>
  <c r="BU179" s="1"/>
  <c r="AM358" i="1"/>
  <c r="BL358" i="2" s="1"/>
  <c r="BS358" s="1"/>
  <c r="BU358" s="1"/>
  <c r="AM218" i="1"/>
  <c r="BL218" i="2" s="1"/>
  <c r="BS218" s="1"/>
  <c r="BU218" s="1"/>
  <c r="BL226"/>
  <c r="BS226" s="1"/>
  <c r="BU226" s="1"/>
  <c r="AM537" i="1"/>
  <c r="BL537" i="2" s="1"/>
  <c r="BS537" s="1"/>
  <c r="BU537" s="1"/>
  <c r="AM556" i="1"/>
  <c r="BL556" i="2" s="1"/>
  <c r="BS556" s="1"/>
  <c r="BU556" s="1"/>
  <c r="AM37" i="1"/>
  <c r="BL37" i="2"/>
  <c r="BS37" s="1"/>
  <c r="BU37" s="1"/>
  <c r="Y460" i="1"/>
  <c r="AM460"/>
  <c r="BL460" i="2" s="1"/>
  <c r="BS460" s="1"/>
  <c r="BU460" s="1"/>
  <c r="Y462" i="1"/>
  <c r="AM462"/>
  <c r="BL462" i="2" s="1"/>
  <c r="BS462" s="1"/>
  <c r="BU462" s="1"/>
  <c r="Y465" i="1"/>
  <c r="AM465"/>
  <c r="BL465" i="2" s="1"/>
  <c r="BS465" s="1"/>
  <c r="BU465" s="1"/>
  <c r="Y472" i="1"/>
  <c r="AM472"/>
  <c r="BL472" i="2" s="1"/>
  <c r="BS472" s="1"/>
  <c r="BU472" s="1"/>
  <c r="AM480" i="1"/>
  <c r="BL480" i="2" s="1"/>
  <c r="BS480" s="1"/>
  <c r="BU480" s="1"/>
  <c r="AM50" i="1"/>
  <c r="AM55"/>
  <c r="BL55" i="2"/>
  <c r="BS55" s="1"/>
  <c r="BU55" s="1"/>
  <c r="Y68" i="1"/>
  <c r="AM68"/>
  <c r="BL68" i="2" s="1"/>
  <c r="BS68" s="1"/>
  <c r="BU68" s="1"/>
  <c r="AM238" i="1"/>
  <c r="Y239"/>
  <c r="AM239" s="1"/>
  <c r="AM243"/>
  <c r="AM250"/>
  <c r="AC13" i="14"/>
  <c r="AC24"/>
  <c r="AC103"/>
  <c r="AC113"/>
  <c r="AC134"/>
  <c r="AC209"/>
  <c r="AC301"/>
  <c r="AC318"/>
  <c r="AC351"/>
  <c r="AC371"/>
  <c r="AC381"/>
  <c r="AC86"/>
  <c r="AA412"/>
  <c r="AA469"/>
  <c r="AC472"/>
  <c r="AC478"/>
  <c r="AC492"/>
  <c r="AC48"/>
  <c r="AC50"/>
  <c r="AC238"/>
  <c r="AC295"/>
  <c r="AC568"/>
  <c r="AC599"/>
  <c r="AC336"/>
  <c r="AC347"/>
  <c r="AC426"/>
  <c r="AC434"/>
  <c r="AC520"/>
  <c r="AC540"/>
  <c r="AC396"/>
  <c r="AC404"/>
  <c r="AC548"/>
  <c r="AC550"/>
  <c r="AC562"/>
  <c r="AC36"/>
  <c r="AC43"/>
  <c r="AA178"/>
  <c r="AC189"/>
  <c r="AC461"/>
  <c r="AA465"/>
  <c r="AC468"/>
  <c r="AF478" i="16"/>
  <c r="AF488"/>
  <c r="AF458"/>
  <c r="AF416"/>
  <c r="AF407"/>
  <c r="AF96"/>
  <c r="AF53"/>
  <c r="AF456"/>
  <c r="AF447"/>
  <c r="AF126"/>
  <c r="AF52"/>
  <c r="BL96" i="25"/>
  <c r="BT96" s="1"/>
  <c r="BV96" s="1"/>
  <c r="BL95"/>
  <c r="BT95" s="1"/>
  <c r="BV95" s="1"/>
  <c r="BL97"/>
  <c r="BT97"/>
  <c r="BV97" s="1"/>
  <c r="BL493"/>
  <c r="BT493" s="1"/>
  <c r="BV493" s="1"/>
  <c r="BL562"/>
  <c r="BT562" s="1"/>
  <c r="BV562" s="1"/>
  <c r="BL471"/>
  <c r="BT471" s="1"/>
  <c r="BV471" s="1"/>
  <c r="BL54"/>
  <c r="BT54"/>
  <c r="BV54" s="1"/>
  <c r="BL56"/>
  <c r="BT56" s="1"/>
  <c r="BV56" s="1"/>
  <c r="AU50" i="22"/>
  <c r="AC545" i="26"/>
  <c r="K240"/>
  <c r="AC240" s="1"/>
  <c r="BL520" i="2"/>
  <c r="BS520" s="1"/>
  <c r="BU520" s="1"/>
  <c r="BL572"/>
  <c r="BS572" s="1"/>
  <c r="BU572" s="1"/>
  <c r="BL331"/>
  <c r="BS331"/>
  <c r="BU331" s="1"/>
  <c r="BL435"/>
  <c r="BS435" s="1"/>
  <c r="BU435" s="1"/>
  <c r="BL370"/>
  <c r="BS370" s="1"/>
  <c r="BU370" s="1"/>
  <c r="BL337"/>
  <c r="BS337" s="1"/>
  <c r="BU337" s="1"/>
  <c r="BL143"/>
  <c r="BS143"/>
  <c r="BU143" s="1"/>
  <c r="BL327"/>
  <c r="BS327" s="1"/>
  <c r="BU327" s="1"/>
  <c r="BL45"/>
  <c r="BS45" s="1"/>
  <c r="BU45" s="1"/>
  <c r="BL144"/>
  <c r="BS144" s="1"/>
  <c r="BU144" s="1"/>
  <c r="BL145"/>
  <c r="BS145"/>
  <c r="BL395"/>
  <c r="BS395"/>
  <c r="BU395" s="1"/>
  <c r="BL178"/>
  <c r="BS178" s="1"/>
  <c r="BU178" s="1"/>
  <c r="BL235"/>
  <c r="BS235" s="1"/>
  <c r="BU235" s="1"/>
  <c r="AM56" i="1"/>
  <c r="BL56" i="2" s="1"/>
  <c r="BS56" s="1"/>
  <c r="BU56" s="1"/>
  <c r="BL38"/>
  <c r="BS38" s="1"/>
  <c r="BU38" s="1"/>
  <c r="BL43"/>
  <c r="BS43" s="1"/>
  <c r="BU43" s="1"/>
  <c r="BL172"/>
  <c r="BS172" s="1"/>
  <c r="BU172" s="1"/>
  <c r="BL183"/>
  <c r="BS183"/>
  <c r="BL184"/>
  <c r="BS184" s="1"/>
  <c r="BU184" s="1"/>
  <c r="BL185"/>
  <c r="BS185" s="1"/>
  <c r="BU185" s="1"/>
  <c r="BL186"/>
  <c r="BS186" s="1"/>
  <c r="BU186" s="1"/>
  <c r="BL167"/>
  <c r="BS167"/>
  <c r="BU167" s="1"/>
  <c r="BL405"/>
  <c r="BS405" s="1"/>
  <c r="BU405" s="1"/>
  <c r="BL495"/>
  <c r="BS495" s="1"/>
  <c r="BU495" s="1"/>
  <c r="BL70"/>
  <c r="BS70" s="1"/>
  <c r="BU70" s="1"/>
  <c r="BL76"/>
  <c r="BS76"/>
  <c r="BU76" s="1"/>
  <c r="BL78"/>
  <c r="BS78" s="1"/>
  <c r="BU78" s="1"/>
  <c r="BL33"/>
  <c r="BS33" s="1"/>
  <c r="BU33" s="1"/>
  <c r="BL83"/>
  <c r="BS83" s="1"/>
  <c r="BU83" s="1"/>
  <c r="BL208"/>
  <c r="BS208"/>
  <c r="BU208" s="1"/>
  <c r="BL293"/>
  <c r="BS293" s="1"/>
  <c r="BU293" s="1"/>
  <c r="BL558"/>
  <c r="BS558" s="1"/>
  <c r="BU558" s="1"/>
  <c r="BL173"/>
  <c r="BS173" s="1"/>
  <c r="BU173" s="1"/>
  <c r="BL177"/>
  <c r="BS177"/>
  <c r="BU177" s="1"/>
  <c r="BL333"/>
  <c r="BS333" s="1"/>
  <c r="BU333" s="1"/>
  <c r="BL407"/>
  <c r="BS407" s="1"/>
  <c r="BU407" s="1"/>
  <c r="BL182"/>
  <c r="BS182" s="1"/>
  <c r="BU182" s="1"/>
  <c r="BL492"/>
  <c r="BS492"/>
  <c r="BU492" s="1"/>
  <c r="BL61"/>
  <c r="BS61" s="1"/>
  <c r="BU61" s="1"/>
  <c r="BL75"/>
  <c r="BS75" s="1"/>
  <c r="BU75" s="1"/>
  <c r="BL77"/>
  <c r="BS77" s="1"/>
  <c r="BU77" s="1"/>
  <c r="AC407" i="14"/>
  <c r="AF328" i="16"/>
  <c r="AF404"/>
  <c r="AF518"/>
  <c r="AF525"/>
  <c r="AF124"/>
  <c r="AF463"/>
  <c r="AF171"/>
  <c r="AF341"/>
  <c r="AF382"/>
  <c r="AF257"/>
  <c r="AF180"/>
  <c r="AC113" i="26"/>
  <c r="AU113" i="22"/>
  <c r="BL63" i="25"/>
  <c r="BT63"/>
  <c r="BV63" s="1"/>
  <c r="BV298"/>
  <c r="AU51" i="22"/>
  <c r="AU73"/>
  <c r="BL73" i="25"/>
  <c r="BT73" s="1"/>
  <c r="BV73" s="1"/>
  <c r="AU279" i="22"/>
  <c r="BL279" i="25" s="1"/>
  <c r="BT279" s="1"/>
  <c r="BV279" s="1"/>
  <c r="BL34" i="2"/>
  <c r="BS34" s="1"/>
  <c r="BU34" s="1"/>
  <c r="AC112" i="14"/>
  <c r="AC152"/>
  <c r="AC350"/>
  <c r="AC390"/>
  <c r="AC558"/>
  <c r="AC571"/>
  <c r="AC32"/>
  <c r="AC166"/>
  <c r="AC465"/>
  <c r="AC502"/>
  <c r="AC247"/>
  <c r="AC454"/>
  <c r="AC556"/>
  <c r="AM146" i="1"/>
  <c r="BL146" i="2" s="1"/>
  <c r="BS146" s="1"/>
  <c r="BU146" s="1"/>
  <c r="AM590" i="1"/>
  <c r="BL590" i="2" s="1"/>
  <c r="BS590" s="1"/>
  <c r="BU590" s="1"/>
  <c r="AM322" i="1"/>
  <c r="BL322" i="2" s="1"/>
  <c r="BS322" s="1"/>
  <c r="BU322" s="1"/>
  <c r="AM324" i="1"/>
  <c r="BL324" i="2" s="1"/>
  <c r="BS324" s="1"/>
  <c r="BU324" s="1"/>
  <c r="AM326" i="1"/>
  <c r="BL326" i="2"/>
  <c r="BS326" s="1"/>
  <c r="BU326" s="1"/>
  <c r="AM219" i="1"/>
  <c r="BL219" i="2" s="1"/>
  <c r="BS219" s="1"/>
  <c r="BU219" s="1"/>
  <c r="AM346" i="1"/>
  <c r="AM198"/>
  <c r="BL198" i="2" s="1"/>
  <c r="BS198" s="1"/>
  <c r="BU198" s="1"/>
  <c r="AM344" i="1"/>
  <c r="BL342" i="2"/>
  <c r="BS342" s="1"/>
  <c r="BU342" s="1"/>
  <c r="AM151" i="1"/>
  <c r="BL151" i="2" s="1"/>
  <c r="BS151" s="1"/>
  <c r="BU151" s="1"/>
  <c r="AM152" i="1"/>
  <c r="BL152" i="2"/>
  <c r="BS152" s="1"/>
  <c r="BU152" s="1"/>
  <c r="AM364" i="1"/>
  <c r="BL364" i="2"/>
  <c r="BS364" s="1"/>
  <c r="BU364" s="1"/>
  <c r="AM382" i="1"/>
  <c r="BL382" i="2"/>
  <c r="BS382" s="1"/>
  <c r="BU382" s="1"/>
  <c r="AM385" i="1"/>
  <c r="BL385" i="2" s="1"/>
  <c r="BS385" s="1"/>
  <c r="BU385" s="1"/>
  <c r="AM263" i="1"/>
  <c r="AM264"/>
  <c r="BL262" i="2" s="1"/>
  <c r="BS262" s="1"/>
  <c r="BU262" s="1"/>
  <c r="AM271" i="1"/>
  <c r="BL271" i="2" s="1"/>
  <c r="BS271" s="1"/>
  <c r="BU271" s="1"/>
  <c r="AM290" i="1"/>
  <c r="AM567"/>
  <c r="BL567" i="2" s="1"/>
  <c r="BS567" s="1"/>
  <c r="BU567" s="1"/>
  <c r="AM580" i="1"/>
  <c r="BL580" i="2" s="1"/>
  <c r="BS580" s="1"/>
  <c r="BU580" s="1"/>
  <c r="AM585" i="1"/>
  <c r="BL585" i="2" s="1"/>
  <c r="BS585" s="1"/>
  <c r="BU585" s="1"/>
  <c r="AM594" i="1"/>
  <c r="BL592" i="2" s="1"/>
  <c r="BS592" s="1"/>
  <c r="BU592" s="1"/>
  <c r="AM596" i="1"/>
  <c r="BL594" i="2" s="1"/>
  <c r="BS594" s="1"/>
  <c r="BU594" s="1"/>
  <c r="AM449" i="1"/>
  <c r="BL449" i="2"/>
  <c r="BS449" s="1"/>
  <c r="BU449" s="1"/>
  <c r="AM261" i="1"/>
  <c r="BL259" i="2" s="1"/>
  <c r="BS259" s="1"/>
  <c r="BU259" s="1"/>
  <c r="AM390" i="1"/>
  <c r="BL390" i="2"/>
  <c r="BS390" s="1"/>
  <c r="BU390" s="1"/>
  <c r="AM26" i="1"/>
  <c r="BL26" i="2" s="1"/>
  <c r="BS26" s="1"/>
  <c r="BU26" s="1"/>
  <c r="AM163" i="1"/>
  <c r="BL163" i="2" s="1"/>
  <c r="BS163" s="1"/>
  <c r="BU163" s="1"/>
  <c r="AM440" i="1"/>
  <c r="BL440" i="2"/>
  <c r="BS440" s="1"/>
  <c r="BU440" s="1"/>
  <c r="Y84" i="1"/>
  <c r="AM255"/>
  <c r="BL255" i="2" s="1"/>
  <c r="BS255" s="1"/>
  <c r="BU255" s="1"/>
  <c r="AM469" i="1"/>
  <c r="BL469" i="2" s="1"/>
  <c r="BS469" s="1"/>
  <c r="BU469" s="1"/>
  <c r="AM154" i="1"/>
  <c r="BL154" i="2" s="1"/>
  <c r="AM14" i="1"/>
  <c r="BL14" i="2" s="1"/>
  <c r="BS14" s="1"/>
  <c r="BU14" s="1"/>
  <c r="AM130" i="1"/>
  <c r="BL130" i="2" s="1"/>
  <c r="BS130" s="1"/>
  <c r="BU130" s="1"/>
  <c r="AM158" i="1"/>
  <c r="BL158" i="2" s="1"/>
  <c r="BS158" s="1"/>
  <c r="BU158" s="1"/>
  <c r="AM196" i="1"/>
  <c r="AM197"/>
  <c r="BL197" i="2"/>
  <c r="BS197" s="1"/>
  <c r="BU197" s="1"/>
  <c r="AM200" i="1"/>
  <c r="BL200" i="2" s="1"/>
  <c r="BS200" s="1"/>
  <c r="BU200" s="1"/>
  <c r="AM201" i="1"/>
  <c r="BL201" i="2" s="1"/>
  <c r="BS201" s="1"/>
  <c r="BU201" s="1"/>
  <c r="AM202" i="1"/>
  <c r="BL202" i="2" s="1"/>
  <c r="BS202" s="1"/>
  <c r="BU202" s="1"/>
  <c r="AM203" i="1"/>
  <c r="BL203" i="2"/>
  <c r="BS203" s="1"/>
  <c r="BU203" s="1"/>
  <c r="AM205" i="1"/>
  <c r="BL205" i="2" s="1"/>
  <c r="BS205" s="1"/>
  <c r="BU205" s="1"/>
  <c r="AM209" i="1"/>
  <c r="AM211"/>
  <c r="BL211" i="2" s="1"/>
  <c r="BS211" s="1"/>
  <c r="BU211" s="1"/>
  <c r="AM213" i="1"/>
  <c r="BL213" i="2"/>
  <c r="BS213" s="1"/>
  <c r="BU213" s="1"/>
  <c r="AM305" i="1"/>
  <c r="AM310"/>
  <c r="BL310" i="2" s="1"/>
  <c r="BS310" s="1"/>
  <c r="BU310" s="1"/>
  <c r="AM312" i="1"/>
  <c r="BL312" i="2"/>
  <c r="BS312" s="1"/>
  <c r="BU312" s="1"/>
  <c r="AM317" i="1"/>
  <c r="BL317" i="2" s="1"/>
  <c r="BS317" s="1"/>
  <c r="BU317" s="1"/>
  <c r="AM319" i="1"/>
  <c r="BL319" i="2" s="1"/>
  <c r="BS319" s="1"/>
  <c r="BU319" s="1"/>
  <c r="AM89" i="1"/>
  <c r="BL89" i="2" s="1"/>
  <c r="BS89" s="1"/>
  <c r="BU89" s="1"/>
  <c r="AM90" i="1"/>
  <c r="BL90" i="2" s="1"/>
  <c r="BS90" s="1"/>
  <c r="BU90" s="1"/>
  <c r="AM99" i="1"/>
  <c r="BL97" i="2"/>
  <c r="BS97" s="1"/>
  <c r="BU97" s="1"/>
  <c r="AM521" i="1"/>
  <c r="AM297"/>
  <c r="BL297" i="2" s="1"/>
  <c r="BS297" s="1"/>
  <c r="BU297" s="1"/>
  <c r="AM148" i="1"/>
  <c r="BL148" i="2" s="1"/>
  <c r="BS148" s="1"/>
  <c r="BU148" s="1"/>
  <c r="AM175" i="1"/>
  <c r="BL175" i="2" s="1"/>
  <c r="BS175" s="1"/>
  <c r="BU175" s="1"/>
  <c r="Y461" i="1"/>
  <c r="AM461"/>
  <c r="BL461" i="2" s="1"/>
  <c r="BS461" s="1"/>
  <c r="BU461" s="1"/>
  <c r="AM466" i="1"/>
  <c r="BL466" i="2" s="1"/>
  <c r="BS466" s="1"/>
  <c r="BU466" s="1"/>
  <c r="AM467" i="1"/>
  <c r="BL467" i="2" s="1"/>
  <c r="BS467" s="1"/>
  <c r="BU467" s="1"/>
  <c r="AM478" i="1"/>
  <c r="BL478" i="2" s="1"/>
  <c r="AM100" i="1"/>
  <c r="BL98" i="2" s="1"/>
  <c r="BS98" s="1"/>
  <c r="BU98" s="1"/>
  <c r="AM269" i="1"/>
  <c r="AM367"/>
  <c r="BL367" i="2" s="1"/>
  <c r="BS367" s="1"/>
  <c r="AM140" i="1"/>
  <c r="BL140" i="2" s="1"/>
  <c r="BS140" s="1"/>
  <c r="BU140" s="1"/>
  <c r="AM147" i="1"/>
  <c r="BL147" i="2"/>
  <c r="BS147" s="1"/>
  <c r="BU147" s="1"/>
  <c r="AM188" i="1"/>
  <c r="BL188" i="2" s="1"/>
  <c r="BS188" s="1"/>
  <c r="BU188" s="1"/>
  <c r="AM52" i="1"/>
  <c r="BL52" i="2"/>
  <c r="BS52" s="1"/>
  <c r="BU52" s="1"/>
  <c r="AM62" i="1"/>
  <c r="BL62" i="2" s="1"/>
  <c r="BS62" s="1"/>
  <c r="BU62" s="1"/>
  <c r="AM69" i="1"/>
  <c r="BL69" i="2"/>
  <c r="BS69" s="1"/>
  <c r="BU69" s="1"/>
  <c r="AM85" i="1"/>
  <c r="BL85" i="2" s="1"/>
  <c r="BS85" s="1"/>
  <c r="BU85" s="1"/>
  <c r="AM392" i="1"/>
  <c r="BL392" i="2" s="1"/>
  <c r="BS392" s="1"/>
  <c r="BU392" s="1"/>
  <c r="AM88" i="1"/>
  <c r="AM252"/>
  <c r="BL252" i="2" s="1"/>
  <c r="BS252" s="1"/>
  <c r="BU252" s="1"/>
  <c r="AM259" i="1"/>
  <c r="BL257" i="2" s="1"/>
  <c r="BS257" s="1"/>
  <c r="BU257" s="1"/>
  <c r="AM323" i="1"/>
  <c r="AM458"/>
  <c r="BL458" i="2" s="1"/>
  <c r="BS458" s="1"/>
  <c r="BU458" s="1"/>
  <c r="AM410" i="1"/>
  <c r="BL410" i="2"/>
  <c r="BS410" s="1"/>
  <c r="BU410" s="1"/>
  <c r="AM417" i="1"/>
  <c r="BL417" i="2" s="1"/>
  <c r="BS417" s="1"/>
  <c r="BU417" s="1"/>
  <c r="AM422" i="1"/>
  <c r="BL422" i="2" s="1"/>
  <c r="BS422" s="1"/>
  <c r="BU422" s="1"/>
  <c r="AM433" i="1"/>
  <c r="BL431" i="2"/>
  <c r="BS431" s="1"/>
  <c r="BU431" s="1"/>
  <c r="AM534" i="1"/>
  <c r="BL534" i="2" s="1"/>
  <c r="BS534" s="1"/>
  <c r="BU534" s="1"/>
  <c r="AM81" i="1"/>
  <c r="BL81" i="2" s="1"/>
  <c r="BS81" s="1"/>
  <c r="BU81" s="1"/>
  <c r="AM84" i="1"/>
  <c r="BL84" i="2" s="1"/>
  <c r="BS84" s="1"/>
  <c r="BU84" s="1"/>
  <c r="AM96" i="1"/>
  <c r="BL96" i="2" s="1"/>
  <c r="BS96" s="1"/>
  <c r="BU96" s="1"/>
  <c r="AM142" i="1"/>
  <c r="BL142" i="2" s="1"/>
  <c r="BS142" s="1"/>
  <c r="BU142" s="1"/>
  <c r="AM401" i="1"/>
  <c r="BL401" i="2" s="1"/>
  <c r="BS401" s="1"/>
  <c r="BU401" s="1"/>
  <c r="AM169" i="1"/>
  <c r="BL169" i="2" s="1"/>
  <c r="BS169" s="1"/>
  <c r="BU169" s="1"/>
  <c r="AM464" i="1"/>
  <c r="BL464" i="2" s="1"/>
  <c r="BS464" s="1"/>
  <c r="BU464" s="1"/>
  <c r="AM471" i="1"/>
  <c r="BL471" i="2" s="1"/>
  <c r="BS471" s="1"/>
  <c r="BU471" s="1"/>
  <c r="AM487" i="1"/>
  <c r="BL487" i="2" s="1"/>
  <c r="BS487" s="1"/>
  <c r="BU487" s="1"/>
  <c r="Y247" i="1"/>
  <c r="AM247"/>
  <c r="AM571"/>
  <c r="Y356"/>
  <c r="AM356" s="1"/>
  <c r="BL356" i="2" s="1"/>
  <c r="BS356" s="1"/>
  <c r="BU356" s="1"/>
  <c r="AM161" i="1"/>
  <c r="BL161" i="2" s="1"/>
  <c r="BS161" s="1"/>
  <c r="BU161" s="1"/>
  <c r="Y159" i="1"/>
  <c r="AM159" s="1"/>
  <c r="BL159" i="2" s="1"/>
  <c r="BS159" s="1"/>
  <c r="BU159" s="1"/>
  <c r="AM11" i="1"/>
  <c r="BL11" i="2" s="1"/>
  <c r="BS11" s="1"/>
  <c r="BU11" s="1"/>
  <c r="AM16" i="1"/>
  <c r="BL16" i="2" s="1"/>
  <c r="BS16" s="1"/>
  <c r="BU16" s="1"/>
  <c r="AM17" i="1"/>
  <c r="BL17" i="2" s="1"/>
  <c r="BS17" s="1"/>
  <c r="BU17" s="1"/>
  <c r="AM110" i="1"/>
  <c r="BL110" i="2" s="1"/>
  <c r="BS110" s="1"/>
  <c r="AM117" i="1"/>
  <c r="BL117" i="2" s="1"/>
  <c r="BS117" s="1"/>
  <c r="BU117" s="1"/>
  <c r="AM138" i="1"/>
  <c r="BL138" i="2" s="1"/>
  <c r="BS138" s="1"/>
  <c r="BU138" s="1"/>
  <c r="AM155" i="1"/>
  <c r="BL155" i="2" s="1"/>
  <c r="BS155" s="1"/>
  <c r="BU155" s="1"/>
  <c r="AM156" i="1"/>
  <c r="BL156" i="2" s="1"/>
  <c r="BS156" s="1"/>
  <c r="BU156" s="1"/>
  <c r="AM194" i="1"/>
  <c r="AM204"/>
  <c r="BL204" i="2" s="1"/>
  <c r="AM372" i="1"/>
  <c r="BL372" i="2" s="1"/>
  <c r="BS372" s="1"/>
  <c r="BU372" s="1"/>
  <c r="AM376" i="1"/>
  <c r="BL376" i="2" s="1"/>
  <c r="BS376" s="1"/>
  <c r="BU376" s="1"/>
  <c r="AM388" i="1"/>
  <c r="BL388" i="2" s="1"/>
  <c r="BS388" s="1"/>
  <c r="BU388" s="1"/>
  <c r="AM101" i="1"/>
  <c r="BL101" i="2" s="1"/>
  <c r="BS101" s="1"/>
  <c r="BU101" s="1"/>
  <c r="AM289" i="1"/>
  <c r="BL289" i="2" s="1"/>
  <c r="BS289" s="1"/>
  <c r="BU289" s="1"/>
  <c r="AM568" i="1"/>
  <c r="BL568" i="2" s="1"/>
  <c r="BS568" s="1"/>
  <c r="BU568" s="1"/>
  <c r="AM578" i="1"/>
  <c r="BL578" i="2" s="1"/>
  <c r="BS578" s="1"/>
  <c r="BU578" s="1"/>
  <c r="AM415" i="1"/>
  <c r="BL415" i="2" s="1"/>
  <c r="BS415" s="1"/>
  <c r="BU415" s="1"/>
  <c r="AM432" i="1"/>
  <c r="BL430" i="2" s="1"/>
  <c r="BS430" s="1"/>
  <c r="BU430" s="1"/>
  <c r="AM513" i="1"/>
  <c r="BL511" i="2" s="1"/>
  <c r="BS511" s="1"/>
  <c r="BU511" s="1"/>
  <c r="Y28" i="1"/>
  <c r="AM28"/>
  <c r="BL28" i="2" s="1"/>
  <c r="BS28" s="1"/>
  <c r="BU28" s="1"/>
  <c r="AM119" i="1"/>
  <c r="BL119" i="2" s="1"/>
  <c r="BS119" s="1"/>
  <c r="BU119" s="1"/>
  <c r="AM400" i="1"/>
  <c r="BL400" i="2" s="1"/>
  <c r="BS400" s="1"/>
  <c r="BU400" s="1"/>
  <c r="AM168" i="1"/>
  <c r="BL168" i="2" s="1"/>
  <c r="BS168" s="1"/>
  <c r="BU168" s="1"/>
  <c r="AM191" i="1"/>
  <c r="BL191" i="2"/>
  <c r="BS191" s="1"/>
  <c r="BU191" s="1"/>
  <c r="Y54" i="1"/>
  <c r="AM54" s="1"/>
  <c r="BL54" i="2" s="1"/>
  <c r="BS54" s="1"/>
  <c r="BU54" s="1"/>
  <c r="AM59" i="1"/>
  <c r="BL59" i="2" s="1"/>
  <c r="BS59" s="1"/>
  <c r="BU59" s="1"/>
  <c r="AM233" i="1"/>
  <c r="AM348"/>
  <c r="BL346" i="2" s="1"/>
  <c r="BS346" s="1"/>
  <c r="BU346" s="1"/>
  <c r="AM24" i="1"/>
  <c r="BL24" i="2" s="1"/>
  <c r="BS24" s="1"/>
  <c r="BU24" s="1"/>
  <c r="BL31"/>
  <c r="BS31"/>
  <c r="BU31" s="1"/>
  <c r="AM303" i="1"/>
  <c r="BL303" i="2" s="1"/>
  <c r="BS303" s="1"/>
  <c r="BU303" s="1"/>
  <c r="AM304" i="1"/>
  <c r="BL304" i="2" s="1"/>
  <c r="BS304" s="1"/>
  <c r="BU304" s="1"/>
  <c r="AM309" i="1"/>
  <c r="BL309" i="2" s="1"/>
  <c r="BS309" s="1"/>
  <c r="BU309" s="1"/>
  <c r="AM313" i="1"/>
  <c r="BL313" i="2" s="1"/>
  <c r="BS313" s="1"/>
  <c r="BU313" s="1"/>
  <c r="AM314" i="1"/>
  <c r="BL314" i="2"/>
  <c r="BS314" s="1"/>
  <c r="BU314" s="1"/>
  <c r="AM365" i="1"/>
  <c r="BL393" i="2"/>
  <c r="BS393"/>
  <c r="BU393" s="1"/>
  <c r="BL260"/>
  <c r="BS260" s="1"/>
  <c r="BU260" s="1"/>
  <c r="BL270"/>
  <c r="BS270" s="1"/>
  <c r="BU270" s="1"/>
  <c r="AM276" i="1"/>
  <c r="BL276" i="2" s="1"/>
  <c r="BS276" s="1"/>
  <c r="BU276" s="1"/>
  <c r="BL286"/>
  <c r="BS286" s="1"/>
  <c r="BU286" s="1"/>
  <c r="BL290"/>
  <c r="BS290" s="1"/>
  <c r="BU290" s="1"/>
  <c r="AM296" i="1"/>
  <c r="BL296" i="2" s="1"/>
  <c r="BS296" s="1"/>
  <c r="BU296" s="1"/>
  <c r="AM300" i="1"/>
  <c r="BL300" i="2"/>
  <c r="BS300" s="1"/>
  <c r="BU300" s="1"/>
  <c r="AM575" i="1"/>
  <c r="BL575" i="2"/>
  <c r="BS575" s="1"/>
  <c r="BU575" s="1"/>
  <c r="AM584" i="1"/>
  <c r="BL584" i="2"/>
  <c r="BS584" s="1"/>
  <c r="BU584" s="1"/>
  <c r="BL587"/>
  <c r="BS587"/>
  <c r="BU587" s="1"/>
  <c r="BL323"/>
  <c r="BS323" s="1"/>
  <c r="BU323" s="1"/>
  <c r="AM332" i="1"/>
  <c r="BL332" i="2" s="1"/>
  <c r="BS332" s="1"/>
  <c r="BU332" s="1"/>
  <c r="BL345"/>
  <c r="BS345" s="1"/>
  <c r="BU345" s="1"/>
  <c r="BL354"/>
  <c r="BS354" s="1"/>
  <c r="BU354" s="1"/>
  <c r="AM359" i="1"/>
  <c r="BL359" i="2" s="1"/>
  <c r="BS359" s="1"/>
  <c r="BU359" s="1"/>
  <c r="AM223" i="1"/>
  <c r="BL223" i="2" s="1"/>
  <c r="BS223" s="1"/>
  <c r="BU223" s="1"/>
  <c r="BL224"/>
  <c r="BS224"/>
  <c r="BU224" s="1"/>
  <c r="BL234"/>
  <c r="BS234" s="1"/>
  <c r="BU234" s="1"/>
  <c r="BL443"/>
  <c r="BS443" s="1"/>
  <c r="BU443" s="1"/>
  <c r="BL528"/>
  <c r="BS528" s="1"/>
  <c r="BU528" s="1"/>
  <c r="AM530" i="1"/>
  <c r="BL530" i="2" s="1"/>
  <c r="BS530" s="1"/>
  <c r="BU530" s="1"/>
  <c r="BL532"/>
  <c r="BS532" s="1"/>
  <c r="BU532" s="1"/>
  <c r="AM544" i="1"/>
  <c r="BL544" i="2"/>
  <c r="BS544" s="1"/>
  <c r="BU544" s="1"/>
  <c r="AM93" i="1"/>
  <c r="BL93" i="2"/>
  <c r="BS93" s="1"/>
  <c r="BU93" s="1"/>
  <c r="Y112" i="1"/>
  <c r="AM112"/>
  <c r="BL112" i="2" s="1"/>
  <c r="BS112" s="1"/>
  <c r="BU112" s="1"/>
  <c r="BL493"/>
  <c r="BS493" s="1"/>
  <c r="BU493" s="1"/>
  <c r="BL502"/>
  <c r="BS502" s="1"/>
  <c r="BU502" s="1"/>
  <c r="BL506"/>
  <c r="BS506" s="1"/>
  <c r="BU506" s="1"/>
  <c r="AM570" i="1"/>
  <c r="BL570" i="2"/>
  <c r="BS570" s="1"/>
  <c r="BU570" s="1"/>
  <c r="AM137" i="1"/>
  <c r="BL137" i="2" s="1"/>
  <c r="BS137" s="1"/>
  <c r="BU137" s="1"/>
  <c r="BL157"/>
  <c r="BS157" s="1"/>
  <c r="BU157" s="1"/>
  <c r="BL305"/>
  <c r="BS305"/>
  <c r="BU305" s="1"/>
  <c r="AM379" i="1"/>
  <c r="BL379" i="2" s="1"/>
  <c r="BS379" s="1"/>
  <c r="BU379" s="1"/>
  <c r="BL269"/>
  <c r="BS269" s="1"/>
  <c r="BU269" s="1"/>
  <c r="AM277" i="1"/>
  <c r="BL277" i="2" s="1"/>
  <c r="BS277" s="1"/>
  <c r="BU277" s="1"/>
  <c r="BL285"/>
  <c r="BS285" s="1"/>
  <c r="BU285" s="1"/>
  <c r="AM548" i="1"/>
  <c r="BL571" i="2"/>
  <c r="BS571" s="1"/>
  <c r="BU571" s="1"/>
  <c r="BL583"/>
  <c r="BS583" s="1"/>
  <c r="BU583" s="1"/>
  <c r="BL596"/>
  <c r="BS596" s="1"/>
  <c r="BU596" s="1"/>
  <c r="BL233"/>
  <c r="BS233" s="1"/>
  <c r="BU233" s="1"/>
  <c r="AM409" i="1"/>
  <c r="BL409" i="2"/>
  <c r="BS409" s="1"/>
  <c r="BU409" s="1"/>
  <c r="BL411"/>
  <c r="BS411"/>
  <c r="BU411" s="1"/>
  <c r="AM416" i="1"/>
  <c r="BL416" i="2" s="1"/>
  <c r="BS416" s="1"/>
  <c r="BU416" s="1"/>
  <c r="BL423"/>
  <c r="BS423" s="1"/>
  <c r="BU423" s="1"/>
  <c r="AM424" i="1"/>
  <c r="BL424" i="2" s="1"/>
  <c r="BS424" s="1"/>
  <c r="BU424" s="1"/>
  <c r="AM429" i="1"/>
  <c r="BL427" i="2"/>
  <c r="BS427" s="1"/>
  <c r="BU427" s="1"/>
  <c r="AM430" i="1"/>
  <c r="AM441"/>
  <c r="BL441" i="2" s="1"/>
  <c r="BS441" s="1"/>
  <c r="BU441" s="1"/>
  <c r="AM516" i="1"/>
  <c r="BL514" i="2" s="1"/>
  <c r="BS514" s="1"/>
  <c r="BU514" s="1"/>
  <c r="AM518" i="1"/>
  <c r="BL516" i="2" s="1"/>
  <c r="BS516" s="1"/>
  <c r="BU516" s="1"/>
  <c r="BL519"/>
  <c r="BS519" s="1"/>
  <c r="BU519" s="1"/>
  <c r="AM525" i="1"/>
  <c r="BL525" i="2" s="1"/>
  <c r="BS525" s="1"/>
  <c r="BU525" s="1"/>
  <c r="AM514" i="1"/>
  <c r="BL512" i="2" s="1"/>
  <c r="BS512" s="1"/>
  <c r="BU512" s="1"/>
  <c r="AM547" i="1"/>
  <c r="BL547" i="2" s="1"/>
  <c r="BS547" s="1"/>
  <c r="BU547" s="1"/>
  <c r="AM123" i="1"/>
  <c r="BL123" i="2"/>
  <c r="BS123" s="1"/>
  <c r="BU123" s="1"/>
  <c r="AM470" i="1"/>
  <c r="BL470" i="2" s="1"/>
  <c r="BS470" s="1"/>
  <c r="BU470" s="1"/>
  <c r="AM475" i="1"/>
  <c r="AM476"/>
  <c r="BL476" i="2" s="1"/>
  <c r="BS476" s="1"/>
  <c r="BU476" s="1"/>
  <c r="AM477" i="1"/>
  <c r="BL477" i="2"/>
  <c r="BS477" s="1"/>
  <c r="BU477" s="1"/>
  <c r="AM486" i="1"/>
  <c r="BL486" i="2" s="1"/>
  <c r="BS486" s="1"/>
  <c r="BU486" s="1"/>
  <c r="AM491" i="1"/>
  <c r="BL491" i="2"/>
  <c r="BS491" s="1"/>
  <c r="BU491" s="1"/>
  <c r="AM496" i="1"/>
  <c r="AM504"/>
  <c r="BL504" i="2" s="1"/>
  <c r="BS504" s="1"/>
  <c r="BU504" s="1"/>
  <c r="BL468"/>
  <c r="BS468" s="1"/>
  <c r="BU468" s="1"/>
  <c r="BS474"/>
  <c r="BU474" s="1"/>
  <c r="BL494"/>
  <c r="BS494" s="1"/>
  <c r="BU494" s="1"/>
  <c r="BL503"/>
  <c r="BS503" s="1"/>
  <c r="BU503" s="1"/>
  <c r="BL505"/>
  <c r="BS505"/>
  <c r="BU505" s="1"/>
  <c r="BL507"/>
  <c r="BS507" s="1"/>
  <c r="BU507" s="1"/>
  <c r="BL49"/>
  <c r="BS49" s="1"/>
  <c r="BU49" s="1"/>
  <c r="BL229"/>
  <c r="BS229" s="1"/>
  <c r="BU229" s="1"/>
  <c r="AM246" i="1"/>
  <c r="BS154" i="2"/>
  <c r="BU154" s="1"/>
  <c r="AM91" i="1"/>
  <c r="BL91" i="2"/>
  <c r="BS91" s="1"/>
  <c r="BU91" s="1"/>
  <c r="AM21" i="1"/>
  <c r="BL21" i="2" s="1"/>
  <c r="BS21" s="1"/>
  <c r="BU21" s="1"/>
  <c r="AC210" i="14"/>
  <c r="AC225"/>
  <c r="AC595"/>
  <c r="AC418"/>
  <c r="AC143"/>
  <c r="AC420"/>
  <c r="AC34"/>
  <c r="AC505"/>
  <c r="AG138" i="15"/>
  <c r="AI138" s="1"/>
  <c r="AY134" i="17" s="1"/>
  <c r="BC134" s="1"/>
  <c r="BE134" s="1"/>
  <c r="AI203" i="15"/>
  <c r="AY200" i="17"/>
  <c r="BC200" s="1"/>
  <c r="BE200" s="1"/>
  <c r="AI193" i="15"/>
  <c r="AY190" i="17"/>
  <c r="BC190" s="1"/>
  <c r="BE190" s="1"/>
  <c r="AI576" i="15"/>
  <c r="AY572" i="17"/>
  <c r="BC572" s="1"/>
  <c r="BE572" s="1"/>
  <c r="AI296" i="15"/>
  <c r="AY293" i="17"/>
  <c r="BC293" s="1"/>
  <c r="BE293" s="1"/>
  <c r="AI299" i="15"/>
  <c r="AY296" i="17"/>
  <c r="BC296" s="1"/>
  <c r="BE296" s="1"/>
  <c r="AG142" i="15"/>
  <c r="AI142"/>
  <c r="AY138" i="17" s="1"/>
  <c r="BC138" s="1"/>
  <c r="BE138" s="1"/>
  <c r="AI148" i="15"/>
  <c r="AY144" i="17"/>
  <c r="BC144" s="1"/>
  <c r="BE144" s="1"/>
  <c r="AI22" i="15"/>
  <c r="AY23" i="17" s="1"/>
  <c r="BC23" s="1"/>
  <c r="BE23" s="1"/>
  <c r="AG23" i="15"/>
  <c r="AI23"/>
  <c r="AY24" i="17" s="1"/>
  <c r="BC24" s="1"/>
  <c r="BE24" s="1"/>
  <c r="AG112" i="15"/>
  <c r="AI112" s="1"/>
  <c r="AY108" i="17" s="1"/>
  <c r="BC108" s="1"/>
  <c r="BE108" s="1"/>
  <c r="AG127" i="15"/>
  <c r="AI127" s="1"/>
  <c r="AY123" i="17" s="1"/>
  <c r="BC123" s="1"/>
  <c r="BE123" s="1"/>
  <c r="AI274" i="15"/>
  <c r="AY271" i="17"/>
  <c r="BC271" s="1"/>
  <c r="BE271" s="1"/>
  <c r="AG339" i="15"/>
  <c r="AI339"/>
  <c r="AY336" i="17" s="1"/>
  <c r="BC336" s="1"/>
  <c r="BE336" s="1"/>
  <c r="AI518" i="15"/>
  <c r="AY514" i="17"/>
  <c r="BC514" s="1"/>
  <c r="BE514" s="1"/>
  <c r="AI110" i="15"/>
  <c r="AY106" i="17" s="1"/>
  <c r="BC106" s="1"/>
  <c r="BE106" s="1"/>
  <c r="AI105" i="15"/>
  <c r="AY101" i="17"/>
  <c r="BC101" s="1"/>
  <c r="BE101" s="1"/>
  <c r="AI93" i="15"/>
  <c r="AY90" i="17" s="1"/>
  <c r="BC90" s="1"/>
  <c r="BE90" s="1"/>
  <c r="AI84" i="15"/>
  <c r="AG442"/>
  <c r="AI442" s="1"/>
  <c r="AY439" i="17" s="1"/>
  <c r="BC439" s="1"/>
  <c r="BE439" s="1"/>
  <c r="AG512" i="15"/>
  <c r="AI512" s="1"/>
  <c r="AY508" i="17" s="1"/>
  <c r="BC508" s="1"/>
  <c r="BE508" s="1"/>
  <c r="AG536" i="15"/>
  <c r="AI536"/>
  <c r="AY532" i="17" s="1"/>
  <c r="BC532" s="1"/>
  <c r="BE532" s="1"/>
  <c r="AG14" i="15"/>
  <c r="AI14"/>
  <c r="AY14" i="17" s="1"/>
  <c r="BC14" s="1"/>
  <c r="BE14" s="1"/>
  <c r="AG259" i="15"/>
  <c r="AI259" s="1"/>
  <c r="AY256" i="17" s="1"/>
  <c r="BC256" s="1"/>
  <c r="BE256" s="1"/>
  <c r="AG268" i="15"/>
  <c r="AI268" s="1"/>
  <c r="AY265" i="17" s="1"/>
  <c r="BC265" s="1"/>
  <c r="BE265" s="1"/>
  <c r="AG377" i="15"/>
  <c r="AI377"/>
  <c r="AY374" i="17" s="1"/>
  <c r="BC374" s="1"/>
  <c r="BE374" s="1"/>
  <c r="AG33" i="15"/>
  <c r="AI33"/>
  <c r="AY34" i="17" s="1"/>
  <c r="BC34" s="1"/>
  <c r="BE34" s="1"/>
  <c r="AG35" i="15"/>
  <c r="AI487"/>
  <c r="AY483" i="17"/>
  <c r="BC483" s="1"/>
  <c r="BE483" s="1"/>
  <c r="AI441" i="15"/>
  <c r="AY438" i="17" s="1"/>
  <c r="BC438" s="1"/>
  <c r="BE438" s="1"/>
  <c r="AI513" i="15"/>
  <c r="AY509" i="17"/>
  <c r="BC509" s="1"/>
  <c r="BE509" s="1"/>
  <c r="AI282" i="15"/>
  <c r="AY279" i="17" s="1"/>
  <c r="BC279" s="1"/>
  <c r="BE279" s="1"/>
  <c r="AI283" i="15"/>
  <c r="AY280" i="17"/>
  <c r="BC280" s="1"/>
  <c r="BE280" s="1"/>
  <c r="AI378" i="15"/>
  <c r="AY375" i="17" s="1"/>
  <c r="BC375" s="1"/>
  <c r="BE375" s="1"/>
  <c r="AI390" i="15"/>
  <c r="AY387" i="17"/>
  <c r="BC387" s="1"/>
  <c r="BE387" s="1"/>
  <c r="AI549" i="15"/>
  <c r="AY545" i="17" s="1"/>
  <c r="BC545" s="1"/>
  <c r="BE545" s="1"/>
  <c r="AI554" i="15"/>
  <c r="AY550" i="17"/>
  <c r="BC550" s="1"/>
  <c r="BE550" s="1"/>
  <c r="AI35" i="15"/>
  <c r="AY36" i="17" s="1"/>
  <c r="BC36" s="1"/>
  <c r="BE36" s="1"/>
  <c r="AI39" i="15"/>
  <c r="AY40" i="17"/>
  <c r="BC40" s="1"/>
  <c r="BE40" s="1"/>
  <c r="AI164" i="15"/>
  <c r="AY160" i="17" s="1"/>
  <c r="BC160" s="1"/>
  <c r="BE160" s="1"/>
  <c r="AI57" i="15"/>
  <c r="AY58" i="17"/>
  <c r="BC58" s="1"/>
  <c r="BE58" s="1"/>
  <c r="AI479" i="15"/>
  <c r="AY475" i="17" s="1"/>
  <c r="BC475" s="1"/>
  <c r="BE475" s="1"/>
  <c r="AI469" i="15"/>
  <c r="AY465" i="17"/>
  <c r="BC465" s="1"/>
  <c r="BE465" s="1"/>
  <c r="AI192" i="15"/>
  <c r="AY189" i="17" s="1"/>
  <c r="BC189" s="1"/>
  <c r="BE189" s="1"/>
  <c r="AI200" i="15"/>
  <c r="AY197" i="17"/>
  <c r="BC197" s="1"/>
  <c r="BE197" s="1"/>
  <c r="AI206" i="15"/>
  <c r="AY203" i="17" s="1"/>
  <c r="BC203" s="1"/>
  <c r="BE203" s="1"/>
  <c r="AI226" i="15"/>
  <c r="AY223" i="17"/>
  <c r="BC223" s="1"/>
  <c r="BE223" s="1"/>
  <c r="AI260" i="15"/>
  <c r="AY257" i="17" s="1"/>
  <c r="BC257" s="1"/>
  <c r="BE257" s="1"/>
  <c r="AI572" i="15"/>
  <c r="AY568" i="17"/>
  <c r="BC568" s="1"/>
  <c r="BE568" s="1"/>
  <c r="AI584" i="15"/>
  <c r="AY580" i="17" s="1"/>
  <c r="BC580" s="1"/>
  <c r="BE580" s="1"/>
  <c r="AI585" i="15"/>
  <c r="AI580"/>
  <c r="AY576" i="17" s="1"/>
  <c r="BC576" s="1"/>
  <c r="BE576" s="1"/>
  <c r="AI476" i="15"/>
  <c r="AY472" i="17" s="1"/>
  <c r="BC472" s="1"/>
  <c r="BE472" s="1"/>
  <c r="AI334" i="15"/>
  <c r="AY331" i="17" s="1"/>
  <c r="BC331" s="1"/>
  <c r="BE331" s="1"/>
  <c r="AG143" i="15"/>
  <c r="AI143" s="1"/>
  <c r="AY139" i="17" s="1"/>
  <c r="BC139" s="1"/>
  <c r="BE139" s="1"/>
  <c r="AI562" i="15"/>
  <c r="AY558" i="17" s="1"/>
  <c r="BC558" s="1"/>
  <c r="BE558" s="1"/>
  <c r="AI505" i="15"/>
  <c r="AY502" i="17"/>
  <c r="BC502" s="1"/>
  <c r="BE502" s="1"/>
  <c r="AI428" i="15"/>
  <c r="AY425" i="17"/>
  <c r="BC425" s="1"/>
  <c r="BE425" s="1"/>
  <c r="AI415" i="15"/>
  <c r="AY412" i="17"/>
  <c r="BC412" s="1"/>
  <c r="BE412" s="1"/>
  <c r="AI379" i="15"/>
  <c r="AI373"/>
  <c r="AY370" i="17" s="1"/>
  <c r="BC370" s="1"/>
  <c r="BE370" s="1"/>
  <c r="AI372" i="15"/>
  <c r="AY369" i="17"/>
  <c r="BC369" s="1"/>
  <c r="BE369" s="1"/>
  <c r="AI371" i="15"/>
  <c r="AY368" i="17" s="1"/>
  <c r="BC368" s="1"/>
  <c r="BE368" s="1"/>
  <c r="AI357" i="15"/>
  <c r="AY354" i="17"/>
  <c r="BC354" s="1"/>
  <c r="BE354" s="1"/>
  <c r="AI354" i="15"/>
  <c r="AY351" i="17" s="1"/>
  <c r="BC351" s="1"/>
  <c r="BE351" s="1"/>
  <c r="AI298" i="15"/>
  <c r="AY295" i="17"/>
  <c r="BC295" s="1"/>
  <c r="BE295" s="1"/>
  <c r="AI295" i="15"/>
  <c r="AY292" i="17" s="1"/>
  <c r="BC292" s="1"/>
  <c r="BE292" s="1"/>
  <c r="AI224" i="15"/>
  <c r="AY221" i="17"/>
  <c r="BC221" s="1"/>
  <c r="BE221" s="1"/>
  <c r="AI223" i="15"/>
  <c r="AY220" i="17" s="1"/>
  <c r="BC220" s="1"/>
  <c r="BE220" s="1"/>
  <c r="AI219" i="15"/>
  <c r="AY216" i="17"/>
  <c r="BC216" s="1"/>
  <c r="BE216" s="1"/>
  <c r="AI218" i="15"/>
  <c r="AY215" i="17" s="1"/>
  <c r="BC215" s="1"/>
  <c r="BE215" s="1"/>
  <c r="AI217" i="15"/>
  <c r="AY214" i="17"/>
  <c r="BC214" s="1"/>
  <c r="BE214" s="1"/>
  <c r="AI216" i="15"/>
  <c r="AY213" i="17" s="1"/>
  <c r="BC213" s="1"/>
  <c r="BE213" s="1"/>
  <c r="AI194" i="15"/>
  <c r="AY191" i="17"/>
  <c r="BC191" s="1"/>
  <c r="BE191" s="1"/>
  <c r="AI183" i="15"/>
  <c r="AY180" i="17" s="1"/>
  <c r="BC180" s="1"/>
  <c r="BE180" s="1"/>
  <c r="AI152" i="15"/>
  <c r="AI146"/>
  <c r="AY142" i="17" s="1"/>
  <c r="BC142" s="1"/>
  <c r="BE142" s="1"/>
  <c r="AI137" i="15"/>
  <c r="AY133" i="17" s="1"/>
  <c r="BC133" s="1"/>
  <c r="BE133" s="1"/>
  <c r="AI98" i="15"/>
  <c r="AY94" i="17" s="1"/>
  <c r="BC94" s="1"/>
  <c r="BE94" s="1"/>
  <c r="AI95" i="15"/>
  <c r="AI79"/>
  <c r="AY77" i="17"/>
  <c r="BC77" s="1"/>
  <c r="BE77" s="1"/>
  <c r="AI494" i="15"/>
  <c r="AY490" i="17" s="1"/>
  <c r="BC490" s="1"/>
  <c r="BE490" s="1"/>
  <c r="AI90" i="15"/>
  <c r="AY87" i="17"/>
  <c r="BC87" s="1"/>
  <c r="BE87" s="1"/>
  <c r="AI392" i="15"/>
  <c r="AY389" i="17" s="1"/>
  <c r="BC389" s="1"/>
  <c r="BE389" s="1"/>
  <c r="AI437" i="15"/>
  <c r="AY434" i="17"/>
  <c r="BC434" s="1"/>
  <c r="BE434" s="1"/>
  <c r="AI310" i="15"/>
  <c r="AY307" i="17" s="1"/>
  <c r="BC307" s="1"/>
  <c r="BE307" s="1"/>
  <c r="AI167" i="15"/>
  <c r="AY163" i="17"/>
  <c r="BC163" s="1"/>
  <c r="BE163" s="1"/>
  <c r="AI485" i="15"/>
  <c r="AY481" i="17" s="1"/>
  <c r="BC481" s="1"/>
  <c r="BE481" s="1"/>
  <c r="AI468" i="15"/>
  <c r="AY464" i="17"/>
  <c r="BC464" s="1"/>
  <c r="BE464" s="1"/>
  <c r="AI480" i="15"/>
  <c r="AY476" i="17" s="1"/>
  <c r="BC476" s="1"/>
  <c r="BE476" s="1"/>
  <c r="AI25" i="15"/>
  <c r="AY26" i="17"/>
  <c r="BC26" s="1"/>
  <c r="BE26" s="1"/>
  <c r="AY258"/>
  <c r="BC258" s="1"/>
  <c r="BE258" s="1"/>
  <c r="AI375" i="15"/>
  <c r="AY372" i="17"/>
  <c r="BC372" s="1"/>
  <c r="BE372" s="1"/>
  <c r="AI59" i="15"/>
  <c r="AY60" i="17"/>
  <c r="BC60" s="1"/>
  <c r="BE60" s="1"/>
  <c r="AI67" i="15"/>
  <c r="AY67" i="17"/>
  <c r="BC67" s="1"/>
  <c r="BE67" s="1"/>
  <c r="AI233" i="15"/>
  <c r="AC546" i="26"/>
  <c r="BL545" i="25"/>
  <c r="BT545"/>
  <c r="BV545" s="1"/>
  <c r="AU515" i="22"/>
  <c r="BL513" i="25"/>
  <c r="BT513" s="1"/>
  <c r="BV513" s="1"/>
  <c r="BV302"/>
  <c r="AC513" i="26"/>
  <c r="BL50" i="2"/>
  <c r="BS50" s="1"/>
  <c r="BU50" s="1"/>
  <c r="BL434"/>
  <c r="BS434" s="1"/>
  <c r="BU434" s="1"/>
  <c r="BL588"/>
  <c r="BS588"/>
  <c r="BU588" s="1"/>
  <c r="BL335"/>
  <c r="BS335" s="1"/>
  <c r="BU335" s="1"/>
  <c r="BS378"/>
  <c r="BU378" s="1"/>
  <c r="BL365"/>
  <c r="BS365" s="1"/>
  <c r="BU365" s="1"/>
  <c r="BL325"/>
  <c r="BS325"/>
  <c r="BU325" s="1"/>
  <c r="BL573"/>
  <c r="BS573" s="1"/>
  <c r="BU573" s="1"/>
  <c r="BL336"/>
  <c r="BS336" s="1"/>
  <c r="BU336" s="1"/>
  <c r="BL232"/>
  <c r="BS232" s="1"/>
  <c r="BU232" s="1"/>
  <c r="BL586"/>
  <c r="BS586"/>
  <c r="BU586" s="1"/>
  <c r="BL408"/>
  <c r="BS408" s="1"/>
  <c r="BU408" s="1"/>
  <c r="BL380"/>
  <c r="BS380" s="1"/>
  <c r="BU380" s="1"/>
  <c r="BL196"/>
  <c r="BS196" s="1"/>
  <c r="BU196" s="1"/>
  <c r="BL419"/>
  <c r="BS419"/>
  <c r="BU419" s="1"/>
  <c r="BL428"/>
  <c r="BS428" s="1"/>
  <c r="BU428" s="1"/>
  <c r="BL194"/>
  <c r="BS194" s="1"/>
  <c r="BU194" s="1"/>
  <c r="BS204"/>
  <c r="BU204" s="1"/>
  <c r="BL209"/>
  <c r="BS209" s="1"/>
  <c r="BU209" s="1"/>
  <c r="BL389"/>
  <c r="BS389" s="1"/>
  <c r="BU389" s="1"/>
  <c r="BL261"/>
  <c r="BS261" s="1"/>
  <c r="BU261" s="1"/>
  <c r="BL548"/>
  <c r="BS548"/>
  <c r="BU548" s="1"/>
  <c r="BL344"/>
  <c r="BS344" s="1"/>
  <c r="BU344" s="1"/>
  <c r="BL475"/>
  <c r="BS475" s="1"/>
  <c r="BU475" s="1"/>
  <c r="BS478"/>
  <c r="BU478" s="1"/>
  <c r="BL496"/>
  <c r="BS496" s="1"/>
  <c r="BU496" s="1"/>
  <c r="AM517" i="1"/>
  <c r="BL515" i="2" s="1"/>
  <c r="BS515" s="1"/>
  <c r="BU515" s="1"/>
  <c r="AC517" i="14"/>
  <c r="AF94" i="16"/>
  <c r="AF128"/>
  <c r="AF532"/>
  <c r="AF428"/>
  <c r="AF23"/>
  <c r="AF205"/>
  <c r="AF322"/>
  <c r="AF540"/>
  <c r="AF318"/>
  <c r="AY581" i="17"/>
  <c r="BC581" s="1"/>
  <c r="BE581" s="1"/>
  <c r="AF504" i="16"/>
  <c r="AI507" i="15"/>
  <c r="AY503" i="17"/>
  <c r="BC503" s="1"/>
  <c r="BE503" s="1"/>
  <c r="AI359" i="15"/>
  <c r="AY356" i="17"/>
  <c r="BC356" s="1"/>
  <c r="BE356" s="1"/>
  <c r="AI61" i="15"/>
  <c r="AY62" i="17"/>
  <c r="BC62" s="1"/>
  <c r="BE62" s="1"/>
  <c r="AI66" i="15"/>
  <c r="AY66" i="17"/>
  <c r="BC66" s="1"/>
  <c r="BE66" s="1"/>
  <c r="AI229" i="15"/>
  <c r="AI238"/>
  <c r="AI239"/>
  <c r="AI28"/>
  <c r="AY29" i="17" s="1"/>
  <c r="BC29" s="1"/>
  <c r="BE29" s="1"/>
  <c r="AI256" i="15"/>
  <c r="AY253" i="17"/>
  <c r="BC253" s="1"/>
  <c r="BE253" s="1"/>
  <c r="AI265" i="15"/>
  <c r="AY262" i="17" s="1"/>
  <c r="BC262" s="1"/>
  <c r="BE262" s="1"/>
  <c r="AI478" i="15"/>
  <c r="AY474" i="17"/>
  <c r="BC474" s="1"/>
  <c r="BE474" s="1"/>
  <c r="AI43" i="15"/>
  <c r="AY44" i="17" s="1"/>
  <c r="BC44" s="1"/>
  <c r="BE44" s="1"/>
  <c r="AI50" i="15"/>
  <c r="AY51" i="17"/>
  <c r="BC51" s="1"/>
  <c r="BE51" s="1"/>
  <c r="AI69" i="15"/>
  <c r="AI70"/>
  <c r="AI510"/>
  <c r="AY506" i="17" s="1"/>
  <c r="BC506" s="1"/>
  <c r="BE506" s="1"/>
  <c r="AI19" i="15"/>
  <c r="AY20" i="17"/>
  <c r="BC20" s="1"/>
  <c r="BE20" s="1"/>
  <c r="AI352" i="15"/>
  <c r="AY349" i="17" s="1"/>
  <c r="BC349" s="1"/>
  <c r="BE349" s="1"/>
  <c r="AI462" i="15"/>
  <c r="AY458" i="17"/>
  <c r="BC458" s="1"/>
  <c r="BE458" s="1"/>
  <c r="AI383" i="15"/>
  <c r="AY380" i="17" s="1"/>
  <c r="BC380" s="1"/>
  <c r="BE380" s="1"/>
  <c r="AI332" i="15"/>
  <c r="AY329" i="17"/>
  <c r="BC329" s="1"/>
  <c r="BE329" s="1"/>
  <c r="AI269" i="15"/>
  <c r="AY266" i="17" s="1"/>
  <c r="BC266" s="1"/>
  <c r="BE266" s="1"/>
  <c r="AI55" i="15"/>
  <c r="AY56" i="17"/>
  <c r="BC56" s="1"/>
  <c r="BE56" s="1"/>
  <c r="AG68" i="15"/>
  <c r="AI68" s="1"/>
  <c r="AY68" i="17" s="1"/>
  <c r="BC68" s="1"/>
  <c r="BE68" s="1"/>
  <c r="AI302" i="15"/>
  <c r="AY299" i="17"/>
  <c r="BC299" s="1"/>
  <c r="BE299" s="1"/>
  <c r="AG73" i="15"/>
  <c r="AI73"/>
  <c r="AY71" i="17" s="1"/>
  <c r="BC71" s="1"/>
  <c r="BE71" s="1"/>
  <c r="AI358" i="15"/>
  <c r="AY355" i="17"/>
  <c r="BC355" s="1"/>
  <c r="BE355" s="1"/>
  <c r="AI449" i="15"/>
  <c r="AF160" i="16"/>
  <c r="AF170"/>
  <c r="AF178"/>
  <c r="AF418"/>
  <c r="AF13"/>
  <c r="AF88"/>
  <c r="AF251"/>
  <c r="AF390"/>
  <c r="AF206"/>
  <c r="AF513"/>
  <c r="AF15"/>
  <c r="AF255"/>
  <c r="AF361"/>
  <c r="AF43"/>
  <c r="AF327"/>
  <c r="AF116"/>
  <c r="AF148"/>
  <c r="AF156"/>
  <c r="AF174"/>
  <c r="AF191"/>
  <c r="AF297"/>
  <c r="AF438"/>
  <c r="AF509"/>
  <c r="AF380"/>
  <c r="AF181"/>
  <c r="AF215"/>
  <c r="AF220"/>
  <c r="AF102"/>
  <c r="AF424"/>
  <c r="G499"/>
  <c r="AF499" s="1"/>
  <c r="AF508"/>
  <c r="AF20"/>
  <c r="AF24"/>
  <c r="AF111"/>
  <c r="AF118"/>
  <c r="AF277"/>
  <c r="AF368"/>
  <c r="AF374"/>
  <c r="AF175"/>
  <c r="AF486"/>
  <c r="AF47"/>
  <c r="AF579"/>
  <c r="AF227"/>
  <c r="AF496"/>
  <c r="AF106"/>
  <c r="AF263"/>
  <c r="AF18"/>
  <c r="AF177"/>
  <c r="AF398"/>
  <c r="AF520"/>
  <c r="AF17"/>
  <c r="AF21"/>
  <c r="AF267"/>
  <c r="AF367"/>
  <c r="AF376"/>
  <c r="AF545"/>
  <c r="AF547"/>
  <c r="AF66"/>
  <c r="AF226"/>
  <c r="AF179"/>
  <c r="AF198"/>
  <c r="AF238"/>
  <c r="AF340"/>
  <c r="AF324"/>
  <c r="AF325"/>
  <c r="AF522"/>
  <c r="AF417"/>
  <c r="AF439"/>
  <c r="AF507"/>
  <c r="AF119"/>
  <c r="AF253"/>
  <c r="AF280"/>
  <c r="AF366"/>
  <c r="AF373"/>
  <c r="K244"/>
  <c r="AD244" s="1"/>
  <c r="AF57"/>
  <c r="AF182"/>
  <c r="AF213"/>
  <c r="AF236"/>
  <c r="AF237"/>
  <c r="AF494"/>
  <c r="AF334"/>
  <c r="AF139"/>
  <c r="AF141"/>
  <c r="AM479" i="1"/>
  <c r="BL479" i="2" s="1"/>
  <c r="BS479" s="1"/>
  <c r="BU479" s="1"/>
  <c r="AM482" i="1"/>
  <c r="BL482" i="2" s="1"/>
  <c r="BS482" s="1"/>
  <c r="BU482" s="1"/>
  <c r="AM500" i="1"/>
  <c r="BL500" i="2" s="1"/>
  <c r="BS500" s="1"/>
  <c r="BU500" s="1"/>
  <c r="BU171"/>
  <c r="BU371"/>
  <c r="BU145"/>
  <c r="BU176"/>
  <c r="BL113" i="25"/>
  <c r="BT113" s="1"/>
  <c r="BV113" s="1"/>
  <c r="AF550" i="16"/>
  <c r="BL527" i="25"/>
  <c r="BT527" s="1"/>
  <c r="BV527" s="1"/>
  <c r="BL529"/>
  <c r="BT529"/>
  <c r="BV529" s="1"/>
  <c r="K290" i="14"/>
  <c r="AC290"/>
  <c r="AC410"/>
  <c r="AC288"/>
  <c r="AC182"/>
  <c r="AC187"/>
  <c r="AC506"/>
  <c r="K168"/>
  <c r="AC168" s="1"/>
  <c r="AC144"/>
  <c r="AC399"/>
  <c r="AC250"/>
  <c r="BU273" i="2"/>
  <c r="BU35"/>
  <c r="AF356" i="16"/>
  <c r="AF161"/>
  <c r="AC107" i="14"/>
  <c r="AI97" i="15"/>
  <c r="AY93" i="17" s="1"/>
  <c r="BC93" s="1"/>
  <c r="BE93" s="1"/>
  <c r="AF92" i="16"/>
  <c r="AF283"/>
  <c r="AF268"/>
  <c r="AM231" i="1"/>
  <c r="BL231" i="2"/>
  <c r="BS231" s="1"/>
  <c r="BU231" s="1"/>
  <c r="BL203" i="25"/>
  <c r="BT203" s="1"/>
  <c r="BV203" s="1"/>
  <c r="BL204"/>
  <c r="BT204"/>
  <c r="BV204" s="1"/>
  <c r="BL206" i="2"/>
  <c r="BS206" s="1"/>
  <c r="BU206"/>
  <c r="AM92" i="1"/>
  <c r="BL92" i="2"/>
  <c r="BS92" s="1"/>
  <c r="BU92" s="1"/>
  <c r="AC92" i="14"/>
  <c r="AI81" i="15"/>
  <c r="AY79" i="17" s="1"/>
  <c r="BC79" s="1"/>
  <c r="BE79" s="1"/>
  <c r="AM107" i="1"/>
  <c r="BL107" i="2"/>
  <c r="BS107" s="1"/>
  <c r="BU107" s="1"/>
  <c r="AC106" i="14"/>
  <c r="AI96" i="15"/>
  <c r="AY92" i="17"/>
  <c r="BC92" s="1"/>
  <c r="BE92" s="1"/>
  <c r="AI154" i="15"/>
  <c r="AY150" i="17" s="1"/>
  <c r="BC150" s="1"/>
  <c r="BE150" s="1"/>
  <c r="AI121" i="15"/>
  <c r="AY117" i="17" s="1"/>
  <c r="BC117" s="1"/>
  <c r="BE117" s="1"/>
  <c r="AI120" i="15"/>
  <c r="AY116" i="17"/>
  <c r="BC116" s="1"/>
  <c r="BE116" s="1"/>
  <c r="AI118" i="15"/>
  <c r="AY114" i="17"/>
  <c r="BC114" s="1"/>
  <c r="BE114" s="1"/>
  <c r="AI109" i="15"/>
  <c r="AY105" i="17" s="1"/>
  <c r="BC105" s="1"/>
  <c r="BE105" s="1"/>
  <c r="AI74" i="15"/>
  <c r="AY72" i="17" s="1"/>
  <c r="BC72" s="1"/>
  <c r="BE72" s="1"/>
  <c r="AI30" i="15"/>
  <c r="AY31" i="17" s="1"/>
  <c r="BC31" s="1"/>
  <c r="BE31" s="1"/>
  <c r="AG182" i="15"/>
  <c r="AG567"/>
  <c r="AI567"/>
  <c r="AY563" i="17" s="1"/>
  <c r="BC563" s="1"/>
  <c r="BE563" s="1"/>
  <c r="AI558" i="15"/>
  <c r="AY554" i="17"/>
  <c r="BC554" s="1"/>
  <c r="BE554" s="1"/>
  <c r="AI520" i="15"/>
  <c r="AY516" i="17" s="1"/>
  <c r="BC516" s="1"/>
  <c r="BE516" s="1"/>
  <c r="AI519" i="15"/>
  <c r="AY515" i="17"/>
  <c r="BC515" s="1"/>
  <c r="BE515" s="1"/>
  <c r="AI448" i="15"/>
  <c r="AY445" i="17" s="1"/>
  <c r="BC445" s="1"/>
  <c r="BE445" s="1"/>
  <c r="AI447" i="15"/>
  <c r="AY444" i="17"/>
  <c r="BC444" s="1"/>
  <c r="BE444" s="1"/>
  <c r="AI446" i="15"/>
  <c r="AY443" i="17" s="1"/>
  <c r="BC443" s="1"/>
  <c r="BE443" s="1"/>
  <c r="AI434" i="15"/>
  <c r="AY431" i="17"/>
  <c r="BC431" s="1"/>
  <c r="BE431" s="1"/>
  <c r="AI432" i="15"/>
  <c r="AY429" i="17" s="1"/>
  <c r="BC429" s="1"/>
  <c r="BE429" s="1"/>
  <c r="AI431" i="15"/>
  <c r="AY428" i="17"/>
  <c r="BC428" s="1"/>
  <c r="BE428" s="1"/>
  <c r="AI426" i="15"/>
  <c r="AY423" i="17" s="1"/>
  <c r="BC423" s="1"/>
  <c r="BE423" s="1"/>
  <c r="AI424" i="15"/>
  <c r="AY421" i="17"/>
  <c r="BC421" s="1"/>
  <c r="BE421" s="1"/>
  <c r="AI422" i="15"/>
  <c r="AY419" i="17" s="1"/>
  <c r="BC419" s="1"/>
  <c r="BE419" s="1"/>
  <c r="AI350" i="15"/>
  <c r="AY347" i="17"/>
  <c r="BC347" s="1"/>
  <c r="BE347" s="1"/>
  <c r="AI338" i="15"/>
  <c r="AY335" i="17" s="1"/>
  <c r="BC335" s="1"/>
  <c r="BE335" s="1"/>
  <c r="AI333" i="15"/>
  <c r="AY330" i="17"/>
  <c r="BC330" s="1"/>
  <c r="BE330" s="1"/>
  <c r="AI331" i="15"/>
  <c r="AY328" i="17" s="1"/>
  <c r="BC328" s="1"/>
  <c r="BE328" s="1"/>
  <c r="AI329" i="15"/>
  <c r="AY326" i="17"/>
  <c r="BC326" s="1"/>
  <c r="BE326" s="1"/>
  <c r="AI328" i="15"/>
  <c r="AY325" i="17" s="1"/>
  <c r="BC325" s="1"/>
  <c r="BE325" s="1"/>
  <c r="AI306" i="15"/>
  <c r="AY303" i="17"/>
  <c r="BC303" s="1"/>
  <c r="BE303" s="1"/>
  <c r="AI290" i="15"/>
  <c r="AY287" i="17" s="1"/>
  <c r="BC287" s="1"/>
  <c r="BE287" s="1"/>
  <c r="AI289" i="15"/>
  <c r="AY286" i="17"/>
  <c r="BC286" s="1"/>
  <c r="BE286" s="1"/>
  <c r="AI287" i="15"/>
  <c r="AY284" i="17" s="1"/>
  <c r="BC284" s="1"/>
  <c r="BE284" s="1"/>
  <c r="AI279" i="15"/>
  <c r="AY276" i="17"/>
  <c r="BC276" s="1"/>
  <c r="BE276" s="1"/>
  <c r="AI262" i="15"/>
  <c r="AY259" i="17" s="1"/>
  <c r="BC259" s="1"/>
  <c r="BE259" s="1"/>
  <c r="AI240" i="15"/>
  <c r="AY237" i="17"/>
  <c r="BC237" s="1"/>
  <c r="BE237" s="1"/>
  <c r="AI207" i="15"/>
  <c r="AY204" i="17" s="1"/>
  <c r="BC204" s="1"/>
  <c r="BE204" s="1"/>
  <c r="AI205" i="15"/>
  <c r="AY202" i="17"/>
  <c r="BC202" s="1"/>
  <c r="BE202" s="1"/>
  <c r="AI201" i="15"/>
  <c r="AY198" i="17" s="1"/>
  <c r="BC198" s="1"/>
  <c r="BE198" s="1"/>
  <c r="AI199" i="15"/>
  <c r="AY196" i="17"/>
  <c r="BC196" s="1"/>
  <c r="BE196" s="1"/>
  <c r="AI411" i="15"/>
  <c r="AY408" i="17" s="1"/>
  <c r="BC408" s="1"/>
  <c r="BE408" s="1"/>
  <c r="AI414" i="15"/>
  <c r="AY411" i="17"/>
  <c r="BC411" s="1"/>
  <c r="BE411" s="1"/>
  <c r="AI435" i="15"/>
  <c r="AY432" i="17" s="1"/>
  <c r="BC432" s="1"/>
  <c r="BE432" s="1"/>
  <c r="AI436" i="15"/>
  <c r="AY433" i="17"/>
  <c r="BC433" s="1"/>
  <c r="BE433" s="1"/>
  <c r="AI439" i="15"/>
  <c r="AY436" i="17" s="1"/>
  <c r="BC436" s="1"/>
  <c r="BE436" s="1"/>
  <c r="AI445" i="15"/>
  <c r="AY442" i="17"/>
  <c r="BC442" s="1"/>
  <c r="BE442" s="1"/>
  <c r="AI508" i="15"/>
  <c r="AY504" i="17" s="1"/>
  <c r="BC504" s="1"/>
  <c r="BE504" s="1"/>
  <c r="AI511" i="15"/>
  <c r="AY507" i="17"/>
  <c r="BC507" s="1"/>
  <c r="BE507" s="1"/>
  <c r="AG516" i="15"/>
  <c r="AI516" s="1"/>
  <c r="AY512" i="17" s="1"/>
  <c r="BC512" s="1"/>
  <c r="BE512" s="1"/>
  <c r="AI13" i="15"/>
  <c r="AY13" i="17"/>
  <c r="BC13" s="1"/>
  <c r="BE13" s="1"/>
  <c r="AI88" i="15"/>
  <c r="AY85" i="17"/>
  <c r="BC85" s="1"/>
  <c r="BE85" s="1"/>
  <c r="AI101" i="15"/>
  <c r="AY97" i="17"/>
  <c r="BC97" s="1"/>
  <c r="BE97" s="1"/>
  <c r="AG113" i="15"/>
  <c r="AI113"/>
  <c r="AY109" i="17" s="1"/>
  <c r="BC109" s="1"/>
  <c r="BE109" s="1"/>
  <c r="AI281" i="15"/>
  <c r="AY278" i="17"/>
  <c r="BC278" s="1"/>
  <c r="BE278" s="1"/>
  <c r="AG356" i="15"/>
  <c r="AI356" s="1"/>
  <c r="AY353" i="17" s="1"/>
  <c r="BC353" s="1"/>
  <c r="BE353" s="1"/>
  <c r="AI370" i="15"/>
  <c r="AY367" i="17"/>
  <c r="BC367" s="1"/>
  <c r="BE367" s="1"/>
  <c r="AI374" i="15"/>
  <c r="AY371" i="17"/>
  <c r="BC371" s="1"/>
  <c r="BE371" s="1"/>
  <c r="AI384" i="15"/>
  <c r="AY381" i="17"/>
  <c r="BC381" s="1"/>
  <c r="BE381" s="1"/>
  <c r="AI386" i="15"/>
  <c r="AY383" i="17" s="1"/>
  <c r="BC383" s="1"/>
  <c r="BE383" s="1"/>
  <c r="AI387" i="15"/>
  <c r="AY384" i="17" s="1"/>
  <c r="BC384" s="1"/>
  <c r="BE384" s="1"/>
  <c r="AI547" i="15"/>
  <c r="AY543" i="17"/>
  <c r="BC543" s="1"/>
  <c r="BE543" s="1"/>
  <c r="AI475" i="15"/>
  <c r="AY471" i="17" s="1"/>
  <c r="BC471" s="1"/>
  <c r="BE471" s="1"/>
  <c r="AI484" i="15"/>
  <c r="AY480" i="17"/>
  <c r="BC480" s="1"/>
  <c r="BE480" s="1"/>
  <c r="AI491" i="15"/>
  <c r="AY487" i="17" s="1"/>
  <c r="BC487" s="1"/>
  <c r="BE487" s="1"/>
  <c r="AG45" i="15"/>
  <c r="AI45"/>
  <c r="AY46" i="17" s="1"/>
  <c r="BC46" s="1"/>
  <c r="BE46" s="1"/>
  <c r="AI46" i="15"/>
  <c r="AY47" i="17" s="1"/>
  <c r="BC47" s="1"/>
  <c r="BE47" s="1"/>
  <c r="AI52" i="15"/>
  <c r="AY53" i="17" s="1"/>
  <c r="BC53" s="1"/>
  <c r="BE53" s="1"/>
  <c r="AG141" i="15"/>
  <c r="AI141" s="1"/>
  <c r="AY137" i="17" s="1"/>
  <c r="BC137" s="1"/>
  <c r="BE137" s="1"/>
  <c r="AI564" i="15"/>
  <c r="AY560" i="17" s="1"/>
  <c r="BC560" s="1"/>
  <c r="BE560" s="1"/>
  <c r="AI294" i="15"/>
  <c r="AY291" i="17"/>
  <c r="BC291" s="1"/>
  <c r="BE291" s="1"/>
  <c r="AI565" i="15"/>
  <c r="AY561" i="17" s="1"/>
  <c r="BC561" s="1"/>
  <c r="BE561" s="1"/>
  <c r="AG208" i="15"/>
  <c r="AI208"/>
  <c r="AY205" i="17" s="1"/>
  <c r="BC205" s="1"/>
  <c r="BE205" s="1"/>
  <c r="AG209" i="15"/>
  <c r="AI209" s="1"/>
  <c r="AY206" i="17" s="1"/>
  <c r="BC206" s="1"/>
  <c r="BE206" s="1"/>
  <c r="AI231" i="15"/>
  <c r="AI232"/>
  <c r="AI561"/>
  <c r="AY557" i="17" s="1"/>
  <c r="BC557" s="1"/>
  <c r="BE557" s="1"/>
  <c r="AI570" i="15"/>
  <c r="AY566" i="17"/>
  <c r="BC566" s="1"/>
  <c r="BE566" s="1"/>
  <c r="AI581" i="15"/>
  <c r="AY577" i="17" s="1"/>
  <c r="BC577" s="1"/>
  <c r="BE577" s="1"/>
  <c r="AI366" i="15"/>
  <c r="AY363" i="17"/>
  <c r="BC363" s="1"/>
  <c r="BE363" s="1"/>
  <c r="AG335" i="15"/>
  <c r="AI335" s="1"/>
  <c r="AY332" i="17" s="1"/>
  <c r="BC332" s="1"/>
  <c r="BE332" s="1"/>
  <c r="AG313" i="15"/>
  <c r="AI313"/>
  <c r="AY310" i="17" s="1"/>
  <c r="BC310" s="1"/>
  <c r="BE310" s="1"/>
  <c r="AI521" i="15"/>
  <c r="AY517" i="17"/>
  <c r="BC517" s="1"/>
  <c r="BE517" s="1"/>
  <c r="AI420" i="15"/>
  <c r="AY417" i="17" s="1"/>
  <c r="BC417" s="1"/>
  <c r="BE417" s="1"/>
  <c r="AI522" i="15"/>
  <c r="AY518" i="17" s="1"/>
  <c r="BC518" s="1"/>
  <c r="BE518" s="1"/>
  <c r="AI571" i="15"/>
  <c r="AY567" i="17" s="1"/>
  <c r="BC567" s="1"/>
  <c r="BE567" s="1"/>
  <c r="AI102" i="15"/>
  <c r="AY98" i="17" s="1"/>
  <c r="BC98" s="1"/>
  <c r="BE98" s="1"/>
  <c r="AI396" i="15"/>
  <c r="AY393" i="17" s="1"/>
  <c r="BC393" s="1"/>
  <c r="BE393" s="1"/>
  <c r="AI182" i="15"/>
  <c r="AY179" i="17" s="1"/>
  <c r="BC179" s="1"/>
  <c r="BE179" s="1"/>
  <c r="AI496" i="15"/>
  <c r="AY492" i="17" s="1"/>
  <c r="BC492" s="1"/>
  <c r="BE492" s="1"/>
  <c r="AI578" i="15"/>
  <c r="AY574" i="17" s="1"/>
  <c r="BC574" s="1"/>
  <c r="BE574" s="1"/>
  <c r="AI305" i="15"/>
  <c r="AY302" i="17" s="1"/>
  <c r="BC302" s="1"/>
  <c r="BE302" s="1"/>
  <c r="AI566" i="15"/>
  <c r="AI539"/>
  <c r="AY535" i="17"/>
  <c r="BC535" s="1"/>
  <c r="BE535" s="1"/>
  <c r="AI514" i="15"/>
  <c r="AY510" i="17" s="1"/>
  <c r="BC510" s="1"/>
  <c r="BE510" s="1"/>
  <c r="AI504" i="15"/>
  <c r="AY500" i="17"/>
  <c r="BC500" s="1"/>
  <c r="BE500" s="1"/>
  <c r="AI284" i="15"/>
  <c r="AY281" i="17" s="1"/>
  <c r="BC281" s="1"/>
  <c r="BE281" s="1"/>
  <c r="AI147" i="15"/>
  <c r="AY143" i="17"/>
  <c r="BC143" s="1"/>
  <c r="BE143" s="1"/>
  <c r="AI440" i="15"/>
  <c r="AY437" i="17" s="1"/>
  <c r="BC437" s="1"/>
  <c r="BE437" s="1"/>
  <c r="AI76" i="15"/>
  <c r="AY74" i="17"/>
  <c r="BC74" s="1"/>
  <c r="BE74" s="1"/>
  <c r="AI91" i="15"/>
  <c r="AY88" i="17" s="1"/>
  <c r="BC88" s="1"/>
  <c r="BE88" s="1"/>
  <c r="AI125" i="15"/>
  <c r="AY121" i="17"/>
  <c r="BC121" s="1"/>
  <c r="BE121" s="1"/>
  <c r="AG368" i="15"/>
  <c r="AI368" s="1"/>
  <c r="AY365" i="17" s="1"/>
  <c r="BC365" s="1"/>
  <c r="BE365" s="1"/>
  <c r="AI385" i="15"/>
  <c r="AY382" i="17"/>
  <c r="BC382" s="1"/>
  <c r="BE382" s="1"/>
  <c r="AI65" i="15"/>
  <c r="AI72"/>
  <c r="AY70" i="17" s="1"/>
  <c r="BC70" s="1"/>
  <c r="BE70" s="1"/>
  <c r="AI197" i="15"/>
  <c r="AY194" i="17"/>
  <c r="BC194" s="1"/>
  <c r="BE194" s="1"/>
  <c r="AG220" i="15"/>
  <c r="AI220"/>
  <c r="AY217" i="17" s="1"/>
  <c r="BC217" s="1"/>
  <c r="BE217" s="1"/>
  <c r="AI336" i="15"/>
  <c r="AY333" i="17" s="1"/>
  <c r="BC333" s="1"/>
  <c r="BE333" s="1"/>
  <c r="AG288" i="15"/>
  <c r="AI288" s="1"/>
  <c r="AY285" i="17" s="1"/>
  <c r="BC285" s="1"/>
  <c r="BE285" s="1"/>
  <c r="AG311" i="15"/>
  <c r="AI311" s="1"/>
  <c r="AY308" i="17" s="1"/>
  <c r="BC308" s="1"/>
  <c r="BE308" s="1"/>
  <c r="AF91" i="16"/>
  <c r="S207" i="10"/>
  <c r="AF536" i="16"/>
  <c r="AF195"/>
  <c r="AF566"/>
  <c r="BL320" i="2"/>
  <c r="BS320" s="1"/>
  <c r="BU320" s="1"/>
  <c r="AF218" i="16"/>
  <c r="BL296" i="25"/>
  <c r="BT296" s="1"/>
  <c r="BV296" s="1"/>
  <c r="AC205" i="14"/>
  <c r="AC46"/>
  <c r="AF457" i="16"/>
  <c r="AF465"/>
  <c r="AF466"/>
  <c r="AF464"/>
  <c r="AF423"/>
  <c r="AF442"/>
  <c r="AF444"/>
  <c r="AF431"/>
  <c r="AF432"/>
  <c r="AF436"/>
  <c r="AF437"/>
  <c r="AF317"/>
  <c r="AF293"/>
  <c r="AF312"/>
  <c r="AF342"/>
  <c r="AF377"/>
  <c r="AF375"/>
  <c r="AF274"/>
  <c r="AF278"/>
  <c r="AF279"/>
  <c r="AF281"/>
  <c r="AF282"/>
  <c r="AF284"/>
  <c r="AF221"/>
  <c r="AF149"/>
  <c r="AF186"/>
  <c r="AF190"/>
  <c r="AF75"/>
  <c r="AF101"/>
  <c r="AF90"/>
  <c r="AF89"/>
  <c r="AF109"/>
  <c r="BL66" i="2"/>
  <c r="BS66"/>
  <c r="BU66" s="1"/>
  <c r="BL546"/>
  <c r="BS546" s="1"/>
  <c r="BU546" s="1"/>
  <c r="BL120"/>
  <c r="BS120" s="1"/>
  <c r="BU120" s="1"/>
  <c r="BL459"/>
  <c r="BS459"/>
  <c r="BU459" s="1"/>
  <c r="BL108"/>
  <c r="BS108" s="1"/>
  <c r="BU108" s="1"/>
  <c r="BL207"/>
  <c r="BS207" s="1"/>
  <c r="BU207" s="1"/>
  <c r="BL298"/>
  <c r="BS298" s="1"/>
  <c r="BU298" s="1"/>
  <c r="BL576"/>
  <c r="BS576"/>
  <c r="BU576" s="1"/>
  <c r="BL368"/>
  <c r="BS368" s="1"/>
  <c r="BU368" s="1"/>
  <c r="BL563"/>
  <c r="BS563" s="1"/>
  <c r="BU563" s="1"/>
  <c r="BL406"/>
  <c r="BS406" s="1"/>
  <c r="BU406" s="1"/>
  <c r="BL436"/>
  <c r="BS436" s="1"/>
  <c r="BU436" s="1"/>
  <c r="BL531"/>
  <c r="BS531" s="1"/>
  <c r="BU531" s="1"/>
  <c r="BL490"/>
  <c r="BS490"/>
  <c r="BU490" s="1"/>
  <c r="BL67"/>
  <c r="BS67" s="1"/>
  <c r="BU67" s="1"/>
  <c r="BL79"/>
  <c r="BS79" s="1"/>
  <c r="BU79" s="1"/>
  <c r="BL80"/>
  <c r="BS80" s="1"/>
  <c r="BU80" s="1"/>
  <c r="BL489"/>
  <c r="BS489"/>
  <c r="BU489" s="1"/>
  <c r="BL373"/>
  <c r="BS373" s="1"/>
  <c r="BU373" s="1"/>
  <c r="BL445"/>
  <c r="BS445" s="1"/>
  <c r="BU445" s="1"/>
  <c r="BL258"/>
  <c r="BS258" s="1"/>
  <c r="BU258" s="1"/>
  <c r="BL64"/>
  <c r="BS64"/>
  <c r="BU64" s="1"/>
  <c r="BL291"/>
  <c r="BS291" s="1"/>
  <c r="BU291" s="1"/>
  <c r="BL214"/>
  <c r="BS214" s="1"/>
  <c r="BU214" s="1"/>
  <c r="BL330"/>
  <c r="BS330" s="1"/>
  <c r="BU330" s="1"/>
  <c r="BL220"/>
  <c r="BS220"/>
  <c r="BU220" s="1"/>
  <c r="BL454"/>
  <c r="BS454" s="1"/>
  <c r="BU454" s="1"/>
  <c r="BL545"/>
  <c r="BS545" s="1"/>
  <c r="BU545" s="1"/>
  <c r="BS104"/>
  <c r="BU104"/>
  <c r="BL88"/>
  <c r="BS88"/>
  <c r="BU88" s="1"/>
  <c r="AM377" i="1"/>
  <c r="BL377" i="2" s="1"/>
  <c r="BS377" s="1"/>
  <c r="BU377" s="1"/>
  <c r="AM414" i="1"/>
  <c r="BL414" i="2" s="1"/>
  <c r="BS414" s="1"/>
  <c r="BU414" s="1"/>
  <c r="AM511" i="1"/>
  <c r="BL509" i="2"/>
  <c r="BS509" s="1"/>
  <c r="BU509" s="1"/>
  <c r="Y86" i="1"/>
  <c r="AM86" s="1"/>
  <c r="BL86" i="2" s="1"/>
  <c r="BS86" s="1"/>
  <c r="BU86" s="1"/>
  <c r="AM463" i="1"/>
  <c r="BL463" i="2" s="1"/>
  <c r="BS463" s="1"/>
  <c r="BU463" s="1"/>
  <c r="AM484" i="1"/>
  <c r="BL484" i="2" s="1"/>
  <c r="BS484" s="1"/>
  <c r="BU484" s="1"/>
  <c r="AM329" i="1"/>
  <c r="BL329" i="2" s="1"/>
  <c r="BS329" s="1"/>
  <c r="BU329" s="1"/>
  <c r="AM74" i="1"/>
  <c r="BL74" i="2"/>
  <c r="BS74" s="1"/>
  <c r="BU74" s="1"/>
  <c r="BU316"/>
  <c r="BU396"/>
  <c r="BU193"/>
  <c r="BU272"/>
  <c r="BU222"/>
  <c r="BU557"/>
  <c r="BU561"/>
  <c r="BU543"/>
  <c r="BU444"/>
  <c r="BU527"/>
  <c r="BU552"/>
  <c r="BU595"/>
  <c r="AC549" i="14"/>
  <c r="AC14"/>
  <c r="AC15"/>
  <c r="AC21"/>
  <c r="AC96"/>
  <c r="AC128"/>
  <c r="AC251"/>
  <c r="AC253"/>
  <c r="AC259"/>
  <c r="AC262"/>
  <c r="AC263"/>
  <c r="AC274"/>
  <c r="AC278"/>
  <c r="AC282"/>
  <c r="AC284"/>
  <c r="AC285"/>
  <c r="AC293"/>
  <c r="AC557"/>
  <c r="AC564"/>
  <c r="AC20"/>
  <c r="AC199"/>
  <c r="AC218"/>
  <c r="AC220"/>
  <c r="AC222"/>
  <c r="AC226"/>
  <c r="AC228"/>
  <c r="AC229"/>
  <c r="AC353"/>
  <c r="AC355"/>
  <c r="AC356"/>
  <c r="AC358"/>
  <c r="AC363"/>
  <c r="AC366"/>
  <c r="AC368"/>
  <c r="AC369"/>
  <c r="AC378"/>
  <c r="AC379"/>
  <c r="AC383"/>
  <c r="AC385"/>
  <c r="AC388"/>
  <c r="AC389"/>
  <c r="AC392"/>
  <c r="AC394"/>
  <c r="AC395"/>
  <c r="AC408"/>
  <c r="AC488"/>
  <c r="AC12"/>
  <c r="AC11"/>
  <c r="AC17"/>
  <c r="AC18"/>
  <c r="AC22"/>
  <c r="AC23"/>
  <c r="AC25"/>
  <c r="AC29"/>
  <c r="AC31"/>
  <c r="AC105"/>
  <c r="AC121"/>
  <c r="AC124"/>
  <c r="AC127"/>
  <c r="AC435"/>
  <c r="AC452"/>
  <c r="AC283"/>
  <c r="AC376"/>
  <c r="AC430"/>
  <c r="AC445"/>
  <c r="AC248"/>
  <c r="AC230"/>
  <c r="AC451"/>
  <c r="AA109"/>
  <c r="AC178"/>
  <c r="AA186"/>
  <c r="AC470"/>
  <c r="AC81"/>
  <c r="AC83"/>
  <c r="AC88"/>
  <c r="AC90"/>
  <c r="AC91"/>
  <c r="AC94"/>
  <c r="AC95"/>
  <c r="AC102"/>
  <c r="AC104"/>
  <c r="AC111"/>
  <c r="AC115"/>
  <c r="AC116"/>
  <c r="AC120"/>
  <c r="AC129"/>
  <c r="AC130"/>
  <c r="AC131"/>
  <c r="AC132"/>
  <c r="AC133"/>
  <c r="AC150"/>
  <c r="AC151"/>
  <c r="AC153"/>
  <c r="AC160"/>
  <c r="AC194"/>
  <c r="AC195"/>
  <c r="AC196"/>
  <c r="AC198"/>
  <c r="AC202"/>
  <c r="AC203"/>
  <c r="AC213"/>
  <c r="AC214"/>
  <c r="AC216"/>
  <c r="AC231"/>
  <c r="AC234"/>
  <c r="AC235"/>
  <c r="AC236"/>
  <c r="AC237"/>
  <c r="AC300"/>
  <c r="AC302"/>
  <c r="AC307"/>
  <c r="AC310"/>
  <c r="AC312"/>
  <c r="AC313"/>
  <c r="AC314"/>
  <c r="AC322"/>
  <c r="AC325"/>
  <c r="AC326"/>
  <c r="AC329"/>
  <c r="AC330"/>
  <c r="AC333"/>
  <c r="AC334"/>
  <c r="AC569"/>
  <c r="AC570"/>
  <c r="AC572"/>
  <c r="AC437"/>
  <c r="AC267"/>
  <c r="AC401"/>
  <c r="AC553"/>
  <c r="AC45"/>
  <c r="AC27"/>
  <c r="AC108"/>
  <c r="AC212"/>
  <c r="AC537"/>
  <c r="AC416"/>
  <c r="AC427"/>
  <c r="AC443"/>
  <c r="AC546"/>
  <c r="AC84"/>
  <c r="AC89"/>
  <c r="AC137"/>
  <c r="AC255"/>
  <c r="AC264"/>
  <c r="AC270"/>
  <c r="AC292"/>
  <c r="AA367"/>
  <c r="AC147"/>
  <c r="AC402"/>
  <c r="AC561"/>
  <c r="AC37"/>
  <c r="AC172"/>
  <c r="AA182"/>
  <c r="AC185"/>
  <c r="AC474"/>
  <c r="AC476"/>
  <c r="AC486"/>
  <c r="AC491"/>
  <c r="AC507"/>
  <c r="AC242"/>
  <c r="AC243"/>
  <c r="AC245"/>
  <c r="AC541"/>
  <c r="AC269"/>
  <c r="AC291"/>
  <c r="AC373"/>
  <c r="AC224"/>
  <c r="AC555"/>
  <c r="AI515" i="15"/>
  <c r="AY511" i="17"/>
  <c r="BC511" s="1"/>
  <c r="BE511" s="1"/>
  <c r="AI257" i="15"/>
  <c r="AY254" i="17"/>
  <c r="BC254" s="1"/>
  <c r="BE254" s="1"/>
  <c r="AI381" i="15"/>
  <c r="AY378" i="17" s="1"/>
  <c r="BC378" s="1"/>
  <c r="BE378" s="1"/>
  <c r="AI128" i="15"/>
  <c r="AY124" i="17" s="1"/>
  <c r="BC124" s="1"/>
  <c r="BE124" s="1"/>
  <c r="AI130" i="15"/>
  <c r="AY126" i="17"/>
  <c r="BC126" s="1"/>
  <c r="BE126" s="1"/>
  <c r="AI132" i="15"/>
  <c r="AY128" i="17" s="1"/>
  <c r="BC128" s="1"/>
  <c r="BE128" s="1"/>
  <c r="AI134" i="15"/>
  <c r="AY130" i="17"/>
  <c r="BC130" s="1"/>
  <c r="BE130" s="1"/>
  <c r="AI136" i="15"/>
  <c r="AY132" i="17" s="1"/>
  <c r="BC132" s="1"/>
  <c r="BE132" s="1"/>
  <c r="AI543" i="15"/>
  <c r="AY539" i="17"/>
  <c r="BC539" s="1"/>
  <c r="BE539" s="1"/>
  <c r="AI461" i="15"/>
  <c r="AY457" i="17" s="1"/>
  <c r="BC457" s="1"/>
  <c r="BE457" s="1"/>
  <c r="AI291" i="15"/>
  <c r="AY288" i="17"/>
  <c r="BC288" s="1"/>
  <c r="BE288" s="1"/>
  <c r="AI574" i="15"/>
  <c r="AY570" i="17" s="1"/>
  <c r="BC570" s="1"/>
  <c r="BE570" s="1"/>
  <c r="AI273" i="15"/>
  <c r="AY270" i="17" s="1"/>
  <c r="BC270" s="1"/>
  <c r="BE270" s="1"/>
  <c r="AI380" i="15"/>
  <c r="AY377" i="17" s="1"/>
  <c r="BC377" s="1"/>
  <c r="BE377" s="1"/>
  <c r="AI382" i="15"/>
  <c r="AY379" i="17" s="1"/>
  <c r="BC379" s="1"/>
  <c r="BE379" s="1"/>
  <c r="AI129" i="15"/>
  <c r="AY125" i="17" s="1"/>
  <c r="BC125" s="1"/>
  <c r="BE125" s="1"/>
  <c r="AI131" i="15"/>
  <c r="AY127" i="17" s="1"/>
  <c r="BC127" s="1"/>
  <c r="BE127" s="1"/>
  <c r="AI133" i="15"/>
  <c r="AY129" i="17"/>
  <c r="BC129" s="1"/>
  <c r="BE129" s="1"/>
  <c r="AI135" i="15"/>
  <c r="AY131" i="17" s="1"/>
  <c r="BC131" s="1"/>
  <c r="BE131" s="1"/>
  <c r="AI540" i="15"/>
  <c r="AY536" i="17"/>
  <c r="BC536" s="1"/>
  <c r="BE536" s="1"/>
  <c r="AI242" i="15"/>
  <c r="AY239" i="17" s="1"/>
  <c r="BC239" s="1"/>
  <c r="BE239" s="1"/>
  <c r="AI185" i="15"/>
  <c r="AY182" i="17" s="1"/>
  <c r="BC182" s="1"/>
  <c r="BE182" s="1"/>
  <c r="AI18" i="15"/>
  <c r="AY19" i="17" s="1"/>
  <c r="BC19" s="1"/>
  <c r="BE19" s="1"/>
  <c r="AI204" i="15"/>
  <c r="AY201" i="17" s="1"/>
  <c r="BC201" s="1"/>
  <c r="BE201" s="1"/>
  <c r="AI364" i="15"/>
  <c r="AY361" i="17" s="1"/>
  <c r="BC361" s="1"/>
  <c r="BE361" s="1"/>
  <c r="AI405" i="15"/>
  <c r="AY402" i="17" s="1"/>
  <c r="BC402" s="1"/>
  <c r="BE402" s="1"/>
  <c r="AG89" i="15"/>
  <c r="AI89" s="1"/>
  <c r="AY86" i="17" s="1"/>
  <c r="BC86" s="1"/>
  <c r="BE86" s="1"/>
  <c r="AI184" i="15"/>
  <c r="AY181" i="17"/>
  <c r="BC181" s="1"/>
  <c r="BE181" s="1"/>
  <c r="AG312" i="15"/>
  <c r="AI588"/>
  <c r="AY584" i="17"/>
  <c r="BC584" s="1"/>
  <c r="BE584" s="1"/>
  <c r="AI523" i="15"/>
  <c r="AY519" i="17"/>
  <c r="BC519" s="1"/>
  <c r="BE519" s="1"/>
  <c r="AI409" i="15"/>
  <c r="AY406" i="17" s="1"/>
  <c r="BC406" s="1"/>
  <c r="BE406" s="1"/>
  <c r="AI421" i="15"/>
  <c r="AY418" i="17" s="1"/>
  <c r="BC418" s="1"/>
  <c r="BE418" s="1"/>
  <c r="AI116" i="15"/>
  <c r="AY112" i="17"/>
  <c r="BC112" s="1"/>
  <c r="BE112" s="1"/>
  <c r="AI266" i="15"/>
  <c r="AY263" i="17" s="1"/>
  <c r="BC263" s="1"/>
  <c r="BE263" s="1"/>
  <c r="AI53" i="15"/>
  <c r="AY54" i="17"/>
  <c r="BC54" s="1"/>
  <c r="BE54" s="1"/>
  <c r="AI215" i="15"/>
  <c r="AY212" i="17" s="1"/>
  <c r="BC212" s="1"/>
  <c r="BE212" s="1"/>
  <c r="AG541" i="15"/>
  <c r="AI541"/>
  <c r="AY537" i="17" s="1"/>
  <c r="BC537" s="1"/>
  <c r="BE537" s="1"/>
  <c r="AI430" i="15"/>
  <c r="AY427" i="17" s="1"/>
  <c r="BC427" s="1"/>
  <c r="BE427" s="1"/>
  <c r="AI349" i="15"/>
  <c r="AY346" i="17" s="1"/>
  <c r="BC346" s="1"/>
  <c r="BE346" s="1"/>
  <c r="AI304" i="15"/>
  <c r="AY301" i="17" s="1"/>
  <c r="BC301" s="1"/>
  <c r="BE301" s="1"/>
  <c r="AI312" i="15"/>
  <c r="AY309" i="17" s="1"/>
  <c r="BC309" s="1"/>
  <c r="BE309" s="1"/>
  <c r="AI145" i="15"/>
  <c r="AY141" i="17" s="1"/>
  <c r="BC141" s="1"/>
  <c r="BE141" s="1"/>
  <c r="AI107" i="15"/>
  <c r="AY103" i="17" s="1"/>
  <c r="BC103" s="1"/>
  <c r="BE103" s="1"/>
  <c r="AI533" i="15"/>
  <c r="AY529" i="17" s="1"/>
  <c r="BC529" s="1"/>
  <c r="BE529" s="1"/>
  <c r="AI406" i="15"/>
  <c r="AY403" i="17" s="1"/>
  <c r="BC403" s="1"/>
  <c r="BE403" s="1"/>
  <c r="AI400" i="15"/>
  <c r="AY397" i="17" s="1"/>
  <c r="BC397" s="1"/>
  <c r="BE397" s="1"/>
  <c r="AI369" i="15"/>
  <c r="AY366" i="17" s="1"/>
  <c r="BC366" s="1"/>
  <c r="BE366" s="1"/>
  <c r="AI351" i="15"/>
  <c r="AY348" i="17" s="1"/>
  <c r="BC348" s="1"/>
  <c r="BE348" s="1"/>
  <c r="AI348" i="15"/>
  <c r="AY345" i="17" s="1"/>
  <c r="BC345" s="1"/>
  <c r="BE345" s="1"/>
  <c r="AI346" i="15"/>
  <c r="AY343" i="17" s="1"/>
  <c r="BC343" s="1"/>
  <c r="BE343" s="1"/>
  <c r="AI345" i="15"/>
  <c r="AY342" i="17" s="1"/>
  <c r="BC342" s="1"/>
  <c r="BE342" s="1"/>
  <c r="AI344" i="15"/>
  <c r="AY341" i="17" s="1"/>
  <c r="BC341" s="1"/>
  <c r="BE341" s="1"/>
  <c r="AI343" i="15"/>
  <c r="AY340" i="17" s="1"/>
  <c r="BC340" s="1"/>
  <c r="BE340" s="1"/>
  <c r="AG546" i="15"/>
  <c r="AI546" s="1"/>
  <c r="AY542" i="17" s="1"/>
  <c r="BC542" s="1"/>
  <c r="BE542" s="1"/>
  <c r="AI465" i="15"/>
  <c r="AY461" i="17" s="1"/>
  <c r="BC461" s="1"/>
  <c r="BE461" s="1"/>
  <c r="AI202" i="15"/>
  <c r="AY199" i="17" s="1"/>
  <c r="BC199" s="1"/>
  <c r="BE199" s="1"/>
  <c r="AI557" i="15"/>
  <c r="AY553" i="17" s="1"/>
  <c r="BC553" s="1"/>
  <c r="BE553" s="1"/>
  <c r="AI560" i="15"/>
  <c r="AY556" i="17" s="1"/>
  <c r="BC556" s="1"/>
  <c r="BE556" s="1"/>
  <c r="AI577" i="15"/>
  <c r="AY573" i="17" s="1"/>
  <c r="BC573" s="1"/>
  <c r="BE573" s="1"/>
  <c r="AI444" i="15"/>
  <c r="AY441" i="17" s="1"/>
  <c r="BC441" s="1"/>
  <c r="BE441" s="1"/>
  <c r="AI427" i="15"/>
  <c r="AY424" i="17" s="1"/>
  <c r="BC424" s="1"/>
  <c r="BE424" s="1"/>
  <c r="AI301" i="15"/>
  <c r="AY298" i="17" s="1"/>
  <c r="BC298" s="1"/>
  <c r="BE298" s="1"/>
  <c r="AI307" i="15"/>
  <c r="AY304" i="17" s="1"/>
  <c r="BC304" s="1"/>
  <c r="BE304" s="1"/>
  <c r="AI314" i="15"/>
  <c r="AY311" i="17" s="1"/>
  <c r="BC311" s="1"/>
  <c r="BE311" s="1"/>
  <c r="AI140" i="15"/>
  <c r="AY136" i="17" s="1"/>
  <c r="BC136" s="1"/>
  <c r="BE136" s="1"/>
  <c r="AI94" i="15"/>
  <c r="AY91" i="17" s="1"/>
  <c r="BC91" s="1"/>
  <c r="BE91" s="1"/>
  <c r="AI410" i="15"/>
  <c r="AY407" i="17" s="1"/>
  <c r="BC407" s="1"/>
  <c r="BE407" s="1"/>
  <c r="AI531" i="15"/>
  <c r="AY527" i="17" s="1"/>
  <c r="BC527" s="1"/>
  <c r="BE527" s="1"/>
  <c r="AI119" i="15"/>
  <c r="AY115" i="17" s="1"/>
  <c r="BC115" s="1"/>
  <c r="BE115" s="1"/>
  <c r="AI550" i="15"/>
  <c r="AY546" i="17" s="1"/>
  <c r="BC546" s="1"/>
  <c r="BE546" s="1"/>
  <c r="AI551" i="15"/>
  <c r="AY547" i="17" s="1"/>
  <c r="BC547" s="1"/>
  <c r="BE547" s="1"/>
  <c r="AI243" i="15"/>
  <c r="AY240" i="17" s="1"/>
  <c r="BC240" s="1"/>
  <c r="BE240" s="1"/>
  <c r="AI586" i="15"/>
  <c r="AY582" i="17" s="1"/>
  <c r="BC582" s="1"/>
  <c r="BE582" s="1"/>
  <c r="AI293" i="15"/>
  <c r="AY290" i="17" s="1"/>
  <c r="BC290" s="1"/>
  <c r="BE290" s="1"/>
  <c r="AG303" i="15"/>
  <c r="AI303" s="1"/>
  <c r="AY300" i="17" s="1"/>
  <c r="BC300" s="1"/>
  <c r="BE300" s="1"/>
  <c r="AI325" i="15"/>
  <c r="AY322" i="17" s="1"/>
  <c r="BC322" s="1"/>
  <c r="BE322" s="1"/>
  <c r="AI153" i="15"/>
  <c r="AY149" i="17"/>
  <c r="BC149" s="1"/>
  <c r="BE149" s="1"/>
  <c r="AG150" i="15"/>
  <c r="AI150" s="1"/>
  <c r="AY146" i="17" s="1"/>
  <c r="BC146" s="1"/>
  <c r="BE146" s="1"/>
  <c r="AG111" i="15"/>
  <c r="AI111"/>
  <c r="AY107" i="17" s="1"/>
  <c r="BC107" s="1"/>
  <c r="BE107" s="1"/>
  <c r="AI525" i="15"/>
  <c r="AY521" i="17"/>
  <c r="BC521" s="1"/>
  <c r="BE521" s="1"/>
  <c r="AI517" i="15"/>
  <c r="AY513" i="17" s="1"/>
  <c r="BC513" s="1"/>
  <c r="BE513" s="1"/>
  <c r="AI407" i="15"/>
  <c r="AY404" i="17"/>
  <c r="BC404" s="1"/>
  <c r="BE404" s="1"/>
  <c r="AI321" i="15"/>
  <c r="AY318" i="17" s="1"/>
  <c r="BC318" s="1"/>
  <c r="BE318" s="1"/>
  <c r="AI319" i="15"/>
  <c r="AY316" i="17"/>
  <c r="BC316" s="1"/>
  <c r="BE316" s="1"/>
  <c r="AI318" i="15"/>
  <c r="AY315" i="17" s="1"/>
  <c r="BC315" s="1"/>
  <c r="BE315" s="1"/>
  <c r="AG433" i="15"/>
  <c r="AI535"/>
  <c r="AY531" i="17" s="1"/>
  <c r="BC531" s="1"/>
  <c r="BE531" s="1"/>
  <c r="AI26" i="15"/>
  <c r="AY27" i="17" s="1"/>
  <c r="BC27" s="1"/>
  <c r="BE27" s="1"/>
  <c r="AI106" i="15"/>
  <c r="AY102" i="17" s="1"/>
  <c r="BC102" s="1"/>
  <c r="BE102" s="1"/>
  <c r="AI538" i="15"/>
  <c r="AY534" i="17" s="1"/>
  <c r="BC534" s="1"/>
  <c r="BE534" s="1"/>
  <c r="AI155" i="15"/>
  <c r="AY151" i="17" s="1"/>
  <c r="BC151" s="1"/>
  <c r="BE151" s="1"/>
  <c r="AI172" i="15"/>
  <c r="AY168" i="17" s="1"/>
  <c r="BC168" s="1"/>
  <c r="BE168" s="1"/>
  <c r="AI472" i="15"/>
  <c r="AY468" i="17" s="1"/>
  <c r="BC468" s="1"/>
  <c r="BE468" s="1"/>
  <c r="AI473" i="15"/>
  <c r="AI481"/>
  <c r="AY477" i="17" s="1"/>
  <c r="BC477" s="1"/>
  <c r="BE477" s="1"/>
  <c r="AI486" i="15"/>
  <c r="AY482" i="17" s="1"/>
  <c r="BC482" s="1"/>
  <c r="BE482" s="1"/>
  <c r="AI247" i="15"/>
  <c r="AY244" i="17" s="1"/>
  <c r="BC244" s="1"/>
  <c r="BE244" s="1"/>
  <c r="AI474" i="15"/>
  <c r="AY470" i="17" s="1"/>
  <c r="BC470" s="1"/>
  <c r="BE470" s="1"/>
  <c r="AI160" i="15"/>
  <c r="AY156" i="17" s="1"/>
  <c r="BC156" s="1"/>
  <c r="BE156" s="1"/>
  <c r="AI222" i="15"/>
  <c r="AY219" i="17" s="1"/>
  <c r="BC219" s="1"/>
  <c r="BE219" s="1"/>
  <c r="AI563" i="15"/>
  <c r="AY559" i="17" s="1"/>
  <c r="BC559" s="1"/>
  <c r="BE559" s="1"/>
  <c r="AI292" i="15"/>
  <c r="AY289" i="17" s="1"/>
  <c r="BC289" s="1"/>
  <c r="BE289" s="1"/>
  <c r="AI248" i="15"/>
  <c r="AY245" i="17" s="1"/>
  <c r="BC245" s="1"/>
  <c r="BE245" s="1"/>
  <c r="AI241" i="15"/>
  <c r="AY238" i="17" s="1"/>
  <c r="BC238" s="1"/>
  <c r="BE238" s="1"/>
  <c r="AI11" i="15"/>
  <c r="AY11" i="17" s="1"/>
  <c r="BC11" s="1"/>
  <c r="BE11" s="1"/>
  <c r="AG399" i="15"/>
  <c r="AI399" s="1"/>
  <c r="AY396" i="17" s="1"/>
  <c r="BC396" s="1"/>
  <c r="BE396" s="1"/>
  <c r="AI16" i="15"/>
  <c r="AY17" i="17" s="1"/>
  <c r="BC17" s="1"/>
  <c r="BE17" s="1"/>
  <c r="AI21" i="15"/>
  <c r="AY22" i="17"/>
  <c r="BC22" s="1"/>
  <c r="BE22" s="1"/>
  <c r="AI27" i="15"/>
  <c r="AY28" i="17" s="1"/>
  <c r="BC28" s="1"/>
  <c r="BE28" s="1"/>
  <c r="AI123" i="15"/>
  <c r="AY119" i="17" s="1"/>
  <c r="BC119" s="1"/>
  <c r="BE119" s="1"/>
  <c r="AI258" i="15"/>
  <c r="AY255" i="17"/>
  <c r="BC255" s="1"/>
  <c r="BE255" s="1"/>
  <c r="AI270" i="15"/>
  <c r="AY267" i="17" s="1"/>
  <c r="BC267" s="1"/>
  <c r="BE267" s="1"/>
  <c r="AI347" i="15"/>
  <c r="AY344" i="17" s="1"/>
  <c r="BC344" s="1"/>
  <c r="BE344" s="1"/>
  <c r="AI376" i="15"/>
  <c r="AY373" i="17" s="1"/>
  <c r="BC373" s="1"/>
  <c r="BE373" s="1"/>
  <c r="AI31" i="15"/>
  <c r="AY32" i="17"/>
  <c r="BC32" s="1"/>
  <c r="BE32" s="1"/>
  <c r="AI488" i="15"/>
  <c r="AY484" i="17" s="1"/>
  <c r="BC484" s="1"/>
  <c r="BE484" s="1"/>
  <c r="AI181" i="15"/>
  <c r="AY178" i="17"/>
  <c r="BC178" s="1"/>
  <c r="BE178" s="1"/>
  <c r="AI225" i="15"/>
  <c r="AY222" i="17" s="1"/>
  <c r="BC222" s="1"/>
  <c r="BE222" s="1"/>
  <c r="AI579" i="15"/>
  <c r="AY575" i="17"/>
  <c r="BC575" s="1"/>
  <c r="BE575" s="1"/>
  <c r="AI151" i="15"/>
  <c r="AY147" i="17" s="1"/>
  <c r="BC147" s="1"/>
  <c r="BE147" s="1"/>
  <c r="AI534" i="15"/>
  <c r="AY530" i="17"/>
  <c r="BC530" s="1"/>
  <c r="BE530" s="1"/>
  <c r="AI527" i="15"/>
  <c r="AY523" i="17" s="1"/>
  <c r="BC523" s="1"/>
  <c r="BE523" s="1"/>
  <c r="AI526" i="15"/>
  <c r="AY522" i="17"/>
  <c r="BC522" s="1"/>
  <c r="BE522" s="1"/>
  <c r="AI408" i="15"/>
  <c r="AY405" i="17" s="1"/>
  <c r="BC405" s="1"/>
  <c r="BE405" s="1"/>
  <c r="AI402" i="15"/>
  <c r="AY399" i="17"/>
  <c r="BC399" s="1"/>
  <c r="BE399" s="1"/>
  <c r="AI323" i="15"/>
  <c r="AY320" i="17" s="1"/>
  <c r="BC320" s="1"/>
  <c r="BE320" s="1"/>
  <c r="AI322" i="15"/>
  <c r="AY319" i="17"/>
  <c r="BC319" s="1"/>
  <c r="BE319" s="1"/>
  <c r="AI315" i="15"/>
  <c r="AY312" i="17" s="1"/>
  <c r="BC312" s="1"/>
  <c r="BE312" s="1"/>
  <c r="AI264" i="15"/>
  <c r="AY261" i="17"/>
  <c r="BC261" s="1"/>
  <c r="BE261" s="1"/>
  <c r="AI253" i="15"/>
  <c r="AY250" i="17" s="1"/>
  <c r="BC250" s="1"/>
  <c r="BE250" s="1"/>
  <c r="AI190" i="15"/>
  <c r="AY187" i="17"/>
  <c r="BC187" s="1"/>
  <c r="BE187" s="1"/>
  <c r="AI187" i="15"/>
  <c r="AY184" i="17" s="1"/>
  <c r="BC184" s="1"/>
  <c r="BE184" s="1"/>
  <c r="AI186" i="15"/>
  <c r="AY183" i="17"/>
  <c r="BC183" s="1"/>
  <c r="BE183" s="1"/>
  <c r="AI149" i="15"/>
  <c r="AY145" i="17" s="1"/>
  <c r="BC145" s="1"/>
  <c r="BE145" s="1"/>
  <c r="AI144" i="15"/>
  <c r="AY140" i="17"/>
  <c r="BC140" s="1"/>
  <c r="BE140" s="1"/>
  <c r="AI418" i="15"/>
  <c r="AY415" i="17" s="1"/>
  <c r="BC415" s="1"/>
  <c r="BE415" s="1"/>
  <c r="AI429" i="15"/>
  <c r="AY426" i="17"/>
  <c r="BC426" s="1"/>
  <c r="BE426" s="1"/>
  <c r="AI433" i="15"/>
  <c r="AY430" i="17" s="1"/>
  <c r="BC430" s="1"/>
  <c r="BE430" s="1"/>
  <c r="AI532" i="15"/>
  <c r="AY528" i="17"/>
  <c r="BC528" s="1"/>
  <c r="BE528" s="1"/>
  <c r="AI15" i="15"/>
  <c r="AY16" i="17" s="1"/>
  <c r="BC16" s="1"/>
  <c r="BE16" s="1"/>
  <c r="AI20" i="15"/>
  <c r="AY21" i="17"/>
  <c r="BC21" s="1"/>
  <c r="BE21" s="1"/>
  <c r="AI85" i="15"/>
  <c r="AY82" i="17" s="1"/>
  <c r="BC82" s="1"/>
  <c r="BE82" s="1"/>
  <c r="AI114" i="15"/>
  <c r="AY110" i="17"/>
  <c r="BC110" s="1"/>
  <c r="BE110" s="1"/>
  <c r="AG122" i="15"/>
  <c r="AI122" s="1"/>
  <c r="AY118" i="17" s="1"/>
  <c r="BC118" s="1"/>
  <c r="BE118" s="1"/>
  <c r="AI124" i="15"/>
  <c r="AY120" i="17"/>
  <c r="BC120" s="1"/>
  <c r="BE120" s="1"/>
  <c r="AI271" i="15"/>
  <c r="AY268" i="17"/>
  <c r="BC268" s="1"/>
  <c r="BE268" s="1"/>
  <c r="AI277" i="15"/>
  <c r="AY274" i="17"/>
  <c r="BC274" s="1"/>
  <c r="BE274" s="1"/>
  <c r="AI340" i="15"/>
  <c r="AY337" i="17"/>
  <c r="BC337" s="1"/>
  <c r="BE337" s="1"/>
  <c r="AI450" i="15"/>
  <c r="AI467"/>
  <c r="AY463" i="17" s="1"/>
  <c r="BC463" s="1"/>
  <c r="BE463" s="1"/>
  <c r="AI477" i="15"/>
  <c r="AI51"/>
  <c r="AY52" i="17" s="1"/>
  <c r="BC52" s="1"/>
  <c r="BE52" s="1"/>
  <c r="AI228" i="15"/>
  <c r="AI189"/>
  <c r="AY186" i="17"/>
  <c r="BC186" s="1"/>
  <c r="BE186" s="1"/>
  <c r="AI198" i="15"/>
  <c r="AY195" i="17" s="1"/>
  <c r="BC195" s="1"/>
  <c r="BE195" s="1"/>
  <c r="AI559" i="15"/>
  <c r="AY555" i="17"/>
  <c r="BC555" s="1"/>
  <c r="BE555" s="1"/>
  <c r="AI568" i="15"/>
  <c r="AY564" i="17" s="1"/>
  <c r="BC564" s="1"/>
  <c r="BE564" s="1"/>
  <c r="AI587" i="15"/>
  <c r="AY583" i="17"/>
  <c r="BC583" s="1"/>
  <c r="BE583" s="1"/>
  <c r="AI297" i="15"/>
  <c r="AY294" i="17"/>
  <c r="BC294" s="1"/>
  <c r="BE294" s="1"/>
  <c r="AI397" i="15"/>
  <c r="AY394" i="17"/>
  <c r="BC394" s="1"/>
  <c r="BE394" s="1"/>
  <c r="AI363" i="15"/>
  <c r="AY360" i="17"/>
  <c r="BC360" s="1"/>
  <c r="BE360" s="1"/>
  <c r="AI341" i="15"/>
  <c r="AY338" i="17"/>
  <c r="BC338" s="1"/>
  <c r="BE338" s="1"/>
  <c r="AI324" i="15"/>
  <c r="AY321" i="17"/>
  <c r="BC321" s="1"/>
  <c r="BE321" s="1"/>
  <c r="AI320" i="15"/>
  <c r="AY317" i="17"/>
  <c r="BC317" s="1"/>
  <c r="BE317" s="1"/>
  <c r="AI316" i="15"/>
  <c r="AY313" i="17"/>
  <c r="BC313" s="1"/>
  <c r="BE313" s="1"/>
  <c r="AI308" i="15"/>
  <c r="AY305" i="17"/>
  <c r="BC305" s="1"/>
  <c r="BE305" s="1"/>
  <c r="AI285" i="15"/>
  <c r="AY282" i="17"/>
  <c r="BC282" s="1"/>
  <c r="BE282" s="1"/>
  <c r="AI275" i="15"/>
  <c r="AY272" i="17"/>
  <c r="BC272" s="1"/>
  <c r="BE272" s="1"/>
  <c r="AI272" i="15"/>
  <c r="AY269" i="17"/>
  <c r="BC269" s="1"/>
  <c r="BE269" s="1"/>
  <c r="AI221" i="15"/>
  <c r="AY218" i="17"/>
  <c r="BC218" s="1"/>
  <c r="BE218" s="1"/>
  <c r="AI188" i="15"/>
  <c r="AY185" i="17"/>
  <c r="BC185" s="1"/>
  <c r="BE185" s="1"/>
  <c r="AI92" i="15"/>
  <c r="AY89" i="17"/>
  <c r="BC89" s="1"/>
  <c r="BE89" s="1"/>
  <c r="AI82" i="15"/>
  <c r="AY80" i="17"/>
  <c r="BC80" s="1"/>
  <c r="BE80" s="1"/>
  <c r="AI250" i="15"/>
  <c r="AY247" i="17"/>
  <c r="BC247" s="1"/>
  <c r="BE247" s="1"/>
  <c r="AI254" i="15"/>
  <c r="AY251" i="17"/>
  <c r="BC251" s="1"/>
  <c r="BE251" s="1"/>
  <c r="AI195" i="15"/>
  <c r="AY192" i="17"/>
  <c r="BC192" s="1"/>
  <c r="BE192" s="1"/>
  <c r="AI573" i="15"/>
  <c r="AY569" i="17"/>
  <c r="BC569" s="1"/>
  <c r="BE569" s="1"/>
  <c r="AI569" i="15"/>
  <c r="AY565" i="17"/>
  <c r="BC565" s="1"/>
  <c r="BE565" s="1"/>
  <c r="AI556" i="15"/>
  <c r="AY552" i="17"/>
  <c r="BC552" s="1"/>
  <c r="BE552" s="1"/>
  <c r="AI524" i="15"/>
  <c r="AY520" i="17"/>
  <c r="BC520" s="1"/>
  <c r="BE520" s="1"/>
  <c r="AI403" i="15"/>
  <c r="AY400" i="17"/>
  <c r="BC400" s="1"/>
  <c r="BE400" s="1"/>
  <c r="AI337" i="15"/>
  <c r="AY334" i="17"/>
  <c r="BC334" s="1"/>
  <c r="BE334" s="1"/>
  <c r="AI156" i="15"/>
  <c r="AY152" i="17"/>
  <c r="BC152" s="1"/>
  <c r="BE152" s="1"/>
  <c r="AG157" i="15"/>
  <c r="AI157"/>
  <c r="AY153" i="17" s="1"/>
  <c r="BC153" s="1"/>
  <c r="BE153" s="1"/>
  <c r="AI177" i="15"/>
  <c r="AY173" i="17"/>
  <c r="BC173" s="1"/>
  <c r="BE173" s="1"/>
  <c r="AI180" i="15"/>
  <c r="AY177" i="17" s="1"/>
  <c r="BC177" s="1"/>
  <c r="BE177" s="1"/>
  <c r="AI453" i="15"/>
  <c r="AY450" i="17"/>
  <c r="BC450" s="1"/>
  <c r="BE450" s="1"/>
  <c r="AI470" i="15"/>
  <c r="AY466" i="17" s="1"/>
  <c r="BC466" s="1"/>
  <c r="BE466" s="1"/>
  <c r="AG471" i="15"/>
  <c r="AI471"/>
  <c r="AY467" i="17" s="1"/>
  <c r="BC467" s="1"/>
  <c r="BE467" s="1"/>
  <c r="AI139" i="15"/>
  <c r="AY135" i="17" s="1"/>
  <c r="BC135" s="1"/>
  <c r="BE135" s="1"/>
  <c r="AI210" i="15"/>
  <c r="AY207" i="17" s="1"/>
  <c r="BC207" s="1"/>
  <c r="BE207" s="1"/>
  <c r="AI503" i="15"/>
  <c r="AY499" i="17" s="1"/>
  <c r="BC499" s="1"/>
  <c r="BE499" s="1"/>
  <c r="AI355" i="15"/>
  <c r="AY352" i="17" s="1"/>
  <c r="BC352" s="1"/>
  <c r="BE352" s="1"/>
  <c r="AI263" i="15"/>
  <c r="AY260" i="17" s="1"/>
  <c r="BC260" s="1"/>
  <c r="BE260" s="1"/>
  <c r="AI276" i="15"/>
  <c r="AY273" i="17" s="1"/>
  <c r="BC273" s="1"/>
  <c r="BE273" s="1"/>
  <c r="AI330" i="15"/>
  <c r="AY327" i="17" s="1"/>
  <c r="BC327" s="1"/>
  <c r="BE327" s="1"/>
  <c r="AI267" i="15"/>
  <c r="AY264" i="17" s="1"/>
  <c r="BC264" s="1"/>
  <c r="BE264" s="1"/>
  <c r="AY148"/>
  <c r="BC148" s="1"/>
  <c r="BE148" s="1"/>
  <c r="AY376"/>
  <c r="BC376" s="1"/>
  <c r="BE376" s="1"/>
  <c r="AW562"/>
  <c r="AY469"/>
  <c r="BC469" s="1"/>
  <c r="BE469" s="1"/>
  <c r="AY562"/>
  <c r="BC562" s="1"/>
  <c r="BE562" s="1"/>
  <c r="AY446"/>
  <c r="BC446" s="1"/>
  <c r="BE446" s="1"/>
  <c r="AY398"/>
  <c r="BC398" s="1"/>
  <c r="BE398" s="1"/>
  <c r="AY409"/>
  <c r="BC409" s="1"/>
  <c r="BE409" s="1"/>
  <c r="AY420"/>
  <c r="BC420"/>
  <c r="BE420" s="1"/>
  <c r="AY526"/>
  <c r="BC526" s="1"/>
  <c r="BE526" s="1"/>
  <c r="AY25"/>
  <c r="BC25" s="1"/>
  <c r="BE25" s="1"/>
  <c r="AY76"/>
  <c r="BC76" s="1"/>
  <c r="BE76" s="1"/>
  <c r="AY78"/>
  <c r="BC78"/>
  <c r="BE78" s="1"/>
  <c r="AY95"/>
  <c r="BC95" s="1"/>
  <c r="BE95" s="1"/>
  <c r="AY111"/>
  <c r="BC111" s="1"/>
  <c r="BE111" s="1"/>
  <c r="AY113"/>
  <c r="BC113" s="1"/>
  <c r="BE113" s="1"/>
  <c r="AY122"/>
  <c r="BC122"/>
  <c r="BE122" s="1"/>
  <c r="AY277"/>
  <c r="BC277" s="1"/>
  <c r="BE277" s="1"/>
  <c r="AY350"/>
  <c r="BC350" s="1"/>
  <c r="BE350" s="1"/>
  <c r="AY357"/>
  <c r="BC357" s="1"/>
  <c r="BE357" s="1"/>
  <c r="AY364"/>
  <c r="BC364"/>
  <c r="BE364" s="1"/>
  <c r="AY386"/>
  <c r="BC386" s="1"/>
  <c r="BE386" s="1"/>
  <c r="AY391"/>
  <c r="BC391" s="1"/>
  <c r="BE391" s="1"/>
  <c r="AY392"/>
  <c r="BC392" s="1"/>
  <c r="BE392" s="1"/>
  <c r="AY533"/>
  <c r="BC533"/>
  <c r="BE533" s="1"/>
  <c r="AY538"/>
  <c r="BC538" s="1"/>
  <c r="BE538" s="1"/>
  <c r="AY30"/>
  <c r="BC30" s="1"/>
  <c r="BE30" s="1"/>
  <c r="AY158"/>
  <c r="BC158" s="1"/>
  <c r="BE158" s="1"/>
  <c r="AY174"/>
  <c r="BC174"/>
  <c r="BE174" s="1"/>
  <c r="AY496"/>
  <c r="BC496" s="1"/>
  <c r="BE496" s="1"/>
  <c r="AY473"/>
  <c r="BC473" s="1"/>
  <c r="BE473" s="1"/>
  <c r="AY447"/>
  <c r="BC447" s="1"/>
  <c r="BE447" s="1"/>
  <c r="AY549"/>
  <c r="BC549" s="1"/>
  <c r="BE549" s="1"/>
  <c r="AY548"/>
  <c r="BC548" s="1"/>
  <c r="BE548" s="1"/>
  <c r="AY339"/>
  <c r="BC339" s="1"/>
  <c r="BE339" s="1"/>
  <c r="AY209"/>
  <c r="BC209"/>
  <c r="BE209" s="1"/>
  <c r="AY164"/>
  <c r="BC164" s="1"/>
  <c r="BE164" s="1"/>
  <c r="AY157"/>
  <c r="BC157" s="1"/>
  <c r="BE157" s="1"/>
  <c r="AY42"/>
  <c r="BC42" s="1"/>
  <c r="BE42" s="1"/>
  <c r="AY41"/>
  <c r="BC41"/>
  <c r="BE41" s="1"/>
  <c r="AY39"/>
  <c r="BC39" s="1"/>
  <c r="BE39" s="1"/>
  <c r="AY401"/>
  <c r="BC401" s="1"/>
  <c r="BE401" s="1"/>
  <c r="AY422"/>
  <c r="BC422" s="1"/>
  <c r="BE422" s="1"/>
  <c r="AY440"/>
  <c r="BC440"/>
  <c r="BE440" s="1"/>
  <c r="AY75"/>
  <c r="BC75" s="1"/>
  <c r="BE75" s="1"/>
  <c r="AY81"/>
  <c r="BC81" s="1"/>
  <c r="BE81" s="1"/>
  <c r="AY99"/>
  <c r="BC99" s="1"/>
  <c r="BE99" s="1"/>
  <c r="AY252"/>
  <c r="BC252"/>
  <c r="BE252" s="1"/>
  <c r="AY283"/>
  <c r="BC283" s="1"/>
  <c r="BE283" s="1"/>
  <c r="AY359"/>
  <c r="BC359" s="1"/>
  <c r="BE359" s="1"/>
  <c r="AY388"/>
  <c r="BC388" s="1"/>
  <c r="BE388" s="1"/>
  <c r="AY541"/>
  <c r="BC541"/>
  <c r="BE541" s="1"/>
  <c r="AY37"/>
  <c r="BC37" s="1"/>
  <c r="BE37" s="1"/>
  <c r="AY43"/>
  <c r="BC43" s="1"/>
  <c r="BE43" s="1"/>
  <c r="AY154"/>
  <c r="BC154" s="1"/>
  <c r="BE154" s="1"/>
  <c r="AY166"/>
  <c r="BC166"/>
  <c r="BE166" s="1"/>
  <c r="AY167"/>
  <c r="BC167" s="1"/>
  <c r="BE167" s="1"/>
  <c r="AY448"/>
  <c r="BC448" s="1"/>
  <c r="BE448" s="1"/>
  <c r="AY486"/>
  <c r="BC486" s="1"/>
  <c r="BE486" s="1"/>
  <c r="AI456" i="15"/>
  <c r="AY453" i="17" s="1"/>
  <c r="BC453" s="1"/>
  <c r="BE453" s="1"/>
  <c r="AI528" i="15"/>
  <c r="AY524" i="17" s="1"/>
  <c r="BC524" s="1"/>
  <c r="BE524" s="1"/>
  <c r="AI75" i="15"/>
  <c r="AY73" i="17" s="1"/>
  <c r="BC73" s="1"/>
  <c r="BE73" s="1"/>
  <c r="AI100" i="15"/>
  <c r="AY96" i="17" s="1"/>
  <c r="BC96" s="1"/>
  <c r="BE96" s="1"/>
  <c r="AI244" i="15"/>
  <c r="AY241" i="17" s="1"/>
  <c r="BC241" s="1"/>
  <c r="BE241" s="1"/>
  <c r="AI544" i="15"/>
  <c r="AY540" i="17" s="1"/>
  <c r="BC540" s="1"/>
  <c r="BE540" s="1"/>
  <c r="AI32" i="15"/>
  <c r="AY33" i="17" s="1"/>
  <c r="BC33" s="1"/>
  <c r="BE33" s="1"/>
  <c r="AI159" i="15"/>
  <c r="AY155" i="17" s="1"/>
  <c r="BC155" s="1"/>
  <c r="BE155" s="1"/>
  <c r="AI173" i="15"/>
  <c r="AY169" i="17" s="1"/>
  <c r="BC169" s="1"/>
  <c r="BE169" s="1"/>
  <c r="AI47" i="15"/>
  <c r="AY48" i="17" s="1"/>
  <c r="BC48" s="1"/>
  <c r="BE48" s="1"/>
  <c r="AG56" i="15"/>
  <c r="AI56" s="1"/>
  <c r="AY57" i="17" s="1"/>
  <c r="BC57" s="1"/>
  <c r="BE57" s="1"/>
  <c r="AI509" i="15"/>
  <c r="AY505" i="17" s="1"/>
  <c r="BC505" s="1"/>
  <c r="BE505" s="1"/>
  <c r="AI278" i="15"/>
  <c r="AY275" i="17"/>
  <c r="BC275" s="1"/>
  <c r="BE275" s="1"/>
  <c r="AI251" i="15"/>
  <c r="AY248" i="17"/>
  <c r="BC248" s="1"/>
  <c r="BE248" s="1"/>
  <c r="AI438" i="15"/>
  <c r="AY435" i="17"/>
  <c r="BC435" s="1"/>
  <c r="BE435" s="1"/>
  <c r="AI108" i="15"/>
  <c r="AY104" i="17"/>
  <c r="BC104" s="1"/>
  <c r="BE104" s="1"/>
  <c r="AI393" i="15"/>
  <c r="AY390" i="17"/>
  <c r="BC390" s="1"/>
  <c r="BE390" s="1"/>
  <c r="AI501" i="15"/>
  <c r="AY497" i="17"/>
  <c r="BC497" s="1"/>
  <c r="BE497" s="1"/>
  <c r="AI454" i="15"/>
  <c r="AY451" i="17"/>
  <c r="BC451" s="1"/>
  <c r="BE451" s="1"/>
  <c r="AF357" i="16"/>
  <c r="AF406"/>
  <c r="AF408"/>
  <c r="AF409"/>
  <c r="AF411"/>
  <c r="AF415"/>
  <c r="AF422"/>
  <c r="AF441"/>
  <c r="AF446"/>
  <c r="AF501"/>
  <c r="AF502"/>
  <c r="AF505"/>
  <c r="AF510"/>
  <c r="AF517"/>
  <c r="AF528"/>
  <c r="AF12"/>
  <c r="AF19"/>
  <c r="AF26"/>
  <c r="AF76"/>
  <c r="AF81"/>
  <c r="AF85"/>
  <c r="AF86"/>
  <c r="AF87"/>
  <c r="AF103"/>
  <c r="AF114"/>
  <c r="AF122"/>
  <c r="AF250"/>
  <c r="AF269"/>
  <c r="AF276"/>
  <c r="AF358"/>
  <c r="AF364"/>
  <c r="AF372"/>
  <c r="AF378"/>
  <c r="AF133"/>
  <c r="AF385"/>
  <c r="AF387"/>
  <c r="AF29"/>
  <c r="AF33"/>
  <c r="AF35"/>
  <c r="AF37"/>
  <c r="AF159"/>
  <c r="AF172"/>
  <c r="AF259"/>
  <c r="AF197"/>
  <c r="AF427"/>
  <c r="AF348"/>
  <c r="AF315"/>
  <c r="AF80"/>
  <c r="AF400"/>
  <c r="AF419"/>
  <c r="AF435"/>
  <c r="AF445"/>
  <c r="AF500"/>
  <c r="AF503"/>
  <c r="AF506"/>
  <c r="AF511"/>
  <c r="AF523"/>
  <c r="AF526"/>
  <c r="AF529"/>
  <c r="AF530"/>
  <c r="AF27"/>
  <c r="AF83"/>
  <c r="AF107"/>
  <c r="AF120"/>
  <c r="AF110"/>
  <c r="AF112"/>
  <c r="AF117"/>
  <c r="AF262"/>
  <c r="AF337"/>
  <c r="AF347"/>
  <c r="AF134"/>
  <c r="AF543"/>
  <c r="AF42"/>
  <c r="AF73"/>
  <c r="AF153"/>
  <c r="AF162"/>
  <c r="AF451"/>
  <c r="AF453"/>
  <c r="AF455"/>
  <c r="AF459"/>
  <c r="AF462"/>
  <c r="AF469"/>
  <c r="AF471"/>
  <c r="AF473"/>
  <c r="AF476"/>
  <c r="AF482"/>
  <c r="AF493"/>
  <c r="AF497"/>
  <c r="AF44"/>
  <c r="AF45"/>
  <c r="AF46"/>
  <c r="AF49"/>
  <c r="AF50"/>
  <c r="AF565"/>
  <c r="AF194"/>
  <c r="AF468"/>
  <c r="AF202"/>
  <c r="AF219"/>
  <c r="AF224"/>
  <c r="AF539"/>
  <c r="AF554"/>
  <c r="BL433" i="2"/>
  <c r="BS433"/>
  <c r="BU433" s="1"/>
  <c r="S351" i="10"/>
  <c r="S62"/>
  <c r="BL29" i="25"/>
  <c r="BT29" s="1"/>
  <c r="BV29" s="1"/>
  <c r="BL31"/>
  <c r="BT31" s="1"/>
  <c r="BV31" s="1"/>
  <c r="BL82"/>
  <c r="BT82" s="1"/>
  <c r="BV82" s="1"/>
  <c r="BL30"/>
  <c r="BT30"/>
  <c r="BV30" s="1"/>
  <c r="BL81"/>
  <c r="BT81" s="1"/>
  <c r="BV81" s="1"/>
  <c r="BL106"/>
  <c r="BT106" s="1"/>
  <c r="BV106" s="1"/>
  <c r="BL105"/>
  <c r="BT105" s="1"/>
  <c r="BV105" s="1"/>
  <c r="BV323"/>
  <c r="BL537"/>
  <c r="BT537" s="1"/>
  <c r="BV537" s="1"/>
  <c r="BL23"/>
  <c r="BT23" s="1"/>
  <c r="BV23" s="1"/>
  <c r="BL25"/>
  <c r="BT25" s="1"/>
  <c r="BV25" s="1"/>
  <c r="BL27"/>
  <c r="BT27"/>
  <c r="BV27" s="1"/>
  <c r="BL173"/>
  <c r="BT173" s="1"/>
  <c r="BV173" s="1"/>
  <c r="BL543"/>
  <c r="BT543" s="1"/>
  <c r="BV543" s="1"/>
  <c r="BL555"/>
  <c r="BT555"/>
  <c r="BV555" s="1"/>
  <c r="BL535"/>
  <c r="BT535" s="1"/>
  <c r="BV535" s="1"/>
  <c r="BL548"/>
  <c r="BT548" s="1"/>
  <c r="BV548" s="1"/>
  <c r="BL22"/>
  <c r="BT22" s="1"/>
  <c r="BV22" s="1"/>
  <c r="BL24"/>
  <c r="BT24"/>
  <c r="BV24" s="1"/>
  <c r="BL26"/>
  <c r="BT26" s="1"/>
  <c r="BV26" s="1"/>
  <c r="BL28"/>
  <c r="BT28" s="1"/>
  <c r="BV28" s="1"/>
  <c r="BL533"/>
  <c r="BT533" s="1"/>
  <c r="BV533" s="1"/>
  <c r="BL51"/>
  <c r="BT51"/>
  <c r="BV51" s="1"/>
  <c r="BL50"/>
  <c r="BT50" s="1"/>
  <c r="BV50" s="1"/>
  <c r="BL583"/>
  <c r="BT583" s="1"/>
  <c r="BV583" s="1"/>
  <c r="BL495"/>
  <c r="BT495"/>
  <c r="BV495" s="1"/>
  <c r="BL456"/>
  <c r="BT456" s="1"/>
  <c r="BV456" s="1"/>
  <c r="BL559"/>
  <c r="BT559" s="1"/>
  <c r="BV559" s="1"/>
  <c r="BL168"/>
  <c r="BT168" s="1"/>
  <c r="BV168" s="1"/>
  <c r="BL42"/>
  <c r="BT42"/>
  <c r="BV42" s="1"/>
  <c r="BL574"/>
  <c r="BT574" s="1"/>
  <c r="BV574" s="1"/>
  <c r="BL422"/>
  <c r="BT422" s="1"/>
  <c r="BV422" s="1"/>
  <c r="BL346"/>
  <c r="BT346" s="1"/>
  <c r="BV346" s="1"/>
  <c r="BL348"/>
  <c r="BT348"/>
  <c r="BV348" s="1"/>
  <c r="BL351"/>
  <c r="BT351" s="1"/>
  <c r="BV351" s="1"/>
  <c r="BL353"/>
  <c r="BT353" s="1"/>
  <c r="BV353" s="1"/>
  <c r="BL355"/>
  <c r="BT355" s="1"/>
  <c r="BV355" s="1"/>
  <c r="BL357"/>
  <c r="BT357"/>
  <c r="BV357" s="1"/>
  <c r="BL358"/>
  <c r="BT358" s="1"/>
  <c r="BV358" s="1"/>
  <c r="BL360"/>
  <c r="BT360" s="1"/>
  <c r="BV360" s="1"/>
  <c r="BL362"/>
  <c r="BT362" s="1"/>
  <c r="BV362" s="1"/>
  <c r="BL368"/>
  <c r="BT368"/>
  <c r="BV368" s="1"/>
  <c r="BL370"/>
  <c r="BT370" s="1"/>
  <c r="BV370" s="1"/>
  <c r="BL372"/>
  <c r="BT372" s="1"/>
  <c r="BV372" s="1"/>
  <c r="BL373"/>
  <c r="BT373" s="1"/>
  <c r="BV373" s="1"/>
  <c r="BL375"/>
  <c r="BT375"/>
  <c r="BV375" s="1"/>
  <c r="BL377"/>
  <c r="BT377" s="1"/>
  <c r="BV377" s="1"/>
  <c r="BL379"/>
  <c r="BT379" s="1"/>
  <c r="BV379" s="1"/>
  <c r="BL381"/>
  <c r="BT381" s="1"/>
  <c r="BV381" s="1"/>
  <c r="BL383"/>
  <c r="BT383" s="1"/>
  <c r="BV383" s="1"/>
  <c r="BL385"/>
  <c r="BT385" s="1"/>
  <c r="BV385" s="1"/>
  <c r="BL386"/>
  <c r="BT386" s="1"/>
  <c r="BV386" s="1"/>
  <c r="BL388"/>
  <c r="BT388"/>
  <c r="BV388" s="1"/>
  <c r="BL390"/>
  <c r="BT390" s="1"/>
  <c r="BV390" s="1"/>
  <c r="BL392"/>
  <c r="BT392" s="1"/>
  <c r="BV392" s="1"/>
  <c r="BL407"/>
  <c r="BT407" s="1"/>
  <c r="BV407" s="1"/>
  <c r="BL409"/>
  <c r="BT409"/>
  <c r="BV409" s="1"/>
  <c r="BL419"/>
  <c r="BT419" s="1"/>
  <c r="BV419" s="1"/>
  <c r="BL421"/>
  <c r="BT421" s="1"/>
  <c r="BV421" s="1"/>
  <c r="BL423"/>
  <c r="BT423" s="1"/>
  <c r="BV423" s="1"/>
  <c r="BL425"/>
  <c r="BT425"/>
  <c r="BV425" s="1"/>
  <c r="BL577"/>
  <c r="BT577" s="1"/>
  <c r="BV577" s="1"/>
  <c r="BL581"/>
  <c r="BT581" s="1"/>
  <c r="BV581" s="1"/>
  <c r="BL546"/>
  <c r="BT546" s="1"/>
  <c r="BV546" s="1"/>
  <c r="AZ37"/>
  <c r="BJ37"/>
  <c r="BL37" s="1"/>
  <c r="BT37" s="1"/>
  <c r="BV37" s="1"/>
  <c r="BL506"/>
  <c r="BT506" s="1"/>
  <c r="BV506" s="1"/>
  <c r="BL484"/>
  <c r="BT484" s="1"/>
  <c r="BV484" s="1"/>
  <c r="BL580"/>
  <c r="BT580" s="1"/>
  <c r="BV580" s="1"/>
  <c r="BL347"/>
  <c r="BT347"/>
  <c r="BV347" s="1"/>
  <c r="BL349"/>
  <c r="BT349" s="1"/>
  <c r="BV349" s="1"/>
  <c r="BL350"/>
  <c r="BT350" s="1"/>
  <c r="BV350" s="1"/>
  <c r="BL352"/>
  <c r="BT352" s="1"/>
  <c r="BV352" s="1"/>
  <c r="BL354"/>
  <c r="BT354"/>
  <c r="BV354" s="1"/>
  <c r="BL356"/>
  <c r="BT356" s="1"/>
  <c r="BV356" s="1"/>
  <c r="BL359"/>
  <c r="BT359" s="1"/>
  <c r="BV359" s="1"/>
  <c r="BL361"/>
  <c r="BT361" s="1"/>
  <c r="BV361" s="1"/>
  <c r="BL369"/>
  <c r="BT369"/>
  <c r="BV369" s="1"/>
  <c r="BL371"/>
  <c r="BT371" s="1"/>
  <c r="BV371" s="1"/>
  <c r="BL374"/>
  <c r="BT374" s="1"/>
  <c r="BV374" s="1"/>
  <c r="BL376"/>
  <c r="BT376" s="1"/>
  <c r="BV376" s="1"/>
  <c r="BL378"/>
  <c r="BT378"/>
  <c r="BV378" s="1"/>
  <c r="BL380"/>
  <c r="BT380" s="1"/>
  <c r="BV380" s="1"/>
  <c r="BL382"/>
  <c r="BT382" s="1"/>
  <c r="BV382" s="1"/>
  <c r="BL384"/>
  <c r="BT384" s="1"/>
  <c r="BV384" s="1"/>
  <c r="BL387"/>
  <c r="BT387"/>
  <c r="BV387" s="1"/>
  <c r="BL389"/>
  <c r="BT389" s="1"/>
  <c r="BV389" s="1"/>
  <c r="BL391"/>
  <c r="BT391" s="1"/>
  <c r="BV391" s="1"/>
  <c r="BL411"/>
  <c r="BT411" s="1"/>
  <c r="BV411" s="1"/>
  <c r="BL413"/>
  <c r="BT413"/>
  <c r="BV413" s="1"/>
  <c r="BL415"/>
  <c r="BT415" s="1"/>
  <c r="BV415" s="1"/>
  <c r="BL417"/>
  <c r="BT417" s="1"/>
  <c r="BV417" s="1"/>
  <c r="BL427"/>
  <c r="BT427" s="1"/>
  <c r="BV427" s="1"/>
  <c r="BL429"/>
  <c r="BT429"/>
  <c r="BV429" s="1"/>
  <c r="BL395"/>
  <c r="BT395" s="1"/>
  <c r="BV395" s="1"/>
  <c r="BL13"/>
  <c r="BT13" s="1"/>
  <c r="BV13" s="1"/>
  <c r="BL14"/>
  <c r="BT14" s="1"/>
  <c r="BV14" s="1"/>
  <c r="BL18"/>
  <c r="BT18"/>
  <c r="BV18" s="1"/>
  <c r="BL20"/>
  <c r="BT20" s="1"/>
  <c r="BV20" s="1"/>
  <c r="BL85"/>
  <c r="BT85" s="1"/>
  <c r="BV85" s="1"/>
  <c r="BL89"/>
  <c r="BT89" s="1"/>
  <c r="BV89" s="1"/>
  <c r="BL91"/>
  <c r="BT91"/>
  <c r="BV91" s="1"/>
  <c r="BL17"/>
  <c r="BT17" s="1"/>
  <c r="BV17" s="1"/>
  <c r="BL21"/>
  <c r="BT21"/>
  <c r="BV21" s="1"/>
  <c r="BL84"/>
  <c r="BT84" s="1"/>
  <c r="BV84" s="1"/>
  <c r="BL86"/>
  <c r="BT86" s="1"/>
  <c r="BV86" s="1"/>
  <c r="BL88"/>
  <c r="BT88" s="1"/>
  <c r="BV88" s="1"/>
  <c r="BL90"/>
  <c r="BT90"/>
  <c r="BV90" s="1"/>
  <c r="BL464"/>
  <c r="BT464" s="1"/>
  <c r="BL494"/>
  <c r="BT494" s="1"/>
  <c r="BV494" s="1"/>
  <c r="BL72"/>
  <c r="BT72" s="1"/>
  <c r="BV72" s="1"/>
  <c r="BL75"/>
  <c r="BT75" s="1"/>
  <c r="BV75" s="1"/>
  <c r="BL394"/>
  <c r="BT394"/>
  <c r="BV394" s="1"/>
  <c r="BL475"/>
  <c r="BT475" s="1"/>
  <c r="BV475" s="1"/>
  <c r="BL477"/>
  <c r="BT477" s="1"/>
  <c r="BV477" s="1"/>
  <c r="BL497"/>
  <c r="BT497" s="1"/>
  <c r="BV497" s="1"/>
  <c r="BL500"/>
  <c r="BT500" s="1"/>
  <c r="BL55"/>
  <c r="BT55"/>
  <c r="BV55" s="1"/>
  <c r="BL61"/>
  <c r="BT61" s="1"/>
  <c r="BV61" s="1"/>
  <c r="BL157"/>
  <c r="BT157" s="1"/>
  <c r="BV157" s="1"/>
  <c r="BL83"/>
  <c r="BT83" s="1"/>
  <c r="BV83" s="1"/>
  <c r="BL44"/>
  <c r="BT44" s="1"/>
  <c r="BV44" s="1"/>
  <c r="BL38"/>
  <c r="BT38"/>
  <c r="BV38" s="1"/>
  <c r="AU40" i="22"/>
  <c r="BL40" i="25" s="1"/>
  <c r="BT40" s="1"/>
  <c r="BV40" s="1"/>
  <c r="AU166" i="22"/>
  <c r="BL166" i="25"/>
  <c r="BT166" s="1"/>
  <c r="BV166" s="1"/>
  <c r="AU182" i="22"/>
  <c r="BL180" i="25" s="1"/>
  <c r="BT180" s="1"/>
  <c r="BV180" s="1"/>
  <c r="AU187" i="22"/>
  <c r="BL185" i="25"/>
  <c r="BT185" s="1"/>
  <c r="BV185" s="1"/>
  <c r="AU462" i="22"/>
  <c r="BL462" i="25" s="1"/>
  <c r="BT462" s="1"/>
  <c r="BV462" s="1"/>
  <c r="Y463" i="22"/>
  <c r="AU463"/>
  <c r="BL463" i="25" s="1"/>
  <c r="BT463" s="1"/>
  <c r="BV463" s="1"/>
  <c r="AU490" i="22"/>
  <c r="BL490" i="25" s="1"/>
  <c r="BT490" s="1"/>
  <c r="BV490" s="1"/>
  <c r="AU66" i="22"/>
  <c r="BL66" i="25" s="1"/>
  <c r="BT66" s="1"/>
  <c r="BV66" s="1"/>
  <c r="AU69" i="22"/>
  <c r="BL69" i="25" s="1"/>
  <c r="BT69" s="1"/>
  <c r="BV69" s="1"/>
  <c r="AU70" i="22"/>
  <c r="BL70" i="25" s="1"/>
  <c r="BT70" s="1"/>
  <c r="BV70" s="1"/>
  <c r="AU398" i="22"/>
  <c r="BL398" i="25" s="1"/>
  <c r="BT398" s="1"/>
  <c r="BV398" s="1"/>
  <c r="AU39" i="22"/>
  <c r="BL39" i="25" s="1"/>
  <c r="BT39" s="1"/>
  <c r="BV39" s="1"/>
  <c r="AU41" i="22"/>
  <c r="BL41" i="25"/>
  <c r="BT41" s="1"/>
  <c r="BV41" s="1"/>
  <c r="AU165" i="22"/>
  <c r="BL165" i="25" s="1"/>
  <c r="BT165" s="1"/>
  <c r="BV165" s="1"/>
  <c r="AU68" i="22"/>
  <c r="BL68" i="25"/>
  <c r="BT68" s="1"/>
  <c r="BV68" s="1"/>
  <c r="Y399" i="22"/>
  <c r="AU399" s="1"/>
  <c r="BL399" i="25" s="1"/>
  <c r="BT399" s="1"/>
  <c r="BV399" s="1"/>
  <c r="AU181" i="22"/>
  <c r="BL179" i="25"/>
  <c r="BT179" s="1"/>
  <c r="BV179" s="1"/>
  <c r="AU230" i="22"/>
  <c r="BL230" i="25"/>
  <c r="BT230" s="1"/>
  <c r="BV230" s="1"/>
  <c r="BV139"/>
  <c r="BV153"/>
  <c r="AU400" i="22"/>
  <c r="BL400" i="25"/>
  <c r="BT400" s="1"/>
  <c r="AU402" i="22"/>
  <c r="BL402" i="25"/>
  <c r="BT402" s="1"/>
  <c r="BV402" s="1"/>
  <c r="AU47" i="22"/>
  <c r="BL47" i="25" s="1"/>
  <c r="BT47" s="1"/>
  <c r="BV47" s="1"/>
  <c r="Y164" i="22"/>
  <c r="AU164"/>
  <c r="BL164" i="25" s="1"/>
  <c r="BT164" s="1"/>
  <c r="BV164" s="1"/>
  <c r="BV306"/>
  <c r="BV268"/>
  <c r="BV270"/>
  <c r="BV111"/>
  <c r="BV339"/>
  <c r="BV158"/>
  <c r="BV162"/>
  <c r="BV345"/>
  <c r="BV312"/>
  <c r="BV48"/>
  <c r="BV300"/>
  <c r="BV184"/>
  <c r="BV314"/>
  <c r="BV49"/>
  <c r="BV62"/>
  <c r="BV147"/>
  <c r="BV119"/>
  <c r="BV154"/>
  <c r="BV316"/>
  <c r="BV219"/>
  <c r="BV174"/>
  <c r="BV498"/>
  <c r="BV503"/>
  <c r="BV65"/>
  <c r="BV217"/>
  <c r="BV308"/>
  <c r="BV149"/>
  <c r="BV130"/>
  <c r="BV116"/>
  <c r="BV160"/>
  <c r="BV190"/>
  <c r="BV587"/>
  <c r="BV337"/>
  <c r="BV333"/>
  <c r="BV332"/>
  <c r="BV591"/>
  <c r="BV322"/>
  <c r="AA513" i="26"/>
  <c r="AC557"/>
  <c r="AC559"/>
  <c r="AA176"/>
  <c r="BV176" i="25" s="1"/>
  <c r="AC500" i="26"/>
  <c r="AA398"/>
  <c r="AC486"/>
  <c r="AC467"/>
  <c r="AA500"/>
  <c r="AC41"/>
  <c r="AC466"/>
  <c r="AA472"/>
  <c r="BV474" i="25"/>
  <c r="AA546" i="26"/>
  <c r="AA397"/>
  <c r="AC398"/>
  <c r="O399"/>
  <c r="AC399"/>
  <c r="AC183"/>
  <c r="AC485"/>
  <c r="AA485"/>
  <c r="AA497"/>
  <c r="AC498"/>
  <c r="AC241"/>
  <c r="AC341"/>
  <c r="AA474"/>
  <c r="AA221"/>
  <c r="BV221" i="25"/>
  <c r="AA190" i="26"/>
  <c r="BV192" i="25"/>
  <c r="AC310" i="26"/>
  <c r="AC311"/>
  <c r="AC397"/>
  <c r="AA400"/>
  <c r="AA462"/>
  <c r="AC484"/>
  <c r="AA494"/>
  <c r="AC503"/>
  <c r="AC65"/>
  <c r="AA243"/>
  <c r="AC502"/>
  <c r="BL431" i="25"/>
  <c r="BT431" s="1"/>
  <c r="BV431" s="1"/>
  <c r="AC549" i="26"/>
  <c r="AC552"/>
  <c r="K167"/>
  <c r="AC167"/>
  <c r="BL12" i="2" l="1"/>
  <c r="BS12" s="1"/>
  <c r="BU12" s="1"/>
  <c r="O260" i="16"/>
  <c r="Q260"/>
  <c r="M260"/>
  <c r="BV400" i="25"/>
  <c r="BV500"/>
  <c r="BV464"/>
  <c r="BU110" i="2"/>
  <c r="BU367"/>
  <c r="BV45" i="25"/>
  <c r="BV142"/>
  <c r="BV145"/>
  <c r="BV576"/>
  <c r="BV547"/>
  <c r="BV589"/>
  <c r="BL133" i="2"/>
  <c r="BS133" s="1"/>
  <c r="BU133" s="1"/>
  <c r="BL352"/>
  <c r="BS352" s="1"/>
  <c r="BU352" s="1"/>
  <c r="BL361"/>
  <c r="BS361" s="1"/>
  <c r="BU361" s="1"/>
  <c r="BL362"/>
  <c r="BS362" s="1"/>
  <c r="BU362" s="1"/>
  <c r="BL221"/>
  <c r="BS221" s="1"/>
  <c r="BU221" s="1"/>
  <c r="BL228"/>
  <c r="BS228" s="1"/>
  <c r="BU228" s="1"/>
  <c r="BL230"/>
  <c r="BS230" s="1"/>
  <c r="BU230" s="1"/>
  <c r="BL420"/>
  <c r="BS420" s="1"/>
  <c r="BU420" s="1"/>
  <c r="AF104" i="16"/>
  <c r="AF336"/>
  <c r="BL387" i="2"/>
  <c r="BS387" s="1"/>
  <c r="BU387" s="1"/>
  <c r="BV104" i="25"/>
  <c r="BV214"/>
  <c r="BV225"/>
  <c r="BV227"/>
  <c r="BV229"/>
  <c r="BV232"/>
  <c r="BU183" i="2"/>
  <c r="BV43" i="25"/>
  <c r="BV595"/>
  <c r="BV485"/>
  <c r="BL363" i="2"/>
  <c r="BS363" s="1"/>
  <c r="BU363" s="1"/>
  <c r="BL279"/>
  <c r="BS279" s="1"/>
  <c r="BU279" s="1"/>
  <c r="BU412"/>
  <c r="AF79" i="16"/>
  <c r="AF84"/>
  <c r="AF100"/>
  <c r="AF115"/>
  <c r="AF121"/>
  <c r="BL384" i="2"/>
  <c r="BS384" s="1"/>
  <c r="BU384" s="1"/>
  <c r="BV224" i="25"/>
  <c r="BV231"/>
  <c r="BV233"/>
  <c r="BV343"/>
  <c r="BV579"/>
  <c r="BV593"/>
  <c r="AF31" i="16"/>
  <c r="AF39"/>
  <c r="AY38" i="17"/>
  <c r="BC38" s="1"/>
  <c r="BE38" s="1"/>
  <c r="AF165" i="16"/>
  <c r="AF168"/>
  <c r="AM170" i="1"/>
  <c r="BL170" i="2" s="1"/>
  <c r="BS170" s="1"/>
  <c r="BU170" s="1"/>
  <c r="BV141" i="25"/>
  <c r="BV215"/>
  <c r="BV235"/>
  <c r="BV252"/>
  <c r="BV254"/>
  <c r="BV274"/>
  <c r="BV304"/>
  <c r="BV317"/>
  <c r="BV320"/>
  <c r="BV329"/>
  <c r="BV335"/>
  <c r="AF155" i="16"/>
  <c r="AC171" i="26"/>
  <c r="AU518" i="22"/>
  <c r="AU501"/>
  <c r="BL501" i="25" s="1"/>
  <c r="BT501" s="1"/>
  <c r="BV501" s="1"/>
  <c r="AI63" i="15"/>
  <c r="AY64" i="17" s="1"/>
  <c r="BC64" s="1"/>
  <c r="BE64" s="1"/>
  <c r="AI211" i="15"/>
  <c r="AY208" i="17" s="1"/>
  <c r="BC208" s="1"/>
  <c r="BE208" s="1"/>
  <c r="AI300" i="15"/>
  <c r="AY297" i="17" s="1"/>
  <c r="BC297" s="1"/>
  <c r="BE297" s="1"/>
  <c r="AF551" i="16"/>
  <c r="AI213" i="15"/>
  <c r="AY210" i="17" s="1"/>
  <c r="BC210" s="1"/>
  <c r="BE210" s="1"/>
  <c r="AF217" i="16"/>
  <c r="AI555" i="15"/>
  <c r="AY551" i="17" s="1"/>
  <c r="BC551" s="1"/>
  <c r="BE551" s="1"/>
  <c r="AF572" i="16"/>
  <c r="AF576"/>
  <c r="AI575" i="15"/>
  <c r="AY571" i="17" s="1"/>
  <c r="BC571" s="1"/>
  <c r="BE571" s="1"/>
  <c r="AF587" i="16"/>
  <c r="AI464" i="15"/>
  <c r="AY460" i="17" s="1"/>
  <c r="BC460" s="1"/>
  <c r="BE460" s="1"/>
  <c r="AI196" i="15"/>
  <c r="AY193" i="17" s="1"/>
  <c r="BC193" s="1"/>
  <c r="BE193" s="1"/>
  <c r="AI191" i="15"/>
  <c r="AY188" i="17" s="1"/>
  <c r="BC188" s="1"/>
  <c r="BE188" s="1"/>
  <c r="AF223" i="16"/>
  <c r="AF569"/>
  <c r="AF580"/>
  <c r="AF365"/>
  <c r="BL516" i="25"/>
  <c r="BT516" s="1"/>
  <c r="BV516" s="1"/>
  <c r="BL518" i="2"/>
  <c r="BS518" s="1"/>
  <c r="BU518" s="1"/>
  <c r="K260" i="16" l="1"/>
  <c r="X276" i="10"/>
  <c r="I260" i="16"/>
  <c r="AD260" l="1"/>
  <c r="G260"/>
  <c r="AF260" s="1"/>
</calcChain>
</file>

<file path=xl/sharedStrings.xml><?xml version="1.0" encoding="utf-8"?>
<sst xmlns="http://schemas.openxmlformats.org/spreadsheetml/2006/main" count="15498" uniqueCount="987">
  <si>
    <t>Charges for</t>
  </si>
  <si>
    <t>Inter-</t>
  </si>
  <si>
    <t>Special</t>
  </si>
  <si>
    <t>Total</t>
  </si>
  <si>
    <t>County</t>
  </si>
  <si>
    <t>Taxes</t>
  </si>
  <si>
    <t>Services</t>
  </si>
  <si>
    <t>governmental</t>
  </si>
  <si>
    <t>Revenue</t>
  </si>
  <si>
    <t>Revenues</t>
  </si>
  <si>
    <t>Allen</t>
  </si>
  <si>
    <t>Ashland</t>
  </si>
  <si>
    <t>Ashtabula</t>
  </si>
  <si>
    <t>Athens</t>
  </si>
  <si>
    <t>Auglaize</t>
  </si>
  <si>
    <t>Belmont</t>
  </si>
  <si>
    <t>Carroll</t>
  </si>
  <si>
    <t>Clark</t>
  </si>
  <si>
    <t>Clinton</t>
  </si>
  <si>
    <t>Coshocton</t>
  </si>
  <si>
    <t>Cuyahoga</t>
  </si>
  <si>
    <t>Darke</t>
  </si>
  <si>
    <t>Defiance</t>
  </si>
  <si>
    <t>Delaware</t>
  </si>
  <si>
    <t>Erie</t>
  </si>
  <si>
    <t>Fairfield</t>
  </si>
  <si>
    <t>Fayette</t>
  </si>
  <si>
    <t>Franklin</t>
  </si>
  <si>
    <t>Fulton</t>
  </si>
  <si>
    <t>Gallia</t>
  </si>
  <si>
    <t>Geauga</t>
  </si>
  <si>
    <t>Guernsey</t>
  </si>
  <si>
    <t>Hamilton</t>
  </si>
  <si>
    <t>Hancock</t>
  </si>
  <si>
    <t>Henry</t>
  </si>
  <si>
    <t>Hocking</t>
  </si>
  <si>
    <t>Holmes</t>
  </si>
  <si>
    <t>Huron</t>
  </si>
  <si>
    <t>Jackson</t>
  </si>
  <si>
    <t>Jefferson</t>
  </si>
  <si>
    <t>Knox</t>
  </si>
  <si>
    <t>Lake</t>
  </si>
  <si>
    <t>Licking</t>
  </si>
  <si>
    <t>Logan</t>
  </si>
  <si>
    <t>Lorain</t>
  </si>
  <si>
    <t>Mahoning</t>
  </si>
  <si>
    <t>Marion</t>
  </si>
  <si>
    <t>Medina</t>
  </si>
  <si>
    <t>Miami</t>
  </si>
  <si>
    <t>Monroe</t>
  </si>
  <si>
    <t>Montgomery</t>
  </si>
  <si>
    <t>Muskingum</t>
  </si>
  <si>
    <t>Noble</t>
  </si>
  <si>
    <t>Ottawa</t>
  </si>
  <si>
    <t>Pickaway</t>
  </si>
  <si>
    <t>Pike</t>
  </si>
  <si>
    <t>Portage</t>
  </si>
  <si>
    <t>Preble</t>
  </si>
  <si>
    <t>Ross</t>
  </si>
  <si>
    <t>Scioto</t>
  </si>
  <si>
    <t>Seneca</t>
  </si>
  <si>
    <t>Shelby</t>
  </si>
  <si>
    <t>Stark</t>
  </si>
  <si>
    <t>Summit</t>
  </si>
  <si>
    <t>Trumbull</t>
  </si>
  <si>
    <t>Tuscarawas</t>
  </si>
  <si>
    <t>Union</t>
  </si>
  <si>
    <t>Van Wert</t>
  </si>
  <si>
    <t>Vinton</t>
  </si>
  <si>
    <t>Warren</t>
  </si>
  <si>
    <t>Washington</t>
  </si>
  <si>
    <t>Wayne</t>
  </si>
  <si>
    <t>Wood</t>
  </si>
  <si>
    <t>Capital</t>
  </si>
  <si>
    <t>Expenditures</t>
  </si>
  <si>
    <t>Outlay</t>
  </si>
  <si>
    <t>Principal</t>
  </si>
  <si>
    <t>Brown</t>
  </si>
  <si>
    <t>Morrow</t>
  </si>
  <si>
    <t>Sandusky</t>
  </si>
  <si>
    <t>Operating</t>
  </si>
  <si>
    <t>Long-Term Obligations</t>
  </si>
  <si>
    <t>General</t>
  </si>
  <si>
    <t>Other</t>
  </si>
  <si>
    <t>Obligation</t>
  </si>
  <si>
    <t>Bonds</t>
  </si>
  <si>
    <t>Loans</t>
  </si>
  <si>
    <t>Obligations</t>
  </si>
  <si>
    <t>Assets</t>
  </si>
  <si>
    <t>Reserved</t>
  </si>
  <si>
    <t>Cash and</t>
  </si>
  <si>
    <t>Deferred</t>
  </si>
  <si>
    <t>Fund</t>
  </si>
  <si>
    <t>Investments</t>
  </si>
  <si>
    <t>Liabilities</t>
  </si>
  <si>
    <t>Fund Balance</t>
  </si>
  <si>
    <t>Compensated</t>
  </si>
  <si>
    <t>Notes</t>
  </si>
  <si>
    <t>Leases</t>
  </si>
  <si>
    <t>Absences</t>
  </si>
  <si>
    <t>Payables</t>
  </si>
  <si>
    <t>GLTD</t>
  </si>
  <si>
    <t>Current</t>
  </si>
  <si>
    <t>Net Assets</t>
  </si>
  <si>
    <t>Invested in</t>
  </si>
  <si>
    <t>Restricted</t>
  </si>
  <si>
    <t>Unrestricted</t>
  </si>
  <si>
    <t>Program Revenues - Governmental Activities</t>
  </si>
  <si>
    <t>Property</t>
  </si>
  <si>
    <t>Investment</t>
  </si>
  <si>
    <t>Grants</t>
  </si>
  <si>
    <t>Earnings</t>
  </si>
  <si>
    <t>Contributions</t>
  </si>
  <si>
    <t>Richland</t>
  </si>
  <si>
    <t>Crawford</t>
  </si>
  <si>
    <t>Columbiana</t>
  </si>
  <si>
    <t>Clermont</t>
  </si>
  <si>
    <t>Greene</t>
  </si>
  <si>
    <t>Lucas</t>
  </si>
  <si>
    <t>All Counties Reporting Under GAAP</t>
  </si>
  <si>
    <t>One Year</t>
  </si>
  <si>
    <t>Summary Data from the General Fund Balance Sheet</t>
  </si>
  <si>
    <t>Out</t>
  </si>
  <si>
    <t>Change in</t>
  </si>
  <si>
    <t>and Interest</t>
  </si>
  <si>
    <t>Capital Assets</t>
  </si>
  <si>
    <t xml:space="preserve">                     Liabilities</t>
  </si>
  <si>
    <t>Expenses</t>
  </si>
  <si>
    <t>Grants,</t>
  </si>
  <si>
    <t>Expenses from the Statement of Activities - Governmental Activities</t>
  </si>
  <si>
    <t>Summary Data from the Statement of Net Assets - Governmental Activities</t>
  </si>
  <si>
    <t xml:space="preserve">                 General Revenues - Governmental Activities</t>
  </si>
  <si>
    <t>Unreserved</t>
  </si>
  <si>
    <t>General Fund Revenues - Modified Accrual Basis of Accounting</t>
  </si>
  <si>
    <t>All Other</t>
  </si>
  <si>
    <t>General Fund Expenditures - Modified Accrual Basis of Accounting</t>
  </si>
  <si>
    <t xml:space="preserve"> </t>
  </si>
  <si>
    <t>Revenues from the Statement of Activities - Governmental Activities</t>
  </si>
  <si>
    <t>Within 1 Year</t>
  </si>
  <si>
    <t>Long-term Liabilities</t>
  </si>
  <si>
    <t>More Than 1 Yr</t>
  </si>
  <si>
    <t>Statement</t>
  </si>
  <si>
    <t>Balances if</t>
  </si>
  <si>
    <t>Value is "0"</t>
  </si>
  <si>
    <t>Program</t>
  </si>
  <si>
    <t>Grants and</t>
  </si>
  <si>
    <t>Entitlements</t>
  </si>
  <si>
    <t>Payments in</t>
  </si>
  <si>
    <t>Lieu of</t>
  </si>
  <si>
    <t>Program and</t>
  </si>
  <si>
    <t>Vocational</t>
  </si>
  <si>
    <t>Instruction</t>
  </si>
  <si>
    <t>Support Services</t>
  </si>
  <si>
    <t>Instructional</t>
  </si>
  <si>
    <t>Staff</t>
  </si>
  <si>
    <t>Board of</t>
  </si>
  <si>
    <t>Education</t>
  </si>
  <si>
    <t>Administration</t>
  </si>
  <si>
    <t>Fiscal</t>
  </si>
  <si>
    <t>Operation and</t>
  </si>
  <si>
    <t>Maintenance</t>
  </si>
  <si>
    <t>of Plant</t>
  </si>
  <si>
    <t>Pupil</t>
  </si>
  <si>
    <t>Transportation</t>
  </si>
  <si>
    <t>Non-Instructional Services</t>
  </si>
  <si>
    <t>Food</t>
  </si>
  <si>
    <t>Service</t>
  </si>
  <si>
    <t>Extracurricular</t>
  </si>
  <si>
    <t>Activities</t>
  </si>
  <si>
    <t>Interest</t>
  </si>
  <si>
    <t>Transfers</t>
  </si>
  <si>
    <t>Beginning</t>
  </si>
  <si>
    <t>of Year</t>
  </si>
  <si>
    <t>End of</t>
  </si>
  <si>
    <t>Year</t>
  </si>
  <si>
    <t>and Activities</t>
  </si>
  <si>
    <t>Balance if</t>
  </si>
  <si>
    <t>All Schools Reporting Under GAAP</t>
  </si>
  <si>
    <t>Tuition</t>
  </si>
  <si>
    <t>and Fees</t>
  </si>
  <si>
    <t>Extra-</t>
  </si>
  <si>
    <t>curricular</t>
  </si>
  <si>
    <t>Payments</t>
  </si>
  <si>
    <t>in Lieu</t>
  </si>
  <si>
    <t>of Taxes</t>
  </si>
  <si>
    <t>and</t>
  </si>
  <si>
    <t>Donations</t>
  </si>
  <si>
    <t>Debt Service</t>
  </si>
  <si>
    <t>Other Financing Uses</t>
  </si>
  <si>
    <t>Advances</t>
  </si>
  <si>
    <t>Uses</t>
  </si>
  <si>
    <t>All</t>
  </si>
  <si>
    <t>Net</t>
  </si>
  <si>
    <t>Balance</t>
  </si>
  <si>
    <t>End</t>
  </si>
  <si>
    <t>Other Uses</t>
  </si>
  <si>
    <t>Other Financing Sources</t>
  </si>
  <si>
    <t>Transfers in</t>
  </si>
  <si>
    <t>Advances in</t>
  </si>
  <si>
    <t>Proceeds</t>
  </si>
  <si>
    <t>Bond</t>
  </si>
  <si>
    <t>Financing</t>
  </si>
  <si>
    <t>Sources</t>
  </si>
  <si>
    <t>and Other</t>
  </si>
  <si>
    <t>Fund Bal.</t>
  </si>
  <si>
    <t>Governmental Fund Revenues - Modified Accrual Basis of Accounting</t>
  </si>
  <si>
    <t>Summary Data from the Governmental Fund Balance Sheet</t>
  </si>
  <si>
    <t>IRN #</t>
  </si>
  <si>
    <t>School District</t>
  </si>
  <si>
    <t>Adams County/Ohio Valley Local</t>
  </si>
  <si>
    <t>Adams</t>
  </si>
  <si>
    <t>Bath Local SD</t>
  </si>
  <si>
    <t>Delphos City SD</t>
  </si>
  <si>
    <t>Perry Local SD</t>
  </si>
  <si>
    <t>Spencerville Local SD</t>
  </si>
  <si>
    <t>Ashland City SD</t>
  </si>
  <si>
    <t>Hillsdale Local SD</t>
  </si>
  <si>
    <t>Loudonville-Perrysville Ex Vil</t>
  </si>
  <si>
    <t>Mapleton Local SD</t>
  </si>
  <si>
    <t>Buckeye Local SD</t>
  </si>
  <si>
    <t>Conneaut Area City SD</t>
  </si>
  <si>
    <t>Geneva Schools City SD</t>
  </si>
  <si>
    <t>Grand Valley Local SD</t>
  </si>
  <si>
    <t>Jefferson Area Local SD</t>
  </si>
  <si>
    <t>Pymatuning Valley Local SD</t>
  </si>
  <si>
    <t>Alexander Local SD</t>
  </si>
  <si>
    <t>Athens City SD</t>
  </si>
  <si>
    <t>Nelsonville-York City SD</t>
  </si>
  <si>
    <t>Trimble Local SD</t>
  </si>
  <si>
    <t>Minster Local SD</t>
  </si>
  <si>
    <t>New Bremen Local SD</t>
  </si>
  <si>
    <t>New Knoxville Local SD</t>
  </si>
  <si>
    <t>St Marys City SD</t>
  </si>
  <si>
    <t>Waynesfield-Goshen Local SD</t>
  </si>
  <si>
    <t>Bellaire Local SD</t>
  </si>
  <si>
    <t>Bridgeport Ex Vill SD</t>
  </si>
  <si>
    <t>Martins Ferry City SD</t>
  </si>
  <si>
    <t>Shadyside Local SD</t>
  </si>
  <si>
    <t>St Clairsville-Richland City S</t>
  </si>
  <si>
    <t>Union Local SD</t>
  </si>
  <si>
    <t>Eastern Local SD</t>
  </si>
  <si>
    <t>Fayetteville-Perry Local SD</t>
  </si>
  <si>
    <t>Georgetown Ex Vill SD</t>
  </si>
  <si>
    <t>Ripley-Union-Lewis-Huntington</t>
  </si>
  <si>
    <t>Western Brown Local SD</t>
  </si>
  <si>
    <t>Edgewood City SD</t>
  </si>
  <si>
    <t>Butler</t>
  </si>
  <si>
    <t>Fairfield City SD</t>
  </si>
  <si>
    <t>Hamilton City SD</t>
  </si>
  <si>
    <t>Lakota Local SD</t>
  </si>
  <si>
    <t>Madison Local SD</t>
  </si>
  <si>
    <t>Middletown City SD</t>
  </si>
  <si>
    <t>Monroe Local SD</t>
  </si>
  <si>
    <t>New Miami Local SD</t>
  </si>
  <si>
    <t>Ross Local SD</t>
  </si>
  <si>
    <t>Talawanda City SD</t>
  </si>
  <si>
    <t>Brown Local SD</t>
  </si>
  <si>
    <t>Carrollton Ex Vill SD</t>
  </si>
  <si>
    <t>Graham Local SD</t>
  </si>
  <si>
    <t>Champaign</t>
  </si>
  <si>
    <t>Mechanicsburg Ex Vill SD</t>
  </si>
  <si>
    <t>Triad Local SD</t>
  </si>
  <si>
    <t>Urbana City SD</t>
  </si>
  <si>
    <t>West Liberty-Salem Local SD</t>
  </si>
  <si>
    <t>Clark-Shawnee Local SD</t>
  </si>
  <si>
    <t>Greenon Local SD</t>
  </si>
  <si>
    <t>Northeastern Local SD</t>
  </si>
  <si>
    <t>Northwestern Local SD</t>
  </si>
  <si>
    <t>Southeastern Local SD</t>
  </si>
  <si>
    <t>Tecumseh Local SD</t>
  </si>
  <si>
    <t>Batavia Local SD</t>
  </si>
  <si>
    <t>Bethel-Tate Local SD</t>
  </si>
  <si>
    <t>Felicity-Franklin Local SD</t>
  </si>
  <si>
    <t>Goshen Local SD</t>
  </si>
  <si>
    <t>Milford Ex Vill SD</t>
  </si>
  <si>
    <t>New Richmond Ex Vill SD</t>
  </si>
  <si>
    <t>West Clermont Local SD</t>
  </si>
  <si>
    <t>Williamsburg Local SD</t>
  </si>
  <si>
    <t>Blanchester Local SD</t>
  </si>
  <si>
    <t>Clinton-Massie Local SD</t>
  </si>
  <si>
    <t>East Clinton Local SD</t>
  </si>
  <si>
    <t>Wilmington City SD</t>
  </si>
  <si>
    <t>Beaver Local SD</t>
  </si>
  <si>
    <t>Columbiana Ex Vill SD</t>
  </si>
  <si>
    <t>Crestview Local SD</t>
  </si>
  <si>
    <t>East Liverpool City SD</t>
  </si>
  <si>
    <t>East Palestine City SD</t>
  </si>
  <si>
    <t>Lisbon Ex Vill SD</t>
  </si>
  <si>
    <t>Southern Local SD</t>
  </si>
  <si>
    <t>United Local SD</t>
  </si>
  <si>
    <t>Wellsville Local SD</t>
  </si>
  <si>
    <t>Coshocton City SD</t>
  </si>
  <si>
    <t>Ridgewood Local SD</t>
  </si>
  <si>
    <t>River View Local SD</t>
  </si>
  <si>
    <t>Buckeye Central Local SD</t>
  </si>
  <si>
    <t>Bucyrus City SD</t>
  </si>
  <si>
    <t>Colonel Crawford Local SD</t>
  </si>
  <si>
    <t>Crestline Ex Vill SD</t>
  </si>
  <si>
    <t>Galion City SD</t>
  </si>
  <si>
    <t>Wynford Local SD</t>
  </si>
  <si>
    <t>Bay Village City SD</t>
  </si>
  <si>
    <t>Beachwood City SD</t>
  </si>
  <si>
    <t>Bedford City SD</t>
  </si>
  <si>
    <t>Berea City SD</t>
  </si>
  <si>
    <t>Brecksville-Broadview Heights</t>
  </si>
  <si>
    <t>Brooklyn City SD</t>
  </si>
  <si>
    <t>Chagrin Falls Ex Vill SD</t>
  </si>
  <si>
    <t>Cleve. Hts.-Univ. Hts. City SD</t>
  </si>
  <si>
    <t>Cleveland Municipal SD</t>
  </si>
  <si>
    <t>Cuyahoga Heights Local SD</t>
  </si>
  <si>
    <t>Euclid City SD</t>
  </si>
  <si>
    <t>Fairview Park City SD</t>
  </si>
  <si>
    <t>Garfield Heights City SD</t>
  </si>
  <si>
    <t>Independence Local SD</t>
  </si>
  <si>
    <t>Lakewood City SD</t>
  </si>
  <si>
    <t>Maple Heights City SD</t>
  </si>
  <si>
    <t>Mayfield City SD</t>
  </si>
  <si>
    <t>North Olmsted City SD</t>
  </si>
  <si>
    <t>North Royalton City SD</t>
  </si>
  <si>
    <t>Olmsted Falls City SD</t>
  </si>
  <si>
    <t>Orange City SD</t>
  </si>
  <si>
    <t>Parma City SD</t>
  </si>
  <si>
    <t>Richmond Heights Local SD</t>
  </si>
  <si>
    <t>Rocky River City SD</t>
  </si>
  <si>
    <t>Shaker Heights City SD</t>
  </si>
  <si>
    <t>Solon City SD</t>
  </si>
  <si>
    <t>South Euclid-Lyndhurst City SD</t>
  </si>
  <si>
    <t>Strongsville City SD</t>
  </si>
  <si>
    <t>Warrensville Heights City SD</t>
  </si>
  <si>
    <t>Westlake City SD</t>
  </si>
  <si>
    <t>Franklin Monroe Local SD</t>
  </si>
  <si>
    <t>Greenville City SD</t>
  </si>
  <si>
    <t>Mississinawa Valley Local SD</t>
  </si>
  <si>
    <t>Tri-Village Local SD</t>
  </si>
  <si>
    <t>Ayersville Local SD</t>
  </si>
  <si>
    <t>Hicksville Ex Vill SD</t>
  </si>
  <si>
    <t>Big Walnut Local SD</t>
  </si>
  <si>
    <t>Buckeye Valley Local SD</t>
  </si>
  <si>
    <t>Delaware City SD</t>
  </si>
  <si>
    <t>Olentangy Local SD</t>
  </si>
  <si>
    <t>Berlin-Milan Local SD</t>
  </si>
  <si>
    <t>Huron City SD</t>
  </si>
  <si>
    <t>Kelleys Island Local SD</t>
  </si>
  <si>
    <t>Margaretta Local SD</t>
  </si>
  <si>
    <t>Perkins Local SD</t>
  </si>
  <si>
    <t>Sandusky City SD</t>
  </si>
  <si>
    <t>Vermilion Local SD</t>
  </si>
  <si>
    <t>Amanda-Clearcreek Local SD</t>
  </si>
  <si>
    <t>Berne Union Local SD</t>
  </si>
  <si>
    <t>Bloom-Carroll Local SD</t>
  </si>
  <si>
    <t>Fairfield Union Local SD</t>
  </si>
  <si>
    <t>Lancaster City SD</t>
  </si>
  <si>
    <t>Liberty Union-Thurston Local S</t>
  </si>
  <si>
    <t>Pickerington Local SD</t>
  </si>
  <si>
    <t>Miami Trace Local SD</t>
  </si>
  <si>
    <t>Washington Court House City SD</t>
  </si>
  <si>
    <t>Bexley City SD</t>
  </si>
  <si>
    <t>Canal Winchester Local SD</t>
  </si>
  <si>
    <t>Columbus City SD</t>
  </si>
  <si>
    <t>Dublin City SD</t>
  </si>
  <si>
    <t>Gahanna-Jefferson City SD</t>
  </si>
  <si>
    <t>Grandview Heights City SD</t>
  </si>
  <si>
    <t>Groveport Madison Local SD</t>
  </si>
  <si>
    <t>Hamilton Local Local SD</t>
  </si>
  <si>
    <t>Hilliard City SD</t>
  </si>
  <si>
    <t>Plain Local SD</t>
  </si>
  <si>
    <t>Reynoldsburg City SD</t>
  </si>
  <si>
    <t>South-Western City SD</t>
  </si>
  <si>
    <t>Upper Arlington City SD</t>
  </si>
  <si>
    <t>Westerville City SD</t>
  </si>
  <si>
    <t>Whitehall City SD</t>
  </si>
  <si>
    <t>Worthington City SD</t>
  </si>
  <si>
    <t>Archbold-Area Local SD</t>
  </si>
  <si>
    <t>Evergreen Local SD</t>
  </si>
  <si>
    <t>Gorham Fayette Local SD</t>
  </si>
  <si>
    <t>Pettisville School Local SD</t>
  </si>
  <si>
    <t>Pike-Delta-York Local SD</t>
  </si>
  <si>
    <t>Swanton Local SD</t>
  </si>
  <si>
    <t>Wauseon Ex Vill SD</t>
  </si>
  <si>
    <t>Gallia County Local SD</t>
  </si>
  <si>
    <t>Gallipolis City SD</t>
  </si>
  <si>
    <t>Berkshire Local SD</t>
  </si>
  <si>
    <t>Cardinal Local SD</t>
  </si>
  <si>
    <t>Chardon Local SD</t>
  </si>
  <si>
    <t>Kenston Local SD</t>
  </si>
  <si>
    <t>Ledgemont Local SD</t>
  </si>
  <si>
    <t>Newbury Local SD</t>
  </si>
  <si>
    <t>West Geauga Local SD</t>
  </si>
  <si>
    <t>Beavercreek City SD</t>
  </si>
  <si>
    <t>Cedar Cliff Local SD</t>
  </si>
  <si>
    <t>Greeneview Local SD</t>
  </si>
  <si>
    <t>Sugarcreek Local SD</t>
  </si>
  <si>
    <t>Yellow Springs Ex Vill SD</t>
  </si>
  <si>
    <t>Cambridge City SD</t>
  </si>
  <si>
    <t>East Guernsey Local SD</t>
  </si>
  <si>
    <t>Rolling Hills Local SD</t>
  </si>
  <si>
    <t>Cincinnati City SD</t>
  </si>
  <si>
    <t>Deer Park Community City SD</t>
  </si>
  <si>
    <t>Finneytown Local SD</t>
  </si>
  <si>
    <t>Forest Hills Local SD</t>
  </si>
  <si>
    <t>Indian Hill Ex Vill SD</t>
  </si>
  <si>
    <t>Lockland Local SD</t>
  </si>
  <si>
    <t>Loveland City SD</t>
  </si>
  <si>
    <t>Madeira City SD</t>
  </si>
  <si>
    <t>Mariemont City SD</t>
  </si>
  <si>
    <t>Mt Healthy City SD</t>
  </si>
  <si>
    <t>North College Hill City SD</t>
  </si>
  <si>
    <t>Northwest Local SD</t>
  </si>
  <si>
    <t>Norwood City Schools City SD</t>
  </si>
  <si>
    <t>Oak Hills Local SD</t>
  </si>
  <si>
    <t>Princeton City SD</t>
  </si>
  <si>
    <t>Reading Community City SD</t>
  </si>
  <si>
    <t>Southwest Local SD</t>
  </si>
  <si>
    <t>St Bernard-Elmwood Place City</t>
  </si>
  <si>
    <t>Sycamore Community City SD</t>
  </si>
  <si>
    <t>Three Rivers Local SD</t>
  </si>
  <si>
    <t>Winton Woods City SD</t>
  </si>
  <si>
    <t>Wyoming City SD</t>
  </si>
  <si>
    <t>Arcadia Local SD</t>
  </si>
  <si>
    <t>Arlington Local SD</t>
  </si>
  <si>
    <t>Cory-Rawson Local SD</t>
  </si>
  <si>
    <t>Findlay City SD</t>
  </si>
  <si>
    <t>Liberty-Benton Local SD</t>
  </si>
  <si>
    <t>McComb Local Local SD</t>
  </si>
  <si>
    <t>Van Buren Local SD</t>
  </si>
  <si>
    <t>Vanlue Local SD</t>
  </si>
  <si>
    <t>Hardin</t>
  </si>
  <si>
    <t>Hardin Northern Local SD</t>
  </si>
  <si>
    <t>Kenton City SD</t>
  </si>
  <si>
    <t>Ridgemont Local SD</t>
  </si>
  <si>
    <t>Riverdale Local SD</t>
  </si>
  <si>
    <t>Upper Scioto Valley Local SD</t>
  </si>
  <si>
    <t>Conotton Valley Union Local SD</t>
  </si>
  <si>
    <t>Harrison</t>
  </si>
  <si>
    <t>Harrison Hills City SD</t>
  </si>
  <si>
    <t>Holgate Local SD</t>
  </si>
  <si>
    <t>Liberty Center Local SD</t>
  </si>
  <si>
    <t>Napoleon Area City SD</t>
  </si>
  <si>
    <t>Patrick Henry Local SD</t>
  </si>
  <si>
    <t>Bright Local SD</t>
  </si>
  <si>
    <t>Highland</t>
  </si>
  <si>
    <t>Fairfield Local SD</t>
  </si>
  <si>
    <t>Greenfield Ex Vill SD</t>
  </si>
  <si>
    <t>Hillsboro City SD</t>
  </si>
  <si>
    <t>Lynchburg-Clay Local SD</t>
  </si>
  <si>
    <t>Logan-Hocking Local SD</t>
  </si>
  <si>
    <t>East Holmes Local SD</t>
  </si>
  <si>
    <t>West Holmes Local SD</t>
  </si>
  <si>
    <t>Bellevue City SD</t>
  </si>
  <si>
    <t>Monroeville Local SD</t>
  </si>
  <si>
    <t>New London Local SD</t>
  </si>
  <si>
    <t>Norwalk City SD</t>
  </si>
  <si>
    <t>Western Reserve Local SD</t>
  </si>
  <si>
    <t>Willard City SD</t>
  </si>
  <si>
    <t>Wellston City SD</t>
  </si>
  <si>
    <t>Edison Local SD</t>
  </si>
  <si>
    <t>Indian Creek Local SD</t>
  </si>
  <si>
    <t>Steubenville City SD</t>
  </si>
  <si>
    <t>Toronto City SD</t>
  </si>
  <si>
    <t>Centerburg Local SD</t>
  </si>
  <si>
    <t>Danville Local SD</t>
  </si>
  <si>
    <t>Fredericktown Local SD</t>
  </si>
  <si>
    <t>Mount Vernon City SD</t>
  </si>
  <si>
    <t>Fairport Harbor Ex Vill SD</t>
  </si>
  <si>
    <t>Kirtland Local SD</t>
  </si>
  <si>
    <t>Mentor Ex Vill SD</t>
  </si>
  <si>
    <t>Painesville City Local SD</t>
  </si>
  <si>
    <t>Painesville Township Local Loc</t>
  </si>
  <si>
    <t>Wickliffe City SD</t>
  </si>
  <si>
    <t>Willoughby-Eastlake City SD</t>
  </si>
  <si>
    <t>Chesapeake Union Ex Vill SD</t>
  </si>
  <si>
    <t>Lawrence</t>
  </si>
  <si>
    <t>Dawson-Bryant Local SD</t>
  </si>
  <si>
    <t>Fairland Local SD</t>
  </si>
  <si>
    <t>Ironton City SD</t>
  </si>
  <si>
    <t>Rock Hill Local SD</t>
  </si>
  <si>
    <t>South Point Local SD</t>
  </si>
  <si>
    <t>Symmes Valley Local SD</t>
  </si>
  <si>
    <t>Granville Ex Vill SD</t>
  </si>
  <si>
    <t>Heath City SD</t>
  </si>
  <si>
    <t>Johnstown-Monroe Local SD</t>
  </si>
  <si>
    <t>Lakewood Local Local SD</t>
  </si>
  <si>
    <t>Licking Heights Local SD</t>
  </si>
  <si>
    <t>Licking Valley Local SD</t>
  </si>
  <si>
    <t>Newark City SD</t>
  </si>
  <si>
    <t>North Fork Local SD</t>
  </si>
  <si>
    <t>Northridge Local SD</t>
  </si>
  <si>
    <t>Southwest Licking Local SD</t>
  </si>
  <si>
    <t>Riverside Local SD</t>
  </si>
  <si>
    <t>Avon Lake City SD</t>
  </si>
  <si>
    <t>Avon Local SD</t>
  </si>
  <si>
    <t>Clearview Local SD</t>
  </si>
  <si>
    <t>Columbia Local SD</t>
  </si>
  <si>
    <t>Elyria City SD</t>
  </si>
  <si>
    <t>Firelands Local SD</t>
  </si>
  <si>
    <t>Keystone Local SD</t>
  </si>
  <si>
    <t>Lorain City SD</t>
  </si>
  <si>
    <t>Midview Local SD</t>
  </si>
  <si>
    <t>North Ridgeville City SD</t>
  </si>
  <si>
    <t>Oberlin City SD</t>
  </si>
  <si>
    <t>Sheffield-Sheffield Lake City</t>
  </si>
  <si>
    <t>Wellington Ex Vill SD</t>
  </si>
  <si>
    <t>Anthony Wayne Local SD</t>
  </si>
  <si>
    <t>Maumee City SD</t>
  </si>
  <si>
    <t>Oregon City SD</t>
  </si>
  <si>
    <t>Ottawa Hills Local SD</t>
  </si>
  <si>
    <t>Springfield Local SD</t>
  </si>
  <si>
    <t>Sylvania City SD</t>
  </si>
  <si>
    <t>Toledo City SD</t>
  </si>
  <si>
    <t>Washington Local SD</t>
  </si>
  <si>
    <t>Jefferson Local SD</t>
  </si>
  <si>
    <t>Madison</t>
  </si>
  <si>
    <t>Jonathan Alder Local SD</t>
  </si>
  <si>
    <t>London City SD</t>
  </si>
  <si>
    <t>Austintown Local SD</t>
  </si>
  <si>
    <t>Boardman Local SD</t>
  </si>
  <si>
    <t>Campbell City SD</t>
  </si>
  <si>
    <t>Canfield Local SD</t>
  </si>
  <si>
    <t>Jackson-Milton Local SD</t>
  </si>
  <si>
    <t>Lowellville Local SD</t>
  </si>
  <si>
    <t>Poland Local SD</t>
  </si>
  <si>
    <t>Sebring Local SD</t>
  </si>
  <si>
    <t>South Range Local SD</t>
  </si>
  <si>
    <t>Struthers City SD</t>
  </si>
  <si>
    <t>West Branch Local SD</t>
  </si>
  <si>
    <t>Youngstown City SD</t>
  </si>
  <si>
    <t>Elgin Local SD</t>
  </si>
  <si>
    <t>Marion City SD</t>
  </si>
  <si>
    <t>Pleasant Local SD</t>
  </si>
  <si>
    <t>Ridgedale Local SD</t>
  </si>
  <si>
    <t>River Valley Local SD</t>
  </si>
  <si>
    <t>Black River Local SD</t>
  </si>
  <si>
    <t>Brunswick City SD</t>
  </si>
  <si>
    <t>Cloverleaf Local SD</t>
  </si>
  <si>
    <t>Highland Local SD</t>
  </si>
  <si>
    <t>Medina City SD</t>
  </si>
  <si>
    <t>Wadsworth City SD</t>
  </si>
  <si>
    <t>Meigs</t>
  </si>
  <si>
    <t>Meigs Local SD</t>
  </si>
  <si>
    <t>Celina City SD</t>
  </si>
  <si>
    <t>Mercer</t>
  </si>
  <si>
    <t>Parkway Local SD</t>
  </si>
  <si>
    <t>St Henry Consolidated Local SD</t>
  </si>
  <si>
    <t>Bethel Local SD</t>
  </si>
  <si>
    <t>Covington EVSD Ex Vill SD</t>
  </si>
  <si>
    <t>Miami East Local SD</t>
  </si>
  <si>
    <t>Milton-Union Ex Vill SD</t>
  </si>
  <si>
    <t>Newton Local SD</t>
  </si>
  <si>
    <t>Piqua City SD</t>
  </si>
  <si>
    <t>Tipp City Ex Vill SD</t>
  </si>
  <si>
    <t>Troy City SD</t>
  </si>
  <si>
    <t>Switzerland Of Ohio Local SD</t>
  </si>
  <si>
    <t>Brookville Local SD</t>
  </si>
  <si>
    <t>Centerville City SD</t>
  </si>
  <si>
    <t>Dayton City SD</t>
  </si>
  <si>
    <t>Huber Heights City SD</t>
  </si>
  <si>
    <t>Jefferson Township Local SD</t>
  </si>
  <si>
    <t>Kettering City SD</t>
  </si>
  <si>
    <t>Mad River Local SD</t>
  </si>
  <si>
    <t>Miamisburg City SD</t>
  </si>
  <si>
    <t>New Lebanon Local SD</t>
  </si>
  <si>
    <t>Northmont City SD</t>
  </si>
  <si>
    <t>Oakwood City SD</t>
  </si>
  <si>
    <t>Trotwood-Madison City SD</t>
  </si>
  <si>
    <t>Valley View Local SD</t>
  </si>
  <si>
    <t>Vandalia-Butler City SD</t>
  </si>
  <si>
    <t>Morgan Local SD</t>
  </si>
  <si>
    <t>Morgan</t>
  </si>
  <si>
    <t>Cardington-Lincoln Local SD</t>
  </si>
  <si>
    <t>Mount Gilead Schools Ex Vill S</t>
  </si>
  <si>
    <t>Northmor Local SD</t>
  </si>
  <si>
    <t>East Muskingum Local SD</t>
  </si>
  <si>
    <t>Franklin Local SD</t>
  </si>
  <si>
    <t>Maysville Local SD</t>
  </si>
  <si>
    <t>Tri-Valley Local SD</t>
  </si>
  <si>
    <t>West Muskingum Local SD</t>
  </si>
  <si>
    <t>Zanesville City SD</t>
  </si>
  <si>
    <t>Caldwell Ex Vill SD</t>
  </si>
  <si>
    <t>Noble Local SD</t>
  </si>
  <si>
    <t>Benton Carroll Salem Local SD</t>
  </si>
  <si>
    <t>Genoa Area Local SD</t>
  </si>
  <si>
    <t>North Bass Local SD</t>
  </si>
  <si>
    <t>Port Clinton City SD</t>
  </si>
  <si>
    <t>Paulding</t>
  </si>
  <si>
    <t>Paulding Ex Vill SD</t>
  </si>
  <si>
    <t>Wayne Trace Local Local SD</t>
  </si>
  <si>
    <t>Perry</t>
  </si>
  <si>
    <t>New Lexington City SD</t>
  </si>
  <si>
    <t>Circleville City SD</t>
  </si>
  <si>
    <t>Logan Elm Local SD</t>
  </si>
  <si>
    <t>Teays Valley Local SD</t>
  </si>
  <si>
    <t>Westfall Local SD</t>
  </si>
  <si>
    <t>Scioto Valley Local SD</t>
  </si>
  <si>
    <t>Waverly City SD</t>
  </si>
  <si>
    <t>Western Local SD</t>
  </si>
  <si>
    <t>Aurora City SD</t>
  </si>
  <si>
    <t>Crestwood Local SD</t>
  </si>
  <si>
    <t>Field Local SD</t>
  </si>
  <si>
    <t>James A Garfield Local SD</t>
  </si>
  <si>
    <t>Kent City SD</t>
  </si>
  <si>
    <t>Rootstown Local SD</t>
  </si>
  <si>
    <t>Southeast Local SD</t>
  </si>
  <si>
    <t>Streetsboro City SD</t>
  </si>
  <si>
    <t>Waterloo Local SD</t>
  </si>
  <si>
    <t>Windham Ex Vill SD</t>
  </si>
  <si>
    <t>Preble Shawnee Local SD</t>
  </si>
  <si>
    <t>Tri-County North Local SD</t>
  </si>
  <si>
    <t>Twin Valley Community Local SD</t>
  </si>
  <si>
    <t>Putnam</t>
  </si>
  <si>
    <t>Leipsic Local SD</t>
  </si>
  <si>
    <t>Miller City-New Cleveland Loca</t>
  </si>
  <si>
    <t>Ottawa-Glandorf Local SD</t>
  </si>
  <si>
    <t>Ottoville Local SD</t>
  </si>
  <si>
    <t>Pandora-Gilboa Local SD</t>
  </si>
  <si>
    <t>Clear Fork Valley Local SD</t>
  </si>
  <si>
    <t>Lexington Local SD</t>
  </si>
  <si>
    <t>Lucas Local Local SD</t>
  </si>
  <si>
    <t>Mansfield City SD</t>
  </si>
  <si>
    <t>Ontario Local SD</t>
  </si>
  <si>
    <t>Plymouth-Shiloh Local SD</t>
  </si>
  <si>
    <t>Shelby City SD</t>
  </si>
  <si>
    <t>Adena Local SD</t>
  </si>
  <si>
    <t>Chillicothe City SD</t>
  </si>
  <si>
    <t>Huntington Local SD</t>
  </si>
  <si>
    <t>Paint Valley Local SD</t>
  </si>
  <si>
    <t>Union-Scioto Local SD</t>
  </si>
  <si>
    <t>Zane Trace Local SD</t>
  </si>
  <si>
    <t>Clyde-Green Springs Ex Vill SD</t>
  </si>
  <si>
    <t>Fremont City SD</t>
  </si>
  <si>
    <t>Gibsonburg Ex Vill SD</t>
  </si>
  <si>
    <t>Woodmore Local SD</t>
  </si>
  <si>
    <t>Bloom-Vernon Local SD</t>
  </si>
  <si>
    <t>Clay Local SD</t>
  </si>
  <si>
    <t>Green Local SD</t>
  </si>
  <si>
    <t>Minford Local SD</t>
  </si>
  <si>
    <t>New Boston Local SD</t>
  </si>
  <si>
    <t>Portsmouth City SD</t>
  </si>
  <si>
    <t>Valley Local SD</t>
  </si>
  <si>
    <t>Washington-Nile Local SD</t>
  </si>
  <si>
    <t>Wheelersburg Local SD</t>
  </si>
  <si>
    <t>Bettsville Local SD</t>
  </si>
  <si>
    <t>Fostoria City SD</t>
  </si>
  <si>
    <t>New Riegel Local SD</t>
  </si>
  <si>
    <t>Old Fort Local SD</t>
  </si>
  <si>
    <t>Seneca East Local SD</t>
  </si>
  <si>
    <t>Tiffin City SD</t>
  </si>
  <si>
    <t>Anna Local SD</t>
  </si>
  <si>
    <t>Botkins Local SD</t>
  </si>
  <si>
    <t>Fairlawn Local SD</t>
  </si>
  <si>
    <t>Fort Loramie Local SD</t>
  </si>
  <si>
    <t>Hardin-Houston Local SD</t>
  </si>
  <si>
    <t>Russia Local SD</t>
  </si>
  <si>
    <t>Sidney City SD</t>
  </si>
  <si>
    <t>Alliance City SD</t>
  </si>
  <si>
    <t>Canton City SD</t>
  </si>
  <si>
    <t>Canton Local SD</t>
  </si>
  <si>
    <t>Fairless Local SD</t>
  </si>
  <si>
    <t>Jackson Local SD</t>
  </si>
  <si>
    <t>Lake Local SD</t>
  </si>
  <si>
    <t>Louisville City SD</t>
  </si>
  <si>
    <t>Marlington Local SD</t>
  </si>
  <si>
    <t>Massillon City SD</t>
  </si>
  <si>
    <t>Minerva Local SD</t>
  </si>
  <si>
    <t>North Canton City SD</t>
  </si>
  <si>
    <t>Osnaburg Local SD</t>
  </si>
  <si>
    <t>Sandy Valley Local SD</t>
  </si>
  <si>
    <t>Tuslaw Local SD</t>
  </si>
  <si>
    <t>Akron City SD</t>
  </si>
  <si>
    <t>Barberton City SD</t>
  </si>
  <si>
    <t>Copley-Fairlawn City SD</t>
  </si>
  <si>
    <t>Cuyahoga Falls City SD</t>
  </si>
  <si>
    <t>Hudson City SD</t>
  </si>
  <si>
    <t>Mogadore Local SD</t>
  </si>
  <si>
    <t>Nordonia Hills City SD</t>
  </si>
  <si>
    <t>Norton City SD</t>
  </si>
  <si>
    <t>Revere Local SD</t>
  </si>
  <si>
    <t>Stow-Munroe Falls City SD</t>
  </si>
  <si>
    <t>Tallmadge City SD</t>
  </si>
  <si>
    <t>Twinsburg City SD</t>
  </si>
  <si>
    <t>Woodridge Local SD</t>
  </si>
  <si>
    <t>Bloomfield-Mespo Local SD</t>
  </si>
  <si>
    <t>Bristol Local SD</t>
  </si>
  <si>
    <t>Brookfield Local SD</t>
  </si>
  <si>
    <t>Champion Local SD</t>
  </si>
  <si>
    <t>Girard City SD</t>
  </si>
  <si>
    <t>Howland Local SD</t>
  </si>
  <si>
    <t>Hubbard Ex Vill SD</t>
  </si>
  <si>
    <t>Joseph Badger Local SD</t>
  </si>
  <si>
    <t>LaBrae Local SD</t>
  </si>
  <si>
    <t>Lakeview Local SD</t>
  </si>
  <si>
    <t>Liberty Local SD</t>
  </si>
  <si>
    <t>Lordstown Local SD</t>
  </si>
  <si>
    <t>Maplewood Local SD</t>
  </si>
  <si>
    <t>Mathews Local SD</t>
  </si>
  <si>
    <t>Mcdonald Local SD</t>
  </si>
  <si>
    <t>Newton Falls Ex Vill SD</t>
  </si>
  <si>
    <t>Southington Local SD</t>
  </si>
  <si>
    <t>Warren City SD</t>
  </si>
  <si>
    <t>Weathersfield Local SD</t>
  </si>
  <si>
    <t>Claymont City SD</t>
  </si>
  <si>
    <t>Dover City SD</t>
  </si>
  <si>
    <t>Garaway Local SD</t>
  </si>
  <si>
    <t>Indian Valley Local SD</t>
  </si>
  <si>
    <t>New Philadelphia City SD</t>
  </si>
  <si>
    <t>Newcomerstown Ex Vill SD</t>
  </si>
  <si>
    <t>Strasburg-Franklin Local SD</t>
  </si>
  <si>
    <t>Tuscarawas Valley Local SD</t>
  </si>
  <si>
    <t>Fairbanks Local SD</t>
  </si>
  <si>
    <t>Marysville Ex Vill SD</t>
  </si>
  <si>
    <t>North Union Local SD</t>
  </si>
  <si>
    <t>Lincolnview Local SD</t>
  </si>
  <si>
    <t>Van Wert City SD</t>
  </si>
  <si>
    <t>Vinton County Local SD</t>
  </si>
  <si>
    <t>Carlisle Local SD</t>
  </si>
  <si>
    <t>Franklin City SD</t>
  </si>
  <si>
    <t>Kings Local SD</t>
  </si>
  <si>
    <t>Lebanon City SD</t>
  </si>
  <si>
    <t>Little Miami Local SD</t>
  </si>
  <si>
    <t>Mason City SD</t>
  </si>
  <si>
    <t>Springboro Community City SD</t>
  </si>
  <si>
    <t>Wayne Local SD</t>
  </si>
  <si>
    <t>Belpre City SD</t>
  </si>
  <si>
    <t>Fort Frye Local SD</t>
  </si>
  <si>
    <t>Frontier Local SD</t>
  </si>
  <si>
    <t>Marietta City SD</t>
  </si>
  <si>
    <t>Warren Local SD</t>
  </si>
  <si>
    <t>Wolf Creek Local SD</t>
  </si>
  <si>
    <t>Chippewa Local SD</t>
  </si>
  <si>
    <t>North Central Local SD</t>
  </si>
  <si>
    <t>Orrville City SD</t>
  </si>
  <si>
    <t>Rittman Ex Vill SD</t>
  </si>
  <si>
    <t>Triway Local SD</t>
  </si>
  <si>
    <t>Bryan City SD</t>
  </si>
  <si>
    <t>Williams</t>
  </si>
  <si>
    <t>Edgerton Local SD</t>
  </si>
  <si>
    <t>Edon-Northwest Local SD</t>
  </si>
  <si>
    <t>Millcreek-West Unity Local SD</t>
  </si>
  <si>
    <t>Montpelier Ex Vill SD</t>
  </si>
  <si>
    <t>Stryker Local SD</t>
  </si>
  <si>
    <t>Bowling Green City SD</t>
  </si>
  <si>
    <t>Eastwood Local SD</t>
  </si>
  <si>
    <t>North Baltimore Local SD</t>
  </si>
  <si>
    <t>Northwood Local SD</t>
  </si>
  <si>
    <t>Otsego Local SD</t>
  </si>
  <si>
    <t>Perrysburg Ex Vill SD</t>
  </si>
  <si>
    <t>Rossford Ex Vill SD</t>
  </si>
  <si>
    <t>Carey Ex Vill SD</t>
  </si>
  <si>
    <t>Wyandot</t>
  </si>
  <si>
    <t>Mohawk Local SD</t>
  </si>
  <si>
    <t>Upper Sandusky Ex Vill SD</t>
  </si>
  <si>
    <t>Business</t>
  </si>
  <si>
    <t>Central</t>
  </si>
  <si>
    <t>capital</t>
  </si>
  <si>
    <t>outlay and</t>
  </si>
  <si>
    <t>debt</t>
  </si>
  <si>
    <t>principal</t>
  </si>
  <si>
    <t>Amounts</t>
  </si>
  <si>
    <t>Due within</t>
  </si>
  <si>
    <t>Due in More</t>
  </si>
  <si>
    <t>Than One Year/Tie</t>
  </si>
  <si>
    <t xml:space="preserve">to Statement of </t>
  </si>
  <si>
    <t>This Column</t>
  </si>
  <si>
    <t>Should not</t>
  </si>
  <si>
    <t>exist</t>
  </si>
  <si>
    <t xml:space="preserve">Income </t>
  </si>
  <si>
    <t>Income</t>
  </si>
  <si>
    <t>(including</t>
  </si>
  <si>
    <t>special items)</t>
  </si>
  <si>
    <t>Ashtabula Area City SD</t>
  </si>
  <si>
    <t>Extraordinary/</t>
  </si>
  <si>
    <t>Miscellaneous</t>
  </si>
  <si>
    <t>.</t>
  </si>
  <si>
    <t>in reserve for</t>
  </si>
  <si>
    <t>Inventory</t>
  </si>
  <si>
    <t>(Increase)/Decrease</t>
  </si>
  <si>
    <t>in Reserve for</t>
  </si>
  <si>
    <t>Pass-through</t>
  </si>
  <si>
    <t xml:space="preserve">Capital </t>
  </si>
  <si>
    <t xml:space="preserve">Refund of </t>
  </si>
  <si>
    <t>Prior Year's</t>
  </si>
  <si>
    <t>Refund of</t>
  </si>
  <si>
    <t>Receipts</t>
  </si>
  <si>
    <t>**Bowling Green City SD</t>
  </si>
  <si>
    <t xml:space="preserve">** Bowling Green CSD's Financial Statements are broad-based and are not broken out into specific accounts. </t>
  </si>
  <si>
    <t>Amherst Ex Vill SD</t>
  </si>
  <si>
    <t>Retirement (2)</t>
  </si>
  <si>
    <t xml:space="preserve">Adena Local SD </t>
  </si>
  <si>
    <t>Eaton City SD</t>
  </si>
  <si>
    <t xml:space="preserve">(1) Income taxes may be included in Property and Other Local taxes in some cases. </t>
  </si>
  <si>
    <t>Regular (1)</t>
  </si>
  <si>
    <t>Increase or</t>
  </si>
  <si>
    <t>(Decrease)</t>
  </si>
  <si>
    <t>Special Items</t>
  </si>
  <si>
    <t>Miscelleneous</t>
  </si>
  <si>
    <t xml:space="preserve">Designated </t>
  </si>
  <si>
    <t>Proceeds of</t>
  </si>
  <si>
    <t xml:space="preserve">Extraordinary/ </t>
  </si>
  <si>
    <t>Pupils (2)</t>
  </si>
  <si>
    <t>(1) In some instances, Regular Instruction total may include all Instruction types.</t>
  </si>
  <si>
    <t>(2) In some instances, Pupils total may include all Support Services types.</t>
  </si>
  <si>
    <t>Pupils(2)</t>
  </si>
  <si>
    <t>(3) May include Debt Service Interest</t>
  </si>
  <si>
    <t>Retirement (3)</t>
  </si>
  <si>
    <t>Sheffield-Sheffield Lake City SD</t>
  </si>
  <si>
    <t>In / (Out)</t>
  </si>
  <si>
    <t xml:space="preserve">             </t>
  </si>
  <si>
    <t xml:space="preserve"> For instance:</t>
  </si>
  <si>
    <t>Central Local SD</t>
  </si>
  <si>
    <t>Designated</t>
  </si>
  <si>
    <t xml:space="preserve">Extraordinary </t>
  </si>
  <si>
    <t>Item</t>
  </si>
  <si>
    <t>Extraordinary</t>
  </si>
  <si>
    <t xml:space="preserve">Georgetown Ex Vill SD </t>
  </si>
  <si>
    <t>Ravenna CSD SD</t>
  </si>
  <si>
    <t>Salam City SD</t>
  </si>
  <si>
    <t>Springfield CSD</t>
  </si>
  <si>
    <t>Earnings on</t>
  </si>
  <si>
    <t xml:space="preserve">Orrville City SD  </t>
  </si>
  <si>
    <t xml:space="preserve">Northwest Local SD    </t>
  </si>
  <si>
    <t>(Continued)</t>
  </si>
  <si>
    <t>Governmental Fund Expenditures - Modified Accrual Basis of Accounting</t>
  </si>
  <si>
    <t>Revenues,</t>
  </si>
  <si>
    <t>Undesignated</t>
  </si>
  <si>
    <t>Unreserved,</t>
  </si>
  <si>
    <t>Debt</t>
  </si>
  <si>
    <t>Sources, and</t>
  </si>
  <si>
    <t>Issued (2)</t>
  </si>
  <si>
    <t>(2) Includes Inception of Capital Leases</t>
  </si>
  <si>
    <t>Arcanum Butler Local SD</t>
  </si>
  <si>
    <t xml:space="preserve">Darke </t>
  </si>
  <si>
    <t>McComb Local SD</t>
  </si>
  <si>
    <t>Barnesville Ex Vill SD</t>
  </si>
  <si>
    <t>Coventry Local SD</t>
  </si>
  <si>
    <t>Crooksville Ex Vill SD</t>
  </si>
  <si>
    <t>Crooksville Local SD</t>
  </si>
  <si>
    <t>Manchester Local SD</t>
  </si>
  <si>
    <t>Niles City SD</t>
  </si>
  <si>
    <t>Niles City Sd</t>
  </si>
  <si>
    <t>For the Fiscal Year Ended June 30, 2006</t>
  </si>
  <si>
    <t>Salem City SD</t>
  </si>
  <si>
    <t>South Central Local ESC</t>
  </si>
  <si>
    <t>South Central Local LSD</t>
  </si>
  <si>
    <t>New Albany-Plain SD</t>
  </si>
  <si>
    <t>New Albany-Plan SD</t>
  </si>
  <si>
    <t>New Albany-Plain Local SD</t>
  </si>
  <si>
    <t xml:space="preserve"> Taxes (1)</t>
  </si>
  <si>
    <t>Dalton Local SD</t>
  </si>
  <si>
    <t>Cash Basis</t>
  </si>
  <si>
    <t>Kirtland Local SD (CASH)</t>
  </si>
  <si>
    <t>Lebanon City SD (CASH)</t>
  </si>
  <si>
    <t>Lockland Local SD (CASH)</t>
  </si>
  <si>
    <t>Marietta City SD (CASH)</t>
  </si>
  <si>
    <t>Millcreek-West Unity Local SD (CASH)</t>
  </si>
  <si>
    <t>Old Fort Local SD (CASH)</t>
  </si>
  <si>
    <t>Millcreek-West Unity Local SD(CASH)</t>
  </si>
  <si>
    <t>Franklin Monroe Local SD (CASH)</t>
  </si>
  <si>
    <t>Fort Frye Local SD (CASH)</t>
  </si>
  <si>
    <t>Cedar Cliff Local SD (2 yr Audit)</t>
  </si>
  <si>
    <t>Evergreen Local SD(CASH)</t>
  </si>
  <si>
    <t>Evergreen Local SD (CASH)</t>
  </si>
  <si>
    <t>Fairlawn Local SD (CASH)</t>
  </si>
  <si>
    <t>Fairport Harbor Ex Vill SD (2 yr AUDIT)</t>
  </si>
  <si>
    <t>Garfield Heights City SD (No Report)</t>
  </si>
  <si>
    <t>Leipsic Local SD (No Reoprt)</t>
  </si>
  <si>
    <t>Miller City-New Cleveland Loca( No Report)</t>
  </si>
  <si>
    <t>Mohawk Local SD (CASH)</t>
  </si>
  <si>
    <t>North Bass Local SD(CASH)</t>
  </si>
  <si>
    <t>North College Hill City SD (NO REPORT)</t>
  </si>
  <si>
    <t>Ottawa-Glandorf Local SD(CASH)</t>
  </si>
  <si>
    <t>Ottoville Local SD(CASH)</t>
  </si>
  <si>
    <t>Parkway Local SD(CASH)</t>
  </si>
  <si>
    <t>South Point Local SD(NO REPORT)</t>
  </si>
  <si>
    <t>Wayne Local SD(CASH)</t>
  </si>
  <si>
    <t>Wickliffe City SD (CASH)</t>
  </si>
  <si>
    <t>Wooster City SD</t>
  </si>
  <si>
    <t>Wayne Trace Local Local SD (CASH)</t>
  </si>
  <si>
    <t>(1) In some instances, Regular Instruction may include all Instruction types.</t>
  </si>
  <si>
    <t>(2) In some instances, Pupils may include all Support Services types.</t>
  </si>
  <si>
    <t xml:space="preserve">     Therefore, the full amount has been placed into the first column of each group of accounts.</t>
  </si>
  <si>
    <t>Transfers and</t>
  </si>
  <si>
    <t>Other Financing</t>
  </si>
  <si>
    <t>For the Fiscal Year Ended June 30, 2007</t>
  </si>
  <si>
    <t xml:space="preserve">*For Lakewood Local School District:$11,924,997 is total instructions, the statement of activities doesn't have detailed into regular, special, vocational, other, </t>
  </si>
  <si>
    <t>*For Lakewood Local SD:  it’s a sum of instructions, not just regular, the statements don't have detailed info.</t>
  </si>
  <si>
    <t>Fairborn City SD</t>
  </si>
  <si>
    <t>Green</t>
  </si>
  <si>
    <t>Fairborn Local SD</t>
  </si>
  <si>
    <t>Edgewood City SD (NO REPORT)</t>
  </si>
  <si>
    <t>New Riegel Local SD - CASH</t>
  </si>
  <si>
    <t>`</t>
  </si>
  <si>
    <t>Is now Riverside LSD</t>
  </si>
  <si>
    <t>Covington Ex Vill SD</t>
  </si>
  <si>
    <t>James A. Garfield Local SD</t>
  </si>
  <si>
    <t>Lucas Local SD</t>
  </si>
  <si>
    <t>Mount Gilead Ex Vill SD</t>
  </si>
  <si>
    <t>St. Clairsville-Richland City SD</t>
  </si>
  <si>
    <t>St. Bernard-Elmwood Place City SD</t>
  </si>
  <si>
    <t>Switzerland of Ohio Local SD</t>
  </si>
  <si>
    <t>Mt. Healthy City SD</t>
  </si>
  <si>
    <t>Springfield City SD</t>
  </si>
  <si>
    <t>Lakewood Local SD</t>
  </si>
  <si>
    <t>Lakewood Local  SD</t>
  </si>
  <si>
    <t>Norwood City SD</t>
  </si>
  <si>
    <t>Ravenna City SD</t>
  </si>
  <si>
    <t>Ripley-Union-Lewis-Huntington LSD</t>
  </si>
  <si>
    <t>South Central Local SD</t>
  </si>
  <si>
    <t>Liberty Union-Thurston LSD</t>
  </si>
  <si>
    <t>Loudonville-Perrysville EVSD</t>
  </si>
  <si>
    <t>St. Clairsville-Richland CSD</t>
  </si>
  <si>
    <t>St. Bernard-Elmwood Place CSD</t>
  </si>
  <si>
    <t>St Clairsville-Richland CSD</t>
  </si>
  <si>
    <t>As of June 30, 2008</t>
  </si>
  <si>
    <t>For the Fiscal Year Ended June 30, 2008</t>
  </si>
  <si>
    <t>*Does not have debt section in notes</t>
  </si>
  <si>
    <t>Canton City School District</t>
  </si>
  <si>
    <t xml:space="preserve">Bay Village City SD </t>
  </si>
  <si>
    <t>Bluffton Ex Vill SD</t>
  </si>
  <si>
    <t>OCBOA</t>
  </si>
  <si>
    <t>Buckeye Online School for Success</t>
  </si>
  <si>
    <t xml:space="preserve">Southwest Licking Local SD </t>
  </si>
  <si>
    <t>Spencerville Local SD - Cash Basis</t>
  </si>
  <si>
    <t xml:space="preserve">Big Walnut Local SD </t>
  </si>
  <si>
    <t>Bradford Ex Vill SD</t>
  </si>
  <si>
    <t xml:space="preserve">Brookfield Local SD </t>
  </si>
  <si>
    <t xml:space="preserve">Buckeye Valley Local SD </t>
  </si>
  <si>
    <t>no governmental Funds</t>
  </si>
  <si>
    <t>no governmental funds</t>
  </si>
  <si>
    <t xml:space="preserve">Keystone Local SD </t>
  </si>
  <si>
    <t>McDonald Local SD</t>
  </si>
  <si>
    <t xml:space="preserve">Berkshire Local SD </t>
  </si>
  <si>
    <t>Modified Cash</t>
  </si>
  <si>
    <t>Mississinawa Valley Local SD  (CASH)</t>
  </si>
  <si>
    <t>McComb Local SD (Cash)</t>
  </si>
  <si>
    <t xml:space="preserve">Gahanna-Jefferson City SD </t>
  </si>
  <si>
    <t xml:space="preserve">Gallia County Local SD </t>
  </si>
  <si>
    <t>McComb Local SD (Cash Report)</t>
  </si>
  <si>
    <t>Geneva Area City SD</t>
  </si>
  <si>
    <t xml:space="preserve">Fremont City SD </t>
  </si>
  <si>
    <t xml:space="preserve">Southern Local SD </t>
  </si>
  <si>
    <t>Paulding Ex Vill SD   (CASH REPORT)</t>
  </si>
  <si>
    <t>Hicksville Ex Vill SD  (Cash Basis)</t>
  </si>
  <si>
    <t>Waynesfield-Goshen Local SD  (CASH)</t>
  </si>
  <si>
    <t>Jackson Center Local SD (Cash Basis)</t>
  </si>
  <si>
    <t>Jackson City SD (Cash Basis)</t>
  </si>
  <si>
    <t>Groveport Madison Local SD (Not Report)</t>
  </si>
  <si>
    <t xml:space="preserve">Wyoming City SD </t>
  </si>
  <si>
    <t>Vanlue Local SD - (CASH)</t>
  </si>
  <si>
    <t>Valley Local SD (CASH)</t>
  </si>
  <si>
    <t>Upper Scioto Valley Local SD (CASH)</t>
  </si>
  <si>
    <t>Upper Sandusky Ex Vill SD (N/A)</t>
  </si>
  <si>
    <t>United Local SD (N/A)</t>
  </si>
  <si>
    <t>Twin Valley Community Local SD (CASH)</t>
  </si>
  <si>
    <t>Tri-Village Local SD (CASH)</t>
  </si>
  <si>
    <t>Strasburg-Franklin Local SD (No Report)</t>
  </si>
  <si>
    <t>St Marys City SD   (Cash Basis)</t>
  </si>
  <si>
    <t>St Henry Consolidated Local SD(NO Report)</t>
  </si>
  <si>
    <t>Sidney City SD (CASH BASIS)</t>
  </si>
  <si>
    <t>Richmond Heights Local SD (NO REPORT)</t>
  </si>
  <si>
    <t>Plain Local SD(NO REPORT)</t>
  </si>
  <si>
    <t>Paulding Ex Vill SD (CASH BASIS)</t>
  </si>
  <si>
    <t>Pandora-Gilboa Local SD(CASH)</t>
  </si>
  <si>
    <t>Painesville Township Local Loc (NO REPORT)</t>
  </si>
  <si>
    <t>Northeastern Local SD (CASH BASIS)</t>
  </si>
  <si>
    <t>North Central Local SD (CASH BASIS)</t>
  </si>
  <si>
    <t>New Lexington City SD (CASH BASIS)</t>
  </si>
  <si>
    <t>New Knoxville Local SD (CASH BASIS)</t>
  </si>
  <si>
    <t xml:space="preserve">Liberty Local SD </t>
  </si>
  <si>
    <t>Edgerton Local SD (CASH BASIS)</t>
  </si>
  <si>
    <t xml:space="preserve">Amherst Ex Vill SD </t>
  </si>
  <si>
    <t xml:space="preserve">Cardinal Local SD </t>
  </si>
  <si>
    <t>Clermont Northeastern LSD</t>
  </si>
  <si>
    <t>Clermont Northeastern Local SD</t>
  </si>
  <si>
    <t>Clermont Northeastern</t>
  </si>
  <si>
    <t>Clermont  Northeastern Local SD</t>
  </si>
  <si>
    <t>Eaton Community SD</t>
  </si>
  <si>
    <t xml:space="preserve">Warren Local SD </t>
  </si>
  <si>
    <t xml:space="preserve">Cincinnati City </t>
  </si>
  <si>
    <t>Carlisle Local SD (no C&amp;I on report)</t>
  </si>
  <si>
    <t xml:space="preserve">Cory-Rawson Local SD </t>
  </si>
  <si>
    <t xml:space="preserve">Findlay City SD </t>
  </si>
  <si>
    <t>Lima City SD (Cash Basis)</t>
  </si>
  <si>
    <t xml:space="preserve">Lowellville Local SD </t>
  </si>
  <si>
    <t>Wapakoneta City SD</t>
  </si>
  <si>
    <t>Hopewell-Loudon LSD</t>
  </si>
  <si>
    <t>Brecksville-Broadview Hts CSD</t>
  </si>
  <si>
    <t>Washington Crt House City SD</t>
  </si>
  <si>
    <t>Ripley-U-L-Huntington LSD</t>
  </si>
</sst>
</file>

<file path=xl/styles.xml><?xml version="1.0" encoding="utf-8"?>
<styleSheet xmlns="http://schemas.openxmlformats.org/spreadsheetml/2006/main">
  <numFmts count="5">
    <numFmt numFmtId="5" formatCode="&quot;$&quot;#,##0_);\(&quot;$&quot;#,##0\)"/>
    <numFmt numFmtId="164" formatCode="&quot;$&quot;#,##0"/>
    <numFmt numFmtId="165" formatCode="0_);\(0\)"/>
    <numFmt numFmtId="166" formatCode="#,##0.0000_);\(#,##0.0000\)"/>
    <numFmt numFmtId="167" formatCode="#,##0;[Red]#,##0"/>
  </numFmts>
  <fonts count="13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b/>
      <sz val="9"/>
      <color indexed="9"/>
      <name val="Times New Roman"/>
      <family val="1"/>
    </font>
    <font>
      <i/>
      <sz val="9"/>
      <name val="Times New Roman"/>
      <family val="1"/>
    </font>
    <font>
      <sz val="9"/>
      <color indexed="10"/>
      <name val="Times New Roman"/>
      <family val="1"/>
    </font>
    <font>
      <sz val="9"/>
      <name val="MS Outlook"/>
      <charset val="2"/>
    </font>
    <font>
      <b/>
      <sz val="9"/>
      <name val="Marlett"/>
      <charset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0"/>
      </bottom>
      <diagonal/>
    </border>
  </borders>
  <cellStyleXfs count="11">
    <xf numFmtId="0" fontId="0" fillId="0" borderId="0">
      <alignment vertical="top"/>
    </xf>
    <xf numFmtId="4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14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0" fontId="1" fillId="0" borderId="0" applyNumberFormat="0" applyFont="0" applyFill="0" applyAlignment="0" applyProtection="0"/>
    <xf numFmtId="0" fontId="2" fillId="0" borderId="0" applyNumberFormat="0" applyFont="0" applyFill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10" fontId="12" fillId="0" borderId="0" applyFont="0" applyFill="0" applyBorder="0" applyAlignment="0" applyProtection="0"/>
    <xf numFmtId="0" fontId="12" fillId="0" borderId="1" applyNumberFormat="0" applyFont="0" applyBorder="0" applyAlignment="0" applyProtection="0"/>
  </cellStyleXfs>
  <cellXfs count="98">
    <xf numFmtId="0" fontId="0" fillId="0" borderId="0" xfId="0" applyAlignment="1"/>
    <xf numFmtId="37" fontId="6" fillId="0" borderId="2" xfId="0" applyNumberFormat="1" applyFont="1" applyFill="1" applyBorder="1" applyAlignment="1">
      <alignment horizontal="center"/>
    </xf>
    <xf numFmtId="37" fontId="6" fillId="0" borderId="3" xfId="0" applyNumberFormat="1" applyFont="1" applyFill="1" applyBorder="1" applyAlignment="1">
      <alignment horizontal="center"/>
    </xf>
    <xf numFmtId="37" fontId="6" fillId="0" borderId="0" xfId="0" applyNumberFormat="1" applyFont="1" applyFill="1" applyBorder="1" applyAlignment="1">
      <alignment horizontal="right"/>
    </xf>
    <xf numFmtId="3" fontId="6" fillId="0" borderId="0" xfId="0" applyNumberFormat="1" applyFont="1" applyFill="1" applyBorder="1" applyAlignment="1">
      <alignment horizontal="center"/>
    </xf>
    <xf numFmtId="37" fontId="6" fillId="0" borderId="0" xfId="0" applyNumberFormat="1" applyFont="1" applyFill="1" applyBorder="1" applyAlignment="1">
      <alignment horizontal="center"/>
    </xf>
    <xf numFmtId="3" fontId="6" fillId="0" borderId="2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Alignment="1"/>
    <xf numFmtId="37" fontId="6" fillId="0" borderId="0" xfId="0" applyNumberFormat="1" applyFont="1" applyFill="1" applyAlignment="1"/>
    <xf numFmtId="37" fontId="6" fillId="0" borderId="0" xfId="0" applyNumberFormat="1" applyFont="1" applyFill="1" applyAlignment="1">
      <alignment horizontal="right"/>
    </xf>
    <xf numFmtId="0" fontId="6" fillId="0" borderId="0" xfId="0" applyFont="1" applyFill="1" applyAlignment="1"/>
    <xf numFmtId="37" fontId="6" fillId="0" borderId="0" xfId="0" applyNumberFormat="1" applyFont="1" applyFill="1" applyBorder="1" applyAlignment="1"/>
    <xf numFmtId="0" fontId="6" fillId="0" borderId="0" xfId="0" applyFont="1" applyFill="1">
      <alignment vertical="top"/>
    </xf>
    <xf numFmtId="37" fontId="6" fillId="0" borderId="0" xfId="0" applyNumberFormat="1" applyFont="1" applyFill="1">
      <alignment vertical="top"/>
    </xf>
    <xf numFmtId="37" fontId="6" fillId="0" borderId="0" xfId="2" applyNumberFormat="1" applyFont="1" applyFill="1" applyBorder="1" applyAlignment="1">
      <alignment horizontal="right"/>
    </xf>
    <xf numFmtId="37" fontId="5" fillId="0" borderId="0" xfId="0" applyNumberFormat="1" applyFont="1" applyFill="1" applyAlignment="1"/>
    <xf numFmtId="37" fontId="6" fillId="0" borderId="0" xfId="0" applyNumberFormat="1" applyFont="1" applyFill="1" applyAlignment="1">
      <alignment horizontal="center"/>
    </xf>
    <xf numFmtId="37" fontId="5" fillId="0" borderId="0" xfId="0" applyNumberFormat="1" applyFont="1" applyFill="1" applyBorder="1" applyAlignment="1">
      <alignment horizontal="right"/>
    </xf>
    <xf numFmtId="37" fontId="5" fillId="0" borderId="0" xfId="0" applyNumberFormat="1" applyFont="1" applyFill="1" applyAlignment="1">
      <alignment horizontal="left"/>
    </xf>
    <xf numFmtId="37" fontId="6" fillId="0" borderId="2" xfId="0" applyNumberFormat="1" applyFont="1" applyFill="1" applyBorder="1" applyAlignment="1">
      <alignment horizontal="centerContinuous"/>
    </xf>
    <xf numFmtId="0" fontId="6" fillId="0" borderId="0" xfId="0" applyFont="1" applyFill="1" applyAlignment="1">
      <alignment horizontal="center"/>
    </xf>
    <xf numFmtId="37" fontId="6" fillId="0" borderId="0" xfId="2" applyNumberFormat="1" applyFont="1" applyFill="1" applyBorder="1"/>
    <xf numFmtId="37" fontId="7" fillId="0" borderId="0" xfId="0" applyNumberFormat="1" applyFont="1" applyFill="1" applyAlignment="1"/>
    <xf numFmtId="37" fontId="5" fillId="0" borderId="0" xfId="0" applyNumberFormat="1" applyFont="1" applyFill="1" applyBorder="1" applyAlignment="1">
      <alignment horizontal="centerContinuous"/>
    </xf>
    <xf numFmtId="37" fontId="6" fillId="0" borderId="0" xfId="0" applyNumberFormat="1" applyFont="1" applyFill="1" applyBorder="1" applyAlignment="1">
      <alignment horizontal="centerContinuous"/>
    </xf>
    <xf numFmtId="37" fontId="5" fillId="0" borderId="0" xfId="0" applyNumberFormat="1" applyFont="1" applyFill="1" applyAlignment="1">
      <alignment horizontal="right"/>
    </xf>
    <xf numFmtId="37" fontId="6" fillId="0" borderId="0" xfId="0" applyNumberFormat="1" applyFont="1" applyFill="1" applyAlignment="1">
      <alignment horizontal="right" vertical="justify"/>
    </xf>
    <xf numFmtId="37" fontId="5" fillId="0" borderId="0" xfId="0" applyNumberFormat="1" applyFont="1" applyFill="1" applyBorder="1" applyAlignment="1"/>
    <xf numFmtId="37" fontId="9" fillId="0" borderId="0" xfId="0" applyNumberFormat="1" applyFont="1" applyFill="1" applyAlignment="1"/>
    <xf numFmtId="37" fontId="6" fillId="0" borderId="0" xfId="0" applyNumberFormat="1" applyFont="1" applyFill="1" applyBorder="1" applyAlignment="1">
      <alignment horizontal="right" vertical="justify"/>
    </xf>
    <xf numFmtId="165" fontId="6" fillId="0" borderId="0" xfId="0" applyNumberFormat="1" applyFont="1" applyFill="1" applyAlignment="1"/>
    <xf numFmtId="165" fontId="6" fillId="0" borderId="0" xfId="0" applyNumberFormat="1" applyFont="1" applyFill="1" applyBorder="1" applyAlignment="1"/>
    <xf numFmtId="165" fontId="6" fillId="0" borderId="0" xfId="0" applyNumberFormat="1" applyFont="1" applyFill="1">
      <alignment vertical="top"/>
    </xf>
    <xf numFmtId="37" fontId="5" fillId="0" borderId="0" xfId="0" applyNumberFormat="1" applyFont="1" applyFill="1" applyAlignment="1">
      <alignment vertical="top"/>
    </xf>
    <xf numFmtId="5" fontId="6" fillId="0" borderId="0" xfId="0" applyNumberFormat="1" applyFont="1" applyFill="1">
      <alignment vertical="top"/>
    </xf>
    <xf numFmtId="5" fontId="6" fillId="0" borderId="0" xfId="0" applyNumberFormat="1" applyFont="1" applyFill="1" applyAlignment="1"/>
    <xf numFmtId="0" fontId="5" fillId="0" borderId="0" xfId="0" applyFont="1" applyFill="1" applyAlignment="1"/>
    <xf numFmtId="3" fontId="6" fillId="0" borderId="0" xfId="0" applyNumberFormat="1" applyFont="1" applyFill="1" applyAlignment="1">
      <alignment horizontal="right"/>
    </xf>
    <xf numFmtId="39" fontId="6" fillId="0" borderId="0" xfId="0" applyNumberFormat="1" applyFont="1" applyFill="1" applyBorder="1" applyAlignment="1">
      <alignment horizontal="centerContinuous"/>
    </xf>
    <xf numFmtId="37" fontId="0" fillId="0" borderId="0" xfId="0" applyNumberFormat="1" applyFill="1" applyAlignment="1"/>
    <xf numFmtId="39" fontId="5" fillId="0" borderId="0" xfId="0" applyNumberFormat="1" applyFont="1" applyFill="1" applyBorder="1" applyAlignment="1">
      <alignment horizontal="right"/>
    </xf>
    <xf numFmtId="39" fontId="6" fillId="0" borderId="0" xfId="0" applyNumberFormat="1" applyFont="1" applyFill="1" applyBorder="1" applyAlignment="1">
      <alignment horizontal="right"/>
    </xf>
    <xf numFmtId="5" fontId="6" fillId="0" borderId="0" xfId="0" applyNumberFormat="1" applyFont="1" applyFill="1" applyBorder="1" applyAlignment="1">
      <alignment horizontal="right"/>
    </xf>
    <xf numFmtId="5" fontId="6" fillId="0" borderId="0" xfId="0" applyNumberFormat="1" applyFont="1" applyFill="1" applyAlignment="1">
      <alignment horizontal="right" vertical="justify"/>
    </xf>
    <xf numFmtId="5" fontId="6" fillId="0" borderId="0" xfId="0" applyNumberFormat="1" applyFont="1" applyFill="1" applyAlignment="1">
      <alignment horizontal="right"/>
    </xf>
    <xf numFmtId="37" fontId="11" fillId="0" borderId="0" xfId="0" applyNumberFormat="1" applyFont="1" applyFill="1" applyAlignment="1">
      <alignment horizontal="center"/>
    </xf>
    <xf numFmtId="5" fontId="0" fillId="0" borderId="0" xfId="0" applyNumberFormat="1" applyFill="1" applyAlignment="1"/>
    <xf numFmtId="0" fontId="11" fillId="0" borderId="0" xfId="0" applyFont="1" applyFill="1" applyAlignment="1">
      <alignment horizontal="center"/>
    </xf>
    <xf numFmtId="5" fontId="6" fillId="0" borderId="0" xfId="0" applyNumberFormat="1" applyFont="1" applyFill="1" applyBorder="1" applyAlignment="1"/>
    <xf numFmtId="167" fontId="6" fillId="0" borderId="0" xfId="0" applyNumberFormat="1" applyFont="1" applyFill="1">
      <alignment vertical="top"/>
    </xf>
    <xf numFmtId="167" fontId="6" fillId="0" borderId="0" xfId="0" applyNumberFormat="1" applyFont="1" applyFill="1" applyAlignment="1"/>
    <xf numFmtId="164" fontId="6" fillId="0" borderId="0" xfId="0" applyNumberFormat="1" applyFont="1" applyFill="1">
      <alignment vertical="top"/>
    </xf>
    <xf numFmtId="164" fontId="6" fillId="0" borderId="0" xfId="0" applyNumberFormat="1" applyFont="1" applyFill="1" applyAlignment="1"/>
    <xf numFmtId="164" fontId="6" fillId="0" borderId="0" xfId="0" applyNumberFormat="1" applyFont="1" applyFill="1" applyAlignment="1">
      <alignment horizontal="right" vertical="justify"/>
    </xf>
    <xf numFmtId="37" fontId="6" fillId="0" borderId="0" xfId="0" applyNumberFormat="1" applyFont="1" applyFill="1" applyAlignment="1">
      <alignment horizontal="right" vertical="justify" wrapText="1"/>
    </xf>
    <xf numFmtId="37" fontId="5" fillId="0" borderId="0" xfId="0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/>
    <xf numFmtId="37" fontId="6" fillId="0" borderId="0" xfId="0" applyNumberFormat="1" applyFont="1" applyFill="1" applyBorder="1" applyAlignment="1">
      <alignment horizontal="left"/>
    </xf>
    <xf numFmtId="165" fontId="6" fillId="0" borderId="0" xfId="0" applyNumberFormat="1" applyFont="1" applyFill="1" applyBorder="1" applyAlignment="1">
      <alignment horizontal="left"/>
    </xf>
    <xf numFmtId="165" fontId="6" fillId="0" borderId="0" xfId="0" applyNumberFormat="1" applyFont="1" applyFill="1" applyBorder="1" applyAlignment="1">
      <alignment horizontal="center"/>
    </xf>
    <xf numFmtId="165" fontId="6" fillId="0" borderId="2" xfId="0" applyNumberFormat="1" applyFont="1" applyFill="1" applyBorder="1" applyAlignment="1">
      <alignment horizontal="center"/>
    </xf>
    <xf numFmtId="37" fontId="6" fillId="0" borderId="0" xfId="2" applyNumberFormat="1" applyFont="1" applyFill="1" applyAlignment="1">
      <alignment horizontal="right"/>
    </xf>
    <xf numFmtId="166" fontId="6" fillId="0" borderId="0" xfId="0" applyNumberFormat="1" applyFont="1" applyFill="1" applyBorder="1" applyAlignment="1"/>
    <xf numFmtId="165" fontId="5" fillId="0" borderId="0" xfId="0" applyNumberFormat="1" applyFont="1" applyFill="1" applyAlignment="1"/>
    <xf numFmtId="37" fontId="6" fillId="0" borderId="0" xfId="2" applyNumberFormat="1" applyFont="1" applyFill="1" applyBorder="1" applyAlignment="1">
      <alignment horizontal="right" vertical="justify"/>
    </xf>
    <xf numFmtId="5" fontId="6" fillId="0" borderId="0" xfId="0" applyNumberFormat="1" applyFont="1" applyFill="1" applyAlignment="1">
      <alignment horizontal="right" vertical="justify" wrapText="1"/>
    </xf>
    <xf numFmtId="37" fontId="6" fillId="0" borderId="0" xfId="0" applyNumberFormat="1" applyFont="1" applyFill="1" applyAlignment="1">
      <alignment horizontal="left" vertical="justify"/>
    </xf>
    <xf numFmtId="165" fontId="6" fillId="0" borderId="0" xfId="0" applyNumberFormat="1" applyFont="1" applyFill="1" applyAlignment="1">
      <alignment horizontal="right"/>
    </xf>
    <xf numFmtId="10" fontId="6" fillId="0" borderId="0" xfId="9" applyFont="1" applyFill="1" applyBorder="1" applyAlignment="1">
      <alignment horizontal="center"/>
    </xf>
    <xf numFmtId="5" fontId="6" fillId="0" borderId="0" xfId="0" applyNumberFormat="1" applyFont="1" applyFill="1" applyBorder="1" applyAlignment="1">
      <alignment horizontal="center"/>
    </xf>
    <xf numFmtId="5" fontId="6" fillId="0" borderId="0" xfId="2" applyNumberFormat="1" applyFont="1" applyFill="1" applyBorder="1" applyAlignment="1">
      <alignment horizontal="right"/>
    </xf>
    <xf numFmtId="37" fontId="8" fillId="0" borderId="0" xfId="0" applyNumberFormat="1" applyFont="1" applyFill="1" applyAlignment="1"/>
    <xf numFmtId="3" fontId="5" fillId="0" borderId="0" xfId="0" applyNumberFormat="1" applyFont="1" applyFill="1" applyBorder="1" applyAlignment="1"/>
    <xf numFmtId="0" fontId="6" fillId="0" borderId="0" xfId="0" applyFont="1" applyFill="1" applyBorder="1" applyAlignment="1"/>
    <xf numFmtId="0" fontId="6" fillId="0" borderId="2" xfId="0" applyFont="1" applyFill="1" applyBorder="1" applyAlignment="1">
      <alignment horizontal="center"/>
    </xf>
    <xf numFmtId="0" fontId="10" fillId="0" borderId="0" xfId="0" applyFont="1" applyFill="1" applyAlignment="1"/>
    <xf numFmtId="37" fontId="5" fillId="0" borderId="0" xfId="0" applyNumberFormat="1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0" fillId="0" borderId="0" xfId="0" applyFill="1" applyAlignment="1"/>
    <xf numFmtId="3" fontId="6" fillId="0" borderId="0" xfId="1" applyNumberFormat="1" applyFont="1" applyFill="1"/>
    <xf numFmtId="37" fontId="6" fillId="0" borderId="0" xfId="0" applyNumberFormat="1" applyFont="1" applyFill="1" applyAlignment="1">
      <alignment horizontal="centerContinuous"/>
    </xf>
    <xf numFmtId="37" fontId="4" fillId="0" borderId="0" xfId="8" applyNumberFormat="1" applyFill="1" applyAlignment="1" applyProtection="1"/>
    <xf numFmtId="37" fontId="6" fillId="0" borderId="0" xfId="0" applyNumberFormat="1" applyFont="1" applyFill="1" applyAlignment="1">
      <alignment horizontal="left" vertical="top"/>
    </xf>
    <xf numFmtId="37" fontId="6" fillId="0" borderId="0" xfId="0" applyNumberFormat="1" applyFont="1" applyFill="1" applyAlignment="1">
      <alignment horizontal="right" vertical="top"/>
    </xf>
    <xf numFmtId="3" fontId="6" fillId="0" borderId="0" xfId="0" applyNumberFormat="1" applyFont="1" applyFill="1">
      <alignment vertical="top"/>
    </xf>
    <xf numFmtId="3" fontId="6" fillId="0" borderId="0" xfId="0" applyNumberFormat="1" applyFont="1" applyFill="1" applyAlignment="1"/>
    <xf numFmtId="3" fontId="0" fillId="0" borderId="0" xfId="0" applyNumberFormat="1" applyFill="1" applyAlignment="1"/>
    <xf numFmtId="164" fontId="6" fillId="0" borderId="0" xfId="0" applyNumberFormat="1" applyFont="1" applyFill="1" applyBorder="1" applyAlignment="1">
      <alignment horizontal="right"/>
    </xf>
    <xf numFmtId="37" fontId="6" fillId="0" borderId="0" xfId="0" applyNumberFormat="1" applyFont="1" applyFill="1" applyAlignment="1">
      <alignment horizontal="left"/>
    </xf>
    <xf numFmtId="37" fontId="6" fillId="0" borderId="0" xfId="2" applyNumberFormat="1" applyFont="1" applyFill="1" applyBorder="1" applyAlignment="1">
      <alignment horizontal="left"/>
    </xf>
    <xf numFmtId="3" fontId="6" fillId="0" borderId="0" xfId="0" applyNumberFormat="1" applyFont="1" applyFill="1" applyBorder="1" applyAlignment="1">
      <alignment horizontal="right"/>
    </xf>
    <xf numFmtId="37" fontId="6" fillId="0" borderId="0" xfId="0" applyNumberFormat="1" applyFont="1" applyFill="1" applyAlignment="1">
      <alignment horizontal="left" vertical="justify" wrapText="1"/>
    </xf>
    <xf numFmtId="5" fontId="6" fillId="0" borderId="0" xfId="0" applyNumberFormat="1" applyFont="1" applyFill="1" applyBorder="1" applyAlignment="1">
      <alignment horizontal="right" vertical="justify"/>
    </xf>
    <xf numFmtId="37" fontId="6" fillId="0" borderId="0" xfId="0" applyNumberFormat="1" applyFont="1" applyFill="1" applyAlignment="1">
      <alignment horizontal="left"/>
    </xf>
    <xf numFmtId="37" fontId="5" fillId="0" borderId="0" xfId="0" applyNumberFormat="1" applyFont="1" applyFill="1" applyAlignment="1">
      <alignment horizontal="left"/>
    </xf>
    <xf numFmtId="37" fontId="6" fillId="0" borderId="2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left"/>
    </xf>
  </cellXfs>
  <cellStyles count="11">
    <cellStyle name="Comma" xfId="1" builtinId="3"/>
    <cellStyle name="Comma0" xfId="2"/>
    <cellStyle name="Currency0" xfId="3"/>
    <cellStyle name="Date" xfId="4"/>
    <cellStyle name="Fixed" xfId="5"/>
    <cellStyle name="Heading 1" xfId="6" builtinId="16" customBuiltin="1"/>
    <cellStyle name="Heading 2" xfId="7" builtinId="17" customBuiltin="1"/>
    <cellStyle name="Hyperlink" xfId="8" builtinId="8"/>
    <cellStyle name="Normal" xfId="0" builtinId="0"/>
    <cellStyle name="Percent" xfId="9" builtinId="5"/>
    <cellStyle name="Total" xfId="10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AKirkbride\Local%20Settings\Temporary%20Internet%20Files\Content.Outlook\M4M243YS\CopyFile_08%20school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 of Net Assets - GA"/>
      <sheetName val="St of Activites - GA Rev"/>
      <sheetName val="St of Activities - GA Exp"/>
      <sheetName val="Gen Fd BS"/>
      <sheetName val="GenRev"/>
      <sheetName val="GenExp"/>
      <sheetName val="Gov Fd BS"/>
      <sheetName val="Gov Fd Rv"/>
      <sheetName val="Gov Fnd Exp"/>
      <sheetName val="LT _Lia - GA"/>
      <sheetName val="Sheet2"/>
    </sheetNames>
    <sheetDataSet>
      <sheetData sheetId="0">
        <row r="240">
          <cell r="O240">
            <v>1022314</v>
          </cell>
          <cell r="AA240">
            <v>13692479</v>
          </cell>
        </row>
        <row r="241">
          <cell r="O241">
            <v>202065</v>
          </cell>
          <cell r="AA241">
            <v>5389436</v>
          </cell>
        </row>
        <row r="242">
          <cell r="O242">
            <v>2498752</v>
          </cell>
          <cell r="AA242">
            <v>35996169</v>
          </cell>
        </row>
        <row r="243">
          <cell r="O243">
            <v>732429</v>
          </cell>
          <cell r="AA243">
            <v>34830093</v>
          </cell>
        </row>
        <row r="244">
          <cell r="O244">
            <v>304147</v>
          </cell>
          <cell r="AA244">
            <v>35215391</v>
          </cell>
        </row>
        <row r="247">
          <cell r="O247">
            <v>6192122</v>
          </cell>
          <cell r="AA247">
            <v>26420733</v>
          </cell>
        </row>
        <row r="248">
          <cell r="O248">
            <v>397027</v>
          </cell>
          <cell r="AA248">
            <v>4370155</v>
          </cell>
        </row>
        <row r="249">
          <cell r="O249">
            <v>357710</v>
          </cell>
          <cell r="AA249">
            <v>3087059</v>
          </cell>
        </row>
        <row r="250">
          <cell r="O250">
            <v>979982</v>
          </cell>
          <cell r="AA250">
            <v>25380817</v>
          </cell>
        </row>
        <row r="251">
          <cell r="O251">
            <v>2039307</v>
          </cell>
        </row>
        <row r="252">
          <cell r="O252">
            <v>77575</v>
          </cell>
          <cell r="AA252">
            <v>740578</v>
          </cell>
        </row>
      </sheetData>
      <sheetData sheetId="1">
        <row r="240">
          <cell r="AI240">
            <v>19386733</v>
          </cell>
        </row>
        <row r="241">
          <cell r="AI241">
            <v>21744622</v>
          </cell>
        </row>
        <row r="242">
          <cell r="AI242">
            <v>39267376</v>
          </cell>
        </row>
        <row r="243">
          <cell r="AI243">
            <v>17943271</v>
          </cell>
        </row>
        <row r="244">
          <cell r="AI244">
            <v>18261427</v>
          </cell>
        </row>
        <row r="245">
          <cell r="AI245">
            <v>0</v>
          </cell>
        </row>
        <row r="246">
          <cell r="AI246">
            <v>0</v>
          </cell>
        </row>
        <row r="247">
          <cell r="AI247">
            <v>60998144</v>
          </cell>
        </row>
        <row r="248">
          <cell r="AI248">
            <v>11199219</v>
          </cell>
        </row>
        <row r="249">
          <cell r="AI249">
            <v>13668298</v>
          </cell>
        </row>
        <row r="250">
          <cell r="AI250">
            <v>35878386</v>
          </cell>
        </row>
        <row r="251">
          <cell r="AI251">
            <v>14766423</v>
          </cell>
        </row>
        <row r="252">
          <cell r="AI252">
            <v>9483138</v>
          </cell>
        </row>
      </sheetData>
      <sheetData sheetId="2">
        <row r="240">
          <cell r="AW240">
            <v>17511794</v>
          </cell>
          <cell r="BC240">
            <v>13692479</v>
          </cell>
        </row>
        <row r="241">
          <cell r="AW241">
            <v>22200677</v>
          </cell>
          <cell r="BC241">
            <v>5389436</v>
          </cell>
        </row>
        <row r="242">
          <cell r="AW242">
            <v>36094388</v>
          </cell>
          <cell r="BC242">
            <v>35996169</v>
          </cell>
        </row>
        <row r="243">
          <cell r="AW243">
            <v>20432083</v>
          </cell>
          <cell r="BC243">
            <v>34830093</v>
          </cell>
        </row>
        <row r="244">
          <cell r="AW244">
            <v>16699951</v>
          </cell>
          <cell r="BC244">
            <v>35215391</v>
          </cell>
        </row>
        <row r="245">
          <cell r="AW245">
            <v>0</v>
          </cell>
          <cell r="BC245">
            <v>0</v>
          </cell>
        </row>
        <row r="246">
          <cell r="AW246">
            <v>0</v>
          </cell>
          <cell r="BC246">
            <v>0</v>
          </cell>
        </row>
        <row r="247">
          <cell r="AW247">
            <v>55668160</v>
          </cell>
          <cell r="BC247">
            <v>26420733</v>
          </cell>
        </row>
        <row r="248">
          <cell r="AW248">
            <v>10123605</v>
          </cell>
          <cell r="BC248">
            <v>4370155</v>
          </cell>
        </row>
        <row r="249">
          <cell r="AW249">
            <v>13728132</v>
          </cell>
          <cell r="BC249">
            <v>3087059</v>
          </cell>
        </row>
        <row r="250">
          <cell r="AW250">
            <v>17358760</v>
          </cell>
          <cell r="BC250">
            <v>25380817</v>
          </cell>
        </row>
        <row r="251">
          <cell r="AW251">
            <v>13893534</v>
          </cell>
        </row>
        <row r="252">
          <cell r="AW252">
            <v>9713182</v>
          </cell>
          <cell r="BC252">
            <v>740578</v>
          </cell>
        </row>
      </sheetData>
      <sheetData sheetId="3">
        <row r="240">
          <cell r="AA240">
            <v>1366007</v>
          </cell>
        </row>
        <row r="241">
          <cell r="AA241">
            <v>64380</v>
          </cell>
        </row>
        <row r="242">
          <cell r="AA242">
            <v>26396099</v>
          </cell>
        </row>
        <row r="243">
          <cell r="AA243">
            <v>462899</v>
          </cell>
        </row>
        <row r="244">
          <cell r="AA244">
            <v>2147831</v>
          </cell>
        </row>
        <row r="245">
          <cell r="AA245">
            <v>0</v>
          </cell>
        </row>
        <row r="246">
          <cell r="AA246">
            <v>0</v>
          </cell>
        </row>
        <row r="247">
          <cell r="AA247">
            <v>2279998</v>
          </cell>
        </row>
        <row r="248">
          <cell r="AA248">
            <v>1497788</v>
          </cell>
        </row>
        <row r="249">
          <cell r="AA249">
            <v>885404</v>
          </cell>
        </row>
        <row r="250">
          <cell r="AA250">
            <v>3484027</v>
          </cell>
        </row>
        <row r="251">
          <cell r="AA251">
            <v>7933607</v>
          </cell>
        </row>
        <row r="252">
          <cell r="AA252">
            <v>-599303</v>
          </cell>
        </row>
      </sheetData>
      <sheetData sheetId="4">
        <row r="240">
          <cell r="AM240">
            <v>16051217</v>
          </cell>
        </row>
        <row r="241">
          <cell r="AM241">
            <v>17424522</v>
          </cell>
        </row>
        <row r="242">
          <cell r="AM242">
            <v>33912546</v>
          </cell>
        </row>
        <row r="243">
          <cell r="AM243">
            <v>13443119</v>
          </cell>
        </row>
        <row r="244">
          <cell r="AM244">
            <v>11505965</v>
          </cell>
        </row>
        <row r="245">
          <cell r="AM245">
            <v>0</v>
          </cell>
        </row>
        <row r="246">
          <cell r="AM246">
            <v>0</v>
          </cell>
        </row>
        <row r="247">
          <cell r="AM247">
            <v>47314224</v>
          </cell>
        </row>
        <row r="248">
          <cell r="AM248">
            <v>7133322</v>
          </cell>
        </row>
        <row r="249">
          <cell r="AM249">
            <v>11922622</v>
          </cell>
        </row>
        <row r="250">
          <cell r="AM250">
            <v>15228193</v>
          </cell>
        </row>
        <row r="251">
          <cell r="AM251">
            <v>11776665</v>
          </cell>
        </row>
        <row r="252">
          <cell r="AM252">
            <v>7478649</v>
          </cell>
        </row>
      </sheetData>
      <sheetData sheetId="5">
        <row r="240">
          <cell r="BJ240">
            <v>15232295</v>
          </cell>
        </row>
        <row r="241">
          <cell r="BJ241">
            <v>18198110</v>
          </cell>
        </row>
        <row r="242">
          <cell r="BJ242">
            <v>30223673</v>
          </cell>
        </row>
        <row r="243">
          <cell r="BJ243">
            <v>14658729</v>
          </cell>
        </row>
        <row r="244">
          <cell r="BJ244">
            <v>12016430</v>
          </cell>
        </row>
        <row r="245">
          <cell r="BJ245">
            <v>0</v>
          </cell>
        </row>
        <row r="246">
          <cell r="BJ246">
            <v>0</v>
          </cell>
        </row>
        <row r="247">
          <cell r="BJ247">
            <v>47483203</v>
          </cell>
        </row>
        <row r="248">
          <cell r="BJ248">
            <v>6779659</v>
          </cell>
        </row>
        <row r="249">
          <cell r="BJ249">
            <v>11844414</v>
          </cell>
        </row>
        <row r="250">
          <cell r="BJ250">
            <v>14372118</v>
          </cell>
        </row>
        <row r="251">
          <cell r="BJ251">
            <v>10970904</v>
          </cell>
        </row>
        <row r="252">
          <cell r="BJ252">
            <v>7689670</v>
          </cell>
        </row>
      </sheetData>
      <sheetData sheetId="6">
        <row r="238">
          <cell r="AA238">
            <v>1862090</v>
          </cell>
        </row>
        <row r="239">
          <cell r="AA239">
            <v>577332</v>
          </cell>
        </row>
        <row r="240">
          <cell r="AA240">
            <v>28903197</v>
          </cell>
        </row>
        <row r="241">
          <cell r="AA241">
            <v>2564265</v>
          </cell>
        </row>
        <row r="242">
          <cell r="AA242">
            <v>27585075</v>
          </cell>
        </row>
        <row r="243">
          <cell r="AA243">
            <v>0</v>
          </cell>
        </row>
        <row r="244">
          <cell r="AA244">
            <v>0</v>
          </cell>
        </row>
        <row r="245">
          <cell r="AA245">
            <v>9638027</v>
          </cell>
        </row>
        <row r="246">
          <cell r="AA246">
            <v>15223252</v>
          </cell>
        </row>
        <row r="247">
          <cell r="AA247">
            <v>1135821</v>
          </cell>
        </row>
        <row r="248">
          <cell r="AA248">
            <v>30091800</v>
          </cell>
        </row>
        <row r="249">
          <cell r="AA249">
            <v>9894534</v>
          </cell>
        </row>
        <row r="250">
          <cell r="AA250">
            <v>-278425</v>
          </cell>
        </row>
      </sheetData>
      <sheetData sheetId="7">
        <row r="238">
          <cell r="AU238">
            <v>18911148</v>
          </cell>
        </row>
        <row r="239">
          <cell r="AU239">
            <v>21758182</v>
          </cell>
        </row>
        <row r="240">
          <cell r="AU240">
            <v>40112987</v>
          </cell>
        </row>
        <row r="241">
          <cell r="AU241">
            <v>19149962</v>
          </cell>
        </row>
        <row r="242">
          <cell r="AU242">
            <v>32356034</v>
          </cell>
        </row>
        <row r="243">
          <cell r="AU243">
            <v>0</v>
          </cell>
        </row>
        <row r="244">
          <cell r="AU244">
            <v>0</v>
          </cell>
        </row>
        <row r="245">
          <cell r="AU245">
            <v>61296945</v>
          </cell>
        </row>
        <row r="246">
          <cell r="AU246">
            <v>11218059</v>
          </cell>
        </row>
        <row r="247">
          <cell r="AU247">
            <v>13710651</v>
          </cell>
        </row>
        <row r="248">
          <cell r="AU248">
            <v>59535097</v>
          </cell>
        </row>
        <row r="249">
          <cell r="AU249">
            <v>16341202</v>
          </cell>
        </row>
        <row r="250">
          <cell r="AU250">
            <v>9645635</v>
          </cell>
        </row>
      </sheetData>
      <sheetData sheetId="8">
        <row r="238">
          <cell r="BJ238">
            <v>17432690</v>
          </cell>
        </row>
        <row r="239">
          <cell r="BJ239">
            <v>22355189</v>
          </cell>
        </row>
        <row r="240">
          <cell r="BJ240">
            <v>36702224</v>
          </cell>
        </row>
        <row r="241">
          <cell r="BJ241">
            <v>31329319</v>
          </cell>
        </row>
        <row r="242">
          <cell r="BJ242">
            <v>28812259</v>
          </cell>
        </row>
        <row r="243">
          <cell r="BJ243">
            <v>0</v>
          </cell>
        </row>
        <row r="244">
          <cell r="BJ244">
            <v>0</v>
          </cell>
        </row>
        <row r="245">
          <cell r="BJ245">
            <v>65196450</v>
          </cell>
        </row>
        <row r="246">
          <cell r="BJ246">
            <v>12860055</v>
          </cell>
        </row>
        <row r="247">
          <cell r="BJ247">
            <v>13743424</v>
          </cell>
        </row>
        <row r="248">
          <cell r="BJ248">
            <v>32702112</v>
          </cell>
        </row>
        <row r="249">
          <cell r="BJ249">
            <v>16265774</v>
          </cell>
        </row>
        <row r="250">
          <cell r="BJ250">
            <v>9815231</v>
          </cell>
        </row>
      </sheetData>
      <sheetData sheetId="9">
        <row r="240">
          <cell r="U240">
            <v>1022314</v>
          </cell>
        </row>
        <row r="241">
          <cell r="U241">
            <v>202065</v>
          </cell>
        </row>
        <row r="242">
          <cell r="U242">
            <v>2498752</v>
          </cell>
        </row>
        <row r="244">
          <cell r="U244">
            <v>732429</v>
          </cell>
        </row>
        <row r="245">
          <cell r="U245">
            <v>304147</v>
          </cell>
        </row>
        <row r="246">
          <cell r="U246">
            <v>0</v>
          </cell>
        </row>
        <row r="247">
          <cell r="U247">
            <v>0</v>
          </cell>
        </row>
        <row r="248">
          <cell r="U248">
            <v>6192122</v>
          </cell>
        </row>
        <row r="249">
          <cell r="U249">
            <v>397027</v>
          </cell>
        </row>
        <row r="250">
          <cell r="U250">
            <v>357710</v>
          </cell>
        </row>
        <row r="251">
          <cell r="U251">
            <v>979982</v>
          </cell>
        </row>
        <row r="252">
          <cell r="U252">
            <v>2039307</v>
          </cell>
        </row>
        <row r="253">
          <cell r="U253">
            <v>77575</v>
          </cell>
        </row>
      </sheetData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H590"/>
  <sheetViews>
    <sheetView view="pageBreakPreview" zoomScale="120" zoomScaleNormal="160" zoomScaleSheetLayoutView="120" workbookViewId="0">
      <pane xSplit="5" ySplit="9" topLeftCell="F10" activePane="bottomRight" state="frozen"/>
      <selection sqref="A1:IV65536"/>
      <selection pane="topRight" sqref="A1:IV65536"/>
      <selection pane="bottomLeft" sqref="A1:IV65536"/>
      <selection pane="bottomRight" activeCell="H11" sqref="H11"/>
    </sheetView>
  </sheetViews>
  <sheetFormatPr defaultColWidth="9.109375" defaultRowHeight="12"/>
  <cols>
    <col min="1" max="1" width="29.5546875" style="8" customWidth="1"/>
    <col min="2" max="2" width="1.6640625" style="8" customWidth="1"/>
    <col min="3" max="3" width="11.6640625" style="8" customWidth="1"/>
    <col min="4" max="4" width="1.6640625" style="8" hidden="1" customWidth="1"/>
    <col min="5" max="5" width="11.6640625" style="30" hidden="1" customWidth="1"/>
    <col min="6" max="6" width="1.6640625" style="8" customWidth="1"/>
    <col min="7" max="7" width="11.6640625" style="8" customWidth="1"/>
    <col min="8" max="8" width="1.6640625" style="8" customWidth="1"/>
    <col min="9" max="9" width="11.6640625" style="8" customWidth="1"/>
    <col min="10" max="10" width="1.6640625" style="8" customWidth="1"/>
    <col min="11" max="11" width="12.5546875" style="8" customWidth="1"/>
    <col min="12" max="12" width="1.6640625" style="8" customWidth="1"/>
    <col min="13" max="13" width="11.6640625" style="8" customWidth="1"/>
    <col min="14" max="14" width="1.6640625" style="8" customWidth="1"/>
    <col min="15" max="15" width="11.6640625" style="8" customWidth="1"/>
    <col min="16" max="16" width="1.6640625" style="8" customWidth="1"/>
    <col min="17" max="17" width="11.6640625" style="8" customWidth="1"/>
    <col min="18" max="18" width="1.6640625" style="8" customWidth="1"/>
    <col min="19" max="19" width="12" style="8" customWidth="1"/>
    <col min="20" max="20" width="1.6640625" style="8" customWidth="1"/>
    <col min="21" max="21" width="11.6640625" style="8" customWidth="1"/>
    <col min="22" max="22" width="1.6640625" style="8" customWidth="1"/>
    <col min="23" max="23" width="11.6640625" style="8" customWidth="1"/>
    <col min="24" max="24" width="1.6640625" style="8" customWidth="1"/>
    <col min="25" max="25" width="11.6640625" style="8" customWidth="1"/>
    <col min="26" max="26" width="1.6640625" style="8" customWidth="1"/>
    <col min="27" max="27" width="11.6640625" style="8" customWidth="1"/>
    <col min="28" max="28" width="1.6640625" style="8" customWidth="1"/>
    <col min="29" max="29" width="15.6640625" style="8" hidden="1" customWidth="1"/>
    <col min="30" max="30" width="11.6640625" style="8" customWidth="1"/>
    <col min="31" max="31" width="1.6640625" style="8" customWidth="1"/>
    <col min="32" max="32" width="11.6640625" style="8" customWidth="1"/>
    <col min="33" max="33" width="1.6640625" style="8" customWidth="1"/>
    <col min="34" max="34" width="11.6640625" style="8" customWidth="1"/>
    <col min="35" max="35" width="9.88671875" style="8" bestFit="1" customWidth="1"/>
    <col min="36" max="36" width="9.109375" style="8"/>
    <col min="37" max="37" width="9.33203125" style="8" bestFit="1" customWidth="1"/>
    <col min="38" max="16384" width="9.109375" style="8"/>
  </cols>
  <sheetData>
    <row r="1" spans="1:32">
      <c r="A1" s="95" t="s">
        <v>130</v>
      </c>
      <c r="B1" s="95"/>
      <c r="C1" s="95"/>
      <c r="D1" s="95"/>
      <c r="E1" s="95"/>
      <c r="F1" s="95"/>
      <c r="G1" s="95"/>
      <c r="H1" s="95"/>
      <c r="I1" s="95"/>
    </row>
    <row r="2" spans="1:32">
      <c r="A2" s="15" t="s">
        <v>911</v>
      </c>
    </row>
    <row r="3" spans="1:32" ht="13.2">
      <c r="A3" s="15"/>
      <c r="I3" s="79"/>
    </row>
    <row r="4" spans="1:32" ht="13.2">
      <c r="A4" s="36" t="s">
        <v>177</v>
      </c>
      <c r="I4" s="79"/>
    </row>
    <row r="5" spans="1:32">
      <c r="A5" s="22"/>
    </row>
    <row r="6" spans="1:32" s="15" customFormat="1">
      <c r="A6" s="33" t="s">
        <v>819</v>
      </c>
      <c r="B6" s="33"/>
      <c r="C6" s="33"/>
      <c r="D6" s="11"/>
      <c r="E6" s="31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</row>
    <row r="7" spans="1:32">
      <c r="G7" s="96" t="s">
        <v>88</v>
      </c>
      <c r="H7" s="96"/>
      <c r="I7" s="96"/>
      <c r="J7" s="96"/>
      <c r="K7" s="24"/>
      <c r="M7" s="96" t="s">
        <v>126</v>
      </c>
      <c r="N7" s="96"/>
      <c r="O7" s="96"/>
      <c r="P7" s="1"/>
      <c r="Q7" s="1"/>
      <c r="R7" s="24"/>
      <c r="S7" s="24"/>
      <c r="U7" s="96" t="s">
        <v>103</v>
      </c>
      <c r="V7" s="96"/>
      <c r="W7" s="96"/>
      <c r="X7" s="96"/>
      <c r="Y7" s="96"/>
      <c r="Z7" s="24"/>
      <c r="AA7" s="24"/>
      <c r="AD7" s="8" t="s">
        <v>141</v>
      </c>
      <c r="AF7" s="8" t="s">
        <v>141</v>
      </c>
    </row>
    <row r="8" spans="1:32">
      <c r="F8" s="5"/>
      <c r="G8" s="16" t="s">
        <v>102</v>
      </c>
      <c r="H8" s="16"/>
      <c r="I8" s="16" t="s">
        <v>73</v>
      </c>
      <c r="J8" s="16"/>
      <c r="K8" s="5" t="s">
        <v>3</v>
      </c>
      <c r="M8" s="16" t="s">
        <v>102</v>
      </c>
      <c r="N8" s="16"/>
      <c r="O8" s="81" t="s">
        <v>139</v>
      </c>
      <c r="P8" s="81"/>
      <c r="Q8" s="81"/>
      <c r="R8" s="5"/>
      <c r="S8" s="5" t="s">
        <v>3</v>
      </c>
      <c r="U8" s="5" t="s">
        <v>104</v>
      </c>
      <c r="V8" s="5"/>
      <c r="W8" s="5"/>
      <c r="X8" s="5"/>
      <c r="Y8" s="5"/>
      <c r="Z8" s="5"/>
      <c r="AA8" s="5" t="s">
        <v>3</v>
      </c>
      <c r="AD8" s="8" t="s">
        <v>142</v>
      </c>
      <c r="AF8" s="8" t="s">
        <v>142</v>
      </c>
    </row>
    <row r="9" spans="1:32">
      <c r="A9" s="1" t="s">
        <v>208</v>
      </c>
      <c r="B9" s="16"/>
      <c r="C9" s="1" t="s">
        <v>4</v>
      </c>
      <c r="D9" s="16"/>
      <c r="E9" s="61" t="s">
        <v>207</v>
      </c>
      <c r="F9" s="5"/>
      <c r="G9" s="1" t="s">
        <v>88</v>
      </c>
      <c r="H9" s="5"/>
      <c r="I9" s="1" t="s">
        <v>88</v>
      </c>
      <c r="J9" s="5"/>
      <c r="K9" s="1" t="s">
        <v>88</v>
      </c>
      <c r="L9" s="11"/>
      <c r="M9" s="1" t="s">
        <v>94</v>
      </c>
      <c r="N9" s="5"/>
      <c r="O9" s="1" t="s">
        <v>138</v>
      </c>
      <c r="P9" s="5"/>
      <c r="Q9" s="1" t="s">
        <v>140</v>
      </c>
      <c r="R9" s="5"/>
      <c r="S9" s="1" t="s">
        <v>94</v>
      </c>
      <c r="T9" s="11"/>
      <c r="U9" s="1" t="s">
        <v>125</v>
      </c>
      <c r="V9" s="5"/>
      <c r="W9" s="1" t="s">
        <v>105</v>
      </c>
      <c r="X9" s="5"/>
      <c r="Y9" s="1" t="s">
        <v>106</v>
      </c>
      <c r="Z9" s="5"/>
      <c r="AA9" s="1" t="s">
        <v>103</v>
      </c>
      <c r="AD9" s="8" t="s">
        <v>143</v>
      </c>
      <c r="AF9" s="8" t="s">
        <v>143</v>
      </c>
    </row>
    <row r="10" spans="1:32">
      <c r="A10" s="13"/>
      <c r="B10" s="13"/>
      <c r="C10" s="13"/>
      <c r="D10" s="13"/>
      <c r="E10" s="32"/>
      <c r="F10" s="5"/>
      <c r="G10" s="5"/>
      <c r="H10" s="5"/>
      <c r="I10" s="5"/>
      <c r="J10" s="5"/>
      <c r="K10" s="5"/>
      <c r="M10" s="5"/>
      <c r="N10" s="5"/>
      <c r="O10" s="5"/>
      <c r="P10" s="5"/>
      <c r="Q10" s="5"/>
      <c r="R10" s="5"/>
      <c r="S10" s="5"/>
      <c r="U10" s="5"/>
      <c r="V10" s="5"/>
      <c r="W10" s="5"/>
      <c r="X10" s="5"/>
      <c r="Y10" s="5"/>
      <c r="Z10" s="5"/>
      <c r="AA10" s="5"/>
    </row>
    <row r="11" spans="1:32" s="35" customFormat="1">
      <c r="A11" s="34" t="s">
        <v>968</v>
      </c>
      <c r="B11" s="34"/>
      <c r="C11" s="34" t="s">
        <v>44</v>
      </c>
      <c r="D11" s="34"/>
      <c r="E11" s="32">
        <v>45195</v>
      </c>
      <c r="F11" s="70"/>
      <c r="G11" s="35">
        <f>+K11-I11</f>
        <v>22807776</v>
      </c>
      <c r="I11" s="35">
        <f>1241537+26926292</f>
        <v>28167829</v>
      </c>
      <c r="K11" s="35">
        <v>50975605</v>
      </c>
      <c r="M11" s="35">
        <f>+S11-O11-Q11</f>
        <v>18081645</v>
      </c>
      <c r="O11" s="35">
        <v>1317567</v>
      </c>
      <c r="Q11" s="35">
        <v>24460864</v>
      </c>
      <c r="S11" s="35">
        <v>43860076</v>
      </c>
      <c r="U11" s="35">
        <v>5638707</v>
      </c>
      <c r="W11" s="35">
        <f>AA11-Y11-U11</f>
        <v>2354542</v>
      </c>
      <c r="Y11" s="35">
        <v>-877720</v>
      </c>
      <c r="AA11" s="35">
        <v>7115529</v>
      </c>
      <c r="AC11" s="35">
        <v>11265655</v>
      </c>
      <c r="AD11" s="35">
        <f t="shared" ref="AD11:AD37" si="0">+K11-S11-AA11</f>
        <v>0</v>
      </c>
      <c r="AF11" s="35">
        <f>+G11+I11-M11-O11-U11-W11-Y11-Q11</f>
        <v>0</v>
      </c>
    </row>
    <row r="12" spans="1:32">
      <c r="A12" s="13" t="s">
        <v>209</v>
      </c>
      <c r="B12" s="13"/>
      <c r="C12" s="13" t="s">
        <v>210</v>
      </c>
      <c r="D12" s="13"/>
      <c r="E12" s="13">
        <v>61903</v>
      </c>
      <c r="F12" s="11"/>
      <c r="G12" s="8">
        <f>+K12-I12</f>
        <v>90590590</v>
      </c>
      <c r="I12" s="8">
        <f>9391438+33186100</f>
        <v>42577538</v>
      </c>
      <c r="K12" s="8">
        <v>133168128</v>
      </c>
      <c r="M12" s="8">
        <f>+S12-O12-Q12</f>
        <v>14098473</v>
      </c>
      <c r="O12" s="8">
        <v>1374690</v>
      </c>
      <c r="Q12" s="8">
        <v>37388566</v>
      </c>
      <c r="S12" s="8">
        <v>52861729</v>
      </c>
      <c r="U12" s="8">
        <v>24824258</v>
      </c>
      <c r="W12" s="8">
        <f>AA12-Y12-U12</f>
        <v>50995089</v>
      </c>
      <c r="Y12" s="8">
        <v>4487052</v>
      </c>
      <c r="AA12" s="8">
        <v>80306399</v>
      </c>
      <c r="AD12" s="8">
        <f t="shared" si="0"/>
        <v>0</v>
      </c>
      <c r="AF12" s="8">
        <f>+G12+I12+-M12-O12-U12-W12-Y12-Q12</f>
        <v>0</v>
      </c>
    </row>
    <row r="13" spans="1:32">
      <c r="A13" s="13" t="s">
        <v>786</v>
      </c>
      <c r="B13" s="13"/>
      <c r="C13" s="13" t="s">
        <v>58</v>
      </c>
      <c r="D13" s="13"/>
      <c r="E13" s="32">
        <v>49494</v>
      </c>
      <c r="G13" s="8">
        <f t="shared" ref="G13:G67" si="1">+K13-I13</f>
        <v>6500799</v>
      </c>
      <c r="I13" s="8">
        <f>677044+20241206</f>
        <v>20918250</v>
      </c>
      <c r="K13" s="8">
        <v>27419049</v>
      </c>
      <c r="M13" s="8">
        <f t="shared" ref="M13:M67" si="2">+S13-O13-Q13</f>
        <v>3331746</v>
      </c>
      <c r="O13" s="8">
        <v>167497</v>
      </c>
      <c r="Q13" s="8">
        <v>2515379</v>
      </c>
      <c r="S13" s="8">
        <v>6014622</v>
      </c>
      <c r="U13" s="8">
        <v>18735921</v>
      </c>
      <c r="W13" s="8">
        <f t="shared" ref="W13:W67" si="3">AA13-Y13-U13</f>
        <v>1181272</v>
      </c>
      <c r="Y13" s="8">
        <v>1487234</v>
      </c>
      <c r="AA13" s="8">
        <v>21404427</v>
      </c>
      <c r="AD13" s="8">
        <f t="shared" si="0"/>
        <v>0</v>
      </c>
      <c r="AF13" s="35">
        <f>+G13+I13+-M13-O13-U13-W13-Y13-Q13</f>
        <v>0</v>
      </c>
    </row>
    <row r="14" spans="1:32">
      <c r="A14" s="13" t="s">
        <v>667</v>
      </c>
      <c r="B14" s="13"/>
      <c r="C14" s="13" t="s">
        <v>63</v>
      </c>
      <c r="D14" s="13"/>
      <c r="E14" s="32">
        <v>43489</v>
      </c>
      <c r="G14" s="8">
        <f t="shared" si="1"/>
        <v>452330883</v>
      </c>
      <c r="I14" s="8">
        <f>20948440+115655601</f>
        <v>136604041</v>
      </c>
      <c r="K14" s="8">
        <v>588934924</v>
      </c>
      <c r="M14" s="8">
        <f t="shared" si="2"/>
        <v>305628659</v>
      </c>
      <c r="O14" s="8">
        <v>1600661</v>
      </c>
      <c r="Q14" s="8">
        <v>24354744</v>
      </c>
      <c r="S14" s="8">
        <v>331584064</v>
      </c>
      <c r="U14" s="8">
        <v>136604041</v>
      </c>
      <c r="W14" s="8">
        <f t="shared" si="3"/>
        <v>93628024</v>
      </c>
      <c r="Y14" s="8">
        <v>27118795</v>
      </c>
      <c r="AA14" s="8">
        <v>257350860</v>
      </c>
      <c r="AD14" s="8">
        <f t="shared" si="0"/>
        <v>0</v>
      </c>
      <c r="AF14" s="35">
        <f t="shared" ref="AF14:AF67" si="4">+G14+I14+-M14-O14-U14-W14-Y14-Q14</f>
        <v>0</v>
      </c>
    </row>
    <row r="15" spans="1:32">
      <c r="A15" s="13" t="s">
        <v>653</v>
      </c>
      <c r="B15" s="13"/>
      <c r="C15" s="13" t="s">
        <v>62</v>
      </c>
      <c r="D15" s="13"/>
      <c r="E15" s="32">
        <v>43497</v>
      </c>
      <c r="G15" s="8">
        <f t="shared" si="1"/>
        <v>18174456</v>
      </c>
      <c r="I15" s="8">
        <f>2389603+47246161</f>
        <v>49635764</v>
      </c>
      <c r="K15" s="8">
        <v>67810220</v>
      </c>
      <c r="M15" s="8">
        <f t="shared" si="2"/>
        <v>12536819</v>
      </c>
      <c r="O15" s="8">
        <v>599382</v>
      </c>
      <c r="Q15" s="8">
        <v>12737796</v>
      </c>
      <c r="S15" s="8">
        <v>25873997</v>
      </c>
      <c r="U15" s="8">
        <v>41367711</v>
      </c>
      <c r="W15" s="8">
        <f t="shared" si="3"/>
        <v>3696032</v>
      </c>
      <c r="Y15" s="8">
        <v>-3127520</v>
      </c>
      <c r="AA15" s="8">
        <v>41936223</v>
      </c>
      <c r="AD15" s="8">
        <f t="shared" si="0"/>
        <v>0</v>
      </c>
      <c r="AF15" s="35">
        <f t="shared" si="4"/>
        <v>0</v>
      </c>
    </row>
    <row r="16" spans="1:32">
      <c r="A16" s="13" t="s">
        <v>347</v>
      </c>
      <c r="B16" s="13"/>
      <c r="C16" s="13" t="s">
        <v>25</v>
      </c>
      <c r="D16" s="13"/>
      <c r="E16" s="32">
        <v>46847</v>
      </c>
      <c r="G16" s="8">
        <f t="shared" si="1"/>
        <v>6932211</v>
      </c>
      <c r="I16" s="8">
        <f>305573+32309409</f>
        <v>32614982</v>
      </c>
      <c r="K16" s="8">
        <v>39547193</v>
      </c>
      <c r="M16" s="8">
        <f t="shared" si="2"/>
        <v>4306299</v>
      </c>
      <c r="O16" s="8">
        <v>284349</v>
      </c>
      <c r="Q16" s="8">
        <v>4303667</v>
      </c>
      <c r="S16" s="8">
        <v>8894315</v>
      </c>
      <c r="U16" s="8">
        <v>29137440</v>
      </c>
      <c r="W16" s="8">
        <f t="shared" si="3"/>
        <v>1466889</v>
      </c>
      <c r="Y16" s="8">
        <v>48549</v>
      </c>
      <c r="AA16" s="8">
        <v>30652878</v>
      </c>
      <c r="AD16" s="8">
        <f t="shared" si="0"/>
        <v>0</v>
      </c>
      <c r="AF16" s="35">
        <f t="shared" si="4"/>
        <v>0</v>
      </c>
    </row>
    <row r="17" spans="1:34">
      <c r="A17" s="13" t="s">
        <v>646</v>
      </c>
      <c r="B17" s="13"/>
      <c r="C17" s="13" t="s">
        <v>61</v>
      </c>
      <c r="D17" s="13"/>
      <c r="E17" s="32">
        <v>49759</v>
      </c>
      <c r="G17" s="8">
        <f t="shared" si="1"/>
        <v>10325739</v>
      </c>
      <c r="I17" s="8">
        <f>10510104+777249</f>
        <v>11287353</v>
      </c>
      <c r="K17" s="8">
        <v>21613092</v>
      </c>
      <c r="M17" s="8">
        <f t="shared" si="2"/>
        <v>4425850</v>
      </c>
      <c r="O17" s="8">
        <v>432765</v>
      </c>
      <c r="Q17" s="8">
        <v>4605742</v>
      </c>
      <c r="S17" s="8">
        <v>9464357</v>
      </c>
      <c r="U17" s="8">
        <v>6766268</v>
      </c>
      <c r="W17" s="8">
        <f t="shared" si="3"/>
        <v>2457641</v>
      </c>
      <c r="Y17" s="8">
        <v>2924826</v>
      </c>
      <c r="AA17" s="8">
        <v>12148735</v>
      </c>
      <c r="AD17" s="8">
        <f t="shared" si="0"/>
        <v>0</v>
      </c>
      <c r="AF17" s="35">
        <f t="shared" si="4"/>
        <v>0</v>
      </c>
    </row>
    <row r="18" spans="1:34">
      <c r="A18" s="13" t="s">
        <v>502</v>
      </c>
      <c r="B18" s="13"/>
      <c r="C18" s="13" t="s">
        <v>118</v>
      </c>
      <c r="D18" s="13"/>
      <c r="E18" s="32">
        <v>48207</v>
      </c>
      <c r="G18" s="8">
        <f t="shared" si="1"/>
        <v>31440791</v>
      </c>
      <c r="I18" s="8">
        <f>1848060+23372578</f>
        <v>25220638</v>
      </c>
      <c r="K18" s="8">
        <v>56661429</v>
      </c>
      <c r="M18" s="8">
        <f t="shared" si="2"/>
        <v>27342212</v>
      </c>
      <c r="O18" s="8">
        <v>3544134</v>
      </c>
      <c r="Q18" s="8">
        <v>24855458</v>
      </c>
      <c r="S18" s="8">
        <v>55741804</v>
      </c>
      <c r="U18" s="8">
        <v>1510233</v>
      </c>
      <c r="W18" s="8">
        <f t="shared" si="3"/>
        <v>3438936</v>
      </c>
      <c r="Y18" s="8">
        <v>-4029544</v>
      </c>
      <c r="AA18" s="8">
        <v>919625</v>
      </c>
      <c r="AD18" s="8">
        <f t="shared" si="0"/>
        <v>0</v>
      </c>
      <c r="AF18" s="35">
        <f t="shared" si="4"/>
        <v>0</v>
      </c>
    </row>
    <row r="19" spans="1:34">
      <c r="A19" s="13" t="s">
        <v>418</v>
      </c>
      <c r="B19" s="13"/>
      <c r="C19" s="13" t="s">
        <v>33</v>
      </c>
      <c r="D19" s="13"/>
      <c r="E19" s="32">
        <v>47415</v>
      </c>
      <c r="G19" s="8">
        <f t="shared" si="1"/>
        <v>5447685</v>
      </c>
      <c r="I19" s="8">
        <f>27410+1498328</f>
        <v>1525738</v>
      </c>
      <c r="K19" s="8">
        <v>6973423</v>
      </c>
      <c r="M19" s="8">
        <f t="shared" si="2"/>
        <v>2649774</v>
      </c>
      <c r="O19" s="8">
        <v>48417</v>
      </c>
      <c r="Q19" s="8">
        <v>342799</v>
      </c>
      <c r="S19" s="8">
        <v>3040990</v>
      </c>
      <c r="U19" s="8">
        <v>1525738</v>
      </c>
      <c r="W19" s="8">
        <f t="shared" si="3"/>
        <v>346483</v>
      </c>
      <c r="Y19" s="8">
        <v>2060212</v>
      </c>
      <c r="AA19" s="8">
        <v>3932433</v>
      </c>
      <c r="AD19" s="8">
        <f t="shared" si="0"/>
        <v>0</v>
      </c>
      <c r="AF19" s="35">
        <f t="shared" si="4"/>
        <v>0</v>
      </c>
    </row>
    <row r="20" spans="1:34">
      <c r="A20" s="13" t="s">
        <v>372</v>
      </c>
      <c r="B20" s="13"/>
      <c r="C20" s="13" t="s">
        <v>28</v>
      </c>
      <c r="D20" s="13"/>
      <c r="E20" s="32">
        <v>47043</v>
      </c>
      <c r="G20" s="8">
        <f t="shared" si="1"/>
        <v>16000438</v>
      </c>
      <c r="I20" s="8">
        <f>743418+17510405</f>
        <v>18253823</v>
      </c>
      <c r="K20" s="8">
        <v>34254261</v>
      </c>
      <c r="M20" s="8">
        <f t="shared" si="2"/>
        <v>8294884</v>
      </c>
      <c r="O20" s="8">
        <v>1188372</v>
      </c>
      <c r="Q20" s="8">
        <v>13142813</v>
      </c>
      <c r="S20" s="8">
        <v>22626069</v>
      </c>
      <c r="U20" s="8">
        <v>6543826</v>
      </c>
      <c r="W20" s="8">
        <f t="shared" si="3"/>
        <v>3888759</v>
      </c>
      <c r="Y20" s="8">
        <v>1195607</v>
      </c>
      <c r="AA20" s="8">
        <v>11628192</v>
      </c>
      <c r="AD20" s="8">
        <f t="shared" si="0"/>
        <v>0</v>
      </c>
      <c r="AF20" s="35">
        <f t="shared" si="4"/>
        <v>0</v>
      </c>
    </row>
    <row r="21" spans="1:34">
      <c r="A21" s="13" t="s">
        <v>419</v>
      </c>
      <c r="B21" s="13"/>
      <c r="C21" s="13" t="s">
        <v>33</v>
      </c>
      <c r="D21" s="13"/>
      <c r="E21" s="32">
        <v>47423</v>
      </c>
      <c r="G21" s="8">
        <f t="shared" si="1"/>
        <v>5432697</v>
      </c>
      <c r="I21" s="8">
        <f>309090+3831631</f>
        <v>4140721</v>
      </c>
      <c r="K21" s="8">
        <v>9573418</v>
      </c>
      <c r="M21" s="8">
        <f t="shared" si="2"/>
        <v>1893953</v>
      </c>
      <c r="O21" s="8">
        <v>62538</v>
      </c>
      <c r="Q21" s="8">
        <v>1076272</v>
      </c>
      <c r="S21" s="8">
        <v>3032763</v>
      </c>
      <c r="U21" s="8">
        <v>3658758</v>
      </c>
      <c r="W21" s="8">
        <f t="shared" si="3"/>
        <v>451249</v>
      </c>
      <c r="Y21" s="8">
        <v>2430648</v>
      </c>
      <c r="AA21" s="8">
        <v>6540655</v>
      </c>
      <c r="AD21" s="8">
        <f t="shared" si="0"/>
        <v>0</v>
      </c>
      <c r="AF21" s="35">
        <f t="shared" si="4"/>
        <v>0</v>
      </c>
    </row>
    <row r="22" spans="1:34" ht="11.25" customHeight="1">
      <c r="A22" s="13" t="s">
        <v>215</v>
      </c>
      <c r="B22" s="13"/>
      <c r="C22" s="13" t="s">
        <v>11</v>
      </c>
      <c r="D22" s="13"/>
      <c r="E22" s="32">
        <v>43505</v>
      </c>
      <c r="F22" s="11"/>
      <c r="G22" s="8">
        <f t="shared" si="1"/>
        <v>28713508</v>
      </c>
      <c r="I22" s="8">
        <f>757979+7258286</f>
        <v>8016265</v>
      </c>
      <c r="K22" s="8">
        <v>36729773</v>
      </c>
      <c r="M22" s="8">
        <f t="shared" si="2"/>
        <v>16437329</v>
      </c>
      <c r="O22" s="8">
        <v>1144213</v>
      </c>
      <c r="Q22" s="8">
        <v>2378157</v>
      </c>
      <c r="S22" s="8">
        <v>19959699</v>
      </c>
      <c r="U22" s="8">
        <v>6931265</v>
      </c>
      <c r="W22" s="8">
        <f>109752+520268+312998+726665</f>
        <v>1669683</v>
      </c>
      <c r="Y22" s="8">
        <v>8169126</v>
      </c>
      <c r="AA22" s="8">
        <v>16770074</v>
      </c>
      <c r="AD22" s="8">
        <f t="shared" si="0"/>
        <v>0</v>
      </c>
      <c r="AF22" s="35">
        <f t="shared" si="4"/>
        <v>0</v>
      </c>
    </row>
    <row r="23" spans="1:34">
      <c r="A23" s="13" t="s">
        <v>226</v>
      </c>
      <c r="B23" s="13"/>
      <c r="C23" s="13" t="s">
        <v>13</v>
      </c>
      <c r="D23" s="13"/>
      <c r="E23" s="32">
        <v>43521</v>
      </c>
      <c r="F23" s="11"/>
      <c r="G23" s="8">
        <f t="shared" si="1"/>
        <v>38936069</v>
      </c>
      <c r="I23" s="8">
        <f>1519380+19788583</f>
        <v>21307963</v>
      </c>
      <c r="K23" s="8">
        <v>60244032</v>
      </c>
      <c r="M23" s="8">
        <f t="shared" si="2"/>
        <v>23759930</v>
      </c>
      <c r="O23" s="8">
        <v>942431</v>
      </c>
      <c r="Q23" s="8">
        <v>15261443</v>
      </c>
      <c r="S23" s="8">
        <v>39963804</v>
      </c>
      <c r="U23" s="8">
        <v>6958111</v>
      </c>
      <c r="W23" s="8">
        <f t="shared" si="3"/>
        <v>6328804</v>
      </c>
      <c r="Y23" s="8">
        <v>6993313</v>
      </c>
      <c r="AA23" s="8">
        <v>20280228</v>
      </c>
      <c r="AD23" s="8">
        <f t="shared" si="0"/>
        <v>0</v>
      </c>
      <c r="AF23" s="35">
        <f t="shared" si="4"/>
        <v>0</v>
      </c>
    </row>
    <row r="24" spans="1:34">
      <c r="A24" s="13" t="s">
        <v>595</v>
      </c>
      <c r="B24" s="13"/>
      <c r="C24" s="13" t="s">
        <v>56</v>
      </c>
      <c r="D24" s="13"/>
      <c r="E24" s="32">
        <v>49171</v>
      </c>
      <c r="G24" s="8">
        <f t="shared" si="1"/>
        <v>27607928</v>
      </c>
      <c r="I24" s="8">
        <f>2025550+17792926</f>
        <v>19818476</v>
      </c>
      <c r="K24" s="8">
        <v>47426404</v>
      </c>
      <c r="M24" s="8">
        <f t="shared" si="2"/>
        <v>24541902</v>
      </c>
      <c r="O24" s="8">
        <v>925105</v>
      </c>
      <c r="Q24" s="8">
        <v>18974915</v>
      </c>
      <c r="S24" s="8">
        <v>44441922</v>
      </c>
      <c r="U24" s="8">
        <v>2293726</v>
      </c>
      <c r="W24" s="8">
        <f t="shared" si="3"/>
        <v>770545</v>
      </c>
      <c r="Y24" s="8">
        <v>-79789</v>
      </c>
      <c r="AA24" s="8">
        <v>2984482</v>
      </c>
      <c r="AD24" s="8">
        <f t="shared" si="0"/>
        <v>0</v>
      </c>
      <c r="AF24" s="35">
        <f t="shared" si="4"/>
        <v>0</v>
      </c>
    </row>
    <row r="25" spans="1:34">
      <c r="A25" s="13" t="s">
        <v>514</v>
      </c>
      <c r="B25" s="13"/>
      <c r="C25" s="13" t="s">
        <v>45</v>
      </c>
      <c r="D25" s="13"/>
      <c r="E25" s="32">
        <v>48298</v>
      </c>
      <c r="G25" s="8">
        <f t="shared" si="1"/>
        <v>58122733</v>
      </c>
      <c r="I25" s="8">
        <v>8699467</v>
      </c>
      <c r="K25" s="8">
        <v>66822200</v>
      </c>
      <c r="M25" s="8">
        <f t="shared" si="2"/>
        <v>25136504</v>
      </c>
      <c r="O25" s="8">
        <v>1002755</v>
      </c>
      <c r="Q25" s="8">
        <v>27641760</v>
      </c>
      <c r="S25" s="8">
        <v>53781019</v>
      </c>
      <c r="U25" s="8">
        <v>11282275</v>
      </c>
      <c r="W25" s="8">
        <f t="shared" si="3"/>
        <v>3813377</v>
      </c>
      <c r="Y25" s="8">
        <v>-2054471</v>
      </c>
      <c r="AA25" s="8">
        <v>13041181</v>
      </c>
      <c r="AD25" s="8">
        <f t="shared" si="0"/>
        <v>0</v>
      </c>
      <c r="AF25" s="35">
        <f t="shared" si="4"/>
        <v>0</v>
      </c>
    </row>
    <row r="26" spans="1:34">
      <c r="A26" s="13" t="s">
        <v>489</v>
      </c>
      <c r="B26" s="13"/>
      <c r="C26" s="13" t="s">
        <v>44</v>
      </c>
      <c r="D26" s="13"/>
      <c r="E26" s="32">
        <v>48124</v>
      </c>
      <c r="G26" s="8">
        <f t="shared" si="1"/>
        <v>57295480</v>
      </c>
      <c r="I26" s="8">
        <f>5656440+43727709</f>
        <v>49384149</v>
      </c>
      <c r="K26" s="8">
        <v>106679629</v>
      </c>
      <c r="M26" s="8">
        <f t="shared" si="2"/>
        <v>36830790</v>
      </c>
      <c r="O26" s="8">
        <v>2449569</v>
      </c>
      <c r="Q26" s="8">
        <v>41268854</v>
      </c>
      <c r="S26" s="8">
        <v>80549213</v>
      </c>
      <c r="U26" s="8">
        <v>9766753</v>
      </c>
      <c r="W26" s="8">
        <f t="shared" si="3"/>
        <v>5505639</v>
      </c>
      <c r="Y26" s="8">
        <v>10858024</v>
      </c>
      <c r="AA26" s="8">
        <v>26130416</v>
      </c>
      <c r="AD26" s="8">
        <f t="shared" si="0"/>
        <v>0</v>
      </c>
      <c r="AF26" s="35">
        <f t="shared" si="4"/>
        <v>0</v>
      </c>
    </row>
    <row r="27" spans="1:34">
      <c r="A27" s="13" t="s">
        <v>490</v>
      </c>
      <c r="B27" s="13"/>
      <c r="C27" s="13" t="s">
        <v>44</v>
      </c>
      <c r="D27" s="13"/>
      <c r="E27" s="32">
        <v>48116</v>
      </c>
      <c r="G27" s="8">
        <f t="shared" si="1"/>
        <v>41065496</v>
      </c>
      <c r="I27" s="8">
        <f>13571732+38862950</f>
        <v>52434682</v>
      </c>
      <c r="K27" s="8">
        <v>93500178</v>
      </c>
      <c r="M27" s="8">
        <f t="shared" si="2"/>
        <v>31612239</v>
      </c>
      <c r="O27" s="8">
        <v>2306908</v>
      </c>
      <c r="Q27" s="8">
        <v>42026255</v>
      </c>
      <c r="S27" s="8">
        <v>75945402</v>
      </c>
      <c r="U27" s="8">
        <v>9349491</v>
      </c>
      <c r="W27" s="8">
        <f t="shared" si="3"/>
        <v>4465298</v>
      </c>
      <c r="Y27" s="8">
        <v>3739987</v>
      </c>
      <c r="AA27" s="8">
        <v>17554776</v>
      </c>
      <c r="AD27" s="8">
        <f t="shared" si="0"/>
        <v>0</v>
      </c>
      <c r="AF27" s="35">
        <f t="shared" si="4"/>
        <v>0</v>
      </c>
      <c r="AH27" s="8" t="s">
        <v>805</v>
      </c>
    </row>
    <row r="28" spans="1:34">
      <c r="A28" s="13" t="s">
        <v>334</v>
      </c>
      <c r="B28" s="13"/>
      <c r="C28" s="13" t="s">
        <v>22</v>
      </c>
      <c r="D28" s="13"/>
      <c r="E28" s="32">
        <v>46706</v>
      </c>
      <c r="G28" s="8">
        <f t="shared" si="1"/>
        <v>5999930</v>
      </c>
      <c r="I28" s="8">
        <f>2570476+148406</f>
        <v>2718882</v>
      </c>
      <c r="K28" s="8">
        <v>8718812</v>
      </c>
      <c r="M28" s="8">
        <f t="shared" si="2"/>
        <v>3198577</v>
      </c>
      <c r="O28" s="8">
        <v>122885</v>
      </c>
      <c r="Q28" s="8">
        <v>701928</v>
      </c>
      <c r="S28" s="8">
        <v>4023390</v>
      </c>
      <c r="U28" s="8">
        <v>2700883</v>
      </c>
      <c r="W28" s="8">
        <f t="shared" si="3"/>
        <v>436379</v>
      </c>
      <c r="Y28" s="8">
        <v>1558160</v>
      </c>
      <c r="AA28" s="8">
        <v>4695422</v>
      </c>
      <c r="AD28" s="8">
        <f t="shared" si="0"/>
        <v>0</v>
      </c>
      <c r="AF28" s="35">
        <f t="shared" si="4"/>
        <v>0</v>
      </c>
    </row>
    <row r="29" spans="1:34">
      <c r="A29" s="13" t="s">
        <v>668</v>
      </c>
      <c r="B29" s="13"/>
      <c r="C29" s="13" t="s">
        <v>63</v>
      </c>
      <c r="D29" s="13"/>
      <c r="E29" s="32">
        <v>43539</v>
      </c>
      <c r="G29" s="8">
        <f t="shared" si="1"/>
        <v>62812087</v>
      </c>
      <c r="I29" s="8">
        <f>5239550+39716855</f>
        <v>44956405</v>
      </c>
      <c r="K29" s="8">
        <v>107768492</v>
      </c>
      <c r="M29" s="8">
        <f t="shared" si="2"/>
        <v>17318198</v>
      </c>
      <c r="O29" s="8">
        <v>33436517</v>
      </c>
      <c r="Q29" s="8">
        <v>26155231</v>
      </c>
      <c r="S29" s="8">
        <v>76909946</v>
      </c>
      <c r="U29" s="8">
        <v>22193415</v>
      </c>
      <c r="W29" s="8">
        <f t="shared" si="3"/>
        <v>2755366</v>
      </c>
      <c r="Y29" s="8">
        <v>5909765</v>
      </c>
      <c r="AA29" s="8">
        <v>30858546</v>
      </c>
      <c r="AD29" s="8">
        <f t="shared" si="0"/>
        <v>0</v>
      </c>
      <c r="AF29" s="35">
        <f t="shared" si="4"/>
        <v>0</v>
      </c>
    </row>
    <row r="30" spans="1:34">
      <c r="A30" s="13" t="s">
        <v>831</v>
      </c>
      <c r="B30" s="13"/>
      <c r="C30" s="13" t="s">
        <v>15</v>
      </c>
      <c r="D30" s="13"/>
      <c r="E30" s="32"/>
      <c r="G30" s="8">
        <f t="shared" si="1"/>
        <v>6144219</v>
      </c>
      <c r="I30" s="8">
        <f>248950+16835154</f>
        <v>17084104</v>
      </c>
      <c r="K30" s="8">
        <v>23228323</v>
      </c>
      <c r="M30" s="8">
        <f t="shared" si="2"/>
        <v>3349840</v>
      </c>
      <c r="O30" s="8">
        <v>181278</v>
      </c>
      <c r="Q30" s="8">
        <v>3350635</v>
      </c>
      <c r="S30" s="8">
        <v>6881753</v>
      </c>
      <c r="U30" s="8">
        <v>14362130</v>
      </c>
      <c r="W30" s="8">
        <f t="shared" si="3"/>
        <v>841630</v>
      </c>
      <c r="Y30" s="8">
        <v>1142810</v>
      </c>
      <c r="AA30" s="8">
        <v>16346570</v>
      </c>
      <c r="AD30" s="8">
        <f t="shared" si="0"/>
        <v>0</v>
      </c>
      <c r="AF30" s="35">
        <f t="shared" si="4"/>
        <v>0</v>
      </c>
    </row>
    <row r="31" spans="1:34">
      <c r="A31" s="13" t="s">
        <v>915</v>
      </c>
      <c r="B31" s="13"/>
      <c r="C31" s="13" t="s">
        <v>20</v>
      </c>
      <c r="D31" s="13"/>
      <c r="E31" s="32">
        <v>43547</v>
      </c>
      <c r="G31" s="8">
        <f t="shared" si="1"/>
        <v>31356731</v>
      </c>
      <c r="I31" s="8">
        <f>617400+29274448</f>
        <v>29891848</v>
      </c>
      <c r="K31" s="8">
        <v>61248579</v>
      </c>
      <c r="M31" s="8">
        <f t="shared" si="2"/>
        <v>22310373</v>
      </c>
      <c r="O31" s="8">
        <v>1138914</v>
      </c>
      <c r="Q31" s="8">
        <v>20866382</v>
      </c>
      <c r="S31" s="8">
        <v>44315669</v>
      </c>
      <c r="U31" s="8">
        <v>10555247</v>
      </c>
      <c r="W31" s="8">
        <f t="shared" si="3"/>
        <v>-21070551</v>
      </c>
      <c r="Y31" s="8">
        <v>27448214</v>
      </c>
      <c r="AA31" s="8">
        <v>16932910</v>
      </c>
      <c r="AD31" s="8">
        <f t="shared" si="0"/>
        <v>0</v>
      </c>
      <c r="AF31" s="35">
        <f t="shared" si="4"/>
        <v>0</v>
      </c>
    </row>
    <row r="32" spans="1:34">
      <c r="A32" s="13" t="s">
        <v>301</v>
      </c>
      <c r="B32" s="13"/>
      <c r="C32" s="13" t="s">
        <v>20</v>
      </c>
      <c r="D32" s="13"/>
      <c r="E32" s="32">
        <v>43554</v>
      </c>
      <c r="G32" s="8">
        <f t="shared" si="1"/>
        <v>45501659</v>
      </c>
      <c r="I32" s="8">
        <f>831499+28912044</f>
        <v>29743543</v>
      </c>
      <c r="K32" s="8">
        <v>75245202</v>
      </c>
      <c r="M32" s="8">
        <f t="shared" si="2"/>
        <v>27919056</v>
      </c>
      <c r="O32" s="8">
        <v>1976253</v>
      </c>
      <c r="Q32" s="8">
        <v>16913709</v>
      </c>
      <c r="S32" s="8">
        <v>46809018</v>
      </c>
      <c r="U32" s="8">
        <v>13802891</v>
      </c>
      <c r="W32" s="8">
        <f t="shared" si="3"/>
        <v>2383586</v>
      </c>
      <c r="Y32" s="8">
        <v>12249707</v>
      </c>
      <c r="AA32" s="8">
        <v>28436184</v>
      </c>
      <c r="AD32" s="8">
        <f t="shared" si="0"/>
        <v>0</v>
      </c>
      <c r="AF32" s="35">
        <f t="shared" si="4"/>
        <v>0</v>
      </c>
    </row>
    <row r="33" spans="1:32">
      <c r="A33" s="13" t="s">
        <v>282</v>
      </c>
      <c r="B33" s="13"/>
      <c r="C33" s="13" t="s">
        <v>115</v>
      </c>
      <c r="D33" s="13"/>
      <c r="E33" s="32">
        <v>46425</v>
      </c>
      <c r="G33" s="8">
        <f>+K33-I33</f>
        <v>7414802</v>
      </c>
      <c r="I33" s="8">
        <f>601710+2462582</f>
        <v>3064292</v>
      </c>
      <c r="K33" s="8">
        <v>10479094</v>
      </c>
      <c r="M33" s="8">
        <f>+S33-O33-Q33</f>
        <v>7978705</v>
      </c>
      <c r="O33" s="8">
        <v>160561</v>
      </c>
      <c r="Q33" s="8">
        <v>1612804</v>
      </c>
      <c r="S33" s="8">
        <v>9752070</v>
      </c>
      <c r="U33" s="8">
        <v>2892633</v>
      </c>
      <c r="W33" s="8">
        <f>AA33-Y33-U33</f>
        <v>471409</v>
      </c>
      <c r="Y33" s="8">
        <v>-2637018</v>
      </c>
      <c r="AA33" s="8">
        <v>727024</v>
      </c>
      <c r="AD33" s="8">
        <f t="shared" si="0"/>
        <v>0</v>
      </c>
      <c r="AF33" s="35">
        <f t="shared" si="4"/>
        <v>0</v>
      </c>
    </row>
    <row r="34" spans="1:32">
      <c r="A34" s="13" t="s">
        <v>388</v>
      </c>
      <c r="B34" s="13"/>
      <c r="C34" s="13" t="s">
        <v>117</v>
      </c>
      <c r="D34" s="13"/>
      <c r="E34" s="32">
        <v>47241</v>
      </c>
      <c r="G34" s="8">
        <f t="shared" si="1"/>
        <v>89278685</v>
      </c>
      <c r="I34" s="8">
        <f>5787341+25223707</f>
        <v>31011048</v>
      </c>
      <c r="K34" s="8">
        <v>120289733</v>
      </c>
      <c r="M34" s="8">
        <f t="shared" si="2"/>
        <v>53801157</v>
      </c>
      <c r="O34" s="8">
        <v>2645966</v>
      </c>
      <c r="Q34" s="8">
        <v>35934616</v>
      </c>
      <c r="S34" s="8">
        <v>92381739</v>
      </c>
      <c r="U34" s="8">
        <v>334878</v>
      </c>
      <c r="W34" s="8">
        <f t="shared" si="3"/>
        <v>3816290</v>
      </c>
      <c r="Y34" s="8">
        <v>23756826</v>
      </c>
      <c r="AA34" s="8">
        <v>27907994</v>
      </c>
      <c r="AD34" s="8">
        <f t="shared" si="0"/>
        <v>0</v>
      </c>
      <c r="AF34" s="35">
        <f t="shared" si="4"/>
        <v>0</v>
      </c>
    </row>
    <row r="35" spans="1:32">
      <c r="A35" s="13" t="s">
        <v>302</v>
      </c>
      <c r="B35" s="13"/>
      <c r="C35" s="13" t="s">
        <v>20</v>
      </c>
      <c r="D35" s="13"/>
      <c r="E35" s="32">
        <v>43562</v>
      </c>
      <c r="G35" s="8">
        <f t="shared" si="1"/>
        <v>53110797</v>
      </c>
      <c r="I35" s="8">
        <f>3695045+18726383</f>
        <v>22421428</v>
      </c>
      <c r="K35" s="8">
        <v>75532225</v>
      </c>
      <c r="M35" s="8">
        <f t="shared" si="2"/>
        <v>30432866</v>
      </c>
      <c r="O35" s="8">
        <v>2526985</v>
      </c>
      <c r="Q35" s="8">
        <v>9877173</v>
      </c>
      <c r="S35" s="8">
        <v>42837024</v>
      </c>
      <c r="U35" s="8">
        <v>13635346</v>
      </c>
      <c r="W35" s="8">
        <f t="shared" si="3"/>
        <v>3304875</v>
      </c>
      <c r="Y35" s="8">
        <v>15754980</v>
      </c>
      <c r="AA35" s="8">
        <v>32695201</v>
      </c>
      <c r="AD35" s="8">
        <f t="shared" si="0"/>
        <v>0</v>
      </c>
      <c r="AF35" s="35">
        <f t="shared" si="4"/>
        <v>0</v>
      </c>
    </row>
    <row r="36" spans="1:32">
      <c r="A36" s="13" t="s">
        <v>234</v>
      </c>
      <c r="B36" s="13"/>
      <c r="C36" s="13" t="s">
        <v>15</v>
      </c>
      <c r="D36" s="13"/>
      <c r="E36" s="32">
        <v>43570</v>
      </c>
      <c r="F36" s="11"/>
      <c r="G36" s="8">
        <f t="shared" si="1"/>
        <v>6122754</v>
      </c>
      <c r="I36" s="8">
        <f>718812+22123403</f>
        <v>22842215</v>
      </c>
      <c r="K36" s="8">
        <v>28964969</v>
      </c>
      <c r="M36" s="8">
        <f t="shared" si="2"/>
        <v>4811896</v>
      </c>
      <c r="O36" s="8">
        <v>309049</v>
      </c>
      <c r="Q36" s="8">
        <v>4598275</v>
      </c>
      <c r="S36" s="8">
        <v>9719220</v>
      </c>
      <c r="U36" s="8">
        <v>19664669</v>
      </c>
      <c r="W36" s="8">
        <f t="shared" si="3"/>
        <v>2531883</v>
      </c>
      <c r="Y36" s="8">
        <v>-2950803</v>
      </c>
      <c r="AA36" s="8">
        <v>19245749</v>
      </c>
      <c r="AD36" s="8">
        <f t="shared" si="0"/>
        <v>0</v>
      </c>
      <c r="AF36" s="35">
        <f t="shared" si="4"/>
        <v>0</v>
      </c>
    </row>
    <row r="37" spans="1:32">
      <c r="A37" s="13" t="s">
        <v>448</v>
      </c>
      <c r="B37" s="13"/>
      <c r="C37" s="13" t="s">
        <v>37</v>
      </c>
      <c r="D37" s="13"/>
      <c r="E37" s="32">
        <v>43596</v>
      </c>
      <c r="G37" s="8">
        <f t="shared" si="1"/>
        <v>11130291</v>
      </c>
      <c r="I37" s="8">
        <f>862079+4424188</f>
        <v>5286267</v>
      </c>
      <c r="K37" s="8">
        <v>16416558</v>
      </c>
      <c r="M37" s="8">
        <f t="shared" si="2"/>
        <v>7616075</v>
      </c>
      <c r="O37" s="8">
        <v>482227</v>
      </c>
      <c r="Q37" s="8">
        <v>1749915</v>
      </c>
      <c r="S37" s="8">
        <v>9848217</v>
      </c>
      <c r="U37" s="8">
        <v>4842777</v>
      </c>
      <c r="W37" s="8">
        <f t="shared" si="3"/>
        <v>326978</v>
      </c>
      <c r="Y37" s="8">
        <v>1398586</v>
      </c>
      <c r="AA37" s="8">
        <v>6568341</v>
      </c>
      <c r="AD37" s="8">
        <f t="shared" si="0"/>
        <v>0</v>
      </c>
      <c r="AF37" s="35">
        <f t="shared" si="4"/>
        <v>0</v>
      </c>
    </row>
    <row r="38" spans="1:32">
      <c r="A38" s="13" t="s">
        <v>721</v>
      </c>
      <c r="B38" s="13"/>
      <c r="C38" s="13" t="s">
        <v>70</v>
      </c>
      <c r="D38" s="13"/>
      <c r="E38" s="32">
        <v>43604</v>
      </c>
      <c r="G38" s="8">
        <f t="shared" si="1"/>
        <v>6495633</v>
      </c>
      <c r="I38" s="8">
        <f>1232814+4496199</f>
        <v>5729013</v>
      </c>
      <c r="K38" s="8">
        <v>12224646</v>
      </c>
      <c r="M38" s="8">
        <f t="shared" si="2"/>
        <v>5602250</v>
      </c>
      <c r="O38" s="8">
        <v>35000</v>
      </c>
      <c r="Q38" s="8">
        <v>599770</v>
      </c>
      <c r="S38" s="8">
        <v>6237020</v>
      </c>
      <c r="U38" s="8">
        <v>5627928</v>
      </c>
      <c r="W38" s="8">
        <f t="shared" si="3"/>
        <v>442568</v>
      </c>
      <c r="Y38" s="8">
        <v>-82870</v>
      </c>
      <c r="AA38" s="8">
        <v>5987626</v>
      </c>
      <c r="AD38" s="8">
        <f t="shared" ref="AD38:AD65" si="5">+K38-S38-AA38</f>
        <v>0</v>
      </c>
      <c r="AF38" s="35">
        <f t="shared" si="4"/>
        <v>0</v>
      </c>
    </row>
    <row r="39" spans="1:32">
      <c r="A39" s="13" t="s">
        <v>579</v>
      </c>
      <c r="B39" s="13"/>
      <c r="C39" s="13" t="s">
        <v>53</v>
      </c>
      <c r="D39" s="13"/>
      <c r="E39" s="32">
        <v>48926</v>
      </c>
      <c r="G39" s="8">
        <f t="shared" si="1"/>
        <v>18678573</v>
      </c>
      <c r="I39" s="8">
        <f>372525+10959889</f>
        <v>11332414</v>
      </c>
      <c r="K39" s="8">
        <v>30010987</v>
      </c>
      <c r="M39" s="8">
        <f t="shared" si="2"/>
        <v>10430856</v>
      </c>
      <c r="O39" s="8">
        <v>246531</v>
      </c>
      <c r="Q39" s="8">
        <v>1343939</v>
      </c>
      <c r="S39" s="8">
        <v>12021326</v>
      </c>
      <c r="U39" s="8">
        <v>11241051</v>
      </c>
      <c r="W39" s="8">
        <f t="shared" si="3"/>
        <v>3397739</v>
      </c>
      <c r="Y39" s="8">
        <v>3350871</v>
      </c>
      <c r="AA39" s="8">
        <v>17989661</v>
      </c>
      <c r="AD39" s="8">
        <f t="shared" si="5"/>
        <v>0</v>
      </c>
      <c r="AF39" s="35">
        <f t="shared" si="4"/>
        <v>0</v>
      </c>
    </row>
    <row r="40" spans="1:32">
      <c r="A40" s="13" t="s">
        <v>303</v>
      </c>
      <c r="B40" s="13"/>
      <c r="C40" s="13" t="s">
        <v>20</v>
      </c>
      <c r="D40" s="13"/>
      <c r="E40" s="32">
        <v>43612</v>
      </c>
      <c r="G40" s="8">
        <f t="shared" si="1"/>
        <v>107800118</v>
      </c>
      <c r="I40" s="8">
        <f>918217+27509727</f>
        <v>28427944</v>
      </c>
      <c r="K40" s="8">
        <v>136228062</v>
      </c>
      <c r="M40" s="8">
        <f t="shared" si="2"/>
        <v>67729369</v>
      </c>
      <c r="O40" s="8">
        <v>1795215</v>
      </c>
      <c r="Q40" s="8">
        <v>18198852</v>
      </c>
      <c r="S40" s="8">
        <v>87723436</v>
      </c>
      <c r="U40" s="8">
        <v>12890551</v>
      </c>
      <c r="W40" s="8">
        <f t="shared" si="3"/>
        <v>4808616</v>
      </c>
      <c r="Y40" s="8">
        <v>30805459</v>
      </c>
      <c r="AA40" s="8">
        <v>48504626</v>
      </c>
      <c r="AD40" s="8">
        <f t="shared" si="5"/>
        <v>0</v>
      </c>
      <c r="AF40" s="35">
        <f t="shared" si="4"/>
        <v>0</v>
      </c>
    </row>
    <row r="41" spans="1:32">
      <c r="A41" s="13" t="s">
        <v>929</v>
      </c>
      <c r="B41" s="13"/>
      <c r="C41" s="13" t="s">
        <v>30</v>
      </c>
      <c r="D41" s="13"/>
      <c r="E41" s="32">
        <v>47167</v>
      </c>
      <c r="G41" s="8">
        <f t="shared" si="1"/>
        <v>9157104</v>
      </c>
      <c r="I41" s="8">
        <f>13810+1804962</f>
        <v>1818772</v>
      </c>
      <c r="K41" s="8">
        <v>10975876</v>
      </c>
      <c r="M41" s="8">
        <f t="shared" si="2"/>
        <v>4921053</v>
      </c>
      <c r="O41" s="8">
        <v>187833</v>
      </c>
      <c r="Q41" s="8">
        <v>744804</v>
      </c>
      <c r="S41" s="8">
        <v>5853690</v>
      </c>
      <c r="U41" s="8">
        <v>1818772</v>
      </c>
      <c r="W41" s="8">
        <f t="shared" si="3"/>
        <v>1067713</v>
      </c>
      <c r="Y41" s="8">
        <v>2235701</v>
      </c>
      <c r="AA41" s="8">
        <v>5122186</v>
      </c>
      <c r="AD41" s="8">
        <f t="shared" si="5"/>
        <v>0</v>
      </c>
      <c r="AF41" s="35">
        <f t="shared" si="4"/>
        <v>0</v>
      </c>
    </row>
    <row r="42" spans="1:32">
      <c r="A42" s="13" t="s">
        <v>340</v>
      </c>
      <c r="B42" s="13"/>
      <c r="C42" s="13" t="s">
        <v>24</v>
      </c>
      <c r="D42" s="13"/>
      <c r="E42" s="32">
        <v>46789</v>
      </c>
      <c r="G42" s="8">
        <f t="shared" si="1"/>
        <v>14348616</v>
      </c>
      <c r="I42" s="8">
        <f>469195+3123623</f>
        <v>3592818</v>
      </c>
      <c r="K42" s="8">
        <v>17941434</v>
      </c>
      <c r="M42" s="8">
        <f t="shared" si="2"/>
        <v>8809853</v>
      </c>
      <c r="O42" s="8">
        <v>29061</v>
      </c>
      <c r="Q42" s="8">
        <v>766189</v>
      </c>
      <c r="S42" s="8">
        <v>9605103</v>
      </c>
      <c r="U42" s="8">
        <v>3364170</v>
      </c>
      <c r="W42" s="8">
        <f t="shared" si="3"/>
        <v>1173864</v>
      </c>
      <c r="Y42" s="8">
        <v>3798297</v>
      </c>
      <c r="AA42" s="8">
        <v>8336331</v>
      </c>
      <c r="AD42" s="8">
        <f t="shared" si="5"/>
        <v>0</v>
      </c>
      <c r="AF42" s="35">
        <f t="shared" si="4"/>
        <v>0</v>
      </c>
    </row>
    <row r="43" spans="1:32">
      <c r="A43" s="13" t="s">
        <v>348</v>
      </c>
      <c r="B43" s="13"/>
      <c r="C43" s="13" t="s">
        <v>25</v>
      </c>
      <c r="D43" s="13"/>
      <c r="E43" s="32">
        <v>46854</v>
      </c>
      <c r="G43" s="8">
        <f t="shared" si="1"/>
        <v>7059967</v>
      </c>
      <c r="I43" s="8">
        <f>410820+8022423</f>
        <v>8433243</v>
      </c>
      <c r="K43" s="8">
        <v>15493210</v>
      </c>
      <c r="M43" s="8">
        <f t="shared" si="2"/>
        <v>3620865</v>
      </c>
      <c r="O43" s="8">
        <v>549674</v>
      </c>
      <c r="Q43" s="8">
        <v>3487953</v>
      </c>
      <c r="S43" s="8">
        <v>7658492</v>
      </c>
      <c r="U43" s="8">
        <v>4907953</v>
      </c>
      <c r="W43" s="8">
        <f t="shared" si="3"/>
        <v>877704</v>
      </c>
      <c r="Y43" s="8">
        <v>2049061</v>
      </c>
      <c r="AA43" s="8">
        <v>7834718</v>
      </c>
      <c r="AD43" s="8">
        <f t="shared" si="5"/>
        <v>0</v>
      </c>
      <c r="AF43" s="35">
        <f t="shared" si="4"/>
        <v>0</v>
      </c>
    </row>
    <row r="44" spans="1:32">
      <c r="A44" s="13" t="s">
        <v>543</v>
      </c>
      <c r="B44" s="13"/>
      <c r="C44" s="13" t="s">
        <v>48</v>
      </c>
      <c r="D44" s="13"/>
      <c r="E44" s="32">
        <v>48611</v>
      </c>
      <c r="G44" s="8">
        <f t="shared" si="1"/>
        <v>6488663</v>
      </c>
      <c r="I44" s="8">
        <f>1165600+2904489</f>
        <v>4070089</v>
      </c>
      <c r="K44" s="8">
        <v>10558752</v>
      </c>
      <c r="M44" s="8">
        <f t="shared" si="2"/>
        <v>4090385</v>
      </c>
      <c r="O44" s="8">
        <v>66000</v>
      </c>
      <c r="Q44" s="8">
        <v>1159656</v>
      </c>
      <c r="S44" s="8">
        <v>5316041</v>
      </c>
      <c r="U44" s="8">
        <v>3155089</v>
      </c>
      <c r="W44" s="8">
        <f t="shared" si="3"/>
        <v>625688</v>
      </c>
      <c r="Y44" s="8">
        <v>1461934</v>
      </c>
      <c r="AA44" s="8">
        <v>5242711</v>
      </c>
      <c r="AD44" s="8">
        <f t="shared" si="5"/>
        <v>0</v>
      </c>
      <c r="AF44" s="35">
        <f t="shared" si="4"/>
        <v>0</v>
      </c>
    </row>
    <row r="45" spans="1:32">
      <c r="A45" s="13" t="s">
        <v>271</v>
      </c>
      <c r="B45" s="13"/>
      <c r="C45" s="13" t="s">
        <v>116</v>
      </c>
      <c r="D45" s="13"/>
      <c r="E45" s="32">
        <v>46318</v>
      </c>
      <c r="F45" s="11"/>
      <c r="G45" s="8">
        <f t="shared" si="1"/>
        <v>8092237</v>
      </c>
      <c r="I45" s="8">
        <f>2428478+26258219</f>
        <v>28686697</v>
      </c>
      <c r="K45" s="8">
        <v>36778934</v>
      </c>
      <c r="M45" s="8">
        <f t="shared" si="2"/>
        <v>12116487</v>
      </c>
      <c r="O45" s="8">
        <v>353589</v>
      </c>
      <c r="Q45" s="8">
        <v>793829</v>
      </c>
      <c r="S45" s="8">
        <v>13263905</v>
      </c>
      <c r="U45" s="8">
        <v>21332440</v>
      </c>
      <c r="W45" s="8">
        <f t="shared" si="3"/>
        <v>1993096</v>
      </c>
      <c r="Y45" s="8">
        <v>189493</v>
      </c>
      <c r="AA45" s="8">
        <v>23515029</v>
      </c>
      <c r="AD45" s="8">
        <f t="shared" si="5"/>
        <v>0</v>
      </c>
      <c r="AF45" s="35">
        <f t="shared" si="4"/>
        <v>0</v>
      </c>
    </row>
    <row r="46" spans="1:32">
      <c r="A46" s="13" t="s">
        <v>356</v>
      </c>
      <c r="B46" s="13"/>
      <c r="C46" s="13" t="s">
        <v>27</v>
      </c>
      <c r="D46" s="13"/>
      <c r="E46" s="32">
        <v>43620</v>
      </c>
      <c r="G46" s="8">
        <f t="shared" si="1"/>
        <v>41580815</v>
      </c>
      <c r="I46" s="8">
        <f>154150+38845197</f>
        <v>38999347</v>
      </c>
      <c r="K46" s="8">
        <v>80580162</v>
      </c>
      <c r="M46" s="8">
        <f t="shared" si="2"/>
        <v>16526584</v>
      </c>
      <c r="O46" s="8">
        <v>2055000</v>
      </c>
      <c r="Q46" s="8">
        <v>31217374</v>
      </c>
      <c r="S46" s="8">
        <v>49798958</v>
      </c>
      <c r="U46" s="8">
        <v>8256837</v>
      </c>
      <c r="W46" s="8">
        <f t="shared" si="3"/>
        <v>3390064</v>
      </c>
      <c r="Y46" s="8">
        <v>19134303</v>
      </c>
      <c r="AA46" s="8">
        <v>30781204</v>
      </c>
      <c r="AD46" s="8">
        <f t="shared" si="5"/>
        <v>0</v>
      </c>
      <c r="AF46" s="35">
        <f t="shared" si="4"/>
        <v>0</v>
      </c>
    </row>
    <row r="47" spans="1:32" ht="12.75" customHeight="1">
      <c r="A47" s="13" t="s">
        <v>921</v>
      </c>
      <c r="B47" s="13"/>
      <c r="C47" s="13" t="s">
        <v>23</v>
      </c>
      <c r="D47" s="13"/>
      <c r="E47" s="32">
        <v>46748</v>
      </c>
      <c r="G47" s="8">
        <f t="shared" si="1"/>
        <v>22093040</v>
      </c>
      <c r="I47" s="8">
        <f>568026+23768963</f>
        <v>24336989</v>
      </c>
      <c r="K47" s="8">
        <v>46430029</v>
      </c>
      <c r="M47" s="8">
        <f t="shared" si="2"/>
        <v>15512116</v>
      </c>
      <c r="O47" s="8">
        <v>993880</v>
      </c>
      <c r="Q47" s="8">
        <v>20430052</v>
      </c>
      <c r="S47" s="8">
        <v>36936048</v>
      </c>
      <c r="U47" s="8">
        <v>7054170</v>
      </c>
      <c r="W47" s="8">
        <f t="shared" si="3"/>
        <v>3245291</v>
      </c>
      <c r="Y47" s="8">
        <v>-805480</v>
      </c>
      <c r="AA47" s="8">
        <v>9493981</v>
      </c>
      <c r="AD47" s="8">
        <f t="shared" si="5"/>
        <v>0</v>
      </c>
      <c r="AF47" s="35">
        <f>+G47+I47+-M47-O47-U47-W47-Y47-Q47</f>
        <v>0</v>
      </c>
    </row>
    <row r="48" spans="1:32">
      <c r="A48" s="13" t="s">
        <v>531</v>
      </c>
      <c r="B48" s="13"/>
      <c r="C48" s="13" t="s">
        <v>47</v>
      </c>
      <c r="D48" s="13"/>
      <c r="E48" s="32">
        <v>48462</v>
      </c>
      <c r="G48" s="8">
        <f t="shared" si="1"/>
        <v>8347291</v>
      </c>
      <c r="I48" s="8">
        <v>9987234</v>
      </c>
      <c r="K48" s="8">
        <v>18334525</v>
      </c>
      <c r="M48" s="8">
        <f t="shared" si="2"/>
        <v>6347479</v>
      </c>
      <c r="O48" s="8">
        <v>789257</v>
      </c>
      <c r="Q48" s="8">
        <v>4584617</v>
      </c>
      <c r="S48" s="8">
        <v>11721353</v>
      </c>
      <c r="U48" s="8">
        <v>6505100</v>
      </c>
      <c r="W48" s="8">
        <f t="shared" si="3"/>
        <v>2439590</v>
      </c>
      <c r="Y48" s="8">
        <v>-2331518</v>
      </c>
      <c r="AA48" s="8">
        <v>6613172</v>
      </c>
      <c r="AD48" s="8">
        <f t="shared" si="5"/>
        <v>0</v>
      </c>
      <c r="AF48" s="35">
        <f t="shared" si="4"/>
        <v>0</v>
      </c>
    </row>
    <row r="49" spans="1:32">
      <c r="A49" s="13" t="s">
        <v>278</v>
      </c>
      <c r="B49" s="13"/>
      <c r="C49" s="13" t="s">
        <v>18</v>
      </c>
      <c r="D49" s="13"/>
      <c r="E49" s="32">
        <v>46383</v>
      </c>
      <c r="F49" s="11"/>
      <c r="G49" s="8">
        <f t="shared" si="1"/>
        <v>6498105</v>
      </c>
      <c r="I49" s="8">
        <f>474430+23521444</f>
        <v>23995874</v>
      </c>
      <c r="K49" s="8">
        <v>30493979</v>
      </c>
      <c r="M49" s="8">
        <f t="shared" si="2"/>
        <v>4964018</v>
      </c>
      <c r="O49" s="8">
        <v>279930</v>
      </c>
      <c r="Q49" s="8">
        <v>3782879</v>
      </c>
      <c r="S49" s="8">
        <v>9026827</v>
      </c>
      <c r="U49" s="8">
        <v>20463348</v>
      </c>
      <c r="W49" s="8">
        <f t="shared" si="3"/>
        <v>1171750</v>
      </c>
      <c r="Y49" s="8">
        <v>-167946</v>
      </c>
      <c r="AA49" s="8">
        <v>21467152</v>
      </c>
      <c r="AD49" s="8">
        <f t="shared" si="5"/>
        <v>0</v>
      </c>
      <c r="AF49" s="35">
        <f t="shared" si="4"/>
        <v>0</v>
      </c>
    </row>
    <row r="50" spans="1:32">
      <c r="A50" s="13" t="s">
        <v>349</v>
      </c>
      <c r="B50" s="13"/>
      <c r="C50" s="13" t="s">
        <v>25</v>
      </c>
      <c r="D50" s="13"/>
      <c r="E50" s="32">
        <v>46862</v>
      </c>
      <c r="G50" s="8">
        <f t="shared" si="1"/>
        <v>9038837</v>
      </c>
      <c r="I50" s="8">
        <f>806734+3204339</f>
        <v>4011073</v>
      </c>
      <c r="K50" s="8">
        <v>13049910</v>
      </c>
      <c r="M50" s="8">
        <f t="shared" si="2"/>
        <v>6201910</v>
      </c>
      <c r="O50" s="8">
        <v>100025</v>
      </c>
      <c r="Q50" s="8">
        <v>573973</v>
      </c>
      <c r="S50" s="8">
        <v>6875908</v>
      </c>
      <c r="U50" s="8">
        <v>4011073</v>
      </c>
      <c r="W50" s="8">
        <f t="shared" si="3"/>
        <v>88692</v>
      </c>
      <c r="Y50" s="8">
        <v>2074237</v>
      </c>
      <c r="AA50" s="8">
        <v>6174002</v>
      </c>
      <c r="AD50" s="8">
        <f t="shared" si="5"/>
        <v>0</v>
      </c>
      <c r="AF50" s="35">
        <f t="shared" si="4"/>
        <v>0</v>
      </c>
    </row>
    <row r="51" spans="1:32" ht="12.75" customHeight="1">
      <c r="A51" s="13" t="s">
        <v>680</v>
      </c>
      <c r="B51" s="13"/>
      <c r="C51" s="13" t="s">
        <v>64</v>
      </c>
      <c r="D51" s="13"/>
      <c r="E51" s="32">
        <v>50096</v>
      </c>
      <c r="G51" s="8">
        <f t="shared" si="1"/>
        <v>2512544</v>
      </c>
      <c r="I51" s="8">
        <v>688395</v>
      </c>
      <c r="K51" s="8">
        <v>3200939</v>
      </c>
      <c r="M51" s="8">
        <f t="shared" si="2"/>
        <v>1602037</v>
      </c>
      <c r="O51" s="8">
        <v>33435</v>
      </c>
      <c r="Q51" s="8">
        <v>172070</v>
      </c>
      <c r="S51" s="8">
        <v>1807542</v>
      </c>
      <c r="U51" s="8">
        <v>688395</v>
      </c>
      <c r="W51" s="8">
        <f t="shared" si="3"/>
        <v>169334</v>
      </c>
      <c r="Y51" s="8">
        <v>535668</v>
      </c>
      <c r="AA51" s="8">
        <v>1393397</v>
      </c>
      <c r="AD51" s="8">
        <f t="shared" si="5"/>
        <v>0</v>
      </c>
      <c r="AF51" s="35">
        <f t="shared" si="4"/>
        <v>0</v>
      </c>
    </row>
    <row r="52" spans="1:32">
      <c r="A52" s="13" t="s">
        <v>631</v>
      </c>
      <c r="B52" s="13"/>
      <c r="C52" s="13" t="s">
        <v>59</v>
      </c>
      <c r="D52" s="13"/>
      <c r="E52" s="32">
        <v>49593</v>
      </c>
      <c r="F52" s="28"/>
      <c r="G52" s="8">
        <f>+K52-I52</f>
        <v>3436641</v>
      </c>
      <c r="I52" s="8">
        <f>269130+17841401</f>
        <v>18110531</v>
      </c>
      <c r="K52" s="8">
        <v>21547172</v>
      </c>
      <c r="M52" s="8">
        <f>+S52-O52-Q52</f>
        <v>2344372</v>
      </c>
      <c r="O52" s="8">
        <v>189422</v>
      </c>
      <c r="Q52" s="8">
        <v>1142884</v>
      </c>
      <c r="S52" s="8">
        <v>3676678</v>
      </c>
      <c r="U52" s="8">
        <v>17435531</v>
      </c>
      <c r="W52" s="8">
        <f>AA52-Y52-U52</f>
        <v>1002218</v>
      </c>
      <c r="Y52" s="8">
        <v>-567255</v>
      </c>
      <c r="AA52" s="8">
        <v>17870494</v>
      </c>
      <c r="AD52" s="8">
        <f t="shared" si="5"/>
        <v>0</v>
      </c>
      <c r="AF52" s="35">
        <f>+G52+I52+-M52-O52-U52-W52-Y52-Q52</f>
        <v>0</v>
      </c>
    </row>
    <row r="53" spans="1:32">
      <c r="A53" s="13" t="s">
        <v>515</v>
      </c>
      <c r="B53" s="13"/>
      <c r="C53" s="13" t="s">
        <v>45</v>
      </c>
      <c r="D53" s="13"/>
      <c r="E53" s="32">
        <v>48306</v>
      </c>
      <c r="G53" s="8">
        <f t="shared" si="1"/>
        <v>45836755</v>
      </c>
      <c r="I53" s="8">
        <f>3745329+13551202</f>
        <v>17296531</v>
      </c>
      <c r="K53" s="8">
        <v>63133286</v>
      </c>
      <c r="M53" s="8">
        <f t="shared" si="2"/>
        <v>32564346</v>
      </c>
      <c r="O53" s="8">
        <v>948270</v>
      </c>
      <c r="Q53" s="8">
        <v>4299037</v>
      </c>
      <c r="S53" s="8">
        <v>37811653</v>
      </c>
      <c r="U53" s="8">
        <v>15218648</v>
      </c>
      <c r="W53" s="8">
        <f t="shared" si="3"/>
        <v>2105439</v>
      </c>
      <c r="Y53" s="8">
        <v>7997546</v>
      </c>
      <c r="AA53" s="8">
        <v>25321633</v>
      </c>
      <c r="AD53" s="8">
        <f t="shared" si="5"/>
        <v>0</v>
      </c>
      <c r="AF53" s="35">
        <f t="shared" si="4"/>
        <v>0</v>
      </c>
    </row>
    <row r="54" spans="1:32">
      <c r="A54" s="13" t="s">
        <v>647</v>
      </c>
      <c r="B54" s="13"/>
      <c r="C54" s="13" t="s">
        <v>61</v>
      </c>
      <c r="D54" s="13"/>
      <c r="E54" s="32">
        <v>49767</v>
      </c>
      <c r="G54" s="8">
        <f t="shared" si="1"/>
        <v>2755825</v>
      </c>
      <c r="I54" s="8">
        <f>4351193+56352</f>
        <v>4407545</v>
      </c>
      <c r="K54" s="8">
        <v>7163370</v>
      </c>
      <c r="M54" s="8">
        <f t="shared" si="2"/>
        <v>1324029</v>
      </c>
      <c r="O54" s="8">
        <v>195000</v>
      </c>
      <c r="Q54" s="8">
        <v>600746</v>
      </c>
      <c r="S54" s="8">
        <v>2119775</v>
      </c>
      <c r="U54" s="8">
        <v>3767545</v>
      </c>
      <c r="W54" s="8">
        <f t="shared" si="3"/>
        <v>1000817</v>
      </c>
      <c r="Y54" s="8">
        <v>275233</v>
      </c>
      <c r="AA54" s="8">
        <v>5043595</v>
      </c>
      <c r="AD54" s="8">
        <f t="shared" si="5"/>
        <v>0</v>
      </c>
      <c r="AF54" s="35">
        <f t="shared" si="4"/>
        <v>0</v>
      </c>
    </row>
    <row r="55" spans="1:32">
      <c r="A55" s="13" t="s">
        <v>782</v>
      </c>
      <c r="B55" s="13"/>
      <c r="C55" s="13" t="s">
        <v>72</v>
      </c>
      <c r="D55" s="13"/>
      <c r="E55" s="32">
        <v>43638</v>
      </c>
      <c r="G55" s="8">
        <f t="shared" si="1"/>
        <v>58544220</v>
      </c>
      <c r="I55" s="8">
        <v>13277010</v>
      </c>
      <c r="K55" s="8">
        <v>71821230</v>
      </c>
      <c r="M55" s="8">
        <f t="shared" si="2"/>
        <v>19360547</v>
      </c>
      <c r="O55" s="8">
        <v>1305754</v>
      </c>
      <c r="Q55" s="8">
        <v>31644888</v>
      </c>
      <c r="S55" s="8">
        <v>52311189</v>
      </c>
      <c r="U55" s="8">
        <v>9124269</v>
      </c>
      <c r="W55" s="8">
        <f t="shared" si="3"/>
        <v>28069419</v>
      </c>
      <c r="Y55" s="8">
        <v>-17683647</v>
      </c>
      <c r="AA55" s="8">
        <v>19510041</v>
      </c>
      <c r="AD55" s="8">
        <f t="shared" si="5"/>
        <v>0</v>
      </c>
      <c r="AF55" s="35">
        <f t="shared" si="4"/>
        <v>0</v>
      </c>
    </row>
    <row r="56" spans="1:32">
      <c r="A56" s="12" t="s">
        <v>984</v>
      </c>
      <c r="B56" s="13"/>
      <c r="C56" s="13" t="s">
        <v>20</v>
      </c>
      <c r="D56" s="13"/>
      <c r="E56" s="32">
        <v>43646</v>
      </c>
      <c r="G56" s="8">
        <f t="shared" si="1"/>
        <v>61442495</v>
      </c>
      <c r="I56" s="8">
        <f>3088833+32989215</f>
        <v>36078048</v>
      </c>
      <c r="K56" s="8">
        <v>97520543</v>
      </c>
      <c r="M56" s="8">
        <f t="shared" si="2"/>
        <v>35517677</v>
      </c>
      <c r="O56" s="8">
        <v>2240805</v>
      </c>
      <c r="Q56" s="8">
        <v>29335906</v>
      </c>
      <c r="S56" s="8">
        <v>67094388</v>
      </c>
      <c r="U56" s="8">
        <v>9357989</v>
      </c>
      <c r="W56" s="8">
        <f t="shared" si="3"/>
        <v>6406619</v>
      </c>
      <c r="Y56" s="8">
        <v>14661547</v>
      </c>
      <c r="AA56" s="8">
        <v>30426155</v>
      </c>
      <c r="AD56" s="8">
        <f t="shared" si="5"/>
        <v>0</v>
      </c>
      <c r="AF56" s="35">
        <f t="shared" si="4"/>
        <v>0</v>
      </c>
    </row>
    <row r="57" spans="1:32">
      <c r="A57" s="12" t="s">
        <v>235</v>
      </c>
      <c r="B57" s="12"/>
      <c r="C57" s="12" t="s">
        <v>15</v>
      </c>
      <c r="D57" s="12"/>
      <c r="E57" s="32">
        <v>45237</v>
      </c>
      <c r="G57" s="8">
        <f t="shared" si="1"/>
        <v>4606244</v>
      </c>
      <c r="I57" s="8">
        <f>823169+18615952</f>
        <v>19439121</v>
      </c>
      <c r="K57" s="8">
        <v>24045365</v>
      </c>
      <c r="M57" s="8">
        <f t="shared" si="2"/>
        <v>2429473</v>
      </c>
      <c r="O57" s="8">
        <v>300358</v>
      </c>
      <c r="Q57" s="8">
        <v>5418448</v>
      </c>
      <c r="S57" s="8">
        <v>8148279</v>
      </c>
      <c r="U57" s="8">
        <v>14639521</v>
      </c>
      <c r="W57" s="8">
        <f t="shared" si="3"/>
        <v>1964494</v>
      </c>
      <c r="Y57" s="8">
        <v>-706929</v>
      </c>
      <c r="AA57" s="8">
        <v>15897086</v>
      </c>
      <c r="AD57" s="8">
        <f t="shared" si="5"/>
        <v>0</v>
      </c>
      <c r="AF57" s="35">
        <f t="shared" si="4"/>
        <v>0</v>
      </c>
    </row>
    <row r="58" spans="1:32">
      <c r="A58" s="13" t="s">
        <v>439</v>
      </c>
      <c r="B58" s="13"/>
      <c r="C58" s="13" t="s">
        <v>440</v>
      </c>
      <c r="D58" s="13"/>
      <c r="E58" s="32">
        <v>47613</v>
      </c>
      <c r="G58" s="8">
        <f t="shared" si="1"/>
        <v>5329847</v>
      </c>
      <c r="I58" s="8">
        <v>15347950</v>
      </c>
      <c r="K58" s="8">
        <v>20677797</v>
      </c>
      <c r="M58" s="8">
        <f t="shared" si="2"/>
        <v>2718955</v>
      </c>
      <c r="O58" s="8">
        <v>147585</v>
      </c>
      <c r="Q58" s="8">
        <v>735963</v>
      </c>
      <c r="S58" s="8">
        <v>3602503</v>
      </c>
      <c r="U58" s="8">
        <v>14677950</v>
      </c>
      <c r="W58" s="8">
        <f t="shared" si="3"/>
        <v>1252456</v>
      </c>
      <c r="Y58" s="8">
        <v>1144888</v>
      </c>
      <c r="AA58" s="8">
        <v>17075294</v>
      </c>
      <c r="AD58" s="8">
        <f t="shared" si="5"/>
        <v>0</v>
      </c>
      <c r="AF58" s="35">
        <f t="shared" si="4"/>
        <v>0</v>
      </c>
    </row>
    <row r="59" spans="1:32">
      <c r="A59" s="13" t="s">
        <v>681</v>
      </c>
      <c r="B59" s="13"/>
      <c r="C59" s="13" t="s">
        <v>64</v>
      </c>
      <c r="D59" s="13"/>
      <c r="E59" s="32">
        <v>50112</v>
      </c>
      <c r="G59" s="8">
        <f t="shared" si="1"/>
        <v>4921033</v>
      </c>
      <c r="I59" s="8">
        <f>91792+9247686</f>
        <v>9339478</v>
      </c>
      <c r="K59" s="8">
        <v>14260511</v>
      </c>
      <c r="M59" s="8">
        <f t="shared" si="2"/>
        <v>3122396</v>
      </c>
      <c r="O59" s="8">
        <v>205902</v>
      </c>
      <c r="Q59" s="8">
        <v>2187014</v>
      </c>
      <c r="S59" s="8">
        <v>5515312</v>
      </c>
      <c r="U59" s="8">
        <v>7619478</v>
      </c>
      <c r="W59" s="8">
        <f t="shared" si="3"/>
        <v>528585</v>
      </c>
      <c r="Y59" s="8">
        <v>597136</v>
      </c>
      <c r="AA59" s="8">
        <v>8745199</v>
      </c>
      <c r="AD59" s="8">
        <f t="shared" si="5"/>
        <v>0</v>
      </c>
      <c r="AF59" s="35">
        <f t="shared" si="4"/>
        <v>0</v>
      </c>
    </row>
    <row r="60" spans="1:32">
      <c r="A60" s="13" t="s">
        <v>923</v>
      </c>
      <c r="B60" s="13"/>
      <c r="C60" s="13" t="s">
        <v>64</v>
      </c>
      <c r="D60" s="13"/>
      <c r="E60" s="32">
        <v>50120</v>
      </c>
      <c r="G60" s="8">
        <f t="shared" si="1"/>
        <v>40316212</v>
      </c>
      <c r="I60" s="8">
        <f>609600+466183+970052</f>
        <v>2045835</v>
      </c>
      <c r="K60" s="8">
        <v>42362047</v>
      </c>
      <c r="M60" s="8">
        <f t="shared" si="2"/>
        <v>5202493</v>
      </c>
      <c r="O60" s="8">
        <v>417302</v>
      </c>
      <c r="Q60" s="8">
        <v>15452122</v>
      </c>
      <c r="S60" s="8">
        <v>21071917</v>
      </c>
      <c r="U60" s="8">
        <v>2041646</v>
      </c>
      <c r="W60" s="8">
        <f t="shared" si="3"/>
        <v>34929789</v>
      </c>
      <c r="Y60" s="8">
        <v>-15681305</v>
      </c>
      <c r="AA60" s="8">
        <v>21290130</v>
      </c>
      <c r="AD60" s="8">
        <f t="shared" si="5"/>
        <v>0</v>
      </c>
      <c r="AF60" s="35">
        <f t="shared" si="4"/>
        <v>0</v>
      </c>
    </row>
    <row r="61" spans="1:32">
      <c r="A61" s="13" t="s">
        <v>305</v>
      </c>
      <c r="B61" s="13"/>
      <c r="C61" s="13" t="s">
        <v>20</v>
      </c>
      <c r="D61" s="13"/>
      <c r="E61" s="32">
        <v>43653</v>
      </c>
      <c r="G61" s="8">
        <f t="shared" si="1"/>
        <v>12174102</v>
      </c>
      <c r="I61" s="8">
        <f>33000+3841410</f>
        <v>3874410</v>
      </c>
      <c r="K61" s="8">
        <v>16048512</v>
      </c>
      <c r="M61" s="8">
        <f t="shared" si="2"/>
        <v>8950979</v>
      </c>
      <c r="O61" s="8">
        <v>80094</v>
      </c>
      <c r="Q61" s="8">
        <v>966402</v>
      </c>
      <c r="S61" s="8">
        <v>9997475</v>
      </c>
      <c r="U61" s="8">
        <v>3874410</v>
      </c>
      <c r="W61" s="8">
        <f t="shared" si="3"/>
        <v>375505</v>
      </c>
      <c r="Y61" s="8">
        <v>1801122</v>
      </c>
      <c r="AA61" s="8">
        <v>6051037</v>
      </c>
      <c r="AD61" s="8">
        <f t="shared" si="5"/>
        <v>0</v>
      </c>
      <c r="AF61" s="35">
        <f t="shared" si="4"/>
        <v>0</v>
      </c>
    </row>
    <row r="62" spans="1:32">
      <c r="A62" s="13" t="s">
        <v>552</v>
      </c>
      <c r="B62" s="13"/>
      <c r="C62" s="13" t="s">
        <v>50</v>
      </c>
      <c r="D62" s="13"/>
      <c r="E62" s="32">
        <v>48678</v>
      </c>
      <c r="G62" s="8">
        <f t="shared" si="1"/>
        <v>12413711</v>
      </c>
      <c r="I62" s="8">
        <f>935308+26524678</f>
        <v>27459986</v>
      </c>
      <c r="K62" s="8">
        <v>39873697</v>
      </c>
      <c r="M62" s="8">
        <f t="shared" si="2"/>
        <v>6610867</v>
      </c>
      <c r="O62" s="8">
        <v>675466</v>
      </c>
      <c r="Q62" s="8">
        <v>22416940</v>
      </c>
      <c r="S62" s="8">
        <v>29703273</v>
      </c>
      <c r="U62" s="8">
        <v>5240285</v>
      </c>
      <c r="W62" s="8">
        <f t="shared" si="3"/>
        <v>3268048</v>
      </c>
      <c r="Y62" s="8">
        <v>1662091</v>
      </c>
      <c r="AA62" s="8">
        <v>10170424</v>
      </c>
      <c r="AD62" s="8">
        <f t="shared" si="5"/>
        <v>0</v>
      </c>
      <c r="AF62" s="35">
        <f t="shared" si="4"/>
        <v>0</v>
      </c>
    </row>
    <row r="63" spans="1:32">
      <c r="A63" s="12" t="s">
        <v>256</v>
      </c>
      <c r="B63" s="12"/>
      <c r="C63" s="12" t="s">
        <v>16</v>
      </c>
      <c r="D63" s="12"/>
      <c r="E63" s="32">
        <v>46177</v>
      </c>
      <c r="G63" s="8">
        <f t="shared" si="1"/>
        <v>5425632</v>
      </c>
      <c r="I63" s="8">
        <v>1097139</v>
      </c>
      <c r="K63" s="8">
        <v>6522771</v>
      </c>
      <c r="M63" s="8">
        <f t="shared" si="2"/>
        <v>2100793</v>
      </c>
      <c r="O63" s="8">
        <v>18376</v>
      </c>
      <c r="Q63" s="8">
        <v>402376</v>
      </c>
      <c r="S63" s="8">
        <v>2521545</v>
      </c>
      <c r="U63" s="8">
        <v>1088067</v>
      </c>
      <c r="W63" s="8">
        <f t="shared" si="3"/>
        <v>549332</v>
      </c>
      <c r="Y63" s="8">
        <v>2363827</v>
      </c>
      <c r="AA63" s="8">
        <v>4001226</v>
      </c>
      <c r="AD63" s="8">
        <f t="shared" si="5"/>
        <v>0</v>
      </c>
      <c r="AF63" s="35">
        <f t="shared" si="4"/>
        <v>0</v>
      </c>
    </row>
    <row r="64" spans="1:32">
      <c r="A64" s="13" t="s">
        <v>532</v>
      </c>
      <c r="B64" s="13"/>
      <c r="C64" s="13" t="s">
        <v>47</v>
      </c>
      <c r="D64" s="13"/>
      <c r="E64" s="32">
        <v>43661</v>
      </c>
      <c r="G64" s="8">
        <f t="shared" si="1"/>
        <v>-103742172</v>
      </c>
      <c r="I64" s="8">
        <f>1405645+172845952</f>
        <v>174251597</v>
      </c>
      <c r="K64" s="8">
        <v>70509425</v>
      </c>
      <c r="M64" s="8">
        <f t="shared" si="2"/>
        <v>44568593</v>
      </c>
      <c r="O64" s="8">
        <v>3413455</v>
      </c>
      <c r="Q64" s="8">
        <v>23840465</v>
      </c>
      <c r="S64" s="8">
        <v>71822513</v>
      </c>
      <c r="U64" s="8">
        <v>964324</v>
      </c>
      <c r="W64" s="8">
        <f t="shared" si="3"/>
        <v>6140541</v>
      </c>
      <c r="Y64" s="8">
        <v>-8417953</v>
      </c>
      <c r="AA64" s="8">
        <v>-1313088</v>
      </c>
      <c r="AD64" s="8">
        <f t="shared" si="5"/>
        <v>0</v>
      </c>
      <c r="AF64" s="35">
        <f t="shared" si="4"/>
        <v>0</v>
      </c>
    </row>
    <row r="65" spans="1:32">
      <c r="A65" s="13" t="s">
        <v>294</v>
      </c>
      <c r="B65" s="13"/>
      <c r="C65" s="13" t="s">
        <v>114</v>
      </c>
      <c r="D65" s="13"/>
      <c r="E65" s="32">
        <v>46508</v>
      </c>
      <c r="G65" s="8">
        <f t="shared" si="1"/>
        <v>30572688</v>
      </c>
      <c r="I65" s="8">
        <f>456136+2930493+1687711</f>
        <v>5074340</v>
      </c>
      <c r="K65" s="8">
        <v>35647028</v>
      </c>
      <c r="M65" s="8">
        <f t="shared" si="2"/>
        <v>5075827</v>
      </c>
      <c r="O65" s="8">
        <v>71865</v>
      </c>
      <c r="Q65" s="8">
        <v>9420313</v>
      </c>
      <c r="S65" s="8">
        <v>14568005</v>
      </c>
      <c r="U65" s="8">
        <v>1790015</v>
      </c>
      <c r="W65" s="8">
        <f t="shared" si="3"/>
        <v>17577958</v>
      </c>
      <c r="Y65" s="8">
        <v>1711050</v>
      </c>
      <c r="AA65" s="8">
        <v>21079023</v>
      </c>
      <c r="AD65" s="8">
        <f t="shared" si="5"/>
        <v>0</v>
      </c>
      <c r="AF65" s="35">
        <f t="shared" si="4"/>
        <v>0</v>
      </c>
    </row>
    <row r="66" spans="1:32">
      <c r="A66" s="13" t="s">
        <v>219</v>
      </c>
      <c r="B66" s="13"/>
      <c r="C66" s="13" t="s">
        <v>12</v>
      </c>
      <c r="D66" s="13"/>
      <c r="E66" s="32">
        <v>45856</v>
      </c>
      <c r="F66" s="11"/>
      <c r="G66" s="8">
        <f t="shared" si="1"/>
        <v>13433304</v>
      </c>
      <c r="I66" s="8">
        <f>402305+3642645</f>
        <v>4044950</v>
      </c>
      <c r="K66" s="8">
        <v>17478254</v>
      </c>
      <c r="M66" s="8">
        <f t="shared" si="2"/>
        <v>8005725</v>
      </c>
      <c r="O66" s="8">
        <v>89940</v>
      </c>
      <c r="Q66" s="8">
        <v>1151922</v>
      </c>
      <c r="S66" s="8">
        <v>9247587</v>
      </c>
      <c r="U66" s="8">
        <v>3834950</v>
      </c>
      <c r="W66" s="8">
        <f t="shared" si="3"/>
        <v>709277</v>
      </c>
      <c r="Y66" s="8">
        <v>3686440</v>
      </c>
      <c r="AA66" s="8">
        <v>8230667</v>
      </c>
      <c r="AD66" s="8">
        <f>+K66-S66-AA66</f>
        <v>0</v>
      </c>
      <c r="AF66" s="35">
        <f t="shared" si="4"/>
        <v>0</v>
      </c>
    </row>
    <row r="67" spans="1:32">
      <c r="A67" s="13" t="s">
        <v>219</v>
      </c>
      <c r="B67" s="13"/>
      <c r="C67" s="13" t="s">
        <v>39</v>
      </c>
      <c r="D67" s="13"/>
      <c r="E67" s="32"/>
      <c r="F67" s="11"/>
      <c r="G67" s="8">
        <f t="shared" si="1"/>
        <v>9868676</v>
      </c>
      <c r="I67" s="8">
        <f>597049+10193491</f>
        <v>10790540</v>
      </c>
      <c r="K67" s="8">
        <v>20659216</v>
      </c>
      <c r="M67" s="8">
        <f t="shared" si="2"/>
        <v>8625949</v>
      </c>
      <c r="O67" s="8">
        <v>933763</v>
      </c>
      <c r="Q67" s="8">
        <v>3623698</v>
      </c>
      <c r="S67" s="8">
        <v>13183410</v>
      </c>
      <c r="U67" s="8">
        <v>7905617</v>
      </c>
      <c r="W67" s="8">
        <f t="shared" si="3"/>
        <v>1815225</v>
      </c>
      <c r="Y67" s="8">
        <v>-2245036</v>
      </c>
      <c r="AA67" s="9">
        <v>7475806</v>
      </c>
      <c r="AD67" s="8">
        <f>+K67-S67-AA67</f>
        <v>0</v>
      </c>
      <c r="AF67" s="35">
        <f t="shared" si="4"/>
        <v>0</v>
      </c>
    </row>
    <row r="68" spans="1:32">
      <c r="A68" s="13" t="s">
        <v>924</v>
      </c>
      <c r="B68" s="13"/>
      <c r="C68" s="13" t="s">
        <v>23</v>
      </c>
      <c r="D68" s="13"/>
      <c r="E68" s="32">
        <v>46755</v>
      </c>
      <c r="G68" s="8">
        <f>+K68-I68</f>
        <v>17878775</v>
      </c>
      <c r="I68" s="8">
        <f>498673+17517691</f>
        <v>18016364</v>
      </c>
      <c r="K68" s="8">
        <v>35895139</v>
      </c>
      <c r="M68" s="8">
        <f>+S68-O68-Q68</f>
        <v>10836575</v>
      </c>
      <c r="O68" s="8">
        <v>999057</v>
      </c>
      <c r="Q68" s="8">
        <v>10674760</v>
      </c>
      <c r="S68" s="8">
        <v>22510392</v>
      </c>
      <c r="U68" s="8">
        <v>8261989</v>
      </c>
      <c r="W68" s="8">
        <f>AA68-Y68-U68</f>
        <v>1742282</v>
      </c>
      <c r="Y68" s="8">
        <v>3380476</v>
      </c>
      <c r="AA68" s="8">
        <v>13384747</v>
      </c>
      <c r="AD68" s="8">
        <f>+K68-S68-AA68</f>
        <v>0</v>
      </c>
      <c r="AF68" s="35">
        <f>+G68+I68+-M68-O68-U68-W68-Y68-Q68</f>
        <v>0</v>
      </c>
    </row>
    <row r="69" spans="1:32">
      <c r="A69" s="13" t="s">
        <v>295</v>
      </c>
      <c r="B69" s="13"/>
      <c r="C69" s="13" t="s">
        <v>114</v>
      </c>
      <c r="D69" s="13"/>
      <c r="E69" s="32">
        <v>43687</v>
      </c>
      <c r="F69" s="28"/>
      <c r="G69" s="8">
        <f>+K69-I69</f>
        <v>50424649</v>
      </c>
      <c r="I69" s="8">
        <v>6093943</v>
      </c>
      <c r="K69" s="8">
        <v>56518592</v>
      </c>
      <c r="M69" s="8">
        <f>+S69-O69-Q69</f>
        <v>5946745</v>
      </c>
      <c r="O69" s="8">
        <v>412480</v>
      </c>
      <c r="Q69" s="8">
        <v>14060770</v>
      </c>
      <c r="S69" s="8">
        <v>20419995</v>
      </c>
      <c r="U69" s="8">
        <v>4215984</v>
      </c>
      <c r="W69" s="8">
        <f>AA69-Y69-U69</f>
        <v>26247560</v>
      </c>
      <c r="Y69" s="8">
        <v>5635053</v>
      </c>
      <c r="AA69" s="8">
        <v>36098597</v>
      </c>
      <c r="AD69" s="8">
        <f>+K69-S69-AA69</f>
        <v>0</v>
      </c>
      <c r="AF69" s="35">
        <f>+G69+I69+-M69-O69-U69-W69-Y69-Q69</f>
        <v>0</v>
      </c>
    </row>
    <row r="71" spans="1:32">
      <c r="AA71" s="8" t="s">
        <v>819</v>
      </c>
    </row>
    <row r="72" spans="1:32" s="35" customFormat="1">
      <c r="A72" s="34" t="s">
        <v>577</v>
      </c>
      <c r="B72" s="34"/>
      <c r="C72" s="34" t="s">
        <v>52</v>
      </c>
      <c r="D72" s="34"/>
      <c r="E72" s="34">
        <v>45252</v>
      </c>
      <c r="G72" s="35">
        <f>+K72-I72</f>
        <v>5429257</v>
      </c>
      <c r="I72" s="35">
        <f>381096+5156064</f>
        <v>5537160</v>
      </c>
      <c r="K72" s="35">
        <v>10966417</v>
      </c>
      <c r="M72" s="35">
        <f>+S72-O72-Q72</f>
        <v>3179263</v>
      </c>
      <c r="O72" s="35">
        <v>62809</v>
      </c>
      <c r="Q72" s="35">
        <v>294795</v>
      </c>
      <c r="S72" s="35">
        <v>3536867</v>
      </c>
      <c r="U72" s="35">
        <v>5537160</v>
      </c>
      <c r="W72" s="35">
        <f>AA72-Y72-U72</f>
        <v>552323</v>
      </c>
      <c r="Y72" s="35">
        <v>1340067</v>
      </c>
      <c r="AA72" s="35">
        <v>7429550</v>
      </c>
      <c r="AD72" s="35">
        <f>+K72-S72-AA72</f>
        <v>0</v>
      </c>
      <c r="AF72" s="35">
        <f>+G72+I72+-M72-O72-U72-W72-Y72-Q72</f>
        <v>0</v>
      </c>
    </row>
    <row r="73" spans="1:32">
      <c r="A73" s="13" t="s">
        <v>393</v>
      </c>
      <c r="B73" s="13"/>
      <c r="C73" s="13" t="s">
        <v>31</v>
      </c>
      <c r="D73" s="13"/>
      <c r="E73" s="32">
        <v>43695</v>
      </c>
      <c r="G73" s="8">
        <f t="shared" ref="G73:G122" si="6">+K73-I73</f>
        <v>14501788</v>
      </c>
      <c r="I73" s="8">
        <f>5031339+38271976</f>
        <v>43303315</v>
      </c>
      <c r="K73" s="8">
        <v>57805103</v>
      </c>
      <c r="M73" s="8">
        <f t="shared" ref="M73:M126" si="7">+S73-O73-Q73</f>
        <v>-58864524</v>
      </c>
      <c r="O73" s="8">
        <v>419231</v>
      </c>
      <c r="Q73" s="8">
        <v>74040020</v>
      </c>
      <c r="S73" s="8">
        <v>15594727</v>
      </c>
      <c r="U73" s="8">
        <v>37125636</v>
      </c>
      <c r="W73" s="8">
        <f t="shared" ref="W73:W126" si="8">AA73-Y73-U73</f>
        <v>4163822</v>
      </c>
      <c r="Y73" s="8">
        <v>920918</v>
      </c>
      <c r="AA73" s="8">
        <v>42210376</v>
      </c>
      <c r="AD73" s="8">
        <f t="shared" ref="AD73:AD128" si="9">+K73-S73-AA73</f>
        <v>0</v>
      </c>
      <c r="AF73" s="35">
        <f t="shared" ref="AF73:AF127" si="10">+G73+I73+-M73-O73-U73-W73-Y73-Q73</f>
        <v>0</v>
      </c>
    </row>
    <row r="74" spans="1:32">
      <c r="A74" s="13" t="s">
        <v>357</v>
      </c>
      <c r="B74" s="13"/>
      <c r="C74" s="13" t="s">
        <v>27</v>
      </c>
      <c r="D74" s="13"/>
      <c r="E74" s="32">
        <v>46946</v>
      </c>
      <c r="G74" s="8">
        <f t="shared" si="6"/>
        <v>26180983</v>
      </c>
      <c r="I74" s="8">
        <f>3698648+69585662</f>
        <v>73284310</v>
      </c>
      <c r="K74" s="8">
        <f>99465293</f>
        <v>99465293</v>
      </c>
      <c r="M74" s="8">
        <f t="shared" si="7"/>
        <v>14354392</v>
      </c>
      <c r="O74" s="8">
        <v>4338153</v>
      </c>
      <c r="Q74" s="8">
        <v>66008615</v>
      </c>
      <c r="S74" s="8">
        <v>84701160</v>
      </c>
      <c r="U74" s="8">
        <v>6026176</v>
      </c>
      <c r="W74" s="8">
        <f t="shared" si="8"/>
        <v>4534677</v>
      </c>
      <c r="Y74" s="8">
        <v>4203280</v>
      </c>
      <c r="AA74" s="8">
        <v>14764133</v>
      </c>
      <c r="AD74" s="8">
        <f t="shared" si="9"/>
        <v>0</v>
      </c>
      <c r="AF74" s="35">
        <f t="shared" si="10"/>
        <v>0</v>
      </c>
    </row>
    <row r="75" spans="1:32">
      <c r="A75" s="13" t="s">
        <v>517</v>
      </c>
      <c r="B75" s="13"/>
      <c r="C75" s="13" t="s">
        <v>45</v>
      </c>
      <c r="D75" s="13"/>
      <c r="E75" s="32">
        <v>48314</v>
      </c>
      <c r="G75" s="8">
        <f t="shared" si="6"/>
        <v>27374210</v>
      </c>
      <c r="I75" s="8">
        <f>441370+15855352</f>
        <v>16296722</v>
      </c>
      <c r="K75" s="8">
        <v>43670932</v>
      </c>
      <c r="M75" s="8">
        <f t="shared" si="7"/>
        <v>18826210</v>
      </c>
      <c r="O75" s="8">
        <v>268561</v>
      </c>
      <c r="Q75" s="8">
        <v>9053803</v>
      </c>
      <c r="S75" s="8">
        <v>28148574</v>
      </c>
      <c r="U75" s="8">
        <v>9599060</v>
      </c>
      <c r="W75" s="8">
        <f t="shared" si="8"/>
        <v>2823433</v>
      </c>
      <c r="Y75" s="8">
        <v>3099865</v>
      </c>
      <c r="AA75" s="8">
        <v>15522358</v>
      </c>
      <c r="AD75" s="8">
        <f t="shared" si="9"/>
        <v>0</v>
      </c>
      <c r="AF75" s="35">
        <f t="shared" si="10"/>
        <v>0</v>
      </c>
    </row>
    <row r="76" spans="1:32">
      <c r="A76" s="13" t="s">
        <v>655</v>
      </c>
      <c r="B76" s="13"/>
      <c r="C76" s="13" t="s">
        <v>62</v>
      </c>
      <c r="D76" s="13"/>
      <c r="E76" s="32">
        <v>43711</v>
      </c>
      <c r="G76" s="8">
        <f>+K76-I76</f>
        <v>12967620</v>
      </c>
      <c r="I76" s="8">
        <f>668470+4921542</f>
        <v>5590012</v>
      </c>
      <c r="K76" s="8">
        <v>18557632</v>
      </c>
      <c r="M76" s="8">
        <f>+S76-O76-Q76</f>
        <v>13102415</v>
      </c>
      <c r="O76" s="8">
        <v>737734</v>
      </c>
      <c r="Q76" s="8">
        <v>3479611</v>
      </c>
      <c r="S76" s="8">
        <v>17319760</v>
      </c>
      <c r="U76" s="8">
        <v>4696273</v>
      </c>
      <c r="W76" s="8">
        <f>AA76-Y76-U76</f>
        <v>-7693784</v>
      </c>
      <c r="Y76" s="8">
        <v>4235383</v>
      </c>
      <c r="AA76" s="8">
        <v>1237872</v>
      </c>
      <c r="AD76" s="8">
        <f>+K76-S76-AA76</f>
        <v>0</v>
      </c>
      <c r="AF76" s="35">
        <f>+G76+I76+-M76-O76-U76-W76-Y76-Q76</f>
        <v>0</v>
      </c>
    </row>
    <row r="77" spans="1:32">
      <c r="A77" s="13" t="s">
        <v>914</v>
      </c>
      <c r="B77" s="13"/>
      <c r="C77" s="13" t="s">
        <v>62</v>
      </c>
      <c r="D77" s="13"/>
      <c r="E77" s="32">
        <v>49833</v>
      </c>
      <c r="G77" s="8">
        <f>+K77-I77</f>
        <v>88894</v>
      </c>
      <c r="I77" s="8">
        <f>31377+157024</f>
        <v>188401</v>
      </c>
      <c r="K77" s="8">
        <v>277295</v>
      </c>
      <c r="M77" s="8">
        <f>+S77-O77-Q77</f>
        <v>53110</v>
      </c>
      <c r="O77" s="8">
        <v>3959</v>
      </c>
      <c r="Q77" s="8">
        <v>58397</v>
      </c>
      <c r="S77" s="8">
        <v>115466</v>
      </c>
      <c r="U77" s="8">
        <v>143962</v>
      </c>
      <c r="W77" s="8">
        <f>AA77-Y77-U77</f>
        <v>25159</v>
      </c>
      <c r="Y77" s="8">
        <v>-7292</v>
      </c>
      <c r="AA77" s="8">
        <v>161829</v>
      </c>
      <c r="AD77" s="8">
        <f>+K77-S77-AA77</f>
        <v>0</v>
      </c>
      <c r="AF77" s="35">
        <f>+G77+I77+-M77-O77-U77-W77-Y77-Q77</f>
        <v>0</v>
      </c>
    </row>
    <row r="78" spans="1:32">
      <c r="A78" s="13" t="s">
        <v>969</v>
      </c>
      <c r="B78" s="13"/>
      <c r="C78" s="13" t="s">
        <v>30</v>
      </c>
      <c r="D78" s="13"/>
      <c r="E78" s="32">
        <v>47175</v>
      </c>
      <c r="G78" s="8">
        <f t="shared" si="6"/>
        <v>12337091</v>
      </c>
      <c r="I78" s="8">
        <f>578884+10297123</f>
        <v>10876007</v>
      </c>
      <c r="K78" s="8">
        <v>23213098</v>
      </c>
      <c r="M78" s="8">
        <f t="shared" si="7"/>
        <v>8649716</v>
      </c>
      <c r="O78" s="8">
        <v>835370</v>
      </c>
      <c r="Q78" s="8">
        <v>11102875</v>
      </c>
      <c r="S78" s="8">
        <v>20587961</v>
      </c>
      <c r="U78" s="8">
        <v>2925329</v>
      </c>
      <c r="W78" s="8">
        <f t="shared" si="8"/>
        <v>2077755</v>
      </c>
      <c r="Y78" s="8">
        <v>-2377947</v>
      </c>
      <c r="AA78" s="8">
        <v>2625137</v>
      </c>
      <c r="AD78" s="8">
        <f t="shared" si="9"/>
        <v>0</v>
      </c>
      <c r="AF78" s="35">
        <f t="shared" si="10"/>
        <v>0</v>
      </c>
    </row>
    <row r="79" spans="1:32">
      <c r="A79" s="13" t="s">
        <v>568</v>
      </c>
      <c r="B79" s="13"/>
      <c r="C79" s="13" t="s">
        <v>78</v>
      </c>
      <c r="D79" s="13"/>
      <c r="E79" s="32">
        <v>48793</v>
      </c>
      <c r="G79" s="8">
        <f t="shared" si="6"/>
        <v>7989241</v>
      </c>
      <c r="I79" s="8">
        <f>279100+29079960</f>
        <v>29359060</v>
      </c>
      <c r="K79" s="8">
        <v>37348301</v>
      </c>
      <c r="M79" s="8">
        <f t="shared" si="7"/>
        <v>3012946</v>
      </c>
      <c r="O79" s="8">
        <v>350305</v>
      </c>
      <c r="Q79" s="8">
        <v>5562083</v>
      </c>
      <c r="S79" s="8">
        <v>8925334</v>
      </c>
      <c r="U79" s="8">
        <v>24284066</v>
      </c>
      <c r="W79" s="8">
        <f t="shared" si="8"/>
        <v>2755814</v>
      </c>
      <c r="Y79" s="8">
        <v>1383087</v>
      </c>
      <c r="AA79" s="8">
        <v>28422967</v>
      </c>
      <c r="AD79" s="8">
        <f t="shared" si="9"/>
        <v>0</v>
      </c>
      <c r="AF79" s="35">
        <f t="shared" si="10"/>
        <v>0</v>
      </c>
    </row>
    <row r="80" spans="1:32">
      <c r="A80" s="13" t="s">
        <v>713</v>
      </c>
      <c r="B80" s="13"/>
      <c r="C80" s="13" t="s">
        <v>69</v>
      </c>
      <c r="D80" s="13"/>
      <c r="E80" s="32">
        <v>48793</v>
      </c>
      <c r="G80" s="8">
        <f t="shared" si="6"/>
        <v>6028461</v>
      </c>
      <c r="I80" s="8">
        <f>325000+2308663</f>
        <v>2633663</v>
      </c>
      <c r="K80" s="8">
        <v>8662124</v>
      </c>
      <c r="M80" s="8">
        <f>+S80-O80-Q80</f>
        <v>5840356</v>
      </c>
      <c r="O80" s="8">
        <v>282666</v>
      </c>
      <c r="Q80" s="8">
        <v>1096228</v>
      </c>
      <c r="S80" s="8">
        <v>7219250</v>
      </c>
      <c r="U80" s="8">
        <v>2038133</v>
      </c>
      <c r="W80" s="8">
        <f>20644+186083</f>
        <v>206727</v>
      </c>
      <c r="Y80" s="8">
        <v>-801986</v>
      </c>
      <c r="AA80" s="8">
        <v>1442874</v>
      </c>
      <c r="AD80" s="8">
        <f>+K80-S80-AA80</f>
        <v>0</v>
      </c>
      <c r="AF80" s="35">
        <f>+G80+I80+-M80-O80-U80-W80-Y80-Q80</f>
        <v>0</v>
      </c>
    </row>
    <row r="81" spans="1:32">
      <c r="A81" s="13" t="s">
        <v>257</v>
      </c>
      <c r="B81" s="13"/>
      <c r="C81" s="13" t="s">
        <v>16</v>
      </c>
      <c r="D81" s="13"/>
      <c r="E81" s="32">
        <v>45278</v>
      </c>
      <c r="F81" s="11"/>
      <c r="G81" s="8">
        <f t="shared" si="6"/>
        <v>11353434</v>
      </c>
      <c r="I81" s="8">
        <f>101246+5984861</f>
        <v>6086107</v>
      </c>
      <c r="K81" s="8">
        <v>17439541</v>
      </c>
      <c r="M81" s="8">
        <f t="shared" si="7"/>
        <v>6878804</v>
      </c>
      <c r="O81" s="8">
        <v>197342</v>
      </c>
      <c r="Q81" s="8">
        <v>1420573</v>
      </c>
      <c r="S81" s="8">
        <v>8496719</v>
      </c>
      <c r="U81" s="8">
        <v>5998579</v>
      </c>
      <c r="W81" s="8">
        <f t="shared" si="8"/>
        <v>35685</v>
      </c>
      <c r="Y81" s="8">
        <v>2908558</v>
      </c>
      <c r="AA81" s="8">
        <v>8942822</v>
      </c>
      <c r="AD81" s="8">
        <f t="shared" si="9"/>
        <v>0</v>
      </c>
      <c r="AF81" s="35">
        <f t="shared" si="10"/>
        <v>0</v>
      </c>
    </row>
    <row r="82" spans="1:32">
      <c r="A82" s="13" t="s">
        <v>857</v>
      </c>
      <c r="B82" s="13"/>
      <c r="C82" s="13" t="s">
        <v>117</v>
      </c>
      <c r="D82" s="13"/>
      <c r="E82" s="32">
        <v>47258</v>
      </c>
      <c r="G82" s="8">
        <f t="shared" si="6"/>
        <v>3851302</v>
      </c>
      <c r="I82" s="8">
        <f>1907913+122820+47249</f>
        <v>2077982</v>
      </c>
      <c r="K82" s="8">
        <f>5929284</f>
        <v>5929284</v>
      </c>
      <c r="M82" s="8">
        <f t="shared" si="7"/>
        <v>2452245</v>
      </c>
      <c r="O82" s="8">
        <v>28742</v>
      </c>
      <c r="Q82" s="8">
        <v>327861</v>
      </c>
      <c r="S82" s="8">
        <v>2808848</v>
      </c>
      <c r="U82" s="8">
        <v>2077982</v>
      </c>
      <c r="W82" s="8">
        <f t="shared" si="8"/>
        <v>24321</v>
      </c>
      <c r="Y82" s="8">
        <v>1018133</v>
      </c>
      <c r="AA82" s="8">
        <v>3120436</v>
      </c>
      <c r="AD82" s="8">
        <f>+K82-S82-AA82</f>
        <v>0</v>
      </c>
      <c r="AF82" s="35">
        <f t="shared" si="10"/>
        <v>0</v>
      </c>
    </row>
    <row r="83" spans="1:32">
      <c r="A83" s="13" t="s">
        <v>459</v>
      </c>
      <c r="B83" s="13"/>
      <c r="C83" s="13" t="s">
        <v>40</v>
      </c>
      <c r="D83" s="13"/>
      <c r="E83" s="32">
        <v>47829</v>
      </c>
      <c r="G83" s="8">
        <f t="shared" si="6"/>
        <v>8144040</v>
      </c>
      <c r="I83" s="8">
        <f>632010+21217268</f>
        <v>21849278</v>
      </c>
      <c r="K83" s="8">
        <v>29993318</v>
      </c>
      <c r="M83" s="8">
        <f t="shared" si="7"/>
        <v>3039871</v>
      </c>
      <c r="O83" s="8">
        <v>279806</v>
      </c>
      <c r="Q83" s="8">
        <v>5848250</v>
      </c>
      <c r="S83" s="8">
        <v>9167927</v>
      </c>
      <c r="U83" s="8">
        <v>16272283</v>
      </c>
      <c r="W83" s="8">
        <f t="shared" si="8"/>
        <v>1442808</v>
      </c>
      <c r="Y83" s="8">
        <v>3110300</v>
      </c>
      <c r="AA83" s="8">
        <v>20825391</v>
      </c>
      <c r="AD83" s="8">
        <f t="shared" si="9"/>
        <v>0</v>
      </c>
      <c r="AF83" s="35">
        <f t="shared" si="10"/>
        <v>0</v>
      </c>
    </row>
    <row r="84" spans="1:32" s="35" customFormat="1">
      <c r="A84" s="34" t="s">
        <v>553</v>
      </c>
      <c r="B84" s="34"/>
      <c r="C84" s="34" t="s">
        <v>50</v>
      </c>
      <c r="D84" s="34"/>
      <c r="E84" s="34">
        <v>43737</v>
      </c>
      <c r="G84" s="8">
        <f t="shared" si="6"/>
        <v>105669047</v>
      </c>
      <c r="H84" s="8"/>
      <c r="I84" s="8">
        <f>4172456+75404008</f>
        <v>79576464</v>
      </c>
      <c r="J84" s="8"/>
      <c r="K84" s="8">
        <v>185245511</v>
      </c>
      <c r="L84" s="8"/>
      <c r="M84" s="8">
        <f t="shared" si="7"/>
        <v>60072993</v>
      </c>
      <c r="N84" s="8"/>
      <c r="O84" s="8">
        <v>3682159</v>
      </c>
      <c r="P84" s="8"/>
      <c r="Q84" s="8">
        <v>73200170</v>
      </c>
      <c r="R84" s="8"/>
      <c r="S84" s="8">
        <v>136955322</v>
      </c>
      <c r="T84" s="8"/>
      <c r="U84" s="8">
        <v>16480198</v>
      </c>
      <c r="V84" s="8"/>
      <c r="W84" s="8">
        <f t="shared" si="8"/>
        <v>14366411</v>
      </c>
      <c r="X84" s="8"/>
      <c r="Y84" s="8">
        <v>17443580</v>
      </c>
      <c r="Z84" s="8"/>
      <c r="AA84" s="8">
        <v>48290189</v>
      </c>
      <c r="AD84" s="35">
        <f t="shared" si="9"/>
        <v>0</v>
      </c>
      <c r="AF84" s="35">
        <f t="shared" si="10"/>
        <v>0</v>
      </c>
    </row>
    <row r="85" spans="1:32">
      <c r="A85" s="13" t="s">
        <v>807</v>
      </c>
      <c r="B85" s="13"/>
      <c r="C85" s="13" t="s">
        <v>22</v>
      </c>
      <c r="D85" s="13"/>
      <c r="E85" s="32">
        <v>46714</v>
      </c>
      <c r="G85" s="8">
        <f t="shared" si="6"/>
        <v>5687630</v>
      </c>
      <c r="I85" s="8">
        <f>201152+10163772</f>
        <v>10364924</v>
      </c>
      <c r="K85" s="8">
        <v>16052554</v>
      </c>
      <c r="M85" s="8">
        <f t="shared" si="7"/>
        <v>3292447</v>
      </c>
      <c r="O85" s="8">
        <v>95000</v>
      </c>
      <c r="Q85" s="8">
        <v>3034456</v>
      </c>
      <c r="S85" s="8">
        <v>6421903</v>
      </c>
      <c r="U85" s="8">
        <v>8247123</v>
      </c>
      <c r="W85" s="8">
        <f t="shared" si="8"/>
        <v>655745</v>
      </c>
      <c r="Y85" s="8">
        <v>727783</v>
      </c>
      <c r="AA85" s="8">
        <v>9630651</v>
      </c>
      <c r="AD85" s="8">
        <f t="shared" si="9"/>
        <v>0</v>
      </c>
      <c r="AF85" s="35">
        <f t="shared" si="10"/>
        <v>0</v>
      </c>
    </row>
    <row r="86" spans="1:32">
      <c r="A86" s="13" t="s">
        <v>306</v>
      </c>
      <c r="B86" s="13"/>
      <c r="C86" s="13" t="s">
        <v>20</v>
      </c>
      <c r="D86" s="13"/>
      <c r="E86" s="32">
        <v>45286</v>
      </c>
      <c r="G86" s="8">
        <f t="shared" si="6"/>
        <v>27085353</v>
      </c>
      <c r="I86" s="8">
        <f>1386635+28861165</f>
        <v>30247800</v>
      </c>
      <c r="K86" s="8">
        <v>57333153</v>
      </c>
      <c r="M86" s="8">
        <f t="shared" si="7"/>
        <v>20241843</v>
      </c>
      <c r="O86" s="8">
        <v>1620968</v>
      </c>
      <c r="Q86" s="8">
        <v>28844684</v>
      </c>
      <c r="S86" s="8">
        <v>50707495</v>
      </c>
      <c r="U86" s="8">
        <v>1611681</v>
      </c>
      <c r="W86" s="8">
        <f t="shared" si="8"/>
        <v>4004857</v>
      </c>
      <c r="Y86" s="8">
        <v>1009120</v>
      </c>
      <c r="AA86" s="8">
        <v>6625658</v>
      </c>
      <c r="AD86" s="8">
        <f t="shared" si="9"/>
        <v>0</v>
      </c>
      <c r="AF86" s="35">
        <f t="shared" si="10"/>
        <v>0</v>
      </c>
    </row>
    <row r="87" spans="1:32">
      <c r="A87" s="13" t="s">
        <v>683</v>
      </c>
      <c r="B87" s="13"/>
      <c r="C87" s="13" t="s">
        <v>64</v>
      </c>
      <c r="D87" s="13"/>
      <c r="E87" s="32">
        <v>50138</v>
      </c>
      <c r="G87" s="8">
        <f t="shared" si="6"/>
        <v>6613636</v>
      </c>
      <c r="I87" s="8">
        <f>38950+2683306</f>
        <v>2722256</v>
      </c>
      <c r="K87" s="8">
        <v>9335892</v>
      </c>
      <c r="M87" s="8">
        <f t="shared" si="7"/>
        <v>6573928</v>
      </c>
      <c r="O87" s="8">
        <v>277660</v>
      </c>
      <c r="Q87" s="8">
        <v>1914562</v>
      </c>
      <c r="S87" s="8">
        <v>8766150</v>
      </c>
      <c r="U87" s="8">
        <v>1372907</v>
      </c>
      <c r="W87" s="8">
        <f t="shared" si="8"/>
        <v>129200</v>
      </c>
      <c r="Y87" s="8">
        <v>-932365</v>
      </c>
      <c r="AA87" s="8">
        <v>569742</v>
      </c>
      <c r="AD87" s="8">
        <f t="shared" si="9"/>
        <v>0</v>
      </c>
      <c r="AF87" s="35">
        <f t="shared" si="10"/>
        <v>0</v>
      </c>
    </row>
    <row r="88" spans="1:32">
      <c r="A88" s="13" t="s">
        <v>383</v>
      </c>
      <c r="B88" s="13"/>
      <c r="C88" s="13" t="s">
        <v>30</v>
      </c>
      <c r="D88" s="13"/>
      <c r="E88" s="32">
        <v>47183</v>
      </c>
      <c r="G88" s="8">
        <f t="shared" si="6"/>
        <v>23378150</v>
      </c>
      <c r="I88" s="8">
        <f>609612+4686352</f>
        <v>5295964</v>
      </c>
      <c r="K88" s="8">
        <v>28674114</v>
      </c>
      <c r="M88" s="8">
        <f t="shared" si="7"/>
        <v>18220967</v>
      </c>
      <c r="O88" s="8">
        <v>111360</v>
      </c>
      <c r="Q88" s="8">
        <v>1576582</v>
      </c>
      <c r="S88" s="8">
        <v>19908909</v>
      </c>
      <c r="U88" s="8">
        <v>5290286</v>
      </c>
      <c r="W88" s="8">
        <f t="shared" si="8"/>
        <v>737031</v>
      </c>
      <c r="Y88" s="8">
        <v>2737888</v>
      </c>
      <c r="AA88" s="8">
        <v>8765205</v>
      </c>
      <c r="AD88" s="8">
        <f t="shared" si="9"/>
        <v>0</v>
      </c>
      <c r="AF88" s="35">
        <f t="shared" si="10"/>
        <v>0</v>
      </c>
    </row>
    <row r="89" spans="1:32">
      <c r="A89" s="13" t="s">
        <v>470</v>
      </c>
      <c r="B89" s="13"/>
      <c r="C89" s="13" t="s">
        <v>471</v>
      </c>
      <c r="D89" s="13"/>
      <c r="E89" s="32">
        <v>45294</v>
      </c>
      <c r="F89" s="35"/>
      <c r="G89" s="8">
        <f t="shared" si="6"/>
        <v>6792422</v>
      </c>
      <c r="I89" s="8">
        <f>257668+22263265</f>
        <v>22520933</v>
      </c>
      <c r="K89" s="8">
        <v>29313355</v>
      </c>
      <c r="M89" s="8">
        <f t="shared" si="7"/>
        <v>3478977</v>
      </c>
      <c r="O89" s="8">
        <v>326159</v>
      </c>
      <c r="Q89" s="8">
        <v>2601413</v>
      </c>
      <c r="S89" s="8">
        <v>6406549</v>
      </c>
      <c r="U89" s="8">
        <v>20210937</v>
      </c>
      <c r="W89" s="8">
        <f t="shared" si="8"/>
        <v>1970421</v>
      </c>
      <c r="Y89" s="8">
        <v>725448</v>
      </c>
      <c r="AA89" s="8">
        <v>22906806</v>
      </c>
      <c r="AD89" s="8">
        <f t="shared" si="9"/>
        <v>0</v>
      </c>
      <c r="AF89" s="35">
        <f t="shared" si="10"/>
        <v>0</v>
      </c>
    </row>
    <row r="90" spans="1:32">
      <c r="A90" s="13" t="s">
        <v>622</v>
      </c>
      <c r="B90" s="13"/>
      <c r="C90" s="13" t="s">
        <v>58</v>
      </c>
      <c r="D90" s="13"/>
      <c r="E90" s="32">
        <v>43745</v>
      </c>
      <c r="G90" s="8">
        <f t="shared" si="6"/>
        <v>23037047</v>
      </c>
      <c r="I90" s="8">
        <f>644422+38911557</f>
        <v>39555979</v>
      </c>
      <c r="K90" s="8">
        <v>62593026</v>
      </c>
      <c r="M90" s="8">
        <f t="shared" si="7"/>
        <v>15219577</v>
      </c>
      <c r="O90" s="8">
        <v>1289942</v>
      </c>
      <c r="Q90" s="8">
        <v>35842570</v>
      </c>
      <c r="S90" s="8">
        <v>52352089</v>
      </c>
      <c r="U90" s="8">
        <v>4662460</v>
      </c>
      <c r="W90" s="8">
        <f t="shared" si="8"/>
        <v>3195640</v>
      </c>
      <c r="Y90" s="8">
        <v>2382837</v>
      </c>
      <c r="AA90" s="8">
        <v>10240937</v>
      </c>
      <c r="AD90" s="8">
        <f t="shared" si="9"/>
        <v>0</v>
      </c>
      <c r="AF90" s="35">
        <f t="shared" si="10"/>
        <v>0</v>
      </c>
    </row>
    <row r="91" spans="1:32">
      <c r="A91" s="13" t="s">
        <v>727</v>
      </c>
      <c r="B91" s="13"/>
      <c r="C91" s="13" t="s">
        <v>71</v>
      </c>
      <c r="D91" s="13"/>
      <c r="E91" s="32">
        <v>43745</v>
      </c>
      <c r="G91" s="8">
        <f>+K91-I91</f>
        <v>9626670</v>
      </c>
      <c r="I91" s="8">
        <v>3169232</v>
      </c>
      <c r="K91" s="8">
        <v>12795902</v>
      </c>
      <c r="M91" s="8">
        <f>+S91-O91-Q91</f>
        <v>5718795</v>
      </c>
      <c r="O91" s="8">
        <v>46340</v>
      </c>
      <c r="Q91" s="8">
        <v>458185</v>
      </c>
      <c r="S91" s="8">
        <v>6223320</v>
      </c>
      <c r="U91" s="8">
        <v>3169232</v>
      </c>
      <c r="W91" s="8">
        <f>AA91-Y91-U91</f>
        <v>1073979</v>
      </c>
      <c r="Y91" s="8">
        <v>2329371</v>
      </c>
      <c r="AA91" s="8">
        <v>6572582</v>
      </c>
      <c r="AD91" s="8">
        <f>+K91-S91-AA91</f>
        <v>0</v>
      </c>
      <c r="AF91" s="35">
        <f>+G91+I91+-M91-O91-U91-W91-Y91-Q91</f>
        <v>0</v>
      </c>
    </row>
    <row r="92" spans="1:32">
      <c r="A92" s="13" t="s">
        <v>976</v>
      </c>
      <c r="B92" s="13"/>
      <c r="C92" s="13" t="s">
        <v>32</v>
      </c>
      <c r="D92" s="13"/>
      <c r="E92" s="32">
        <v>43745</v>
      </c>
      <c r="G92" s="8">
        <f>+K92-I92</f>
        <v>1007314815</v>
      </c>
      <c r="I92" s="8">
        <f>213981149+367500528</f>
        <v>581481677</v>
      </c>
      <c r="K92" s="8">
        <v>1588796492</v>
      </c>
      <c r="M92" s="8">
        <f>+S92-O92-Q92</f>
        <v>318161050</v>
      </c>
      <c r="O92" s="8">
        <v>30404108</v>
      </c>
      <c r="Q92" s="8">
        <v>797892394</v>
      </c>
      <c r="S92" s="8">
        <v>1146457552</v>
      </c>
      <c r="U92" s="8">
        <v>273865981</v>
      </c>
      <c r="W92" s="8">
        <f>AA92-Y92-U92</f>
        <v>128166050</v>
      </c>
      <c r="Y92" s="8">
        <v>40306909</v>
      </c>
      <c r="AA92" s="8">
        <v>442338940</v>
      </c>
      <c r="AD92" s="8">
        <f>+K92-S92-AA92</f>
        <v>0</v>
      </c>
      <c r="AF92" s="35">
        <f>+G92+I92+-M92-O92-U92-W92-Y92-Q92</f>
        <v>0</v>
      </c>
    </row>
    <row r="93" spans="1:32">
      <c r="A93" s="13" t="s">
        <v>588</v>
      </c>
      <c r="B93" s="13"/>
      <c r="C93" s="13" t="s">
        <v>54</v>
      </c>
      <c r="D93" s="13"/>
      <c r="E93" s="32">
        <v>43760</v>
      </c>
      <c r="G93" s="8">
        <f t="shared" si="6"/>
        <v>24511598</v>
      </c>
      <c r="I93" s="8">
        <v>4468149</v>
      </c>
      <c r="K93" s="8">
        <v>28979747</v>
      </c>
      <c r="M93" s="8">
        <f t="shared" si="7"/>
        <v>10957085</v>
      </c>
      <c r="O93" s="8">
        <v>578502</v>
      </c>
      <c r="Q93" s="8">
        <v>1940401</v>
      </c>
      <c r="S93" s="8">
        <v>13475988</v>
      </c>
      <c r="U93" s="8">
        <v>4468149</v>
      </c>
      <c r="W93" s="8">
        <f t="shared" si="8"/>
        <v>1392826</v>
      </c>
      <c r="Y93" s="8">
        <v>9642784</v>
      </c>
      <c r="AA93" s="8">
        <v>15503759</v>
      </c>
      <c r="AD93" s="8">
        <f t="shared" si="9"/>
        <v>0</v>
      </c>
      <c r="AF93" s="35">
        <f t="shared" si="10"/>
        <v>0</v>
      </c>
    </row>
    <row r="94" spans="1:32">
      <c r="A94" s="13" t="s">
        <v>264</v>
      </c>
      <c r="B94" s="13"/>
      <c r="C94" s="13" t="s">
        <v>17</v>
      </c>
      <c r="D94" s="13"/>
      <c r="E94" s="32">
        <v>46284</v>
      </c>
      <c r="F94" s="11"/>
      <c r="G94" s="8">
        <f t="shared" si="6"/>
        <v>13416627</v>
      </c>
      <c r="I94" s="8">
        <f>11658982+641103</f>
        <v>12300085</v>
      </c>
      <c r="K94" s="8">
        <v>25716712</v>
      </c>
      <c r="M94" s="8">
        <f t="shared" si="7"/>
        <v>8931494</v>
      </c>
      <c r="O94" s="8">
        <v>115779</v>
      </c>
      <c r="Q94" s="8">
        <v>1425727</v>
      </c>
      <c r="S94" s="8">
        <v>10473000</v>
      </c>
      <c r="U94" s="8">
        <v>12206529</v>
      </c>
      <c r="W94" s="8">
        <f t="shared" si="8"/>
        <v>1779748</v>
      </c>
      <c r="Y94" s="8">
        <v>1257435</v>
      </c>
      <c r="AA94" s="8">
        <v>15243712</v>
      </c>
      <c r="AD94" s="8">
        <f t="shared" si="9"/>
        <v>0</v>
      </c>
      <c r="AF94" s="35">
        <f t="shared" si="10"/>
        <v>0</v>
      </c>
    </row>
    <row r="95" spans="1:32">
      <c r="A95" s="13" t="s">
        <v>632</v>
      </c>
      <c r="B95" s="13"/>
      <c r="C95" s="13" t="s">
        <v>59</v>
      </c>
      <c r="D95" s="13"/>
      <c r="E95" s="32">
        <v>49601</v>
      </c>
      <c r="G95" s="8">
        <f t="shared" si="6"/>
        <v>2706702</v>
      </c>
      <c r="I95" s="8">
        <f>36900+1528018</f>
        <v>1564918</v>
      </c>
      <c r="K95" s="8">
        <v>4271620</v>
      </c>
      <c r="M95" s="8">
        <f t="shared" si="7"/>
        <v>1820458</v>
      </c>
      <c r="O95" s="8">
        <v>187418</v>
      </c>
      <c r="Q95" s="8">
        <v>484964</v>
      </c>
      <c r="S95" s="8">
        <v>2492840</v>
      </c>
      <c r="U95" s="8">
        <v>1280918</v>
      </c>
      <c r="W95" s="8">
        <f t="shared" si="8"/>
        <v>229751</v>
      </c>
      <c r="Y95" s="8">
        <v>268111</v>
      </c>
      <c r="AA95" s="8">
        <v>1778780</v>
      </c>
      <c r="AD95" s="8">
        <f t="shared" si="9"/>
        <v>0</v>
      </c>
      <c r="AF95" s="35">
        <f t="shared" si="10"/>
        <v>0</v>
      </c>
    </row>
    <row r="96" spans="1:32">
      <c r="A96" s="13" t="s">
        <v>699</v>
      </c>
      <c r="B96" s="13"/>
      <c r="C96" s="13" t="s">
        <v>65</v>
      </c>
      <c r="D96" s="13"/>
      <c r="E96" s="32">
        <v>43778</v>
      </c>
      <c r="G96" s="8">
        <f t="shared" si="6"/>
        <v>9875927</v>
      </c>
      <c r="I96" s="8">
        <f>318293+23152197</f>
        <v>23470490</v>
      </c>
      <c r="K96" s="8">
        <v>33346417</v>
      </c>
      <c r="M96" s="8">
        <f t="shared" si="7"/>
        <v>6031863</v>
      </c>
      <c r="O96" s="8">
        <v>517789</v>
      </c>
      <c r="Q96" s="8">
        <v>4784123</v>
      </c>
      <c r="S96" s="8">
        <v>11333775</v>
      </c>
      <c r="U96" s="8">
        <v>19471246</v>
      </c>
      <c r="W96" s="8">
        <f t="shared" si="8"/>
        <v>1476738</v>
      </c>
      <c r="Y96" s="8">
        <v>1064658</v>
      </c>
      <c r="AA96" s="8">
        <v>22012642</v>
      </c>
      <c r="AD96" s="8">
        <f t="shared" si="9"/>
        <v>0</v>
      </c>
      <c r="AF96" s="35">
        <f t="shared" si="10"/>
        <v>0</v>
      </c>
    </row>
    <row r="97" spans="1:32">
      <c r="A97" s="13" t="s">
        <v>614</v>
      </c>
      <c r="B97" s="13"/>
      <c r="C97" s="13" t="s">
        <v>113</v>
      </c>
      <c r="D97" s="13"/>
      <c r="E97" s="32">
        <v>49411</v>
      </c>
      <c r="G97" s="8">
        <f t="shared" si="6"/>
        <v>12336803</v>
      </c>
      <c r="I97" s="8">
        <f>735639+8606936</f>
        <v>9342575</v>
      </c>
      <c r="K97" s="8">
        <v>21679378</v>
      </c>
      <c r="M97" s="8">
        <f t="shared" si="7"/>
        <v>4989352</v>
      </c>
      <c r="O97" s="8">
        <v>358297</v>
      </c>
      <c r="Q97" s="8">
        <v>7538760</v>
      </c>
      <c r="S97" s="8">
        <v>12886409</v>
      </c>
      <c r="U97" s="8">
        <v>2639065</v>
      </c>
      <c r="W97" s="8">
        <f t="shared" si="8"/>
        <v>1063101</v>
      </c>
      <c r="Y97" s="8">
        <v>5090803</v>
      </c>
      <c r="AA97" s="8">
        <v>8792969</v>
      </c>
      <c r="AD97" s="8">
        <f t="shared" si="9"/>
        <v>0</v>
      </c>
      <c r="AF97" s="35">
        <f t="shared" si="10"/>
        <v>0</v>
      </c>
    </row>
    <row r="98" spans="1:32">
      <c r="A98" s="13" t="s">
        <v>491</v>
      </c>
      <c r="B98" s="13"/>
      <c r="C98" s="13" t="s">
        <v>44</v>
      </c>
      <c r="D98" s="13"/>
      <c r="E98" s="32">
        <v>48132</v>
      </c>
      <c r="G98" s="8">
        <f t="shared" si="6"/>
        <v>4795695</v>
      </c>
      <c r="I98" s="8">
        <v>20224742</v>
      </c>
      <c r="K98" s="8">
        <v>25020437</v>
      </c>
      <c r="M98" s="8">
        <f t="shared" si="7"/>
        <v>4877367</v>
      </c>
      <c r="O98" s="8">
        <v>277224</v>
      </c>
      <c r="Q98" s="8">
        <v>5891501</v>
      </c>
      <c r="S98" s="8">
        <v>11046092</v>
      </c>
      <c r="U98" s="8">
        <v>15056639</v>
      </c>
      <c r="W98" s="8">
        <f t="shared" si="8"/>
        <v>701190</v>
      </c>
      <c r="Y98" s="8">
        <v>-1783484</v>
      </c>
      <c r="AA98" s="8">
        <v>13974345</v>
      </c>
      <c r="AD98" s="8">
        <f t="shared" si="9"/>
        <v>0</v>
      </c>
      <c r="AF98" s="35">
        <f t="shared" si="10"/>
        <v>0</v>
      </c>
    </row>
    <row r="99" spans="1:32">
      <c r="A99" s="13" t="s">
        <v>970</v>
      </c>
      <c r="B99" s="13"/>
      <c r="C99" s="13" t="s">
        <v>116</v>
      </c>
      <c r="D99" s="13"/>
      <c r="E99" s="32">
        <v>43794</v>
      </c>
      <c r="G99" s="8">
        <f>+K99-I99</f>
        <v>11831100</v>
      </c>
      <c r="I99" s="8">
        <f>2024809+3487581</f>
        <v>5512390</v>
      </c>
      <c r="K99" s="8">
        <v>17343490</v>
      </c>
      <c r="M99" s="8">
        <f>+S99-O99-Q99</f>
        <v>7034867</v>
      </c>
      <c r="O99" s="8">
        <v>796352</v>
      </c>
      <c r="Q99" s="8">
        <v>2558543</v>
      </c>
      <c r="S99" s="8">
        <v>10389762</v>
      </c>
      <c r="U99" s="8">
        <v>3382390</v>
      </c>
      <c r="W99" s="8">
        <f>AA99-Y99-U99</f>
        <v>1418281</v>
      </c>
      <c r="Y99" s="8">
        <v>2153057</v>
      </c>
      <c r="AA99" s="8">
        <v>6953728</v>
      </c>
      <c r="AD99" s="8">
        <f>+K99-S99-AA99</f>
        <v>0</v>
      </c>
      <c r="AF99" s="35">
        <f>+G99+I99+-M99-O99-U99-W99-Y99-Q99</f>
        <v>0</v>
      </c>
    </row>
    <row r="100" spans="1:32">
      <c r="A100" s="13" t="s">
        <v>307</v>
      </c>
      <c r="B100" s="13"/>
      <c r="C100" s="13" t="s">
        <v>20</v>
      </c>
      <c r="D100" s="13"/>
      <c r="E100" s="32">
        <v>43794</v>
      </c>
      <c r="G100" s="8">
        <f t="shared" si="6"/>
        <v>128381241</v>
      </c>
      <c r="I100" s="8">
        <f>2596818+35014196</f>
        <v>37611014</v>
      </c>
      <c r="K100" s="8">
        <v>165992255</v>
      </c>
      <c r="M100" s="8">
        <f t="shared" si="7"/>
        <v>49366640</v>
      </c>
      <c r="O100" s="8">
        <v>1575346</v>
      </c>
      <c r="Q100" s="8">
        <v>22786193</v>
      </c>
      <c r="S100" s="8">
        <v>73728179</v>
      </c>
      <c r="U100" s="8">
        <v>27570443</v>
      </c>
      <c r="W100" s="8">
        <f t="shared" si="8"/>
        <v>6023996</v>
      </c>
      <c r="Y100" s="8">
        <v>58669637</v>
      </c>
      <c r="AA100" s="8">
        <v>92264076</v>
      </c>
      <c r="AD100" s="8">
        <f t="shared" si="9"/>
        <v>0</v>
      </c>
      <c r="AF100" s="35">
        <f t="shared" si="10"/>
        <v>0</v>
      </c>
    </row>
    <row r="101" spans="1:32">
      <c r="A101" s="13" t="s">
        <v>308</v>
      </c>
      <c r="B101" s="13"/>
      <c r="C101" s="13" t="s">
        <v>20</v>
      </c>
      <c r="D101" s="13"/>
      <c r="E101" s="32">
        <v>43786</v>
      </c>
      <c r="G101" s="8">
        <f t="shared" si="6"/>
        <v>801275003</v>
      </c>
      <c r="I101" s="8">
        <f>216594455+305437969</f>
        <v>522032424</v>
      </c>
      <c r="K101" s="8">
        <v>1323307427</v>
      </c>
      <c r="M101" s="8">
        <f t="shared" si="7"/>
        <v>268374762</v>
      </c>
      <c r="O101" s="8">
        <v>21385452</v>
      </c>
      <c r="Q101" s="8">
        <v>245240044</v>
      </c>
      <c r="S101" s="8">
        <v>535000258</v>
      </c>
      <c r="U101" s="8">
        <v>332124644</v>
      </c>
      <c r="W101" s="8">
        <f t="shared" si="8"/>
        <v>381775769</v>
      </c>
      <c r="Y101" s="8">
        <v>74406756</v>
      </c>
      <c r="AA101" s="8">
        <v>788307169</v>
      </c>
      <c r="AD101" s="8">
        <f t="shared" si="9"/>
        <v>0</v>
      </c>
      <c r="AF101" s="35">
        <f t="shared" si="10"/>
        <v>0</v>
      </c>
    </row>
    <row r="102" spans="1:32">
      <c r="A102" s="12" t="s">
        <v>279</v>
      </c>
      <c r="B102" s="12"/>
      <c r="C102" s="12" t="s">
        <v>18</v>
      </c>
      <c r="D102" s="12"/>
      <c r="E102" s="32">
        <v>46391</v>
      </c>
      <c r="G102" s="8">
        <f t="shared" si="6"/>
        <v>45734121</v>
      </c>
      <c r="I102" s="8">
        <f>9170959+19578392</f>
        <v>28749351</v>
      </c>
      <c r="K102" s="8">
        <v>74483472</v>
      </c>
      <c r="M102" s="8">
        <f t="shared" si="7"/>
        <v>9853972</v>
      </c>
      <c r="O102" s="8">
        <v>6981197</v>
      </c>
      <c r="Q102" s="8">
        <v>8812131</v>
      </c>
      <c r="S102" s="8">
        <v>25647300</v>
      </c>
      <c r="U102" s="8">
        <v>13491279</v>
      </c>
      <c r="W102" s="8">
        <f t="shared" si="8"/>
        <v>32902804</v>
      </c>
      <c r="Y102" s="8">
        <v>2442089</v>
      </c>
      <c r="AA102" s="8">
        <v>48836172</v>
      </c>
      <c r="AD102" s="8">
        <f t="shared" si="9"/>
        <v>0</v>
      </c>
      <c r="AF102" s="35">
        <f t="shared" si="10"/>
        <v>0</v>
      </c>
    </row>
    <row r="103" spans="1:32">
      <c r="A103" s="13" t="s">
        <v>533</v>
      </c>
      <c r="B103" s="13"/>
      <c r="C103" s="13" t="s">
        <v>47</v>
      </c>
      <c r="D103" s="13"/>
      <c r="E103" s="32">
        <v>48488</v>
      </c>
      <c r="G103" s="8">
        <f t="shared" si="6"/>
        <v>17428743</v>
      </c>
      <c r="I103" s="8">
        <f>462250+7807706</f>
        <v>8269956</v>
      </c>
      <c r="K103" s="8">
        <v>25698699</v>
      </c>
      <c r="M103" s="8">
        <f t="shared" si="7"/>
        <v>16710879</v>
      </c>
      <c r="O103" s="8">
        <v>330672</v>
      </c>
      <c r="Q103" s="8">
        <v>2649844</v>
      </c>
      <c r="S103" s="8">
        <v>19691395</v>
      </c>
      <c r="U103" s="8">
        <v>8272956</v>
      </c>
      <c r="W103" s="8">
        <f t="shared" si="8"/>
        <v>1484597</v>
      </c>
      <c r="Y103" s="8">
        <v>-3750249</v>
      </c>
      <c r="AA103" s="8">
        <v>6007304</v>
      </c>
      <c r="AD103" s="8">
        <f t="shared" si="9"/>
        <v>0</v>
      </c>
      <c r="AF103" s="35">
        <f t="shared" si="10"/>
        <v>0</v>
      </c>
    </row>
    <row r="104" spans="1:32">
      <c r="A104" s="13" t="s">
        <v>627</v>
      </c>
      <c r="B104" s="13"/>
      <c r="C104" s="13" t="s">
        <v>79</v>
      </c>
      <c r="D104" s="13"/>
      <c r="E104" s="32">
        <v>45302</v>
      </c>
      <c r="G104" s="8">
        <f t="shared" si="6"/>
        <v>33365803</v>
      </c>
      <c r="I104" s="8">
        <f>423960+10358890</f>
        <v>10782850</v>
      </c>
      <c r="K104" s="8">
        <v>44148653</v>
      </c>
      <c r="M104" s="8">
        <f t="shared" si="7"/>
        <v>7892456</v>
      </c>
      <c r="O104" s="8">
        <v>510589</v>
      </c>
      <c r="Q104" s="8">
        <v>28089238</v>
      </c>
      <c r="S104" s="8">
        <v>36492283</v>
      </c>
      <c r="U104" s="8">
        <v>5889165</v>
      </c>
      <c r="W104" s="8">
        <f t="shared" si="8"/>
        <v>2207033</v>
      </c>
      <c r="Y104" s="8">
        <v>-439828</v>
      </c>
      <c r="AA104" s="8">
        <v>7656370</v>
      </c>
      <c r="AD104" s="8">
        <f t="shared" si="9"/>
        <v>0</v>
      </c>
      <c r="AF104" s="35">
        <f t="shared" si="10"/>
        <v>0</v>
      </c>
    </row>
    <row r="105" spans="1:32">
      <c r="A105" s="13" t="s">
        <v>296</v>
      </c>
      <c r="B105" s="13"/>
      <c r="C105" s="13" t="s">
        <v>114</v>
      </c>
      <c r="D105" s="13"/>
      <c r="E105" s="32">
        <v>46516</v>
      </c>
      <c r="G105" s="8">
        <f t="shared" si="6"/>
        <v>6533649</v>
      </c>
      <c r="I105" s="8">
        <f>204654+47266+16437397</f>
        <v>16689317</v>
      </c>
      <c r="K105" s="8">
        <v>23222966</v>
      </c>
      <c r="M105" s="8">
        <f t="shared" si="7"/>
        <v>3558348</v>
      </c>
      <c r="O105" s="8">
        <v>481632</v>
      </c>
      <c r="Q105" s="8">
        <v>14404896</v>
      </c>
      <c r="S105" s="8">
        <v>18444876</v>
      </c>
      <c r="U105" s="8">
        <v>2792940</v>
      </c>
      <c r="W105" s="8">
        <f t="shared" si="8"/>
        <v>1392460</v>
      </c>
      <c r="Y105" s="8">
        <v>592690</v>
      </c>
      <c r="AA105" s="8">
        <v>4778090</v>
      </c>
      <c r="AD105" s="8">
        <f t="shared" si="9"/>
        <v>0</v>
      </c>
      <c r="AF105" s="35">
        <f t="shared" si="10"/>
        <v>0</v>
      </c>
    </row>
    <row r="106" spans="1:32">
      <c r="A106" s="13" t="s">
        <v>492</v>
      </c>
      <c r="B106" s="13"/>
      <c r="C106" s="13" t="s">
        <v>44</v>
      </c>
      <c r="D106" s="13"/>
      <c r="E106" s="32">
        <v>48140</v>
      </c>
      <c r="G106" s="8">
        <f t="shared" si="6"/>
        <v>9621735</v>
      </c>
      <c r="I106" s="8">
        <f>400614+2128364</f>
        <v>2528978</v>
      </c>
      <c r="K106" s="8">
        <v>12150713</v>
      </c>
      <c r="M106" s="8">
        <f t="shared" si="7"/>
        <v>7001902</v>
      </c>
      <c r="O106" s="8">
        <v>390041</v>
      </c>
      <c r="Q106" s="8">
        <v>320299</v>
      </c>
      <c r="S106" s="8">
        <v>7712242</v>
      </c>
      <c r="U106" s="8">
        <v>2528978</v>
      </c>
      <c r="W106" s="8">
        <f t="shared" si="8"/>
        <v>464516</v>
      </c>
      <c r="Y106" s="8">
        <v>1444977</v>
      </c>
      <c r="AA106" s="8">
        <v>4438471</v>
      </c>
      <c r="AD106" s="8">
        <f t="shared" si="9"/>
        <v>0</v>
      </c>
      <c r="AF106" s="35">
        <f t="shared" si="10"/>
        <v>0</v>
      </c>
    </row>
    <row r="107" spans="1:32">
      <c r="A107" s="13" t="s">
        <v>283</v>
      </c>
      <c r="B107" s="13"/>
      <c r="C107" s="13" t="s">
        <v>115</v>
      </c>
      <c r="D107" s="13"/>
      <c r="E107" s="32">
        <v>45328</v>
      </c>
      <c r="G107" s="8">
        <f t="shared" si="6"/>
        <v>9331464</v>
      </c>
      <c r="I107" s="8">
        <f>177777+7895365</f>
        <v>8073142</v>
      </c>
      <c r="K107" s="8">
        <v>17404606</v>
      </c>
      <c r="M107" s="8">
        <f t="shared" si="7"/>
        <v>5165569</v>
      </c>
      <c r="O107" s="8">
        <v>637467</v>
      </c>
      <c r="Q107" s="8">
        <v>10129988</v>
      </c>
      <c r="S107" s="8">
        <v>15933024</v>
      </c>
      <c r="U107" s="8">
        <v>228329</v>
      </c>
      <c r="W107" s="8">
        <f t="shared" si="8"/>
        <v>254944</v>
      </c>
      <c r="Y107" s="8">
        <v>988309</v>
      </c>
      <c r="AA107" s="8">
        <v>1471582</v>
      </c>
      <c r="AD107" s="8">
        <f t="shared" si="9"/>
        <v>0</v>
      </c>
      <c r="AF107" s="35">
        <f t="shared" si="10"/>
        <v>0</v>
      </c>
    </row>
    <row r="108" spans="1:32">
      <c r="A108" s="13" t="s">
        <v>358</v>
      </c>
      <c r="B108" s="13"/>
      <c r="C108" s="13" t="s">
        <v>27</v>
      </c>
      <c r="D108" s="13"/>
      <c r="E108" s="32">
        <v>43802</v>
      </c>
      <c r="G108" s="8">
        <f t="shared" si="6"/>
        <v>807111588</v>
      </c>
      <c r="I108" s="8">
        <f>225147841+229505801</f>
        <v>454653642</v>
      </c>
      <c r="K108" s="8">
        <v>1261765230</v>
      </c>
      <c r="M108" s="8">
        <f t="shared" si="7"/>
        <v>360916304</v>
      </c>
      <c r="O108" s="8">
        <v>45874350</v>
      </c>
      <c r="Q108" s="8">
        <v>439848378</v>
      </c>
      <c r="S108" s="8">
        <v>846639032</v>
      </c>
      <c r="U108" s="8">
        <v>166539412</v>
      </c>
      <c r="W108" s="8">
        <f t="shared" si="8"/>
        <v>177841608</v>
      </c>
      <c r="Y108" s="8">
        <v>70745178</v>
      </c>
      <c r="AA108" s="8">
        <v>415126198</v>
      </c>
      <c r="AD108" s="8">
        <f t="shared" si="9"/>
        <v>0</v>
      </c>
      <c r="AF108" s="35">
        <f t="shared" si="10"/>
        <v>0</v>
      </c>
    </row>
    <row r="109" spans="1:32">
      <c r="A109" s="12" t="s">
        <v>220</v>
      </c>
      <c r="B109" s="12"/>
      <c r="C109" s="12" t="s">
        <v>12</v>
      </c>
      <c r="D109" s="12"/>
      <c r="E109" s="32">
        <v>43810</v>
      </c>
      <c r="G109" s="8">
        <f t="shared" si="6"/>
        <v>11797647</v>
      </c>
      <c r="I109" s="8">
        <f>1022168+40175187</f>
        <v>41197355</v>
      </c>
      <c r="K109" s="8">
        <v>52995002</v>
      </c>
      <c r="M109" s="8">
        <f t="shared" si="7"/>
        <v>4311329</v>
      </c>
      <c r="O109" s="8">
        <v>416082</v>
      </c>
      <c r="Q109" s="8">
        <v>6021356</v>
      </c>
      <c r="S109" s="8">
        <v>10748767</v>
      </c>
      <c r="U109" s="8">
        <v>36121460</v>
      </c>
      <c r="W109" s="8">
        <f t="shared" si="8"/>
        <v>5306846</v>
      </c>
      <c r="Y109" s="8">
        <v>817929</v>
      </c>
      <c r="AA109" s="8">
        <v>42246235</v>
      </c>
      <c r="AD109" s="8">
        <f>+K109-S109-AA109</f>
        <v>0</v>
      </c>
      <c r="AF109" s="35">
        <f t="shared" si="10"/>
        <v>0</v>
      </c>
    </row>
    <row r="110" spans="1:32">
      <c r="A110" s="13" t="s">
        <v>432</v>
      </c>
      <c r="B110" s="13"/>
      <c r="C110" s="13" t="s">
        <v>433</v>
      </c>
      <c r="D110" s="13"/>
      <c r="E110" s="32">
        <v>47548</v>
      </c>
      <c r="G110" s="8">
        <f t="shared" si="6"/>
        <v>4160364</v>
      </c>
      <c r="I110" s="8">
        <f>75820+438261</f>
        <v>514081</v>
      </c>
      <c r="K110" s="8">
        <v>4674445</v>
      </c>
      <c r="M110" s="8">
        <f t="shared" si="7"/>
        <v>2308692</v>
      </c>
      <c r="O110" s="8">
        <v>33682</v>
      </c>
      <c r="Q110" s="8">
        <v>258892</v>
      </c>
      <c r="S110" s="8">
        <v>2601266</v>
      </c>
      <c r="U110" s="8">
        <v>469563</v>
      </c>
      <c r="W110" s="8">
        <f t="shared" si="8"/>
        <v>528002</v>
      </c>
      <c r="Y110" s="8">
        <v>1075614</v>
      </c>
      <c r="AA110" s="8">
        <v>2073179</v>
      </c>
      <c r="AD110" s="8">
        <f t="shared" si="9"/>
        <v>0</v>
      </c>
      <c r="AF110" s="35">
        <f t="shared" si="10"/>
        <v>0</v>
      </c>
    </row>
    <row r="111" spans="1:32">
      <c r="A111" s="13" t="s">
        <v>669</v>
      </c>
      <c r="B111" s="13"/>
      <c r="C111" s="13" t="s">
        <v>63</v>
      </c>
      <c r="D111" s="13"/>
      <c r="E111" s="32">
        <v>49981</v>
      </c>
      <c r="G111" s="8">
        <f t="shared" si="6"/>
        <v>38006713</v>
      </c>
      <c r="I111" s="8">
        <f>1260829+19434358</f>
        <v>20695187</v>
      </c>
      <c r="K111" s="8">
        <v>58701900</v>
      </c>
      <c r="M111" s="8">
        <f t="shared" si="7"/>
        <v>27065922</v>
      </c>
      <c r="O111" s="8">
        <v>1598279</v>
      </c>
      <c r="Q111" s="8">
        <v>8956532</v>
      </c>
      <c r="S111" s="8">
        <v>37620733</v>
      </c>
      <c r="U111" s="8">
        <v>12027482</v>
      </c>
      <c r="W111" s="8">
        <f t="shared" si="8"/>
        <v>1430657</v>
      </c>
      <c r="Y111" s="8">
        <v>7623028</v>
      </c>
      <c r="AA111" s="8">
        <v>21081167</v>
      </c>
      <c r="AD111" s="8">
        <f t="shared" si="9"/>
        <v>0</v>
      </c>
      <c r="AF111" s="35">
        <f t="shared" si="10"/>
        <v>0</v>
      </c>
    </row>
    <row r="112" spans="1:32">
      <c r="A112" s="13" t="s">
        <v>978</v>
      </c>
      <c r="B112" s="13"/>
      <c r="C112" s="13" t="s">
        <v>33</v>
      </c>
      <c r="D112" s="13"/>
      <c r="E112" s="32">
        <v>47431</v>
      </c>
      <c r="G112" s="8">
        <f t="shared" si="6"/>
        <v>3351075</v>
      </c>
      <c r="I112" s="8">
        <f>42390+2444126</f>
        <v>2486516</v>
      </c>
      <c r="K112" s="8">
        <v>5837591</v>
      </c>
      <c r="M112" s="8">
        <f t="shared" si="7"/>
        <v>2463953</v>
      </c>
      <c r="O112" s="8">
        <v>130452</v>
      </c>
      <c r="Q112" s="8">
        <v>345177</v>
      </c>
      <c r="S112" s="8">
        <v>2939582</v>
      </c>
      <c r="U112" s="8">
        <v>2456001</v>
      </c>
      <c r="W112" s="8">
        <f t="shared" si="8"/>
        <v>103668</v>
      </c>
      <c r="Y112" s="8">
        <v>338340</v>
      </c>
      <c r="AA112" s="8">
        <v>2898009</v>
      </c>
      <c r="AD112" s="8">
        <f>+K112-S112-AA112</f>
        <v>0</v>
      </c>
      <c r="AF112" s="35">
        <f t="shared" si="10"/>
        <v>0</v>
      </c>
    </row>
    <row r="113" spans="1:32">
      <c r="A113" s="13" t="s">
        <v>291</v>
      </c>
      <c r="B113" s="13"/>
      <c r="C113" s="13" t="s">
        <v>19</v>
      </c>
      <c r="D113" s="13"/>
      <c r="E113" s="32">
        <v>43828</v>
      </c>
      <c r="G113" s="8">
        <f t="shared" si="6"/>
        <v>7843283</v>
      </c>
      <c r="I113" s="8">
        <f>466205+3851844</f>
        <v>4318049</v>
      </c>
      <c r="K113" s="8">
        <v>12161332</v>
      </c>
      <c r="M113" s="8">
        <f t="shared" si="7"/>
        <v>6104293</v>
      </c>
      <c r="O113" s="8">
        <v>83802</v>
      </c>
      <c r="Q113" s="8">
        <v>1581177</v>
      </c>
      <c r="S113" s="8">
        <v>7769272</v>
      </c>
      <c r="U113" s="8">
        <v>4198103</v>
      </c>
      <c r="W113" s="8">
        <f t="shared" si="8"/>
        <v>171033</v>
      </c>
      <c r="Y113" s="8">
        <v>22924</v>
      </c>
      <c r="AA113" s="8">
        <v>4392060</v>
      </c>
      <c r="AD113" s="8">
        <f t="shared" si="9"/>
        <v>0</v>
      </c>
      <c r="AF113" s="35">
        <f t="shared" si="10"/>
        <v>0</v>
      </c>
    </row>
    <row r="114" spans="1:32">
      <c r="A114" s="13" t="s">
        <v>832</v>
      </c>
      <c r="B114" s="13"/>
      <c r="C114" s="13" t="s">
        <v>63</v>
      </c>
      <c r="D114" s="13"/>
      <c r="E114" s="32"/>
      <c r="G114" s="8">
        <f t="shared" si="6"/>
        <v>10881249</v>
      </c>
      <c r="I114" s="8">
        <f>544210+4024861</f>
        <v>4569071</v>
      </c>
      <c r="K114" s="8">
        <v>15450320</v>
      </c>
      <c r="M114" s="8">
        <f t="shared" si="7"/>
        <v>11628022</v>
      </c>
      <c r="O114" s="8">
        <v>476969</v>
      </c>
      <c r="Q114" s="8">
        <v>5493498</v>
      </c>
      <c r="S114" s="8">
        <v>17598489</v>
      </c>
      <c r="U114" s="8">
        <v>1399071</v>
      </c>
      <c r="W114" s="8">
        <f t="shared" si="8"/>
        <v>1443718</v>
      </c>
      <c r="Y114" s="8">
        <v>-4990958</v>
      </c>
      <c r="AA114" s="8">
        <v>-2148169</v>
      </c>
      <c r="AD114" s="8">
        <f>+K114-S114-AA114</f>
        <v>0</v>
      </c>
      <c r="AF114" s="35">
        <f t="shared" si="10"/>
        <v>0</v>
      </c>
    </row>
    <row r="115" spans="1:32">
      <c r="A115" s="13" t="s">
        <v>544</v>
      </c>
      <c r="B115" s="13"/>
      <c r="C115" s="13" t="s">
        <v>48</v>
      </c>
      <c r="D115" s="13"/>
      <c r="E115" s="32">
        <v>45336</v>
      </c>
      <c r="G115" s="8">
        <f t="shared" si="6"/>
        <v>4062325</v>
      </c>
      <c r="I115" s="8">
        <f>352453+1185801</f>
        <v>1538254</v>
      </c>
      <c r="K115" s="8">
        <v>5600579</v>
      </c>
      <c r="M115" s="8">
        <f t="shared" si="7"/>
        <v>2328066</v>
      </c>
      <c r="O115" s="8">
        <v>61504</v>
      </c>
      <c r="Q115" s="8">
        <v>640004</v>
      </c>
      <c r="S115" s="8">
        <v>3029574</v>
      </c>
      <c r="U115" s="8">
        <v>1393868</v>
      </c>
      <c r="W115" s="8">
        <f t="shared" si="8"/>
        <v>205013</v>
      </c>
      <c r="Y115" s="8">
        <v>972124</v>
      </c>
      <c r="AA115" s="8">
        <v>2571005</v>
      </c>
      <c r="AD115" s="8">
        <f t="shared" si="9"/>
        <v>0</v>
      </c>
      <c r="AF115" s="35">
        <f t="shared" si="10"/>
        <v>0</v>
      </c>
    </row>
    <row r="116" spans="1:32">
      <c r="A116" s="13" t="s">
        <v>297</v>
      </c>
      <c r="B116" s="13"/>
      <c r="C116" s="13" t="s">
        <v>114</v>
      </c>
      <c r="D116" s="13"/>
      <c r="E116" s="32">
        <v>45344</v>
      </c>
      <c r="G116" s="8">
        <f t="shared" si="6"/>
        <v>5631787</v>
      </c>
      <c r="I116" s="8">
        <f>138210+1582026</f>
        <v>1720236</v>
      </c>
      <c r="K116" s="8">
        <v>7352023</v>
      </c>
      <c r="M116" s="8">
        <f t="shared" si="7"/>
        <v>2581157</v>
      </c>
      <c r="O116" s="8">
        <v>17144</v>
      </c>
      <c r="Q116" s="8">
        <v>464308</v>
      </c>
      <c r="S116" s="8">
        <v>3062609</v>
      </c>
      <c r="U116" s="8">
        <v>1720236</v>
      </c>
      <c r="W116" s="8">
        <f t="shared" si="8"/>
        <v>346512</v>
      </c>
      <c r="Y116" s="8">
        <v>2222666</v>
      </c>
      <c r="AA116" s="8">
        <v>4289414</v>
      </c>
      <c r="AD116" s="8">
        <f t="shared" si="9"/>
        <v>0</v>
      </c>
      <c r="AF116" s="35">
        <f t="shared" si="10"/>
        <v>0</v>
      </c>
    </row>
    <row r="117" spans="1:32">
      <c r="A117" s="13" t="s">
        <v>284</v>
      </c>
      <c r="B117" s="13"/>
      <c r="C117" s="13" t="s">
        <v>115</v>
      </c>
      <c r="D117" s="13"/>
      <c r="E117" s="32">
        <v>46433</v>
      </c>
      <c r="G117" s="8">
        <f t="shared" si="6"/>
        <v>5754672</v>
      </c>
      <c r="I117" s="8">
        <f>250000+12570351</f>
        <v>12820351</v>
      </c>
      <c r="K117" s="8">
        <v>18575023</v>
      </c>
      <c r="M117" s="8">
        <f t="shared" si="7"/>
        <v>3460661</v>
      </c>
      <c r="O117" s="8">
        <v>369998</v>
      </c>
      <c r="Q117" s="8">
        <v>2187065</v>
      </c>
      <c r="S117" s="8">
        <v>6017724</v>
      </c>
      <c r="U117" s="8">
        <v>10816354</v>
      </c>
      <c r="W117" s="8">
        <f t="shared" si="8"/>
        <v>808207</v>
      </c>
      <c r="Y117" s="8">
        <v>932738</v>
      </c>
      <c r="AA117" s="8">
        <v>12557299</v>
      </c>
      <c r="AD117" s="8">
        <f t="shared" si="9"/>
        <v>0</v>
      </c>
      <c r="AF117" s="35">
        <f t="shared" si="10"/>
        <v>0</v>
      </c>
    </row>
    <row r="118" spans="1:32">
      <c r="A118" s="13" t="s">
        <v>284</v>
      </c>
      <c r="B118" s="13"/>
      <c r="C118" s="13" t="s">
        <v>113</v>
      </c>
      <c r="D118" s="13"/>
      <c r="E118" s="32">
        <v>49429</v>
      </c>
      <c r="G118" s="8">
        <f t="shared" si="6"/>
        <v>10264772</v>
      </c>
      <c r="I118" s="8">
        <f>194705+24912370</f>
        <v>25107075</v>
      </c>
      <c r="K118" s="8">
        <v>35371847</v>
      </c>
      <c r="M118" s="8">
        <f t="shared" si="7"/>
        <v>4175089</v>
      </c>
      <c r="O118" s="8">
        <v>329456</v>
      </c>
      <c r="Q118" s="8">
        <v>4316990</v>
      </c>
      <c r="S118" s="8">
        <v>8821535</v>
      </c>
      <c r="U118" s="8">
        <v>21142457</v>
      </c>
      <c r="W118" s="8">
        <f t="shared" si="8"/>
        <v>1412580</v>
      </c>
      <c r="Y118" s="8">
        <v>3995275</v>
      </c>
      <c r="AA118" s="8">
        <v>26550312</v>
      </c>
      <c r="AD118" s="8">
        <f t="shared" si="9"/>
        <v>0</v>
      </c>
      <c r="AF118" s="35">
        <f t="shared" si="10"/>
        <v>0</v>
      </c>
    </row>
    <row r="119" spans="1:32">
      <c r="A119" s="13" t="s">
        <v>596</v>
      </c>
      <c r="B119" s="13"/>
      <c r="C119" s="13" t="s">
        <v>56</v>
      </c>
      <c r="D119" s="13"/>
      <c r="E119" s="32">
        <v>49189</v>
      </c>
      <c r="G119" s="8">
        <f t="shared" si="6"/>
        <v>16471182</v>
      </c>
      <c r="I119" s="8">
        <f>1586606+22785853</f>
        <v>24372459</v>
      </c>
      <c r="K119" s="8">
        <v>40843641</v>
      </c>
      <c r="M119" s="8">
        <f t="shared" si="7"/>
        <v>10098633</v>
      </c>
      <c r="O119" s="8">
        <v>518133</v>
      </c>
      <c r="Q119" s="8">
        <v>7664190</v>
      </c>
      <c r="S119" s="8">
        <v>18280956</v>
      </c>
      <c r="U119" s="8">
        <v>17603951</v>
      </c>
      <c r="W119" s="8">
        <f t="shared" si="8"/>
        <v>3903803</v>
      </c>
      <c r="Y119" s="8">
        <v>1054931</v>
      </c>
      <c r="AA119" s="8">
        <v>22562685</v>
      </c>
      <c r="AD119" s="8">
        <f t="shared" si="9"/>
        <v>0</v>
      </c>
      <c r="AF119" s="35">
        <f t="shared" si="10"/>
        <v>0</v>
      </c>
    </row>
    <row r="120" spans="1:32">
      <c r="A120" s="13" t="s">
        <v>833</v>
      </c>
      <c r="B120" s="13"/>
      <c r="C120" s="13" t="s">
        <v>586</v>
      </c>
      <c r="D120" s="13"/>
      <c r="E120" s="32"/>
      <c r="G120" s="8">
        <f t="shared" si="6"/>
        <v>5951546</v>
      </c>
      <c r="I120" s="8">
        <f>78390+11087315</f>
        <v>11165705</v>
      </c>
      <c r="K120" s="8">
        <v>17117251</v>
      </c>
      <c r="M120" s="8">
        <f t="shared" si="7"/>
        <v>2398855</v>
      </c>
      <c r="O120" s="8">
        <v>173749</v>
      </c>
      <c r="Q120" s="8">
        <v>1672879</v>
      </c>
      <c r="S120" s="8">
        <v>4245483</v>
      </c>
      <c r="U120" s="8">
        <v>9809705</v>
      </c>
      <c r="W120" s="8">
        <f t="shared" si="8"/>
        <v>781405</v>
      </c>
      <c r="Y120" s="8">
        <v>2280658</v>
      </c>
      <c r="AA120" s="8">
        <v>12871768</v>
      </c>
      <c r="AD120" s="8">
        <f>+K120-S120-AA120</f>
        <v>0</v>
      </c>
      <c r="AF120" s="35">
        <f t="shared" si="10"/>
        <v>0</v>
      </c>
    </row>
    <row r="121" spans="1:32">
      <c r="A121" s="13" t="s">
        <v>670</v>
      </c>
      <c r="B121" s="13"/>
      <c r="C121" s="13" t="s">
        <v>63</v>
      </c>
      <c r="D121" s="13"/>
      <c r="E121" s="32">
        <v>43836</v>
      </c>
      <c r="G121" s="8">
        <f t="shared" si="6"/>
        <v>37031658</v>
      </c>
      <c r="I121" s="8">
        <f>1569718+8159712</f>
        <v>9729430</v>
      </c>
      <c r="K121" s="8">
        <v>46761088</v>
      </c>
      <c r="M121" s="8">
        <f t="shared" si="7"/>
        <v>30817061</v>
      </c>
      <c r="O121" s="8">
        <v>1733670</v>
      </c>
      <c r="Q121" s="8">
        <v>7289665</v>
      </c>
      <c r="S121" s="8">
        <v>39840396</v>
      </c>
      <c r="U121" s="8">
        <v>3775299</v>
      </c>
      <c r="W121" s="8">
        <f t="shared" si="8"/>
        <v>1328150</v>
      </c>
      <c r="Y121" s="8">
        <v>1817243</v>
      </c>
      <c r="AA121" s="8">
        <v>6920692</v>
      </c>
      <c r="AD121" s="8">
        <f t="shared" si="9"/>
        <v>0</v>
      </c>
      <c r="AF121" s="35">
        <f t="shared" si="10"/>
        <v>0</v>
      </c>
    </row>
    <row r="122" spans="1:32">
      <c r="A122" s="13" t="s">
        <v>309</v>
      </c>
      <c r="B122" s="13"/>
      <c r="C122" s="13" t="s">
        <v>20</v>
      </c>
      <c r="D122" s="13"/>
      <c r="E122" s="32">
        <v>46557</v>
      </c>
      <c r="G122" s="8">
        <f t="shared" si="6"/>
        <v>21364040</v>
      </c>
      <c r="I122" s="8">
        <f>2016750+4647625</f>
        <v>6664375</v>
      </c>
      <c r="K122" s="8">
        <v>28028415</v>
      </c>
      <c r="M122" s="8">
        <f t="shared" si="7"/>
        <v>10260648</v>
      </c>
      <c r="O122" s="8">
        <v>871962</v>
      </c>
      <c r="Q122" s="8">
        <v>4522008</v>
      </c>
      <c r="S122" s="8">
        <v>15654618</v>
      </c>
      <c r="U122" s="8">
        <v>2921927</v>
      </c>
      <c r="W122" s="8">
        <f t="shared" si="8"/>
        <v>416673</v>
      </c>
      <c r="Y122" s="8">
        <v>9035197</v>
      </c>
      <c r="AA122" s="8">
        <v>12373797</v>
      </c>
      <c r="AD122" s="8">
        <f t="shared" si="9"/>
        <v>0</v>
      </c>
      <c r="AF122" s="35">
        <f t="shared" si="10"/>
        <v>0</v>
      </c>
    </row>
    <row r="123" spans="1:32">
      <c r="A123" s="13" t="s">
        <v>846</v>
      </c>
      <c r="B123" s="13"/>
      <c r="C123" s="13" t="s">
        <v>71</v>
      </c>
      <c r="D123" s="13"/>
      <c r="E123" s="32">
        <v>48934</v>
      </c>
      <c r="G123" s="8">
        <f t="shared" ref="G123:G128" si="11">+K123-I123</f>
        <v>4276068</v>
      </c>
      <c r="I123" s="8">
        <f>83000+2359352</f>
        <v>2442352</v>
      </c>
      <c r="K123" s="8">
        <v>6718420</v>
      </c>
      <c r="M123" s="8">
        <f t="shared" si="7"/>
        <v>3823987</v>
      </c>
      <c r="O123" s="8">
        <v>50032</v>
      </c>
      <c r="Q123" s="8">
        <v>763676</v>
      </c>
      <c r="S123" s="8">
        <v>4637695</v>
      </c>
      <c r="U123" s="8">
        <v>2371361</v>
      </c>
      <c r="W123" s="8">
        <f t="shared" si="8"/>
        <v>457727</v>
      </c>
      <c r="Y123" s="8">
        <v>-748363</v>
      </c>
      <c r="AA123" s="8">
        <v>2080725</v>
      </c>
      <c r="AD123" s="8">
        <f>+K123-S123-AA123</f>
        <v>0</v>
      </c>
      <c r="AF123" s="35">
        <f>+G123+I123+-M123-O123-U123-W123-Y123-Q123</f>
        <v>0</v>
      </c>
    </row>
    <row r="124" spans="1:32">
      <c r="A124" s="13" t="s">
        <v>460</v>
      </c>
      <c r="B124" s="13"/>
      <c r="C124" s="13" t="s">
        <v>40</v>
      </c>
      <c r="D124" s="13"/>
      <c r="E124" s="32">
        <v>47837</v>
      </c>
      <c r="G124" s="8">
        <f t="shared" si="11"/>
        <v>4358118</v>
      </c>
      <c r="I124" s="8">
        <f>147525+9217771</f>
        <v>9365296</v>
      </c>
      <c r="K124" s="8">
        <v>13723414</v>
      </c>
      <c r="M124" s="8">
        <f t="shared" si="7"/>
        <v>1417949</v>
      </c>
      <c r="O124" s="8">
        <v>106861</v>
      </c>
      <c r="Q124" s="8">
        <v>1572145</v>
      </c>
      <c r="S124" s="8">
        <v>3096955</v>
      </c>
      <c r="U124" s="8">
        <v>7975022</v>
      </c>
      <c r="W124" s="8">
        <f t="shared" si="8"/>
        <v>502685</v>
      </c>
      <c r="Y124" s="8">
        <v>2148752</v>
      </c>
      <c r="AA124" s="8">
        <v>10626459</v>
      </c>
      <c r="AD124" s="8">
        <f t="shared" si="9"/>
        <v>0</v>
      </c>
      <c r="AF124" s="35">
        <f t="shared" si="10"/>
        <v>0</v>
      </c>
    </row>
    <row r="125" spans="1:32">
      <c r="A125" s="13" t="s">
        <v>472</v>
      </c>
      <c r="B125" s="13"/>
      <c r="C125" s="13" t="s">
        <v>471</v>
      </c>
      <c r="D125" s="13"/>
      <c r="E125" s="32">
        <v>47928</v>
      </c>
      <c r="F125" s="35"/>
      <c r="G125" s="8">
        <f t="shared" si="11"/>
        <v>9242664</v>
      </c>
      <c r="I125" s="8">
        <f>13991101+17414577</f>
        <v>31405678</v>
      </c>
      <c r="K125" s="8">
        <v>40648342</v>
      </c>
      <c r="M125" s="8">
        <f t="shared" si="7"/>
        <v>2680661</v>
      </c>
      <c r="O125" s="8">
        <v>232787</v>
      </c>
      <c r="Q125" s="8">
        <v>1911915</v>
      </c>
      <c r="S125" s="8">
        <v>4825363</v>
      </c>
      <c r="U125" s="8">
        <v>29628639</v>
      </c>
      <c r="W125" s="8">
        <f t="shared" si="8"/>
        <v>2023197</v>
      </c>
      <c r="Y125" s="8">
        <v>4171143</v>
      </c>
      <c r="AA125" s="8">
        <v>35822979</v>
      </c>
      <c r="AB125" s="35"/>
      <c r="AD125" s="8">
        <f t="shared" si="9"/>
        <v>0</v>
      </c>
      <c r="AF125" s="35">
        <f t="shared" si="10"/>
        <v>0</v>
      </c>
    </row>
    <row r="126" spans="1:32">
      <c r="A126" s="13" t="s">
        <v>554</v>
      </c>
      <c r="B126" s="13"/>
      <c r="C126" s="13" t="s">
        <v>50</v>
      </c>
      <c r="D126" s="13"/>
      <c r="E126" s="32">
        <v>43844</v>
      </c>
      <c r="G126" s="8">
        <f t="shared" si="11"/>
        <v>542862872</v>
      </c>
      <c r="I126" s="8">
        <f>150845933</f>
        <v>150845933</v>
      </c>
      <c r="K126" s="8">
        <v>693708805</v>
      </c>
      <c r="M126" s="8">
        <f t="shared" si="7"/>
        <v>84721872</v>
      </c>
      <c r="O126" s="8">
        <v>7180890</v>
      </c>
      <c r="Q126" s="8">
        <v>266752867</v>
      </c>
      <c r="S126" s="8">
        <v>358655629</v>
      </c>
      <c r="U126" s="8">
        <v>153391206</v>
      </c>
      <c r="W126" s="8">
        <f t="shared" si="8"/>
        <v>165443307</v>
      </c>
      <c r="Y126" s="8">
        <v>16218663</v>
      </c>
      <c r="AA126" s="8">
        <v>335053176</v>
      </c>
      <c r="AD126" s="8">
        <f t="shared" si="9"/>
        <v>0</v>
      </c>
      <c r="AF126" s="35">
        <f t="shared" si="10"/>
        <v>0</v>
      </c>
    </row>
    <row r="127" spans="1:32" ht="12.75" customHeight="1">
      <c r="A127" s="13" t="s">
        <v>397</v>
      </c>
      <c r="B127" s="13"/>
      <c r="C127" s="13" t="s">
        <v>32</v>
      </c>
      <c r="D127" s="13"/>
      <c r="E127" s="32">
        <v>43851</v>
      </c>
      <c r="G127" s="8">
        <f t="shared" si="11"/>
        <v>12525325</v>
      </c>
      <c r="I127" s="8">
        <f>330425+3135117</f>
        <v>3465542</v>
      </c>
      <c r="K127" s="8">
        <v>15990867</v>
      </c>
      <c r="M127" s="8">
        <f>+S127-O127-Q127</f>
        <v>7154801</v>
      </c>
      <c r="O127" s="8">
        <v>368714</v>
      </c>
      <c r="Q127" s="8">
        <v>1407539</v>
      </c>
      <c r="S127" s="8">
        <v>8931054</v>
      </c>
      <c r="U127" s="8">
        <v>2686630</v>
      </c>
      <c r="W127" s="8">
        <f>AA127-Y127-U127</f>
        <v>950883</v>
      </c>
      <c r="Y127" s="8">
        <v>3422300</v>
      </c>
      <c r="AA127" s="8">
        <v>7059813</v>
      </c>
      <c r="AD127" s="8">
        <f t="shared" si="9"/>
        <v>0</v>
      </c>
      <c r="AF127" s="35">
        <f t="shared" si="10"/>
        <v>0</v>
      </c>
    </row>
    <row r="128" spans="1:32">
      <c r="A128" s="13" t="s">
        <v>338</v>
      </c>
      <c r="B128" s="13"/>
      <c r="C128" s="13" t="s">
        <v>23</v>
      </c>
      <c r="D128" s="13"/>
      <c r="E128" s="32">
        <v>43877</v>
      </c>
      <c r="G128" s="8">
        <f t="shared" si="11"/>
        <v>44981203</v>
      </c>
      <c r="I128" s="8">
        <f>2782266+36088472</f>
        <v>38870738</v>
      </c>
      <c r="K128" s="8">
        <v>83851941</v>
      </c>
      <c r="M128" s="8">
        <f>+S128-O128-Q128</f>
        <v>29983428</v>
      </c>
      <c r="O128" s="8">
        <v>2531683</v>
      </c>
      <c r="Q128" s="8">
        <v>36372995</v>
      </c>
      <c r="S128" s="8">
        <v>68888106</v>
      </c>
      <c r="U128" s="8">
        <v>3581105</v>
      </c>
      <c r="W128" s="8">
        <f>AA128-Y128-U128</f>
        <v>2978607</v>
      </c>
      <c r="Y128" s="8">
        <v>8404123</v>
      </c>
      <c r="AA128" s="8">
        <v>14963835</v>
      </c>
      <c r="AD128" s="8">
        <f t="shared" si="9"/>
        <v>0</v>
      </c>
      <c r="AF128" s="35">
        <f t="shared" ref="AF128:AF190" si="12">+G128+I128+-M128-O128-U128-W128-Y128-Q128</f>
        <v>0</v>
      </c>
    </row>
    <row r="129" spans="1:32">
      <c r="A129" s="13" t="s">
        <v>212</v>
      </c>
      <c r="B129" s="13"/>
      <c r="C129" s="13" t="s">
        <v>10</v>
      </c>
      <c r="D129" s="13"/>
      <c r="E129" s="13">
        <v>43885</v>
      </c>
      <c r="F129" s="11"/>
      <c r="G129" s="8">
        <f t="shared" ref="G129:G186" si="13">+K129-I129</f>
        <v>6319401</v>
      </c>
      <c r="I129" s="8">
        <f>126685+3901600</f>
        <v>4028285</v>
      </c>
      <c r="K129" s="8">
        <v>10347686</v>
      </c>
      <c r="M129" s="8">
        <f t="shared" ref="M129:M193" si="14">+S129-O129-Q129</f>
        <v>5753221</v>
      </c>
      <c r="O129" s="8">
        <v>8903</v>
      </c>
      <c r="Q129" s="8">
        <v>607860</v>
      </c>
      <c r="S129" s="8">
        <v>6369984</v>
      </c>
      <c r="U129" s="8">
        <v>4028285</v>
      </c>
      <c r="W129" s="8">
        <f t="shared" ref="W129:W193" si="15">AA129-Y129-U129</f>
        <v>686982</v>
      </c>
      <c r="Y129" s="8">
        <v>-737565</v>
      </c>
      <c r="AA129" s="8">
        <v>3977702</v>
      </c>
      <c r="AD129" s="8">
        <f t="shared" ref="AD129:AD192" si="16">+K129-S129-AA129</f>
        <v>0</v>
      </c>
      <c r="AF129" s="8">
        <f t="shared" si="12"/>
        <v>0</v>
      </c>
    </row>
    <row r="130" spans="1:32">
      <c r="A130" s="13" t="s">
        <v>700</v>
      </c>
      <c r="B130" s="13"/>
      <c r="C130" s="13" t="s">
        <v>65</v>
      </c>
      <c r="D130" s="13"/>
      <c r="E130" s="32">
        <v>43893</v>
      </c>
      <c r="G130" s="8">
        <f t="shared" si="13"/>
        <v>17549931</v>
      </c>
      <c r="I130" s="8">
        <f>379605+8987175</f>
        <v>9366780</v>
      </c>
      <c r="K130" s="8">
        <v>26916711</v>
      </c>
      <c r="M130" s="8">
        <f t="shared" si="14"/>
        <v>14458180</v>
      </c>
      <c r="O130" s="8">
        <v>799838</v>
      </c>
      <c r="Q130" s="8">
        <v>6208306</v>
      </c>
      <c r="S130" s="8">
        <v>21466324</v>
      </c>
      <c r="U130" s="8">
        <v>4191117</v>
      </c>
      <c r="W130" s="8">
        <f t="shared" si="15"/>
        <v>1066992</v>
      </c>
      <c r="Y130" s="8">
        <v>192278</v>
      </c>
      <c r="AA130" s="8">
        <v>5450387</v>
      </c>
      <c r="AD130" s="8">
        <f t="shared" si="16"/>
        <v>0</v>
      </c>
      <c r="AF130" s="35">
        <f t="shared" si="12"/>
        <v>0</v>
      </c>
    </row>
    <row r="132" spans="1:32">
      <c r="AA132" s="8" t="s">
        <v>819</v>
      </c>
    </row>
    <row r="133" spans="1:32" s="35" customFormat="1">
      <c r="A133" s="34" t="s">
        <v>359</v>
      </c>
      <c r="B133" s="34"/>
      <c r="C133" s="34" t="s">
        <v>27</v>
      </c>
      <c r="D133" s="34"/>
      <c r="E133" s="34">
        <v>47027</v>
      </c>
      <c r="G133" s="35">
        <f>+K133-I133</f>
        <v>269409835</v>
      </c>
      <c r="I133" s="35">
        <f>11912821+166963442</f>
        <v>178876263</v>
      </c>
      <c r="K133" s="35">
        <v>448286098</v>
      </c>
      <c r="M133" s="35">
        <f>+S133-O133-Q133</f>
        <v>168460520</v>
      </c>
      <c r="O133" s="35">
        <v>14858526</v>
      </c>
      <c r="Q133" s="35">
        <v>199310948</v>
      </c>
      <c r="S133" s="35">
        <v>382629994</v>
      </c>
      <c r="U133" s="35">
        <v>13102672</v>
      </c>
      <c r="W133" s="35">
        <f>AA133-Y133-U133</f>
        <v>26247635</v>
      </c>
      <c r="Y133" s="35">
        <v>26305797</v>
      </c>
      <c r="AA133" s="35">
        <v>65656104</v>
      </c>
      <c r="AD133" s="35">
        <f>+K133-S133-AA133</f>
        <v>0</v>
      </c>
      <c r="AF133" s="35">
        <f>+G133+I133+-M133-O133-U133-W133-Y133-Q133</f>
        <v>0</v>
      </c>
    </row>
    <row r="134" spans="1:32">
      <c r="A134" s="13" t="s">
        <v>280</v>
      </c>
      <c r="B134" s="13"/>
      <c r="C134" s="13" t="s">
        <v>18</v>
      </c>
      <c r="D134" s="13"/>
      <c r="E134" s="32">
        <v>46409</v>
      </c>
      <c r="F134" s="11"/>
      <c r="G134" s="8">
        <f>+K134-I134</f>
        <v>5907565</v>
      </c>
      <c r="I134" s="8">
        <f>426976+22484328+652571+2207125+1288721-7502259-432001-1645318-788767</f>
        <v>16691376</v>
      </c>
      <c r="K134" s="8">
        <v>22598941</v>
      </c>
      <c r="M134" s="8">
        <f>+S134-O134-Q134</f>
        <v>4567628</v>
      </c>
      <c r="O134" s="8">
        <v>333237</v>
      </c>
      <c r="Q134" s="8">
        <v>2560372</v>
      </c>
      <c r="S134" s="8">
        <v>7461237</v>
      </c>
      <c r="U134" s="8">
        <v>14715011</v>
      </c>
      <c r="W134" s="8">
        <f>AA134-Y134-U134</f>
        <v>1944925</v>
      </c>
      <c r="Y134" s="8">
        <v>-1522232</v>
      </c>
      <c r="AA134" s="8">
        <v>15137704</v>
      </c>
      <c r="AD134" s="8">
        <f>+K134-S134-AA134</f>
        <v>0</v>
      </c>
      <c r="AF134" s="35">
        <f>+G134+I134+-M134-O134-U134-W134-Y134-Q134</f>
        <v>0</v>
      </c>
    </row>
    <row r="135" spans="1:32">
      <c r="A135" s="13" t="s">
        <v>394</v>
      </c>
      <c r="B135" s="13"/>
      <c r="C135" s="13" t="s">
        <v>31</v>
      </c>
      <c r="D135" s="13"/>
      <c r="E135" s="13">
        <v>69682</v>
      </c>
      <c r="G135" s="8">
        <f t="shared" si="13"/>
        <v>9383134</v>
      </c>
      <c r="I135" s="8">
        <f>161329+23590835</f>
        <v>23752164</v>
      </c>
      <c r="K135" s="8">
        <v>33135298</v>
      </c>
      <c r="M135" s="8">
        <f t="shared" si="14"/>
        <v>4147586</v>
      </c>
      <c r="O135" s="8">
        <v>425062</v>
      </c>
      <c r="Q135" s="8">
        <v>4582291</v>
      </c>
      <c r="S135" s="8">
        <v>9154939</v>
      </c>
      <c r="U135" s="8">
        <v>19498863</v>
      </c>
      <c r="W135" s="8">
        <f t="shared" si="15"/>
        <v>2198240</v>
      </c>
      <c r="Y135" s="8">
        <v>2283256</v>
      </c>
      <c r="AA135" s="8">
        <v>23980359</v>
      </c>
      <c r="AD135" s="8">
        <f t="shared" si="16"/>
        <v>0</v>
      </c>
      <c r="AF135" s="8">
        <f t="shared" si="12"/>
        <v>0</v>
      </c>
    </row>
    <row r="136" spans="1:32">
      <c r="A136" s="13" t="s">
        <v>446</v>
      </c>
      <c r="B136" s="13"/>
      <c r="C136" s="13" t="s">
        <v>36</v>
      </c>
      <c r="D136" s="13"/>
      <c r="E136" s="32">
        <v>47688</v>
      </c>
      <c r="G136" s="8">
        <f t="shared" si="13"/>
        <v>15975700</v>
      </c>
      <c r="I136" s="8">
        <f>1421500+10735509</f>
        <v>12157009</v>
      </c>
      <c r="K136" s="8">
        <v>28132709</v>
      </c>
      <c r="M136" s="8">
        <f t="shared" si="14"/>
        <v>10205004</v>
      </c>
      <c r="O136" s="8">
        <v>236264</v>
      </c>
      <c r="Q136" s="8">
        <v>3302812</v>
      </c>
      <c r="S136" s="8">
        <v>13744080</v>
      </c>
      <c r="U136" s="8">
        <v>9852727</v>
      </c>
      <c r="W136" s="8">
        <f t="shared" si="15"/>
        <v>623364</v>
      </c>
      <c r="Y136" s="8">
        <v>3912538</v>
      </c>
      <c r="AA136" s="8">
        <v>14388629</v>
      </c>
      <c r="AD136" s="8">
        <f t="shared" si="16"/>
        <v>0</v>
      </c>
      <c r="AF136" s="35">
        <f t="shared" si="12"/>
        <v>0</v>
      </c>
    </row>
    <row r="137" spans="1:32">
      <c r="A137" s="13" t="s">
        <v>285</v>
      </c>
      <c r="B137" s="13"/>
      <c r="C137" s="13" t="s">
        <v>115</v>
      </c>
      <c r="D137" s="13"/>
      <c r="E137" s="32">
        <v>43919</v>
      </c>
      <c r="G137" s="8">
        <f t="shared" si="13"/>
        <v>51782623</v>
      </c>
      <c r="I137" s="8">
        <f>42269+4740197+12133171</f>
        <v>16915637</v>
      </c>
      <c r="K137" s="8">
        <v>68698260</v>
      </c>
      <c r="M137" s="8">
        <f t="shared" si="14"/>
        <v>7310191</v>
      </c>
      <c r="O137" s="8">
        <v>677522</v>
      </c>
      <c r="Q137" s="8">
        <v>7260531</v>
      </c>
      <c r="S137" s="8">
        <v>15248244</v>
      </c>
      <c r="U137" s="8">
        <v>16773853</v>
      </c>
      <c r="W137" s="8">
        <f t="shared" si="15"/>
        <v>34339174</v>
      </c>
      <c r="Y137" s="8">
        <v>2336989</v>
      </c>
      <c r="AA137" s="8">
        <v>53450016</v>
      </c>
      <c r="AD137" s="8">
        <f>+K137-S137-AA137</f>
        <v>0</v>
      </c>
      <c r="AF137" s="35">
        <f>+G137+I137+-M137-O137-U137-W137-Y137-Q137</f>
        <v>0</v>
      </c>
    </row>
    <row r="138" spans="1:32">
      <c r="A138" s="13" t="s">
        <v>571</v>
      </c>
      <c r="B138" s="13"/>
      <c r="C138" s="13" t="s">
        <v>51</v>
      </c>
      <c r="D138" s="13"/>
      <c r="E138" s="32">
        <v>48835</v>
      </c>
      <c r="G138" s="8">
        <f t="shared" si="13"/>
        <v>14152712</v>
      </c>
      <c r="I138" s="8">
        <f>144115+29765447</f>
        <v>29909562</v>
      </c>
      <c r="K138" s="8">
        <v>44062274</v>
      </c>
      <c r="M138" s="8">
        <f t="shared" si="14"/>
        <v>7511404</v>
      </c>
      <c r="O138" s="8">
        <v>507294</v>
      </c>
      <c r="Q138" s="8">
        <v>9000615</v>
      </c>
      <c r="S138" s="8">
        <v>17019313</v>
      </c>
      <c r="U138" s="8">
        <v>23620620</v>
      </c>
      <c r="W138" s="8">
        <f t="shared" si="15"/>
        <v>2415781</v>
      </c>
      <c r="Y138" s="8">
        <v>1006560</v>
      </c>
      <c r="AA138" s="8">
        <v>27042961</v>
      </c>
      <c r="AD138" s="8">
        <f>+K138-S138-AA138</f>
        <v>0</v>
      </c>
      <c r="AF138" s="35">
        <f>+G138+I138+-M138-O138-U138-W138-Y138-Q138</f>
        <v>0</v>
      </c>
    </row>
    <row r="139" spans="1:32">
      <c r="A139" s="13" t="s">
        <v>286</v>
      </c>
      <c r="B139" s="13"/>
      <c r="C139" s="13" t="s">
        <v>115</v>
      </c>
      <c r="D139" s="13"/>
      <c r="E139" s="32">
        <v>43927</v>
      </c>
      <c r="G139" s="8">
        <f t="shared" si="13"/>
        <v>5117358</v>
      </c>
      <c r="I139" s="8">
        <f>475814+25163971</f>
        <v>25639785</v>
      </c>
      <c r="K139" s="8">
        <v>30757143</v>
      </c>
      <c r="M139" s="8">
        <f t="shared" si="14"/>
        <v>3862505</v>
      </c>
      <c r="O139" s="8">
        <v>1347499</v>
      </c>
      <c r="Q139" s="8">
        <v>2849319</v>
      </c>
      <c r="S139" s="8">
        <v>8059323</v>
      </c>
      <c r="U139" s="8">
        <v>21995636</v>
      </c>
      <c r="W139" s="8">
        <f t="shared" si="15"/>
        <v>1210879</v>
      </c>
      <c r="Y139" s="8">
        <v>-508695</v>
      </c>
      <c r="AA139" s="8">
        <v>22697820</v>
      </c>
      <c r="AD139" s="8">
        <f t="shared" si="16"/>
        <v>0</v>
      </c>
      <c r="AF139" s="35">
        <f t="shared" si="12"/>
        <v>0</v>
      </c>
    </row>
    <row r="140" spans="1:32">
      <c r="A140" s="12" t="s">
        <v>240</v>
      </c>
      <c r="B140" s="12"/>
      <c r="C140" s="12" t="s">
        <v>77</v>
      </c>
      <c r="D140" s="12"/>
      <c r="E140" s="32">
        <v>46037</v>
      </c>
      <c r="G140" s="8">
        <f t="shared" si="13"/>
        <v>42504094</v>
      </c>
      <c r="I140" s="8">
        <f>2980823+10562891</f>
        <v>13543714</v>
      </c>
      <c r="K140" s="8">
        <v>56047808</v>
      </c>
      <c r="M140" s="8">
        <f t="shared" si="14"/>
        <v>5566129</v>
      </c>
      <c r="O140" s="8">
        <v>375081</v>
      </c>
      <c r="Q140" s="8">
        <v>10127014</v>
      </c>
      <c r="S140" s="8">
        <v>16068224</v>
      </c>
      <c r="U140" s="8">
        <v>10571124</v>
      </c>
      <c r="W140" s="8">
        <f t="shared" si="15"/>
        <v>29076299</v>
      </c>
      <c r="Y140" s="8">
        <v>332161</v>
      </c>
      <c r="AA140" s="8">
        <v>39979584</v>
      </c>
      <c r="AD140" s="8">
        <f t="shared" si="16"/>
        <v>0</v>
      </c>
      <c r="AF140" s="35">
        <f t="shared" si="12"/>
        <v>0</v>
      </c>
    </row>
    <row r="141" spans="1:32">
      <c r="A141" s="12" t="s">
        <v>740</v>
      </c>
      <c r="B141" s="12"/>
      <c r="C141" s="12" t="s">
        <v>72</v>
      </c>
      <c r="D141" s="12"/>
      <c r="E141" s="32">
        <v>50674</v>
      </c>
      <c r="G141" s="8">
        <f t="shared" si="13"/>
        <v>11094460</v>
      </c>
      <c r="I141" s="8">
        <f>261067+4841840</f>
        <v>5102907</v>
      </c>
      <c r="K141" s="8">
        <v>16197367</v>
      </c>
      <c r="M141" s="8">
        <f t="shared" si="14"/>
        <v>6675958</v>
      </c>
      <c r="O141" s="8">
        <v>522330</v>
      </c>
      <c r="Q141" s="8">
        <v>3944860</v>
      </c>
      <c r="S141" s="8">
        <v>11143148</v>
      </c>
      <c r="U141" s="8">
        <v>1794435</v>
      </c>
      <c r="W141" s="8">
        <f t="shared" si="15"/>
        <v>395294</v>
      </c>
      <c r="Y141" s="8">
        <v>2864490</v>
      </c>
      <c r="AA141" s="8">
        <v>5054219</v>
      </c>
      <c r="AD141" s="8">
        <f t="shared" si="16"/>
        <v>0</v>
      </c>
      <c r="AF141" s="35">
        <f t="shared" si="12"/>
        <v>0</v>
      </c>
    </row>
    <row r="142" spans="1:32">
      <c r="A142" s="12" t="s">
        <v>974</v>
      </c>
      <c r="B142" s="12"/>
      <c r="C142" s="12" t="s">
        <v>57</v>
      </c>
      <c r="D142" s="12"/>
      <c r="E142" s="32">
        <v>43935</v>
      </c>
      <c r="G142" s="8">
        <f t="shared" si="13"/>
        <v>20835727</v>
      </c>
      <c r="I142" s="8">
        <f>606919+31036246</f>
        <v>31643165</v>
      </c>
      <c r="K142" s="8">
        <v>52478892</v>
      </c>
      <c r="M142" s="8">
        <f t="shared" si="14"/>
        <v>7441993</v>
      </c>
      <c r="O142" s="8">
        <v>699792</v>
      </c>
      <c r="Q142" s="8">
        <v>29696687</v>
      </c>
      <c r="S142" s="8">
        <v>37838472</v>
      </c>
      <c r="U142" s="8">
        <v>3668155</v>
      </c>
      <c r="W142" s="8">
        <f t="shared" si="15"/>
        <v>3223248</v>
      </c>
      <c r="Y142" s="8">
        <v>7749017</v>
      </c>
      <c r="AA142" s="8">
        <v>14640420</v>
      </c>
      <c r="AD142" s="8">
        <f t="shared" si="16"/>
        <v>0</v>
      </c>
      <c r="AF142" s="35">
        <f t="shared" si="12"/>
        <v>0</v>
      </c>
    </row>
    <row r="143" spans="1:32" hidden="1">
      <c r="A143" s="12" t="s">
        <v>967</v>
      </c>
      <c r="B143" s="12"/>
      <c r="C143" s="12" t="s">
        <v>733</v>
      </c>
      <c r="D143" s="12"/>
      <c r="E143" s="32">
        <v>50617</v>
      </c>
      <c r="G143" s="8">
        <f t="shared" si="13"/>
        <v>0</v>
      </c>
      <c r="I143" s="8">
        <v>0</v>
      </c>
      <c r="K143" s="8">
        <v>0</v>
      </c>
      <c r="M143" s="8">
        <f t="shared" si="14"/>
        <v>0</v>
      </c>
      <c r="O143" s="8">
        <v>0</v>
      </c>
      <c r="Q143" s="8">
        <v>0</v>
      </c>
      <c r="S143" s="8">
        <v>0</v>
      </c>
      <c r="U143" s="8">
        <v>0</v>
      </c>
      <c r="W143" s="8">
        <f t="shared" si="15"/>
        <v>0</v>
      </c>
      <c r="Y143" s="8">
        <v>0</v>
      </c>
      <c r="AA143" s="8">
        <v>0</v>
      </c>
      <c r="AD143" s="8">
        <f t="shared" si="16"/>
        <v>0</v>
      </c>
      <c r="AF143" s="35">
        <f t="shared" si="12"/>
        <v>0</v>
      </c>
    </row>
    <row r="144" spans="1:32" hidden="1">
      <c r="A144" s="12" t="s">
        <v>887</v>
      </c>
      <c r="B144" s="12"/>
      <c r="C144" s="12" t="s">
        <v>246</v>
      </c>
      <c r="D144" s="12"/>
      <c r="E144" s="32">
        <v>46094</v>
      </c>
      <c r="G144" s="8">
        <f t="shared" si="13"/>
        <v>0</v>
      </c>
      <c r="I144" s="8">
        <v>0</v>
      </c>
      <c r="K144" s="8">
        <v>0</v>
      </c>
      <c r="M144" s="8">
        <f t="shared" si="14"/>
        <v>0</v>
      </c>
      <c r="O144" s="8">
        <v>0</v>
      </c>
      <c r="Q144" s="8">
        <v>0</v>
      </c>
      <c r="S144" s="8">
        <v>0</v>
      </c>
      <c r="U144" s="8">
        <v>0</v>
      </c>
      <c r="W144" s="8">
        <f t="shared" si="15"/>
        <v>0</v>
      </c>
      <c r="Y144" s="8">
        <v>0</v>
      </c>
      <c r="AA144" s="8">
        <v>0</v>
      </c>
      <c r="AD144" s="8">
        <f t="shared" si="16"/>
        <v>0</v>
      </c>
      <c r="AF144" s="35">
        <f t="shared" si="12"/>
        <v>0</v>
      </c>
    </row>
    <row r="145" spans="1:32">
      <c r="A145" s="12" t="s">
        <v>245</v>
      </c>
      <c r="B145" s="12"/>
      <c r="C145" s="12" t="s">
        <v>246</v>
      </c>
      <c r="D145" s="12"/>
      <c r="E145" s="32">
        <v>47795</v>
      </c>
      <c r="G145" s="8">
        <f>+K145-I145</f>
        <v>27179787</v>
      </c>
      <c r="I145" s="8">
        <f>183689+24807993</f>
        <v>24991682</v>
      </c>
      <c r="K145" s="8">
        <v>52171469</v>
      </c>
      <c r="M145" s="8">
        <f>+S145-O145-Q145</f>
        <v>19556637</v>
      </c>
      <c r="O145" s="8">
        <v>2413189</v>
      </c>
      <c r="Q145" s="8">
        <v>18476542</v>
      </c>
      <c r="S145" s="8">
        <v>40446368</v>
      </c>
      <c r="U145" s="8">
        <v>7758237</v>
      </c>
      <c r="W145" s="8">
        <f>AA145-Y145-U145</f>
        <v>4282224</v>
      </c>
      <c r="Y145" s="8">
        <v>-315360</v>
      </c>
      <c r="AA145" s="8">
        <v>11725101</v>
      </c>
      <c r="AD145" s="8">
        <f>+K145-S145-AA145</f>
        <v>0</v>
      </c>
      <c r="AF145" s="35">
        <f>+G145+I145+-M145-O145-U145-W145-Y145-Q145</f>
        <v>0</v>
      </c>
    </row>
    <row r="146" spans="1:32">
      <c r="A146" s="12" t="s">
        <v>455</v>
      </c>
      <c r="B146" s="12"/>
      <c r="C146" s="12" t="s">
        <v>39</v>
      </c>
      <c r="D146" s="12"/>
      <c r="E146" s="32">
        <v>47795</v>
      </c>
      <c r="G146" s="8">
        <f t="shared" si="13"/>
        <v>9717623</v>
      </c>
      <c r="I146" s="8">
        <v>4589556</v>
      </c>
      <c r="K146" s="8">
        <v>14307179</v>
      </c>
      <c r="M146" s="8">
        <f t="shared" si="14"/>
        <v>8894084</v>
      </c>
      <c r="O146" s="8">
        <v>476992</v>
      </c>
      <c r="Q146" s="8">
        <v>1916384</v>
      </c>
      <c r="S146" s="8">
        <v>11287460</v>
      </c>
      <c r="U146" s="8">
        <v>3614018</v>
      </c>
      <c r="W146" s="8">
        <f t="shared" si="15"/>
        <v>215967</v>
      </c>
      <c r="Y146" s="8">
        <v>-810266</v>
      </c>
      <c r="AA146" s="8">
        <v>3019719</v>
      </c>
      <c r="AD146" s="8">
        <f t="shared" si="16"/>
        <v>0</v>
      </c>
      <c r="AF146" s="35">
        <f t="shared" si="12"/>
        <v>0</v>
      </c>
    </row>
    <row r="147" spans="1:32">
      <c r="A147" s="12" t="s">
        <v>735</v>
      </c>
      <c r="B147" s="12"/>
      <c r="C147" s="12" t="s">
        <v>733</v>
      </c>
      <c r="D147" s="12"/>
      <c r="E147" s="32">
        <v>50625</v>
      </c>
      <c r="G147" s="8">
        <f t="shared" si="13"/>
        <v>6658262</v>
      </c>
      <c r="I147" s="8">
        <f>17714783+270236</f>
        <v>17985019</v>
      </c>
      <c r="K147" s="8">
        <v>24643281</v>
      </c>
      <c r="M147" s="8">
        <f t="shared" si="14"/>
        <v>2804185</v>
      </c>
      <c r="O147" s="8">
        <v>279262</v>
      </c>
      <c r="Q147" s="8">
        <v>3743160</v>
      </c>
      <c r="S147" s="8">
        <v>6826607</v>
      </c>
      <c r="U147" s="8">
        <v>14514977</v>
      </c>
      <c r="W147" s="8">
        <f t="shared" si="15"/>
        <v>1182337</v>
      </c>
      <c r="Y147" s="8">
        <v>2119360</v>
      </c>
      <c r="AA147" s="8">
        <v>17816674</v>
      </c>
      <c r="AD147" s="8">
        <f t="shared" si="16"/>
        <v>0</v>
      </c>
      <c r="AF147" s="35">
        <f t="shared" si="12"/>
        <v>0</v>
      </c>
    </row>
    <row r="148" spans="1:32">
      <c r="A148" s="12" t="s">
        <v>526</v>
      </c>
      <c r="B148" s="12"/>
      <c r="C148" s="12" t="s">
        <v>46</v>
      </c>
      <c r="D148" s="12"/>
      <c r="E148" s="32">
        <v>48413</v>
      </c>
      <c r="F148" s="11"/>
      <c r="G148" s="8">
        <f t="shared" si="13"/>
        <v>5717618</v>
      </c>
      <c r="I148" s="8">
        <f>306767+2272183</f>
        <v>2578950</v>
      </c>
      <c r="K148" s="8">
        <v>8296568</v>
      </c>
      <c r="M148" s="8">
        <f t="shared" si="14"/>
        <v>4351130</v>
      </c>
      <c r="O148" s="8">
        <v>38799</v>
      </c>
      <c r="Q148" s="8">
        <v>912077</v>
      </c>
      <c r="S148" s="8">
        <v>5302006</v>
      </c>
      <c r="U148" s="8">
        <v>2578950</v>
      </c>
      <c r="W148" s="8">
        <f t="shared" si="15"/>
        <v>502164</v>
      </c>
      <c r="Y148" s="8">
        <v>-86552</v>
      </c>
      <c r="AA148" s="8">
        <v>2994562</v>
      </c>
      <c r="AD148" s="8">
        <f t="shared" si="16"/>
        <v>0</v>
      </c>
      <c r="AF148" s="35">
        <f t="shared" si="12"/>
        <v>0</v>
      </c>
    </row>
    <row r="149" spans="1:32">
      <c r="A149" s="12" t="s">
        <v>493</v>
      </c>
      <c r="B149" s="12"/>
      <c r="C149" s="12" t="s">
        <v>44</v>
      </c>
      <c r="D149" s="12"/>
      <c r="E149" s="32">
        <v>43943</v>
      </c>
      <c r="G149" s="8">
        <f t="shared" si="13"/>
        <v>86219829</v>
      </c>
      <c r="I149" s="8">
        <f>5735808+9419301</f>
        <v>15155109</v>
      </c>
      <c r="K149" s="8">
        <v>101374938</v>
      </c>
      <c r="M149" s="8">
        <f t="shared" si="14"/>
        <v>38274422</v>
      </c>
      <c r="O149" s="8">
        <v>1247635</v>
      </c>
      <c r="Q149" s="8">
        <v>54721647</v>
      </c>
      <c r="S149" s="8">
        <v>94243704</v>
      </c>
      <c r="U149" s="8">
        <v>35146715</v>
      </c>
      <c r="W149" s="8">
        <f t="shared" si="15"/>
        <v>-26891242</v>
      </c>
      <c r="Y149" s="8">
        <v>-1124239</v>
      </c>
      <c r="AA149" s="8">
        <v>7131234</v>
      </c>
      <c r="AD149" s="8">
        <f t="shared" si="16"/>
        <v>0</v>
      </c>
      <c r="AF149" s="35">
        <f t="shared" si="12"/>
        <v>0</v>
      </c>
    </row>
    <row r="150" spans="1:32">
      <c r="A150" s="12" t="s">
        <v>310</v>
      </c>
      <c r="B150" s="12"/>
      <c r="C150" s="12" t="s">
        <v>20</v>
      </c>
      <c r="D150" s="12"/>
      <c r="E150" s="32">
        <v>43950</v>
      </c>
      <c r="G150" s="8">
        <f t="shared" si="13"/>
        <v>59628612</v>
      </c>
      <c r="I150" s="8">
        <f>2052789+23459166</f>
        <v>25511955</v>
      </c>
      <c r="K150" s="8">
        <v>85140567</v>
      </c>
      <c r="M150" s="8">
        <f t="shared" si="14"/>
        <v>39694505</v>
      </c>
      <c r="O150" s="8">
        <v>3859339</v>
      </c>
      <c r="Q150" s="8">
        <v>14141033</v>
      </c>
      <c r="S150" s="8">
        <v>57694877</v>
      </c>
      <c r="U150" s="8">
        <v>9838599</v>
      </c>
      <c r="W150" s="8">
        <f t="shared" si="15"/>
        <v>4752503</v>
      </c>
      <c r="Y150" s="8">
        <v>12854588</v>
      </c>
      <c r="AA150" s="8">
        <v>27445690</v>
      </c>
      <c r="AD150" s="8">
        <f t="shared" si="16"/>
        <v>0</v>
      </c>
      <c r="AF150" s="35">
        <f t="shared" si="12"/>
        <v>0</v>
      </c>
    </row>
    <row r="151" spans="1:32" hidden="1">
      <c r="A151" s="12" t="s">
        <v>859</v>
      </c>
      <c r="B151" s="12"/>
      <c r="C151" s="12" t="s">
        <v>28</v>
      </c>
      <c r="D151" s="12"/>
      <c r="E151" s="32">
        <v>47050</v>
      </c>
      <c r="G151" s="8">
        <f t="shared" si="13"/>
        <v>0</v>
      </c>
      <c r="I151" s="8">
        <v>0</v>
      </c>
      <c r="K151" s="8">
        <v>0</v>
      </c>
      <c r="M151" s="8">
        <f t="shared" si="14"/>
        <v>0</v>
      </c>
      <c r="O151" s="8">
        <v>0</v>
      </c>
      <c r="Q151" s="8">
        <v>0</v>
      </c>
      <c r="S151" s="8">
        <v>0</v>
      </c>
      <c r="U151" s="8">
        <v>0</v>
      </c>
      <c r="W151" s="8">
        <f t="shared" si="15"/>
        <v>0</v>
      </c>
      <c r="Y151" s="8">
        <v>0</v>
      </c>
      <c r="AA151" s="8">
        <v>0</v>
      </c>
      <c r="AD151" s="8">
        <f>+K151-S151-AA151</f>
        <v>0</v>
      </c>
      <c r="AF151" s="35">
        <f t="shared" si="12"/>
        <v>0</v>
      </c>
    </row>
    <row r="152" spans="1:32">
      <c r="A152" s="12" t="s">
        <v>707</v>
      </c>
      <c r="B152" s="12"/>
      <c r="C152" s="12" t="s">
        <v>66</v>
      </c>
      <c r="D152" s="12"/>
      <c r="E152" s="32">
        <v>50328</v>
      </c>
      <c r="G152" s="8">
        <f t="shared" si="13"/>
        <v>14522909</v>
      </c>
      <c r="I152" s="8">
        <v>12294727</v>
      </c>
      <c r="K152" s="8">
        <v>26817636</v>
      </c>
      <c r="M152" s="8">
        <f t="shared" si="14"/>
        <v>6828201</v>
      </c>
      <c r="O152" s="8">
        <v>707215</v>
      </c>
      <c r="Q152" s="8">
        <v>12910857</v>
      </c>
      <c r="S152" s="8">
        <v>20446273</v>
      </c>
      <c r="U152" s="8">
        <v>2989372</v>
      </c>
      <c r="W152" s="8">
        <f t="shared" si="15"/>
        <v>1894318</v>
      </c>
      <c r="Y152" s="8">
        <v>1487673</v>
      </c>
      <c r="AA152" s="8">
        <v>6371363</v>
      </c>
      <c r="AD152" s="8">
        <f t="shared" si="16"/>
        <v>0</v>
      </c>
      <c r="AF152" s="35">
        <f t="shared" si="12"/>
        <v>0</v>
      </c>
    </row>
    <row r="153" spans="1:32">
      <c r="A153" s="13" t="s">
        <v>884</v>
      </c>
      <c r="B153" s="13"/>
      <c r="C153" s="13" t="s">
        <v>117</v>
      </c>
      <c r="D153" s="13"/>
      <c r="E153" s="13">
        <v>46102</v>
      </c>
      <c r="G153" s="8">
        <f>+K153-I153</f>
        <v>25280241</v>
      </c>
      <c r="I153" s="8">
        <f>299675+15959225</f>
        <v>16258900</v>
      </c>
      <c r="K153" s="8">
        <v>41539141</v>
      </c>
      <c r="M153" s="8">
        <f>+S153-O153-Q153</f>
        <v>22015005</v>
      </c>
      <c r="O153" s="8">
        <v>1491446</v>
      </c>
      <c r="Q153" s="8">
        <v>21283222</v>
      </c>
      <c r="S153" s="8">
        <v>44789673</v>
      </c>
      <c r="U153" s="8">
        <v>-3055515</v>
      </c>
      <c r="W153" s="8">
        <f>AA153-Y153-U153</f>
        <v>1768813</v>
      </c>
      <c r="Y153" s="8">
        <v>-1963830</v>
      </c>
      <c r="AA153" s="8">
        <v>-3250532</v>
      </c>
      <c r="AD153" s="8">
        <f>+K153-S153-AA153</f>
        <v>0</v>
      </c>
      <c r="AF153" s="8">
        <f>+G153+I153+-M153-O153-U153-W153-Y153-Q153</f>
        <v>0</v>
      </c>
    </row>
    <row r="154" spans="1:32">
      <c r="A154" s="12" t="s">
        <v>247</v>
      </c>
      <c r="B154" s="12"/>
      <c r="C154" s="12" t="s">
        <v>246</v>
      </c>
      <c r="D154" s="12"/>
      <c r="E154" s="32">
        <v>46102</v>
      </c>
      <c r="G154" s="8">
        <f t="shared" si="13"/>
        <v>74100747</v>
      </c>
      <c r="I154" s="8">
        <f>3803351+57950270</f>
        <v>61753621</v>
      </c>
      <c r="K154" s="8">
        <v>135854368</v>
      </c>
      <c r="M154" s="8">
        <f t="shared" si="14"/>
        <v>58764882</v>
      </c>
      <c r="O154" s="8">
        <v>3046721</v>
      </c>
      <c r="Q154" s="8">
        <v>37929038</v>
      </c>
      <c r="S154" s="8">
        <v>99740641</v>
      </c>
      <c r="U154" s="8">
        <v>29477654</v>
      </c>
      <c r="W154" s="8">
        <f t="shared" si="15"/>
        <v>4459138</v>
      </c>
      <c r="Y154" s="8">
        <v>2176935</v>
      </c>
      <c r="AA154" s="8">
        <v>36113727</v>
      </c>
      <c r="AD154" s="8">
        <f t="shared" si="16"/>
        <v>0</v>
      </c>
      <c r="AF154" s="35">
        <f t="shared" si="12"/>
        <v>0</v>
      </c>
    </row>
    <row r="155" spans="1:32">
      <c r="A155" s="12" t="s">
        <v>441</v>
      </c>
      <c r="B155" s="12"/>
      <c r="C155" s="12" t="s">
        <v>440</v>
      </c>
      <c r="D155" s="12"/>
      <c r="E155" s="32">
        <v>47621</v>
      </c>
      <c r="G155" s="8">
        <f t="shared" si="13"/>
        <v>3431663</v>
      </c>
      <c r="I155" s="8">
        <f>399200+16093806</f>
        <v>16493006</v>
      </c>
      <c r="K155" s="8">
        <v>19924669</v>
      </c>
      <c r="M155" s="8">
        <f t="shared" si="14"/>
        <v>3486202</v>
      </c>
      <c r="O155" s="8">
        <v>143508</v>
      </c>
      <c r="Q155" s="8">
        <v>2414417</v>
      </c>
      <c r="S155" s="8">
        <v>6044127</v>
      </c>
      <c r="U155" s="8">
        <v>14512658</v>
      </c>
      <c r="W155" s="8">
        <f t="shared" si="15"/>
        <v>672493</v>
      </c>
      <c r="Y155" s="8">
        <v>-1304609</v>
      </c>
      <c r="AA155" s="8">
        <v>13880542</v>
      </c>
      <c r="AD155" s="8">
        <f t="shared" si="16"/>
        <v>0</v>
      </c>
      <c r="AF155" s="35">
        <f t="shared" si="12"/>
        <v>0</v>
      </c>
    </row>
    <row r="156" spans="1:32">
      <c r="A156" s="12" t="s">
        <v>350</v>
      </c>
      <c r="B156" s="12"/>
      <c r="C156" s="12" t="s">
        <v>25</v>
      </c>
      <c r="D156" s="12"/>
      <c r="E156" s="32">
        <v>46870</v>
      </c>
      <c r="G156" s="8">
        <f t="shared" si="13"/>
        <v>53507169</v>
      </c>
      <c r="I156" s="8">
        <f>10790305+5055203</f>
        <v>15845508</v>
      </c>
      <c r="K156" s="8">
        <v>69352677</v>
      </c>
      <c r="M156" s="8">
        <f t="shared" si="14"/>
        <v>9335830</v>
      </c>
      <c r="O156" s="8">
        <v>505046</v>
      </c>
      <c r="Q156" s="8">
        <v>28785619</v>
      </c>
      <c r="S156" s="8">
        <v>38626495</v>
      </c>
      <c r="U156" s="8">
        <v>3796475</v>
      </c>
      <c r="W156" s="8">
        <f t="shared" si="15"/>
        <v>25083481</v>
      </c>
      <c r="Y156" s="8">
        <v>1846226</v>
      </c>
      <c r="AA156" s="8">
        <v>30726182</v>
      </c>
      <c r="AD156" s="8">
        <f>+K156-S156-AA156</f>
        <v>0</v>
      </c>
      <c r="AF156" s="35">
        <f>+G156+I156+-M156-O156-U156-W156-Y156-Q156</f>
        <v>0</v>
      </c>
    </row>
    <row r="157" spans="1:32">
      <c r="A157" s="12" t="s">
        <v>473</v>
      </c>
      <c r="B157" s="12"/>
      <c r="C157" s="12" t="s">
        <v>471</v>
      </c>
      <c r="D157" s="12"/>
      <c r="E157" s="32">
        <v>47936</v>
      </c>
      <c r="G157" s="8">
        <f t="shared" si="13"/>
        <v>10201361</v>
      </c>
      <c r="I157" s="8">
        <f>198591+33659852</f>
        <v>33858443</v>
      </c>
      <c r="K157" s="8">
        <v>44059804</v>
      </c>
      <c r="M157" s="8">
        <f t="shared" si="14"/>
        <v>4580017</v>
      </c>
      <c r="O157" s="8">
        <v>238307</v>
      </c>
      <c r="Q157" s="8">
        <v>3435749</v>
      </c>
      <c r="S157" s="8">
        <v>8254073</v>
      </c>
      <c r="U157" s="8">
        <v>30938443</v>
      </c>
      <c r="W157" s="8">
        <f t="shared" si="15"/>
        <v>1802870</v>
      </c>
      <c r="Y157" s="8">
        <v>3064418</v>
      </c>
      <c r="AA157" s="8">
        <v>35805731</v>
      </c>
      <c r="AD157" s="8">
        <f>+K157-S157-AA157</f>
        <v>0</v>
      </c>
      <c r="AF157" s="35">
        <f>+G157+I157+-M157-O157-U157-W157-Y157-Q157</f>
        <v>0</v>
      </c>
    </row>
    <row r="158" spans="1:32" hidden="1">
      <c r="A158" s="12" t="s">
        <v>860</v>
      </c>
      <c r="B158" s="12"/>
      <c r="C158" s="12" t="s">
        <v>61</v>
      </c>
      <c r="D158" s="12"/>
      <c r="E158" s="32">
        <v>49775</v>
      </c>
      <c r="G158" s="8">
        <f t="shared" si="13"/>
        <v>0</v>
      </c>
      <c r="M158" s="8">
        <f t="shared" si="14"/>
        <v>0</v>
      </c>
      <c r="W158" s="8">
        <f t="shared" si="15"/>
        <v>0</v>
      </c>
      <c r="AD158" s="8">
        <f>+K158-S158-AA158</f>
        <v>0</v>
      </c>
      <c r="AF158" s="35">
        <f t="shared" si="12"/>
        <v>0</v>
      </c>
    </row>
    <row r="159" spans="1:32">
      <c r="A159" s="12" t="s">
        <v>656</v>
      </c>
      <c r="B159" s="12"/>
      <c r="C159" s="12" t="s">
        <v>62</v>
      </c>
      <c r="D159" s="12"/>
      <c r="E159" s="32">
        <v>49841</v>
      </c>
      <c r="G159" s="8">
        <f t="shared" si="13"/>
        <v>14338614</v>
      </c>
      <c r="I159" s="8">
        <f>165570+25508299</f>
        <v>25673869</v>
      </c>
      <c r="K159" s="8">
        <v>40012483</v>
      </c>
      <c r="M159" s="8">
        <f t="shared" si="14"/>
        <v>9546729</v>
      </c>
      <c r="O159" s="8">
        <v>425815</v>
      </c>
      <c r="Q159" s="8">
        <v>13875011</v>
      </c>
      <c r="S159" s="8">
        <v>23847555</v>
      </c>
      <c r="U159" s="8">
        <v>12244456</v>
      </c>
      <c r="W159" s="8">
        <f t="shared" si="15"/>
        <v>2338245</v>
      </c>
      <c r="Y159" s="8">
        <v>1582227</v>
      </c>
      <c r="AA159" s="8">
        <v>16164928</v>
      </c>
      <c r="AD159" s="8">
        <f>+K159-S159-AA159</f>
        <v>0</v>
      </c>
      <c r="AF159" s="35">
        <f>+G159+I159+-M159-O159-U159-W159-Y159-Q159</f>
        <v>0</v>
      </c>
    </row>
    <row r="160" spans="1:32" hidden="1">
      <c r="A160" s="12" t="s">
        <v>861</v>
      </c>
      <c r="B160" s="12"/>
      <c r="C160" s="12" t="s">
        <v>41</v>
      </c>
      <c r="D160" s="12"/>
      <c r="E160" s="32">
        <v>45369</v>
      </c>
      <c r="F160" s="11"/>
      <c r="G160" s="8">
        <f t="shared" si="13"/>
        <v>0</v>
      </c>
      <c r="M160" s="8">
        <f t="shared" si="14"/>
        <v>0</v>
      </c>
      <c r="W160" s="8">
        <f t="shared" si="15"/>
        <v>0</v>
      </c>
      <c r="AD160" s="8">
        <f t="shared" si="16"/>
        <v>0</v>
      </c>
      <c r="AF160" s="35">
        <f t="shared" si="12"/>
        <v>0</v>
      </c>
    </row>
    <row r="161" spans="1:34">
      <c r="A161" s="12" t="s">
        <v>311</v>
      </c>
      <c r="B161" s="12"/>
      <c r="C161" s="12" t="s">
        <v>20</v>
      </c>
      <c r="D161" s="12"/>
      <c r="E161" s="32">
        <v>43976</v>
      </c>
      <c r="G161" s="8">
        <f t="shared" si="13"/>
        <v>34229711</v>
      </c>
      <c r="I161" s="8">
        <f>226660+33489524</f>
        <v>33716184</v>
      </c>
      <c r="K161" s="8">
        <v>67945895</v>
      </c>
      <c r="M161" s="8">
        <f t="shared" si="14"/>
        <v>17611739</v>
      </c>
      <c r="O161" s="8">
        <v>1561476</v>
      </c>
      <c r="Q161" s="8">
        <v>31563766</v>
      </c>
      <c r="S161" s="8">
        <v>50736981</v>
      </c>
      <c r="U161" s="8">
        <v>2526946</v>
      </c>
      <c r="W161" s="8">
        <f t="shared" si="15"/>
        <v>5491071</v>
      </c>
      <c r="Y161" s="8">
        <v>9190897</v>
      </c>
      <c r="AA161" s="8">
        <v>17208914</v>
      </c>
      <c r="AD161" s="8">
        <f t="shared" si="16"/>
        <v>0</v>
      </c>
      <c r="AF161" s="35">
        <f t="shared" si="12"/>
        <v>0</v>
      </c>
    </row>
    <row r="162" spans="1:34">
      <c r="A162" s="12" t="s">
        <v>241</v>
      </c>
      <c r="B162" s="12"/>
      <c r="C162" s="12" t="s">
        <v>77</v>
      </c>
      <c r="D162" s="12"/>
      <c r="E162" s="32">
        <v>46045</v>
      </c>
      <c r="G162" s="8">
        <f t="shared" si="13"/>
        <v>23384687</v>
      </c>
      <c r="I162" s="8">
        <f>89380+898920+12916005+1159353+1028863+7912765-886374-3318988-820317-703341</f>
        <v>18276266</v>
      </c>
      <c r="K162" s="8">
        <v>41660953</v>
      </c>
      <c r="M162" s="8">
        <f t="shared" si="14"/>
        <v>4462097</v>
      </c>
      <c r="O162" s="8">
        <v>335102</v>
      </c>
      <c r="Q162" s="8">
        <v>8727260</v>
      </c>
      <c r="S162" s="8">
        <v>13524459</v>
      </c>
      <c r="U162" s="8">
        <v>15471048</v>
      </c>
      <c r="W162" s="8">
        <f t="shared" si="15"/>
        <v>11041613</v>
      </c>
      <c r="Y162" s="8">
        <v>1623833</v>
      </c>
      <c r="AA162" s="8">
        <v>28136494</v>
      </c>
      <c r="AD162" s="8">
        <f t="shared" si="16"/>
        <v>0</v>
      </c>
      <c r="AF162" s="35">
        <f t="shared" si="12"/>
        <v>0</v>
      </c>
    </row>
    <row r="163" spans="1:34">
      <c r="A163" s="12" t="s">
        <v>272</v>
      </c>
      <c r="B163" s="12"/>
      <c r="C163" s="12" t="s">
        <v>116</v>
      </c>
      <c r="D163" s="12"/>
      <c r="E163" s="32">
        <v>46334</v>
      </c>
      <c r="G163" s="8">
        <f t="shared" si="13"/>
        <v>4486311</v>
      </c>
      <c r="I163" s="8">
        <f>65450+20339553</f>
        <v>20405003</v>
      </c>
      <c r="K163" s="8">
        <v>24891314</v>
      </c>
      <c r="M163" s="8">
        <f t="shared" si="14"/>
        <v>2757298</v>
      </c>
      <c r="O163" s="8">
        <v>263541</v>
      </c>
      <c r="Q163" s="8">
        <v>2756501</v>
      </c>
      <c r="S163" s="8">
        <v>5777340</v>
      </c>
      <c r="U163" s="8">
        <v>17925221</v>
      </c>
      <c r="W163" s="8">
        <f t="shared" si="15"/>
        <v>1134143</v>
      </c>
      <c r="Y163" s="8">
        <v>54610</v>
      </c>
      <c r="AA163" s="8">
        <v>19113974</v>
      </c>
      <c r="AD163" s="8">
        <f t="shared" si="16"/>
        <v>0</v>
      </c>
      <c r="AF163" s="35">
        <f t="shared" si="12"/>
        <v>0</v>
      </c>
    </row>
    <row r="164" spans="1:34">
      <c r="A164" s="12" t="s">
        <v>597</v>
      </c>
      <c r="B164" s="12"/>
      <c r="C164" s="12" t="s">
        <v>56</v>
      </c>
      <c r="D164" s="12"/>
      <c r="E164" s="32">
        <v>49197</v>
      </c>
      <c r="G164" s="8">
        <f t="shared" si="13"/>
        <v>12930078</v>
      </c>
      <c r="I164" s="8">
        <v>28947734</v>
      </c>
      <c r="K164" s="8">
        <v>41877812</v>
      </c>
      <c r="M164" s="8">
        <f t="shared" si="14"/>
        <v>11762506</v>
      </c>
      <c r="O164" s="8">
        <v>395896</v>
      </c>
      <c r="Q164" s="8">
        <v>25481691</v>
      </c>
      <c r="S164" s="8">
        <v>37640093</v>
      </c>
      <c r="U164" s="8">
        <v>4827789</v>
      </c>
      <c r="W164" s="8">
        <f t="shared" si="15"/>
        <v>1712533</v>
      </c>
      <c r="Y164" s="8">
        <v>-2302603</v>
      </c>
      <c r="AA164" s="8">
        <v>4237719</v>
      </c>
      <c r="AD164" s="8">
        <f t="shared" si="16"/>
        <v>0</v>
      </c>
      <c r="AF164" s="35">
        <f t="shared" si="12"/>
        <v>0</v>
      </c>
    </row>
    <row r="165" spans="1:34">
      <c r="A165" s="12" t="s">
        <v>979</v>
      </c>
      <c r="B165" s="12"/>
      <c r="C165" s="12" t="s">
        <v>33</v>
      </c>
      <c r="D165" s="12"/>
      <c r="E165" s="32">
        <v>43984</v>
      </c>
      <c r="G165" s="8">
        <f t="shared" si="13"/>
        <v>52246866</v>
      </c>
      <c r="I165" s="8">
        <f>13985134</f>
        <v>13985134</v>
      </c>
      <c r="K165" s="8">
        <v>66232000</v>
      </c>
      <c r="M165" s="8">
        <f t="shared" si="14"/>
        <v>40056305</v>
      </c>
      <c r="O165" s="8">
        <v>1125416</v>
      </c>
      <c r="Q165" s="8">
        <v>4795935</v>
      </c>
      <c r="S165" s="8">
        <v>45977656</v>
      </c>
      <c r="U165" s="8">
        <v>11666148</v>
      </c>
      <c r="W165" s="8">
        <f t="shared" si="15"/>
        <v>2931880</v>
      </c>
      <c r="Y165" s="8">
        <v>5656316</v>
      </c>
      <c r="AA165" s="8">
        <v>20254344</v>
      </c>
      <c r="AD165" s="8">
        <f t="shared" si="16"/>
        <v>0</v>
      </c>
      <c r="AF165" s="35">
        <f t="shared" si="12"/>
        <v>0</v>
      </c>
    </row>
    <row r="166" spans="1:34">
      <c r="A166" s="12" t="s">
        <v>398</v>
      </c>
      <c r="B166" s="12"/>
      <c r="C166" s="12" t="s">
        <v>32</v>
      </c>
      <c r="D166" s="12"/>
      <c r="E166" s="32">
        <v>47332</v>
      </c>
      <c r="G166" s="8">
        <f t="shared" si="13"/>
        <v>16109382</v>
      </c>
      <c r="I166" s="8">
        <f>1156613+6189731</f>
        <v>7346344</v>
      </c>
      <c r="K166" s="8">
        <v>23455726</v>
      </c>
      <c r="M166" s="8">
        <f t="shared" si="14"/>
        <v>9571262</v>
      </c>
      <c r="O166" s="8">
        <v>414265</v>
      </c>
      <c r="Q166" s="8">
        <v>8145496</v>
      </c>
      <c r="S166" s="8">
        <v>18131023</v>
      </c>
      <c r="U166" s="8">
        <v>89604</v>
      </c>
      <c r="W166" s="8">
        <f t="shared" si="15"/>
        <v>1340617</v>
      </c>
      <c r="Y166" s="8">
        <v>3894482</v>
      </c>
      <c r="AA166" s="8">
        <v>5324703</v>
      </c>
      <c r="AD166" s="8">
        <f t="shared" si="16"/>
        <v>0</v>
      </c>
      <c r="AF166" s="35">
        <f t="shared" si="12"/>
        <v>0</v>
      </c>
    </row>
    <row r="167" spans="1:34">
      <c r="A167" s="12" t="s">
        <v>494</v>
      </c>
      <c r="B167" s="12"/>
      <c r="C167" s="12" t="s">
        <v>44</v>
      </c>
      <c r="D167" s="12"/>
      <c r="E167" s="32">
        <v>48157</v>
      </c>
      <c r="G167" s="8">
        <f t="shared" si="13"/>
        <v>13221259</v>
      </c>
      <c r="I167" s="8">
        <v>3551033</v>
      </c>
      <c r="K167" s="8">
        <v>16772292</v>
      </c>
      <c r="M167" s="8">
        <f t="shared" si="14"/>
        <v>8037099</v>
      </c>
      <c r="O167" s="8">
        <v>390647</v>
      </c>
      <c r="Q167" s="8">
        <v>866401</v>
      </c>
      <c r="S167" s="8">
        <v>9294147</v>
      </c>
      <c r="U167" s="8">
        <v>3490467</v>
      </c>
      <c r="W167" s="8">
        <f t="shared" si="15"/>
        <v>1931598</v>
      </c>
      <c r="Y167" s="8">
        <v>2056080</v>
      </c>
      <c r="AA167" s="8">
        <v>7478145</v>
      </c>
      <c r="AD167" s="8">
        <f t="shared" si="16"/>
        <v>0</v>
      </c>
      <c r="AF167" s="35">
        <f t="shared" si="12"/>
        <v>0</v>
      </c>
    </row>
    <row r="168" spans="1:34">
      <c r="A168" s="12" t="s">
        <v>399</v>
      </c>
      <c r="B168" s="12"/>
      <c r="C168" s="12" t="s">
        <v>32</v>
      </c>
      <c r="D168" s="12"/>
      <c r="E168" s="32">
        <v>47340</v>
      </c>
      <c r="G168" s="8">
        <f t="shared" si="13"/>
        <v>66916061</v>
      </c>
      <c r="I168" s="8">
        <f>1873728+29457694</f>
        <v>31331422</v>
      </c>
      <c r="K168" s="8">
        <v>98247483</v>
      </c>
      <c r="M168" s="8">
        <f t="shared" si="14"/>
        <v>33202831</v>
      </c>
      <c r="O168" s="8">
        <v>1953090</v>
      </c>
      <c r="Q168" s="8">
        <v>16866819</v>
      </c>
      <c r="S168" s="8">
        <v>52022740</v>
      </c>
      <c r="U168" s="8">
        <v>15086422</v>
      </c>
      <c r="W168" s="8">
        <f t="shared" si="15"/>
        <v>6068750</v>
      </c>
      <c r="Y168" s="8">
        <v>25069571</v>
      </c>
      <c r="AA168" s="8">
        <v>46224743</v>
      </c>
      <c r="AD168" s="8">
        <f t="shared" si="16"/>
        <v>0</v>
      </c>
      <c r="AF168" s="35">
        <f t="shared" si="12"/>
        <v>0</v>
      </c>
    </row>
    <row r="169" spans="1:34" hidden="1">
      <c r="A169" s="12" t="s">
        <v>856</v>
      </c>
      <c r="B169" s="12"/>
      <c r="C169" s="12" t="s">
        <v>70</v>
      </c>
      <c r="D169" s="12"/>
      <c r="E169" s="32">
        <v>50484</v>
      </c>
      <c r="G169" s="8">
        <f t="shared" si="13"/>
        <v>0</v>
      </c>
      <c r="M169" s="8">
        <f t="shared" si="14"/>
        <v>0</v>
      </c>
      <c r="W169" s="8">
        <f t="shared" si="15"/>
        <v>0</v>
      </c>
      <c r="AD169" s="8">
        <f t="shared" si="16"/>
        <v>0</v>
      </c>
      <c r="AF169" s="35">
        <f t="shared" si="12"/>
        <v>0</v>
      </c>
      <c r="AH169" s="8" t="s">
        <v>847</v>
      </c>
    </row>
    <row r="170" spans="1:34">
      <c r="A170" s="12" t="s">
        <v>649</v>
      </c>
      <c r="B170" s="12"/>
      <c r="C170" s="12" t="s">
        <v>61</v>
      </c>
      <c r="D170" s="12"/>
      <c r="E170" s="32">
        <v>49783</v>
      </c>
      <c r="G170" s="8">
        <f t="shared" si="13"/>
        <v>23100044</v>
      </c>
      <c r="I170" s="8">
        <f>4111126+7951928</f>
        <v>12063054</v>
      </c>
      <c r="K170" s="8">
        <v>35163098</v>
      </c>
      <c r="M170" s="8">
        <f t="shared" si="14"/>
        <v>4318565</v>
      </c>
      <c r="O170" s="8">
        <v>272316</v>
      </c>
      <c r="Q170" s="8">
        <v>12174033</v>
      </c>
      <c r="S170" s="8">
        <v>16764914</v>
      </c>
      <c r="U170" s="8">
        <v>7536401</v>
      </c>
      <c r="W170" s="8">
        <f t="shared" si="15"/>
        <v>8885702</v>
      </c>
      <c r="Y170" s="8">
        <v>1976081</v>
      </c>
      <c r="AA170" s="8">
        <v>18398184</v>
      </c>
      <c r="AD170" s="8">
        <f t="shared" si="16"/>
        <v>0</v>
      </c>
      <c r="AF170" s="35">
        <f t="shared" si="12"/>
        <v>0</v>
      </c>
    </row>
    <row r="171" spans="1:34">
      <c r="A171" s="12" t="s">
        <v>641</v>
      </c>
      <c r="B171" s="12"/>
      <c r="C171" s="12" t="s">
        <v>60</v>
      </c>
      <c r="D171" s="12"/>
      <c r="E171" s="32">
        <v>43992</v>
      </c>
      <c r="G171" s="8">
        <f t="shared" si="13"/>
        <v>24685475</v>
      </c>
      <c r="I171" s="8">
        <v>9573583</v>
      </c>
      <c r="K171" s="8">
        <v>34259058</v>
      </c>
      <c r="M171" s="8">
        <f t="shared" si="14"/>
        <v>10902730</v>
      </c>
      <c r="O171" s="8">
        <v>971349</v>
      </c>
      <c r="Q171" s="8">
        <v>6901957</v>
      </c>
      <c r="S171" s="8">
        <v>18776036</v>
      </c>
      <c r="U171" s="8">
        <v>4122078</v>
      </c>
      <c r="W171" s="8">
        <f t="shared" si="15"/>
        <v>2480680</v>
      </c>
      <c r="Y171" s="8">
        <v>8880264</v>
      </c>
      <c r="AA171" s="8">
        <v>15483022</v>
      </c>
      <c r="AD171" s="8">
        <f t="shared" si="16"/>
        <v>0</v>
      </c>
      <c r="AF171" s="35">
        <f t="shared" si="12"/>
        <v>0</v>
      </c>
    </row>
    <row r="172" spans="1:34">
      <c r="A172" s="12" t="s">
        <v>714</v>
      </c>
      <c r="B172" s="12"/>
      <c r="C172" s="12" t="s">
        <v>69</v>
      </c>
      <c r="D172" s="12"/>
      <c r="E172" s="32">
        <v>44008</v>
      </c>
      <c r="G172" s="8">
        <f t="shared" si="13"/>
        <v>21533622</v>
      </c>
      <c r="I172" s="8">
        <f>13295781+409574</f>
        <v>13705355</v>
      </c>
      <c r="K172" s="8">
        <v>35238977</v>
      </c>
      <c r="M172" s="8">
        <f t="shared" si="14"/>
        <v>13140771</v>
      </c>
      <c r="O172" s="8">
        <v>388580</v>
      </c>
      <c r="Q172" s="8">
        <v>4573419</v>
      </c>
      <c r="S172" s="8">
        <v>18102770</v>
      </c>
      <c r="U172" s="8">
        <v>10223158</v>
      </c>
      <c r="W172" s="8">
        <f t="shared" si="15"/>
        <v>1462857</v>
      </c>
      <c r="Y172" s="8">
        <v>5450192</v>
      </c>
      <c r="AA172" s="8">
        <v>17136207</v>
      </c>
      <c r="AD172" s="8">
        <f t="shared" si="16"/>
        <v>0</v>
      </c>
      <c r="AF172" s="35">
        <f t="shared" si="12"/>
        <v>0</v>
      </c>
    </row>
    <row r="173" spans="1:34">
      <c r="A173" s="12" t="s">
        <v>572</v>
      </c>
      <c r="B173" s="12"/>
      <c r="C173" s="12" t="s">
        <v>51</v>
      </c>
      <c r="D173" s="12"/>
      <c r="E173" s="32">
        <v>48843</v>
      </c>
      <c r="G173" s="8">
        <f t="shared" si="13"/>
        <v>15664216</v>
      </c>
      <c r="I173" s="8">
        <f>1122451+41692731</f>
        <v>42815182</v>
      </c>
      <c r="K173" s="8">
        <v>58479398</v>
      </c>
      <c r="M173" s="8">
        <f t="shared" si="14"/>
        <v>7512687</v>
      </c>
      <c r="O173" s="8">
        <v>418743</v>
      </c>
      <c r="Q173" s="8">
        <v>8104366</v>
      </c>
      <c r="S173" s="8">
        <v>16035796</v>
      </c>
      <c r="U173" s="8">
        <v>36127224</v>
      </c>
      <c r="W173" s="8">
        <f t="shared" si="15"/>
        <v>2694868</v>
      </c>
      <c r="Y173" s="8">
        <v>3621510</v>
      </c>
      <c r="AA173" s="8">
        <v>42443602</v>
      </c>
      <c r="AD173" s="8">
        <f t="shared" si="16"/>
        <v>0</v>
      </c>
      <c r="AF173" s="35">
        <f t="shared" si="12"/>
        <v>0</v>
      </c>
    </row>
    <row r="174" spans="1:34" hidden="1">
      <c r="A174" s="12" t="s">
        <v>855</v>
      </c>
      <c r="B174" s="12"/>
      <c r="C174" s="12" t="s">
        <v>21</v>
      </c>
      <c r="D174" s="12"/>
      <c r="E174" s="32">
        <v>46649</v>
      </c>
      <c r="G174" s="8">
        <f t="shared" si="13"/>
        <v>0</v>
      </c>
      <c r="M174" s="8">
        <f t="shared" si="14"/>
        <v>0</v>
      </c>
      <c r="W174" s="8">
        <f t="shared" si="15"/>
        <v>0</v>
      </c>
      <c r="AD174" s="8">
        <f>+K174-S174-AA174</f>
        <v>0</v>
      </c>
      <c r="AF174" s="35">
        <f t="shared" si="12"/>
        <v>0</v>
      </c>
    </row>
    <row r="175" spans="1:34">
      <c r="A175" s="12" t="s">
        <v>461</v>
      </c>
      <c r="B175" s="12"/>
      <c r="C175" s="12" t="s">
        <v>40</v>
      </c>
      <c r="D175" s="12"/>
      <c r="E175" s="32">
        <v>47852</v>
      </c>
      <c r="G175" s="8">
        <f t="shared" si="13"/>
        <v>11780269</v>
      </c>
      <c r="I175" s="8">
        <f>19312812+9306580</f>
        <v>28619392</v>
      </c>
      <c r="K175" s="8">
        <v>40399661</v>
      </c>
      <c r="M175" s="8">
        <f t="shared" si="14"/>
        <v>4614344</v>
      </c>
      <c r="O175" s="8">
        <v>299237</v>
      </c>
      <c r="Q175" s="8">
        <v>9046491</v>
      </c>
      <c r="S175" s="8">
        <v>13960072</v>
      </c>
      <c r="U175" s="8">
        <v>20187846</v>
      </c>
      <c r="W175" s="8">
        <f t="shared" si="15"/>
        <v>4301371</v>
      </c>
      <c r="Y175" s="8">
        <v>1950372</v>
      </c>
      <c r="AA175" s="8">
        <v>26439589</v>
      </c>
      <c r="AD175" s="8">
        <f t="shared" si="16"/>
        <v>0</v>
      </c>
      <c r="AF175" s="35">
        <f t="shared" si="12"/>
        <v>0</v>
      </c>
    </row>
    <row r="176" spans="1:34">
      <c r="A176" s="12" t="s">
        <v>937</v>
      </c>
      <c r="B176" s="12"/>
      <c r="C176" s="12" t="s">
        <v>79</v>
      </c>
      <c r="D176" s="12"/>
      <c r="E176" s="32">
        <v>44016</v>
      </c>
      <c r="G176" s="8">
        <f t="shared" si="13"/>
        <v>24812986</v>
      </c>
      <c r="I176" s="8">
        <f>409270+11046852</f>
        <v>11456122</v>
      </c>
      <c r="K176" s="8">
        <v>36269108</v>
      </c>
      <c r="M176" s="8">
        <f t="shared" si="14"/>
        <v>14200660</v>
      </c>
      <c r="O176" s="8">
        <v>691856</v>
      </c>
      <c r="Q176" s="8">
        <v>3557341</v>
      </c>
      <c r="S176" s="8">
        <v>18449857</v>
      </c>
      <c r="U176" s="8">
        <v>11196122</v>
      </c>
      <c r="W176" s="8">
        <f t="shared" si="15"/>
        <v>4466668</v>
      </c>
      <c r="Y176" s="8">
        <v>2156461</v>
      </c>
      <c r="AA176" s="8">
        <v>17819251</v>
      </c>
      <c r="AD176" s="8">
        <f t="shared" si="16"/>
        <v>0</v>
      </c>
      <c r="AF176" s="35">
        <f t="shared" si="12"/>
        <v>0</v>
      </c>
    </row>
    <row r="177" spans="1:32">
      <c r="A177" s="12" t="s">
        <v>723</v>
      </c>
      <c r="B177" s="12"/>
      <c r="C177" s="12" t="s">
        <v>70</v>
      </c>
      <c r="D177" s="12"/>
      <c r="E177" s="32">
        <v>50492</v>
      </c>
      <c r="G177" s="8">
        <f t="shared" si="13"/>
        <v>4095484</v>
      </c>
      <c r="I177" s="8">
        <v>21230061</v>
      </c>
      <c r="K177" s="8">
        <v>25325545</v>
      </c>
      <c r="M177" s="8">
        <f t="shared" si="14"/>
        <v>2490762</v>
      </c>
      <c r="O177" s="8">
        <v>135266</v>
      </c>
      <c r="Q177" s="8">
        <v>2596597</v>
      </c>
      <c r="S177" s="8">
        <v>5222625</v>
      </c>
      <c r="U177" s="8">
        <v>19222745</v>
      </c>
      <c r="W177" s="8">
        <f t="shared" si="15"/>
        <v>1794217</v>
      </c>
      <c r="Y177" s="8">
        <v>-914042</v>
      </c>
      <c r="AA177" s="8">
        <v>20102920</v>
      </c>
      <c r="AD177" s="8">
        <f t="shared" si="16"/>
        <v>0</v>
      </c>
      <c r="AF177" s="35">
        <f t="shared" si="12"/>
        <v>0</v>
      </c>
    </row>
    <row r="178" spans="1:32">
      <c r="A178" s="12" t="s">
        <v>933</v>
      </c>
      <c r="B178" s="12"/>
      <c r="C178" s="12" t="s">
        <v>27</v>
      </c>
      <c r="D178" s="12"/>
      <c r="E178" s="32">
        <v>46961</v>
      </c>
      <c r="G178" s="8">
        <f t="shared" si="13"/>
        <v>110999949</v>
      </c>
      <c r="I178" s="8">
        <f>2252059+28051930</f>
        <v>30303989</v>
      </c>
      <c r="K178" s="8">
        <v>141303938</v>
      </c>
      <c r="M178" s="8">
        <f t="shared" si="14"/>
        <v>72332821</v>
      </c>
      <c r="O178" s="8">
        <v>2840210</v>
      </c>
      <c r="Q178" s="8">
        <v>25807892</v>
      </c>
      <c r="S178" s="8">
        <v>100980923</v>
      </c>
      <c r="U178" s="8">
        <v>8249608</v>
      </c>
      <c r="W178" s="8">
        <f t="shared" si="15"/>
        <v>3183369</v>
      </c>
      <c r="Y178" s="8">
        <v>28890038</v>
      </c>
      <c r="AA178" s="8">
        <v>40323015</v>
      </c>
      <c r="AD178" s="8">
        <f t="shared" si="16"/>
        <v>0</v>
      </c>
      <c r="AF178" s="35">
        <f t="shared" si="12"/>
        <v>0</v>
      </c>
    </row>
    <row r="179" spans="1:32">
      <c r="A179" s="12" t="s">
        <v>298</v>
      </c>
      <c r="B179" s="12"/>
      <c r="C179" s="12" t="s">
        <v>114</v>
      </c>
      <c r="D179" s="12"/>
      <c r="E179" s="32">
        <v>44024</v>
      </c>
      <c r="G179" s="8">
        <f t="shared" si="13"/>
        <v>16178921</v>
      </c>
      <c r="I179" s="8">
        <f>1018865+56851003</f>
        <v>57869868</v>
      </c>
      <c r="K179" s="8">
        <v>74048789</v>
      </c>
      <c r="M179" s="8">
        <f t="shared" si="14"/>
        <v>7230304</v>
      </c>
      <c r="O179" s="8">
        <v>392426</v>
      </c>
      <c r="Q179" s="8">
        <v>19426401</v>
      </c>
      <c r="S179" s="8">
        <v>27049131</v>
      </c>
      <c r="U179" s="8">
        <v>40051470</v>
      </c>
      <c r="W179" s="8">
        <f t="shared" si="15"/>
        <v>5877801</v>
      </c>
      <c r="Y179" s="8">
        <v>1070387</v>
      </c>
      <c r="AA179" s="8">
        <v>46999658</v>
      </c>
      <c r="AD179" s="8">
        <f t="shared" si="16"/>
        <v>0</v>
      </c>
      <c r="AF179" s="35">
        <f t="shared" si="12"/>
        <v>0</v>
      </c>
    </row>
    <row r="180" spans="1:32">
      <c r="A180" s="12" t="s">
        <v>934</v>
      </c>
      <c r="B180" s="12"/>
      <c r="C180" s="12" t="s">
        <v>29</v>
      </c>
      <c r="D180" s="12"/>
      <c r="E180" s="32">
        <v>65680</v>
      </c>
      <c r="G180" s="8">
        <f t="shared" si="13"/>
        <v>52633510</v>
      </c>
      <c r="I180" s="8">
        <f>8107593+21709607</f>
        <v>29817200</v>
      </c>
      <c r="K180" s="8">
        <v>82450710</v>
      </c>
      <c r="M180" s="8">
        <f t="shared" si="14"/>
        <v>15696678</v>
      </c>
      <c r="O180" s="8">
        <v>628326</v>
      </c>
      <c r="Q180" s="8">
        <v>44460445</v>
      </c>
      <c r="S180" s="8">
        <v>60785449</v>
      </c>
      <c r="U180" s="8">
        <v>13574725</v>
      </c>
      <c r="W180" s="8">
        <f t="shared" si="15"/>
        <v>7066166</v>
      </c>
      <c r="Y180" s="8">
        <v>1024370</v>
      </c>
      <c r="AA180" s="8">
        <v>21665261</v>
      </c>
      <c r="AD180" s="8">
        <f t="shared" si="16"/>
        <v>0</v>
      </c>
      <c r="AF180" s="35">
        <f t="shared" si="12"/>
        <v>0</v>
      </c>
    </row>
    <row r="181" spans="1:32">
      <c r="A181" s="12" t="s">
        <v>380</v>
      </c>
      <c r="B181" s="12"/>
      <c r="C181" s="12" t="s">
        <v>29</v>
      </c>
      <c r="D181" s="12"/>
      <c r="E181" s="32">
        <v>44032</v>
      </c>
      <c r="G181" s="8">
        <f t="shared" si="13"/>
        <v>57115334</v>
      </c>
      <c r="I181" s="8">
        <f>5097673+2493081</f>
        <v>7590754</v>
      </c>
      <c r="K181" s="8">
        <v>64706088</v>
      </c>
      <c r="M181" s="8">
        <f t="shared" si="14"/>
        <v>10293332</v>
      </c>
      <c r="O181" s="8">
        <v>741310</v>
      </c>
      <c r="Q181" s="8">
        <v>25921884</v>
      </c>
      <c r="S181" s="8">
        <v>36956526</v>
      </c>
      <c r="U181" s="8">
        <v>3809201</v>
      </c>
      <c r="W181" s="8">
        <f t="shared" si="15"/>
        <v>20153904</v>
      </c>
      <c r="Y181" s="8">
        <v>3786457</v>
      </c>
      <c r="AA181" s="8">
        <v>27749562</v>
      </c>
      <c r="AD181" s="8">
        <f t="shared" si="16"/>
        <v>0</v>
      </c>
      <c r="AF181" s="35">
        <f t="shared" si="12"/>
        <v>0</v>
      </c>
    </row>
    <row r="182" spans="1:32">
      <c r="A182" s="12" t="s">
        <v>701</v>
      </c>
      <c r="B182" s="12"/>
      <c r="C182" s="12" t="s">
        <v>65</v>
      </c>
      <c r="D182" s="12"/>
      <c r="E182" s="32">
        <v>50278</v>
      </c>
      <c r="F182" s="35"/>
      <c r="G182" s="8">
        <f t="shared" si="13"/>
        <v>10329778</v>
      </c>
      <c r="I182" s="8">
        <f>118386+3050220</f>
        <v>3168606</v>
      </c>
      <c r="K182" s="8">
        <v>13498384</v>
      </c>
      <c r="M182" s="8">
        <f t="shared" si="14"/>
        <v>6539129</v>
      </c>
      <c r="O182" s="8">
        <v>239649</v>
      </c>
      <c r="Q182" s="8">
        <v>1704823</v>
      </c>
      <c r="S182" s="8">
        <v>8483601</v>
      </c>
      <c r="U182" s="8">
        <v>1922529</v>
      </c>
      <c r="W182" s="8">
        <f t="shared" si="15"/>
        <v>625078</v>
      </c>
      <c r="Y182" s="8">
        <v>2467176</v>
      </c>
      <c r="AA182" s="8">
        <v>5014783</v>
      </c>
      <c r="AD182" s="8">
        <f t="shared" si="16"/>
        <v>0</v>
      </c>
      <c r="AF182" s="35">
        <f t="shared" si="12"/>
        <v>0</v>
      </c>
    </row>
    <row r="183" spans="1:32" hidden="1">
      <c r="A183" s="12" t="s">
        <v>862</v>
      </c>
      <c r="B183" s="12"/>
      <c r="C183" s="12" t="s">
        <v>20</v>
      </c>
      <c r="D183" s="12"/>
      <c r="E183" s="32">
        <v>44040</v>
      </c>
      <c r="G183" s="8">
        <f t="shared" si="13"/>
        <v>0</v>
      </c>
      <c r="M183" s="8">
        <f t="shared" si="14"/>
        <v>0</v>
      </c>
      <c r="W183" s="8">
        <f t="shared" si="15"/>
        <v>0</v>
      </c>
      <c r="AD183" s="8">
        <f t="shared" si="16"/>
        <v>0</v>
      </c>
      <c r="AF183" s="35">
        <f t="shared" si="12"/>
        <v>0</v>
      </c>
    </row>
    <row r="184" spans="1:32">
      <c r="A184" s="12" t="s">
        <v>936</v>
      </c>
      <c r="B184" s="12"/>
      <c r="C184" s="12" t="s">
        <v>12</v>
      </c>
      <c r="D184" s="12"/>
      <c r="E184" s="32">
        <v>44057</v>
      </c>
      <c r="F184" s="11"/>
      <c r="G184" s="8">
        <f t="shared" si="13"/>
        <v>18430627</v>
      </c>
      <c r="I184" s="8">
        <v>25349015</v>
      </c>
      <c r="K184" s="8">
        <v>43779642</v>
      </c>
      <c r="M184" s="8">
        <f t="shared" si="14"/>
        <v>5676675</v>
      </c>
      <c r="O184" s="8">
        <v>1190306</v>
      </c>
      <c r="Q184" s="8">
        <v>21376152</v>
      </c>
      <c r="S184" s="8">
        <v>28243133</v>
      </c>
      <c r="U184" s="8">
        <v>5449025</v>
      </c>
      <c r="W184" s="8">
        <f t="shared" si="15"/>
        <v>8224392</v>
      </c>
      <c r="Y184" s="8">
        <v>1863092</v>
      </c>
      <c r="AA184" s="8">
        <v>15536509</v>
      </c>
      <c r="AD184" s="8">
        <f t="shared" si="16"/>
        <v>0</v>
      </c>
      <c r="AF184" s="35">
        <f t="shared" si="12"/>
        <v>0</v>
      </c>
    </row>
    <row r="185" spans="1:32">
      <c r="A185" s="12" t="s">
        <v>580</v>
      </c>
      <c r="B185" s="12"/>
      <c r="C185" s="12" t="s">
        <v>53</v>
      </c>
      <c r="D185" s="12"/>
      <c r="E185" s="32">
        <v>48942</v>
      </c>
      <c r="G185" s="8">
        <f>+K185-I185</f>
        <v>9094495</v>
      </c>
      <c r="I185" s="8">
        <f>330773+9807898</f>
        <v>10138671</v>
      </c>
      <c r="K185" s="8">
        <v>19233166</v>
      </c>
      <c r="M185" s="8">
        <f>+S185-O185-Q185</f>
        <v>6200323</v>
      </c>
      <c r="O185" s="8">
        <v>499610</v>
      </c>
      <c r="Q185" s="8">
        <v>5156372</v>
      </c>
      <c r="S185" s="8">
        <v>11856305</v>
      </c>
      <c r="U185" s="8">
        <v>5580582</v>
      </c>
      <c r="W185" s="8">
        <f>AA185-Y185-U185</f>
        <v>1565512</v>
      </c>
      <c r="Y185" s="8">
        <v>230767</v>
      </c>
      <c r="AA185" s="8">
        <v>7376861</v>
      </c>
      <c r="AD185" s="8">
        <f>+K185-S185-AA185</f>
        <v>0</v>
      </c>
      <c r="AF185" s="35">
        <f>+G185+I185+-M185-O185-U185-W185-Y185-Q185</f>
        <v>0</v>
      </c>
    </row>
    <row r="186" spans="1:32">
      <c r="A186" s="12" t="s">
        <v>812</v>
      </c>
      <c r="B186" s="12"/>
      <c r="C186" s="12" t="s">
        <v>77</v>
      </c>
      <c r="D186" s="12"/>
      <c r="E186" s="32">
        <v>45377</v>
      </c>
      <c r="G186" s="8">
        <f t="shared" si="13"/>
        <v>4811491</v>
      </c>
      <c r="I186" s="8">
        <f>224937+25396268</f>
        <v>25621205</v>
      </c>
      <c r="K186" s="8">
        <v>30432696</v>
      </c>
      <c r="M186" s="8">
        <f t="shared" si="14"/>
        <v>3070785</v>
      </c>
      <c r="O186" s="8">
        <v>182305</v>
      </c>
      <c r="Q186" s="8">
        <v>5390068</v>
      </c>
      <c r="S186" s="8">
        <v>8643158</v>
      </c>
      <c r="U186" s="8">
        <v>20683575</v>
      </c>
      <c r="W186" s="8">
        <f t="shared" si="15"/>
        <v>1373300</v>
      </c>
      <c r="Y186" s="8">
        <v>-267337</v>
      </c>
      <c r="AA186" s="8">
        <v>21789538</v>
      </c>
      <c r="AD186" s="8">
        <f t="shared" si="16"/>
        <v>0</v>
      </c>
      <c r="AF186" s="35">
        <f t="shared" si="12"/>
        <v>0</v>
      </c>
    </row>
    <row r="187" spans="1:32">
      <c r="A187" s="12" t="s">
        <v>629</v>
      </c>
      <c r="B187" s="12"/>
      <c r="C187" s="12" t="s">
        <v>79</v>
      </c>
      <c r="D187" s="12"/>
      <c r="E187" s="32">
        <v>45385</v>
      </c>
      <c r="G187" s="8">
        <f t="shared" ref="G187:G198" si="17">+K187-I187</f>
        <v>7768541</v>
      </c>
      <c r="I187" s="8">
        <f>759542+6000+22836896</f>
        <v>23602438</v>
      </c>
      <c r="K187" s="8">
        <v>31370979</v>
      </c>
      <c r="M187" s="8">
        <f t="shared" si="14"/>
        <v>3270883</v>
      </c>
      <c r="O187" s="8">
        <v>342054</v>
      </c>
      <c r="Q187" s="8">
        <v>5055812</v>
      </c>
      <c r="S187" s="8">
        <v>8668749</v>
      </c>
      <c r="U187" s="8">
        <v>18846442</v>
      </c>
      <c r="W187" s="8">
        <f t="shared" si="15"/>
        <v>2158681</v>
      </c>
      <c r="Y187" s="8">
        <v>1697107</v>
      </c>
      <c r="AA187" s="8">
        <v>22702230</v>
      </c>
      <c r="AD187" s="8">
        <f t="shared" si="16"/>
        <v>0</v>
      </c>
      <c r="AF187" s="35">
        <f t="shared" si="12"/>
        <v>0</v>
      </c>
    </row>
    <row r="188" spans="1:32">
      <c r="A188" s="12" t="s">
        <v>684</v>
      </c>
      <c r="B188" s="12"/>
      <c r="C188" s="12" t="s">
        <v>64</v>
      </c>
      <c r="D188" s="12"/>
      <c r="E188" s="32">
        <v>44065</v>
      </c>
      <c r="G188" s="8">
        <f t="shared" si="17"/>
        <v>43295247</v>
      </c>
      <c r="I188" s="8">
        <f>644177+1776400+9003930</f>
        <v>11424507</v>
      </c>
      <c r="K188" s="8">
        <v>54719754</v>
      </c>
      <c r="M188" s="8">
        <f t="shared" si="14"/>
        <v>6599020</v>
      </c>
      <c r="O188" s="8">
        <v>618246</v>
      </c>
      <c r="Q188" s="8">
        <v>14421991</v>
      </c>
      <c r="S188" s="8">
        <v>21639257</v>
      </c>
      <c r="U188" s="8">
        <v>5870303</v>
      </c>
      <c r="W188" s="8">
        <f t="shared" si="15"/>
        <v>23608983</v>
      </c>
      <c r="Y188" s="8">
        <v>3601211</v>
      </c>
      <c r="AA188" s="8">
        <v>33080497</v>
      </c>
      <c r="AD188" s="8">
        <f t="shared" si="16"/>
        <v>0</v>
      </c>
      <c r="AF188" s="35">
        <f t="shared" si="12"/>
        <v>0</v>
      </c>
    </row>
    <row r="189" spans="1:32">
      <c r="A189" s="12" t="s">
        <v>374</v>
      </c>
      <c r="B189" s="12"/>
      <c r="C189" s="12" t="s">
        <v>28</v>
      </c>
      <c r="D189" s="12"/>
      <c r="E189" s="32">
        <v>47068</v>
      </c>
      <c r="G189" s="8">
        <f>+K189-I189</f>
        <v>8198304</v>
      </c>
      <c r="I189" s="8">
        <f>17408438+367008</f>
        <v>17775446</v>
      </c>
      <c r="K189" s="8">
        <v>25973750</v>
      </c>
      <c r="M189" s="8">
        <f>+S189-O189-Q189</f>
        <v>2486997</v>
      </c>
      <c r="O189" s="8">
        <v>112310</v>
      </c>
      <c r="Q189" s="8">
        <v>5293389</v>
      </c>
      <c r="S189" s="8">
        <v>7892696</v>
      </c>
      <c r="U189" s="8">
        <v>12646405</v>
      </c>
      <c r="W189" s="8">
        <f>AA189-Y189-U189</f>
        <v>3793023</v>
      </c>
      <c r="Y189" s="8">
        <v>1641626</v>
      </c>
      <c r="AA189" s="8">
        <v>18081054</v>
      </c>
      <c r="AD189" s="8">
        <f>+K189-S189-AA189</f>
        <v>0</v>
      </c>
      <c r="AF189" s="35">
        <f>+G189+I189+-M189-O189-U189-W189-Y189-Q189</f>
        <v>0</v>
      </c>
    </row>
    <row r="190" spans="1:32">
      <c r="A190" s="12" t="s">
        <v>273</v>
      </c>
      <c r="B190" s="12"/>
      <c r="C190" s="12" t="s">
        <v>116</v>
      </c>
      <c r="D190" s="12"/>
      <c r="E190" s="32">
        <v>46342</v>
      </c>
      <c r="G190" s="8">
        <f>+K190-I190</f>
        <v>14512194</v>
      </c>
      <c r="I190" s="8">
        <f>861560+2334779+37496981</f>
        <v>40693320</v>
      </c>
      <c r="K190" s="8">
        <v>55205514</v>
      </c>
      <c r="M190" s="8">
        <f t="shared" si="14"/>
        <v>8172462</v>
      </c>
      <c r="O190" s="8">
        <v>532417</v>
      </c>
      <c r="Q190" s="8">
        <v>11357522</v>
      </c>
      <c r="S190" s="8">
        <v>20062401</v>
      </c>
      <c r="U190" s="8">
        <v>30710480</v>
      </c>
      <c r="W190" s="8">
        <f>AA190-Y190-U190</f>
        <v>2285296</v>
      </c>
      <c r="Y190" s="8">
        <v>2147337</v>
      </c>
      <c r="AA190" s="8">
        <v>35143113</v>
      </c>
      <c r="AD190" s="8">
        <f t="shared" si="16"/>
        <v>0</v>
      </c>
      <c r="AF190" s="35">
        <f t="shared" si="12"/>
        <v>0</v>
      </c>
    </row>
    <row r="191" spans="1:32">
      <c r="A191" s="12" t="s">
        <v>258</v>
      </c>
      <c r="B191" s="12"/>
      <c r="C191" s="12" t="s">
        <v>259</v>
      </c>
      <c r="D191" s="12"/>
      <c r="E191" s="32">
        <v>46193</v>
      </c>
      <c r="G191" s="8">
        <f t="shared" si="17"/>
        <v>10097903</v>
      </c>
      <c r="I191" s="8">
        <f>348941+30408940</f>
        <v>30757881</v>
      </c>
      <c r="K191" s="8">
        <v>40855784</v>
      </c>
      <c r="M191" s="8">
        <f t="shared" si="14"/>
        <v>6164063</v>
      </c>
      <c r="O191" s="8">
        <v>616088</v>
      </c>
      <c r="Q191" s="8">
        <v>20885117</v>
      </c>
      <c r="S191" s="8">
        <v>27665268</v>
      </c>
      <c r="U191" s="8">
        <v>10726124</v>
      </c>
      <c r="W191" s="8">
        <f t="shared" si="15"/>
        <v>2366512</v>
      </c>
      <c r="Y191" s="8">
        <v>97880</v>
      </c>
      <c r="AA191" s="8">
        <v>13190516</v>
      </c>
      <c r="AD191" s="8">
        <f t="shared" si="16"/>
        <v>0</v>
      </c>
      <c r="AF191" s="35">
        <f t="shared" ref="AF191:AF256" si="18">+G191+I191+-M191-O191-U191-W191-Y191-Q191</f>
        <v>0</v>
      </c>
    </row>
    <row r="192" spans="1:32">
      <c r="A192" s="12" t="s">
        <v>222</v>
      </c>
      <c r="B192" s="12"/>
      <c r="C192" s="12" t="s">
        <v>12</v>
      </c>
      <c r="D192" s="12"/>
      <c r="E192" s="32">
        <v>45864</v>
      </c>
      <c r="G192" s="8">
        <f t="shared" si="17"/>
        <v>16799611</v>
      </c>
      <c r="I192" s="8">
        <f>845993+30233107</f>
        <v>31079100</v>
      </c>
      <c r="K192" s="8">
        <v>47878711</v>
      </c>
      <c r="M192" s="8">
        <f t="shared" si="14"/>
        <v>3673678</v>
      </c>
      <c r="O192" s="8">
        <v>570055</v>
      </c>
      <c r="Q192" s="8">
        <v>12620126</v>
      </c>
      <c r="S192" s="8">
        <v>16863859</v>
      </c>
      <c r="U192" s="8">
        <v>0</v>
      </c>
      <c r="W192" s="8">
        <f t="shared" si="15"/>
        <v>28580404</v>
      </c>
      <c r="Y192" s="8">
        <v>2434448</v>
      </c>
      <c r="AA192" s="8">
        <v>31014852</v>
      </c>
      <c r="AD192" s="8">
        <f t="shared" si="16"/>
        <v>0</v>
      </c>
      <c r="AF192" s="35">
        <f t="shared" si="18"/>
        <v>0</v>
      </c>
    </row>
    <row r="193" spans="1:32">
      <c r="A193" s="12" t="s">
        <v>361</v>
      </c>
      <c r="B193" s="12"/>
      <c r="C193" s="12" t="s">
        <v>27</v>
      </c>
      <c r="D193" s="12"/>
      <c r="E193" s="32">
        <v>44073</v>
      </c>
      <c r="G193" s="8">
        <f t="shared" si="17"/>
        <v>15993681</v>
      </c>
      <c r="I193" s="8">
        <v>12743792</v>
      </c>
      <c r="K193" s="8">
        <v>28737473</v>
      </c>
      <c r="M193" s="8">
        <f t="shared" si="14"/>
        <v>7207930</v>
      </c>
      <c r="O193" s="8">
        <v>912588</v>
      </c>
      <c r="Q193" s="8">
        <v>7795360</v>
      </c>
      <c r="S193" s="8">
        <v>15915878</v>
      </c>
      <c r="U193" s="8">
        <v>0</v>
      </c>
      <c r="W193" s="8">
        <f t="shared" si="15"/>
        <v>6117059</v>
      </c>
      <c r="Y193" s="8">
        <v>6704536</v>
      </c>
      <c r="AA193" s="8">
        <v>12821595</v>
      </c>
      <c r="AD193" s="8">
        <f t="shared" ref="AD193:AD260" si="19">+K193-S193-AA193</f>
        <v>0</v>
      </c>
      <c r="AF193" s="35">
        <f t="shared" si="18"/>
        <v>0</v>
      </c>
    </row>
    <row r="194" spans="1:32">
      <c r="A194" s="12" t="s">
        <v>478</v>
      </c>
      <c r="B194" s="12"/>
      <c r="C194" s="12" t="s">
        <v>42</v>
      </c>
      <c r="D194" s="12"/>
      <c r="E194" s="32">
        <v>45393</v>
      </c>
      <c r="G194" s="8">
        <f t="shared" si="17"/>
        <v>30977115</v>
      </c>
      <c r="I194" s="8">
        <f>1782609+34890665</f>
        <v>36673274</v>
      </c>
      <c r="K194" s="8">
        <v>67650389</v>
      </c>
      <c r="M194" s="8">
        <f>+S194-O194-Q194</f>
        <v>18820751</v>
      </c>
      <c r="O194" s="8">
        <v>1545475</v>
      </c>
      <c r="Q194" s="8">
        <v>36364155</v>
      </c>
      <c r="S194" s="8">
        <v>56730381</v>
      </c>
      <c r="U194" s="8">
        <v>6892455</v>
      </c>
      <c r="W194" s="8">
        <f>AA194-Y194-U194</f>
        <v>3425127</v>
      </c>
      <c r="Y194" s="8">
        <v>602426</v>
      </c>
      <c r="AA194" s="8">
        <v>10920008</v>
      </c>
      <c r="AD194" s="8">
        <f t="shared" si="19"/>
        <v>0</v>
      </c>
      <c r="AF194" s="35">
        <f t="shared" si="18"/>
        <v>0</v>
      </c>
    </row>
    <row r="195" spans="1:32">
      <c r="A195" s="12" t="s">
        <v>633</v>
      </c>
      <c r="B195" s="12"/>
      <c r="C195" s="12" t="s">
        <v>59</v>
      </c>
      <c r="D195" s="12"/>
      <c r="E195" s="32">
        <v>49619</v>
      </c>
      <c r="G195" s="8">
        <f t="shared" si="17"/>
        <v>2686789</v>
      </c>
      <c r="I195" s="8">
        <f>72079+2083840</f>
        <v>2155919</v>
      </c>
      <c r="K195" s="8">
        <v>4842708</v>
      </c>
      <c r="M195" s="8">
        <f>+S195-O195-Q195</f>
        <v>2168372</v>
      </c>
      <c r="O195" s="8">
        <v>16560</v>
      </c>
      <c r="Q195" s="8">
        <v>357107</v>
      </c>
      <c r="S195" s="8">
        <v>2542039</v>
      </c>
      <c r="U195" s="8">
        <v>2155919</v>
      </c>
      <c r="W195" s="8">
        <f>AA195-Y195-U195</f>
        <v>330353</v>
      </c>
      <c r="Y195" s="8">
        <v>-185603</v>
      </c>
      <c r="AA195" s="8">
        <v>2300669</v>
      </c>
      <c r="AD195" s="8">
        <f t="shared" si="19"/>
        <v>0</v>
      </c>
      <c r="AF195" s="35">
        <f t="shared" si="18"/>
        <v>0</v>
      </c>
    </row>
    <row r="196" spans="1:32">
      <c r="A196" s="12" t="s">
        <v>633</v>
      </c>
      <c r="B196" s="12"/>
      <c r="C196" s="12" t="s">
        <v>63</v>
      </c>
      <c r="D196" s="12"/>
      <c r="E196" s="32">
        <v>50013</v>
      </c>
      <c r="G196" s="8">
        <f t="shared" si="17"/>
        <v>31085639</v>
      </c>
      <c r="I196" s="8">
        <f>826143+42823495</f>
        <v>43649638</v>
      </c>
      <c r="K196" s="8">
        <v>74735277</v>
      </c>
      <c r="M196" s="8">
        <f>+S196-O196-Q196</f>
        <v>25460816</v>
      </c>
      <c r="O196" s="8">
        <v>1250523</v>
      </c>
      <c r="Q196" s="8">
        <v>39162230</v>
      </c>
      <c r="S196" s="8">
        <v>65873569</v>
      </c>
      <c r="U196" s="8">
        <v>20279218</v>
      </c>
      <c r="W196" s="8">
        <f>AA196-Y196-U196</f>
        <v>3537250</v>
      </c>
      <c r="Y196" s="8">
        <v>-14954760</v>
      </c>
      <c r="AA196" s="8">
        <v>8861708</v>
      </c>
      <c r="AD196" s="8">
        <f t="shared" si="19"/>
        <v>0</v>
      </c>
      <c r="AF196" s="35">
        <f t="shared" si="18"/>
        <v>0</v>
      </c>
    </row>
    <row r="197" spans="1:32">
      <c r="A197" s="12" t="s">
        <v>633</v>
      </c>
      <c r="B197" s="12"/>
      <c r="C197" s="12" t="s">
        <v>71</v>
      </c>
      <c r="D197" s="12"/>
      <c r="E197" s="32">
        <v>50559</v>
      </c>
      <c r="G197" s="8">
        <f t="shared" si="17"/>
        <v>4986559</v>
      </c>
      <c r="I197" s="8">
        <f>66992+2720969</f>
        <v>2787961</v>
      </c>
      <c r="K197" s="8">
        <v>7774520</v>
      </c>
      <c r="M197" s="8">
        <f>+S197-O197-Q197</f>
        <v>4543011</v>
      </c>
      <c r="O197" s="8">
        <v>141883</v>
      </c>
      <c r="Q197" s="8">
        <v>866881</v>
      </c>
      <c r="S197" s="8">
        <v>5551775</v>
      </c>
      <c r="U197" s="8">
        <v>2497650</v>
      </c>
      <c r="W197" s="8">
        <f>AA197-Y197-U197</f>
        <v>-863583</v>
      </c>
      <c r="Y197" s="8">
        <v>588678</v>
      </c>
      <c r="AA197" s="8">
        <v>2222745</v>
      </c>
      <c r="AD197" s="8">
        <f>+K197-S197-AA197</f>
        <v>0</v>
      </c>
      <c r="AF197" s="35">
        <f>+G197+I197+-M197-O197-U197-W197-Y197-Q197</f>
        <v>0</v>
      </c>
    </row>
    <row r="198" spans="1:32">
      <c r="A198" s="12" t="s">
        <v>390</v>
      </c>
      <c r="B198" s="12"/>
      <c r="C198" s="12" t="s">
        <v>117</v>
      </c>
      <c r="D198" s="12"/>
      <c r="E198" s="32">
        <v>47266</v>
      </c>
      <c r="G198" s="8">
        <f t="shared" si="17"/>
        <v>8600094</v>
      </c>
      <c r="I198" s="8">
        <f>10000909+350000</f>
        <v>10350909</v>
      </c>
      <c r="K198" s="8">
        <v>18951003</v>
      </c>
      <c r="M198" s="8">
        <f>+S198-O198-Q198</f>
        <v>5182389</v>
      </c>
      <c r="O198" s="8">
        <v>433461</v>
      </c>
      <c r="Q198" s="8">
        <v>7974721</v>
      </c>
      <c r="S198" s="8">
        <v>13590571</v>
      </c>
      <c r="U198" s="8">
        <v>2585221</v>
      </c>
      <c r="W198" s="8">
        <f>AA198-Y198-U198</f>
        <v>541547</v>
      </c>
      <c r="Y198" s="8">
        <v>2233664</v>
      </c>
      <c r="AA198" s="8">
        <v>5360432</v>
      </c>
      <c r="AD198" s="8">
        <f t="shared" si="19"/>
        <v>0</v>
      </c>
      <c r="AF198" s="35">
        <f t="shared" si="18"/>
        <v>0</v>
      </c>
    </row>
    <row r="199" spans="1:32">
      <c r="A199" s="13" t="s">
        <v>442</v>
      </c>
      <c r="B199" s="13"/>
      <c r="C199" s="13" t="s">
        <v>440</v>
      </c>
      <c r="D199" s="13"/>
      <c r="E199" s="13">
        <v>45401</v>
      </c>
      <c r="G199" s="8">
        <f t="shared" ref="G199:G259" si="20">+K199-I199</f>
        <v>13114962</v>
      </c>
      <c r="I199" s="8">
        <f>42231+25499258</f>
        <v>25541489</v>
      </c>
      <c r="K199" s="8">
        <v>38656451</v>
      </c>
      <c r="M199" s="8">
        <f t="shared" ref="M199:M225" si="21">+S199-O199-Q199</f>
        <v>7637485</v>
      </c>
      <c r="O199" s="8">
        <v>210262</v>
      </c>
      <c r="Q199" s="8">
        <v>4031299</v>
      </c>
      <c r="S199" s="8">
        <v>11879046</v>
      </c>
      <c r="U199" s="8">
        <v>22841489</v>
      </c>
      <c r="W199" s="8">
        <f t="shared" ref="W199:W265" si="22">AA199-Y199-U199</f>
        <v>1801415</v>
      </c>
      <c r="Y199" s="8">
        <v>2134501</v>
      </c>
      <c r="AA199" s="8">
        <v>26777405</v>
      </c>
      <c r="AD199" s="8">
        <f t="shared" si="19"/>
        <v>0</v>
      </c>
      <c r="AF199" s="35">
        <f t="shared" si="18"/>
        <v>0</v>
      </c>
    </row>
    <row r="201" spans="1:32" s="35" customFormat="1">
      <c r="AA201" s="35" t="s">
        <v>819</v>
      </c>
    </row>
    <row r="202" spans="1:32" s="35" customFormat="1">
      <c r="A202" s="34" t="s">
        <v>265</v>
      </c>
      <c r="B202" s="34"/>
      <c r="C202" s="34" t="s">
        <v>17</v>
      </c>
      <c r="D202" s="34"/>
      <c r="E202" s="34">
        <v>46235</v>
      </c>
      <c r="G202" s="35">
        <f>+K202-I202</f>
        <v>9507806</v>
      </c>
      <c r="I202" s="35">
        <f>6968720+84740</f>
        <v>7053460</v>
      </c>
      <c r="K202" s="35">
        <v>16561266</v>
      </c>
      <c r="M202" s="35">
        <f>+S202-O202-Q202</f>
        <v>6267970</v>
      </c>
      <c r="O202" s="35">
        <v>142838</v>
      </c>
      <c r="Q202" s="35">
        <v>1041561</v>
      </c>
      <c r="S202" s="35">
        <v>7452369</v>
      </c>
      <c r="U202" s="35">
        <v>6983580</v>
      </c>
      <c r="W202" s="35">
        <f>AA202-Y202-U202</f>
        <v>894735</v>
      </c>
      <c r="Y202" s="35">
        <v>1230582</v>
      </c>
      <c r="AA202" s="35">
        <v>9108897</v>
      </c>
      <c r="AD202" s="35">
        <f>+K202-S202-AA202</f>
        <v>0</v>
      </c>
      <c r="AF202" s="35">
        <f>+G202+I202+-M202-O202-U202-W202-Y202-Q202</f>
        <v>0</v>
      </c>
    </row>
    <row r="203" spans="1:32">
      <c r="A203" s="12" t="s">
        <v>331</v>
      </c>
      <c r="B203" s="12"/>
      <c r="C203" s="12" t="s">
        <v>21</v>
      </c>
      <c r="D203" s="12"/>
      <c r="E203" s="32">
        <v>44099</v>
      </c>
      <c r="G203" s="8">
        <f>+K203-I203</f>
        <v>20063403</v>
      </c>
      <c r="I203" s="8">
        <f>1231790+7284844</f>
        <v>8516634</v>
      </c>
      <c r="K203" s="8">
        <v>28580037</v>
      </c>
      <c r="M203" s="8">
        <f>+S203-O203-Q203</f>
        <v>10422314</v>
      </c>
      <c r="O203" s="8">
        <v>191942</v>
      </c>
      <c r="Q203" s="8">
        <v>778234</v>
      </c>
      <c r="S203" s="8">
        <v>11392490</v>
      </c>
      <c r="U203" s="8">
        <v>8516634</v>
      </c>
      <c r="W203" s="8">
        <f>AA203-Y203-U203</f>
        <v>2858406</v>
      </c>
      <c r="Y203" s="8">
        <v>5812507</v>
      </c>
      <c r="AA203" s="8">
        <v>17187547</v>
      </c>
      <c r="AD203" s="8">
        <f>+K203-S203-AA203</f>
        <v>0</v>
      </c>
      <c r="AF203" s="35">
        <f>+G203+I203+-M203-O203-U203-W203-Y203-Q203</f>
        <v>0</v>
      </c>
    </row>
    <row r="204" spans="1:32" hidden="1">
      <c r="A204" s="12" t="s">
        <v>944</v>
      </c>
      <c r="B204" s="12"/>
      <c r="C204" s="12" t="s">
        <v>27</v>
      </c>
      <c r="D204" s="12"/>
      <c r="E204" s="32">
        <v>46979</v>
      </c>
      <c r="G204" s="8">
        <f>+K204-I204</f>
        <v>0</v>
      </c>
      <c r="M204" s="8">
        <f>+S204-O204-Q204</f>
        <v>0</v>
      </c>
      <c r="W204" s="8">
        <f>AA204-Y204-U204</f>
        <v>0</v>
      </c>
      <c r="AD204" s="8">
        <f>+K204-S204-AA204</f>
        <v>0</v>
      </c>
      <c r="AF204" s="35">
        <f>+G204+I204+-M204-O204-U204-W204-Y204-Q204</f>
        <v>0</v>
      </c>
    </row>
    <row r="205" spans="1:32">
      <c r="A205" s="12" t="s">
        <v>248</v>
      </c>
      <c r="B205" s="12"/>
      <c r="C205" s="12" t="s">
        <v>246</v>
      </c>
      <c r="D205" s="12"/>
      <c r="E205" s="32">
        <v>44107</v>
      </c>
      <c r="G205" s="8">
        <f>+K205-I205</f>
        <v>244795072</v>
      </c>
      <c r="I205" s="8">
        <f>17021255+66517278</f>
        <v>83538533</v>
      </c>
      <c r="K205" s="8">
        <v>328333605</v>
      </c>
      <c r="M205" s="8">
        <f>+S205-O205-Q205</f>
        <v>52104084</v>
      </c>
      <c r="O205" s="8">
        <v>2860763</v>
      </c>
      <c r="Q205" s="8">
        <v>116170030</v>
      </c>
      <c r="S205" s="8">
        <v>171134877</v>
      </c>
      <c r="U205" s="8">
        <v>30171083</v>
      </c>
      <c r="W205" s="8">
        <f>AA205-Y205-U205</f>
        <v>136209694</v>
      </c>
      <c r="Y205" s="8">
        <v>-9182049</v>
      </c>
      <c r="AA205" s="8">
        <v>157198728</v>
      </c>
      <c r="AD205" s="8">
        <f>+K205-S205-AA205</f>
        <v>0</v>
      </c>
      <c r="AF205" s="35">
        <f>+G205+I205+-M205-O205-U205-W205-Y205-Q205</f>
        <v>0</v>
      </c>
    </row>
    <row r="206" spans="1:32">
      <c r="A206" s="13" t="s">
        <v>363</v>
      </c>
      <c r="B206" s="13"/>
      <c r="C206" s="13" t="s">
        <v>27</v>
      </c>
      <c r="D206" s="13"/>
      <c r="E206" s="13">
        <v>46953</v>
      </c>
      <c r="F206" s="11"/>
      <c r="G206" s="8">
        <f t="shared" si="20"/>
        <v>32313473</v>
      </c>
      <c r="I206" s="8">
        <f>15135970+46356814</f>
        <v>61492784</v>
      </c>
      <c r="K206" s="8">
        <v>93806257</v>
      </c>
      <c r="M206" s="8">
        <f t="shared" si="21"/>
        <v>11158014</v>
      </c>
      <c r="O206" s="8">
        <v>924006</v>
      </c>
      <c r="Q206" s="8">
        <v>26699238</v>
      </c>
      <c r="S206" s="8">
        <v>38781258</v>
      </c>
      <c r="U206" s="8">
        <v>36498224</v>
      </c>
      <c r="W206" s="8">
        <f t="shared" si="22"/>
        <v>15986627</v>
      </c>
      <c r="Y206" s="8">
        <v>2540148</v>
      </c>
      <c r="AA206" s="8">
        <v>55024999</v>
      </c>
      <c r="AD206" s="8">
        <f t="shared" si="19"/>
        <v>0</v>
      </c>
      <c r="AF206" s="8">
        <f t="shared" si="18"/>
        <v>0</v>
      </c>
    </row>
    <row r="207" spans="1:32">
      <c r="A207" s="12" t="s">
        <v>427</v>
      </c>
      <c r="B207" s="12"/>
      <c r="C207" s="12" t="s">
        <v>426</v>
      </c>
      <c r="D207" s="12"/>
      <c r="E207" s="32">
        <v>47498</v>
      </c>
      <c r="G207" s="8">
        <f t="shared" si="20"/>
        <v>7537557</v>
      </c>
      <c r="I207" s="8">
        <v>1210891</v>
      </c>
      <c r="K207" s="8">
        <v>8748448</v>
      </c>
      <c r="M207" s="8">
        <f t="shared" si="21"/>
        <v>1690032</v>
      </c>
      <c r="O207" s="8">
        <v>82362</v>
      </c>
      <c r="Q207" s="8">
        <v>3577887</v>
      </c>
      <c r="S207" s="8">
        <v>5350281</v>
      </c>
      <c r="U207" s="8">
        <v>1230891</v>
      </c>
      <c r="W207" s="8">
        <f t="shared" si="22"/>
        <v>3709207</v>
      </c>
      <c r="Y207" s="8">
        <v>-1541931</v>
      </c>
      <c r="AA207" s="8">
        <v>3398167</v>
      </c>
      <c r="AD207" s="8">
        <f t="shared" si="19"/>
        <v>0</v>
      </c>
      <c r="AF207" s="35">
        <f t="shared" si="18"/>
        <v>0</v>
      </c>
    </row>
    <row r="208" spans="1:32">
      <c r="A208" s="12" t="s">
        <v>650</v>
      </c>
      <c r="B208" s="12"/>
      <c r="C208" s="12" t="s">
        <v>61</v>
      </c>
      <c r="D208" s="12"/>
      <c r="E208" s="32">
        <v>49791</v>
      </c>
      <c r="G208" s="8">
        <f t="shared" si="20"/>
        <v>4957795</v>
      </c>
      <c r="I208" s="8">
        <v>2697765</v>
      </c>
      <c r="K208" s="8">
        <v>7655560</v>
      </c>
      <c r="M208" s="8">
        <f t="shared" si="21"/>
        <v>2242280</v>
      </c>
      <c r="O208" s="8">
        <v>82087</v>
      </c>
      <c r="Q208" s="8">
        <v>528756</v>
      </c>
      <c r="S208" s="8">
        <v>2853123</v>
      </c>
      <c r="U208" s="8">
        <v>2503689</v>
      </c>
      <c r="W208" s="8">
        <f t="shared" si="22"/>
        <v>1119333</v>
      </c>
      <c r="Y208" s="8">
        <v>1179415</v>
      </c>
      <c r="AA208" s="8">
        <v>4802437</v>
      </c>
      <c r="AD208" s="8">
        <f t="shared" si="19"/>
        <v>0</v>
      </c>
      <c r="AF208" s="35">
        <f t="shared" si="18"/>
        <v>0</v>
      </c>
    </row>
    <row r="209" spans="1:32">
      <c r="A209" s="12" t="s">
        <v>434</v>
      </c>
      <c r="B209" s="12"/>
      <c r="C209" s="12" t="s">
        <v>433</v>
      </c>
      <c r="D209" s="12"/>
      <c r="E209" s="32">
        <v>45245</v>
      </c>
      <c r="G209" s="8">
        <f t="shared" si="20"/>
        <v>14496711</v>
      </c>
      <c r="I209" s="8">
        <f>15067+3541181</f>
        <v>3556248</v>
      </c>
      <c r="K209" s="8">
        <v>18052959</v>
      </c>
      <c r="M209" s="8">
        <f t="shared" si="21"/>
        <v>6711118</v>
      </c>
      <c r="O209" s="8">
        <v>262150</v>
      </c>
      <c r="Q209" s="8">
        <v>1059554</v>
      </c>
      <c r="S209" s="8">
        <v>8032822</v>
      </c>
      <c r="U209" s="8">
        <v>3501088</v>
      </c>
      <c r="W209" s="8">
        <f t="shared" si="22"/>
        <v>3636565</v>
      </c>
      <c r="Y209" s="8">
        <v>2882484</v>
      </c>
      <c r="AA209" s="8">
        <v>10020137</v>
      </c>
      <c r="AD209" s="8">
        <f t="shared" si="19"/>
        <v>0</v>
      </c>
      <c r="AF209" s="35">
        <f t="shared" si="18"/>
        <v>0</v>
      </c>
    </row>
    <row r="210" spans="1:32">
      <c r="A210" s="12" t="s">
        <v>479</v>
      </c>
      <c r="B210" s="12"/>
      <c r="C210" s="12" t="s">
        <v>42</v>
      </c>
      <c r="D210" s="12"/>
      <c r="E210" s="32">
        <v>44115</v>
      </c>
      <c r="G210" s="8">
        <f t="shared" si="20"/>
        <v>14436300</v>
      </c>
      <c r="I210" s="8">
        <v>17941781</v>
      </c>
      <c r="K210" s="8">
        <v>32378081</v>
      </c>
      <c r="M210" s="8">
        <f t="shared" si="21"/>
        <v>9961022</v>
      </c>
      <c r="O210" s="8">
        <v>960782</v>
      </c>
      <c r="Q210" s="8">
        <v>16414281</v>
      </c>
      <c r="S210" s="8">
        <v>27336085</v>
      </c>
      <c r="U210" s="8">
        <v>2834908</v>
      </c>
      <c r="W210" s="8">
        <f t="shared" si="22"/>
        <v>2367178</v>
      </c>
      <c r="Y210" s="8">
        <v>-160090</v>
      </c>
      <c r="AA210" s="8">
        <v>5041996</v>
      </c>
      <c r="AD210" s="8">
        <f t="shared" si="19"/>
        <v>0</v>
      </c>
      <c r="AF210" s="35">
        <f t="shared" si="18"/>
        <v>0</v>
      </c>
    </row>
    <row r="211" spans="1:32" hidden="1">
      <c r="A211" s="12" t="s">
        <v>940</v>
      </c>
      <c r="B211" s="12"/>
      <c r="C211" s="12" t="s">
        <v>22</v>
      </c>
      <c r="D211" s="12"/>
      <c r="E211" s="32">
        <v>45419</v>
      </c>
      <c r="G211" s="8">
        <f t="shared" si="20"/>
        <v>0</v>
      </c>
      <c r="I211" s="8">
        <v>0</v>
      </c>
      <c r="K211" s="8">
        <v>0</v>
      </c>
      <c r="M211" s="8">
        <f t="shared" si="21"/>
        <v>0</v>
      </c>
      <c r="O211" s="8">
        <v>0</v>
      </c>
      <c r="Q211" s="8">
        <v>0</v>
      </c>
      <c r="S211" s="8">
        <v>0</v>
      </c>
      <c r="U211" s="8">
        <v>0</v>
      </c>
      <c r="W211" s="8">
        <f t="shared" si="22"/>
        <v>0</v>
      </c>
      <c r="Y211" s="8">
        <v>0</v>
      </c>
      <c r="AA211" s="8">
        <v>0</v>
      </c>
      <c r="AD211" s="8">
        <f t="shared" si="19"/>
        <v>0</v>
      </c>
      <c r="AF211" s="35">
        <f t="shared" si="18"/>
        <v>0</v>
      </c>
    </row>
    <row r="212" spans="1:32">
      <c r="A212" s="12" t="s">
        <v>534</v>
      </c>
      <c r="B212" s="12"/>
      <c r="C212" s="12" t="s">
        <v>47</v>
      </c>
      <c r="D212" s="12"/>
      <c r="E212" s="32">
        <v>48496</v>
      </c>
      <c r="G212" s="8">
        <f t="shared" si="20"/>
        <v>36367418</v>
      </c>
      <c r="I212" s="8">
        <f>1299013+42849706</f>
        <v>44148719</v>
      </c>
      <c r="K212" s="8">
        <v>80516137</v>
      </c>
      <c r="M212" s="8">
        <f t="shared" si="21"/>
        <v>22612790</v>
      </c>
      <c r="O212" s="8">
        <v>1772322</v>
      </c>
      <c r="Q212" s="8">
        <v>36201208</v>
      </c>
      <c r="S212" s="8">
        <v>60586320</v>
      </c>
      <c r="U212" s="8">
        <v>8177748</v>
      </c>
      <c r="W212" s="8">
        <f t="shared" si="22"/>
        <v>3520259</v>
      </c>
      <c r="Y212" s="8">
        <v>8231810</v>
      </c>
      <c r="AA212" s="8">
        <v>19929817</v>
      </c>
      <c r="AD212" s="8">
        <f>+K212-S212-AA212</f>
        <v>0</v>
      </c>
      <c r="AF212" s="35">
        <f>+G212+I212+-M212-O212-U212-W212-Y212-Q212</f>
        <v>0</v>
      </c>
    </row>
    <row r="213" spans="1:32">
      <c r="A213" s="12" t="s">
        <v>534</v>
      </c>
      <c r="B213" s="12"/>
      <c r="C213" s="12" t="s">
        <v>78</v>
      </c>
      <c r="D213" s="12"/>
      <c r="E213" s="32">
        <v>48801</v>
      </c>
      <c r="G213" s="8">
        <f t="shared" si="20"/>
        <v>12459268</v>
      </c>
      <c r="I213" s="8">
        <f>134576+12483157</f>
        <v>12617733</v>
      </c>
      <c r="K213" s="8">
        <v>25077001</v>
      </c>
      <c r="M213" s="8">
        <f t="shared" si="21"/>
        <v>4906729</v>
      </c>
      <c r="O213" s="8">
        <v>191389</v>
      </c>
      <c r="Q213" s="8">
        <v>2634156</v>
      </c>
      <c r="S213" s="8">
        <v>7732274</v>
      </c>
      <c r="U213" s="8">
        <v>10707553</v>
      </c>
      <c r="W213" s="8">
        <f t="shared" si="22"/>
        <v>4070128</v>
      </c>
      <c r="Y213" s="8">
        <v>2567046</v>
      </c>
      <c r="AA213" s="8">
        <v>17344727</v>
      </c>
      <c r="AD213" s="8">
        <f>+K213-S213-AA213</f>
        <v>0</v>
      </c>
      <c r="AF213" s="35">
        <f>+G213+I213+-M213-O213-U213-W213-Y213-Q213</f>
        <v>0</v>
      </c>
    </row>
    <row r="214" spans="1:32">
      <c r="A214" s="12" t="s">
        <v>364</v>
      </c>
      <c r="B214" s="12"/>
      <c r="C214" s="12" t="s">
        <v>27</v>
      </c>
      <c r="D214" s="12"/>
      <c r="E214" s="32">
        <v>47019</v>
      </c>
      <c r="G214" s="8">
        <f t="shared" si="20"/>
        <v>226889843</v>
      </c>
      <c r="I214" s="8">
        <v>111854200</v>
      </c>
      <c r="K214" s="8">
        <v>338744043</v>
      </c>
      <c r="M214" s="8">
        <f t="shared" si="21"/>
        <v>98168952</v>
      </c>
      <c r="O214" s="8">
        <v>11419986</v>
      </c>
      <c r="Q214" s="8">
        <v>183764057</v>
      </c>
      <c r="S214" s="8">
        <v>293352995</v>
      </c>
      <c r="U214" s="8">
        <v>4702740</v>
      </c>
      <c r="W214" s="8">
        <f t="shared" si="22"/>
        <v>19853220</v>
      </c>
      <c r="Y214" s="8">
        <v>20835088</v>
      </c>
      <c r="AA214" s="8">
        <v>45391048</v>
      </c>
      <c r="AD214" s="8">
        <f t="shared" si="19"/>
        <v>0</v>
      </c>
      <c r="AF214" s="35">
        <f t="shared" si="18"/>
        <v>0</v>
      </c>
    </row>
    <row r="215" spans="1:32">
      <c r="A215" s="12" t="s">
        <v>443</v>
      </c>
      <c r="B215" s="12"/>
      <c r="C215" s="12" t="s">
        <v>440</v>
      </c>
      <c r="D215" s="12"/>
      <c r="E215" s="32">
        <v>44123</v>
      </c>
      <c r="G215" s="8">
        <f t="shared" si="20"/>
        <v>46185812</v>
      </c>
      <c r="I215" s="8">
        <f>41931874+4272869</f>
        <v>46204743</v>
      </c>
      <c r="K215" s="8">
        <v>92390555</v>
      </c>
      <c r="M215" s="8">
        <f t="shared" si="21"/>
        <v>13464470</v>
      </c>
      <c r="O215" s="8">
        <v>576504</v>
      </c>
      <c r="Q215" s="8">
        <v>12872569</v>
      </c>
      <c r="S215" s="8">
        <v>26913543</v>
      </c>
      <c r="U215" s="8">
        <v>33532323</v>
      </c>
      <c r="W215" s="8">
        <f t="shared" si="22"/>
        <v>30013093</v>
      </c>
      <c r="Y215" s="8">
        <v>1931596</v>
      </c>
      <c r="AA215" s="8">
        <v>65477012</v>
      </c>
      <c r="AD215" s="8">
        <f t="shared" si="19"/>
        <v>0</v>
      </c>
      <c r="AF215" s="35">
        <f t="shared" si="18"/>
        <v>0</v>
      </c>
    </row>
    <row r="216" spans="1:32">
      <c r="A216" s="12" t="s">
        <v>216</v>
      </c>
      <c r="B216" s="12"/>
      <c r="C216" s="12" t="s">
        <v>11</v>
      </c>
      <c r="D216" s="12"/>
      <c r="E216" s="32">
        <v>45823</v>
      </c>
      <c r="G216" s="8">
        <f t="shared" si="20"/>
        <v>7419463</v>
      </c>
      <c r="I216" s="8">
        <f>51970+1715395</f>
        <v>1767365</v>
      </c>
      <c r="K216" s="8">
        <v>9186828</v>
      </c>
      <c r="M216" s="8">
        <f t="shared" si="21"/>
        <v>4935691</v>
      </c>
      <c r="O216" s="8">
        <v>181976</v>
      </c>
      <c r="Q216" s="8">
        <v>916629</v>
      </c>
      <c r="S216" s="8">
        <v>6034296</v>
      </c>
      <c r="U216" s="8">
        <v>1587015</v>
      </c>
      <c r="W216" s="8">
        <f t="shared" si="22"/>
        <v>134117</v>
      </c>
      <c r="Y216" s="8">
        <v>1431400</v>
      </c>
      <c r="AA216" s="8">
        <v>3152532</v>
      </c>
      <c r="AD216" s="8">
        <f t="shared" si="19"/>
        <v>0</v>
      </c>
      <c r="AF216" s="35">
        <f t="shared" si="18"/>
        <v>0</v>
      </c>
    </row>
    <row r="217" spans="1:32">
      <c r="A217" s="12" t="s">
        <v>435</v>
      </c>
      <c r="B217" s="12"/>
      <c r="C217" s="12" t="s">
        <v>34</v>
      </c>
      <c r="D217" s="12"/>
      <c r="E217" s="32">
        <v>47571</v>
      </c>
      <c r="G217" s="8">
        <f t="shared" si="20"/>
        <v>5443702</v>
      </c>
      <c r="I217" s="8">
        <f>275639+18306522</f>
        <v>18582161</v>
      </c>
      <c r="K217" s="8">
        <v>24025863</v>
      </c>
      <c r="M217" s="8">
        <f t="shared" si="21"/>
        <v>1524198</v>
      </c>
      <c r="O217" s="8">
        <v>167346</v>
      </c>
      <c r="Q217" s="8">
        <v>4537793</v>
      </c>
      <c r="S217" s="8">
        <v>6229337</v>
      </c>
      <c r="U217" s="8">
        <v>15156602</v>
      </c>
      <c r="W217" s="8">
        <f t="shared" si="22"/>
        <v>1051642</v>
      </c>
      <c r="Y217" s="8">
        <v>1588282</v>
      </c>
      <c r="AA217" s="8">
        <v>17796526</v>
      </c>
      <c r="AD217" s="8">
        <f t="shared" si="19"/>
        <v>0</v>
      </c>
      <c r="AF217" s="35">
        <f t="shared" si="18"/>
        <v>0</v>
      </c>
    </row>
    <row r="218" spans="1:32" hidden="1">
      <c r="A218" s="12" t="s">
        <v>983</v>
      </c>
      <c r="B218" s="12"/>
      <c r="C218" s="12" t="s">
        <v>60</v>
      </c>
      <c r="D218" s="12"/>
      <c r="E218" s="32">
        <v>50161</v>
      </c>
      <c r="G218" s="8">
        <f>+K218-I218</f>
        <v>0</v>
      </c>
      <c r="I218" s="8">
        <v>0</v>
      </c>
      <c r="K218" s="8">
        <v>0</v>
      </c>
      <c r="M218" s="8">
        <f>+S218-O218-Q218</f>
        <v>0</v>
      </c>
      <c r="O218" s="8">
        <v>0</v>
      </c>
      <c r="Q218" s="8">
        <v>0</v>
      </c>
      <c r="S218" s="8">
        <v>0</v>
      </c>
      <c r="U218" s="8">
        <v>0</v>
      </c>
      <c r="W218" s="8">
        <f>AA218-Y218-U218</f>
        <v>0</v>
      </c>
      <c r="Y218" s="8">
        <v>0</v>
      </c>
      <c r="AA218" s="8">
        <v>0</v>
      </c>
      <c r="AD218" s="8">
        <f>+K218-S218-AA218</f>
        <v>0</v>
      </c>
      <c r="AF218" s="35">
        <f>+G218+I218+-M218-O218-U218-W218-Y218-Q218</f>
        <v>0</v>
      </c>
    </row>
    <row r="219" spans="1:32">
      <c r="A219" s="12" t="s">
        <v>685</v>
      </c>
      <c r="B219" s="12"/>
      <c r="C219" s="12" t="s">
        <v>64</v>
      </c>
      <c r="D219" s="12"/>
      <c r="E219" s="32">
        <v>50161</v>
      </c>
      <c r="G219" s="8">
        <f t="shared" si="20"/>
        <v>28659880</v>
      </c>
      <c r="I219" s="8">
        <f>806570+2948411</f>
        <v>3754981</v>
      </c>
      <c r="K219" s="8">
        <v>32414861</v>
      </c>
      <c r="M219" s="8">
        <f t="shared" si="21"/>
        <v>22215525</v>
      </c>
      <c r="O219" s="8">
        <v>785137</v>
      </c>
      <c r="Q219" s="8">
        <v>2927952</v>
      </c>
      <c r="S219" s="8">
        <v>25928614</v>
      </c>
      <c r="U219" s="8">
        <v>3698481</v>
      </c>
      <c r="W219" s="8">
        <f t="shared" si="22"/>
        <v>736764</v>
      </c>
      <c r="Y219" s="8">
        <v>2051002</v>
      </c>
      <c r="AA219" s="8">
        <v>6486247</v>
      </c>
      <c r="AD219" s="8">
        <f t="shared" si="19"/>
        <v>0</v>
      </c>
      <c r="AF219" s="35">
        <f t="shared" si="18"/>
        <v>0</v>
      </c>
    </row>
    <row r="220" spans="1:32">
      <c r="A220" s="12" t="s">
        <v>686</v>
      </c>
      <c r="B220" s="12"/>
      <c r="C220" s="12" t="s">
        <v>64</v>
      </c>
      <c r="D220" s="12"/>
      <c r="E220" s="32">
        <v>45427</v>
      </c>
      <c r="G220" s="8">
        <f t="shared" si="20"/>
        <v>74273168</v>
      </c>
      <c r="I220" s="8">
        <f>2638779+3965875</f>
        <v>6604654</v>
      </c>
      <c r="K220" s="8">
        <v>80877822</v>
      </c>
      <c r="M220" s="8">
        <f t="shared" si="21"/>
        <v>10512100</v>
      </c>
      <c r="O220" s="8">
        <v>1277787</v>
      </c>
      <c r="Q220" s="8">
        <v>19496414</v>
      </c>
      <c r="S220" s="8">
        <v>31286301</v>
      </c>
      <c r="U220" s="8">
        <v>5932465</v>
      </c>
      <c r="W220" s="8">
        <f t="shared" si="22"/>
        <v>38955945</v>
      </c>
      <c r="Y220" s="8">
        <v>4703111</v>
      </c>
      <c r="AA220" s="8">
        <v>49591521</v>
      </c>
      <c r="AD220" s="8">
        <f t="shared" si="19"/>
        <v>0</v>
      </c>
      <c r="AF220" s="35">
        <f t="shared" si="18"/>
        <v>0</v>
      </c>
    </row>
    <row r="221" spans="1:32">
      <c r="A221" s="12" t="s">
        <v>555</v>
      </c>
      <c r="B221" s="12"/>
      <c r="C221" s="12" t="s">
        <v>50</v>
      </c>
      <c r="D221" s="12"/>
      <c r="E221" s="32">
        <v>48751</v>
      </c>
      <c r="G221" s="8">
        <f t="shared" si="20"/>
        <v>57866295</v>
      </c>
      <c r="I221" s="8">
        <f>978013+17766841</f>
        <v>18744854</v>
      </c>
      <c r="K221" s="8">
        <v>76611149</v>
      </c>
      <c r="M221" s="8">
        <f t="shared" si="21"/>
        <v>33136685</v>
      </c>
      <c r="O221" s="8">
        <v>428434</v>
      </c>
      <c r="Q221" s="8">
        <v>2105294</v>
      </c>
      <c r="S221" s="8">
        <v>35670413</v>
      </c>
      <c r="U221" s="8">
        <v>18107190</v>
      </c>
      <c r="W221" s="8">
        <f t="shared" si="22"/>
        <v>963226</v>
      </c>
      <c r="Y221" s="8">
        <v>21870320</v>
      </c>
      <c r="AA221" s="8">
        <v>40940736</v>
      </c>
      <c r="AD221" s="8">
        <f t="shared" si="19"/>
        <v>0</v>
      </c>
      <c r="AF221" s="35">
        <f t="shared" si="18"/>
        <v>0</v>
      </c>
    </row>
    <row r="222" spans="1:32">
      <c r="A222" s="12" t="s">
        <v>671</v>
      </c>
      <c r="B222" s="12"/>
      <c r="C222" s="12" t="s">
        <v>63</v>
      </c>
      <c r="D222" s="12"/>
      <c r="E222" s="32">
        <v>50021</v>
      </c>
      <c r="G222" s="8">
        <f t="shared" si="20"/>
        <v>69126657</v>
      </c>
      <c r="I222" s="8">
        <v>51046275</v>
      </c>
      <c r="K222" s="8">
        <v>120172932</v>
      </c>
      <c r="M222" s="8">
        <f t="shared" si="21"/>
        <v>49166667</v>
      </c>
      <c r="O222" s="8">
        <v>3431371</v>
      </c>
      <c r="Q222" s="8">
        <v>32902004</v>
      </c>
      <c r="S222" s="8">
        <v>85500042</v>
      </c>
      <c r="U222" s="8">
        <v>23252056</v>
      </c>
      <c r="W222" s="8">
        <f t="shared" si="22"/>
        <v>4395239</v>
      </c>
      <c r="Y222" s="8">
        <v>7025595</v>
      </c>
      <c r="AA222" s="8">
        <v>34672890</v>
      </c>
      <c r="AD222" s="8">
        <f t="shared" si="19"/>
        <v>0</v>
      </c>
      <c r="AF222" s="35">
        <f t="shared" si="18"/>
        <v>0</v>
      </c>
    </row>
    <row r="223" spans="1:32">
      <c r="A223" s="12" t="s">
        <v>623</v>
      </c>
      <c r="B223" s="12"/>
      <c r="C223" s="12" t="s">
        <v>58</v>
      </c>
      <c r="D223" s="12"/>
      <c r="E223" s="32">
        <v>49502</v>
      </c>
      <c r="G223" s="8">
        <f t="shared" si="20"/>
        <v>8427269</v>
      </c>
      <c r="I223" s="8">
        <f>769307+12861408</f>
        <v>13630715</v>
      </c>
      <c r="K223" s="8">
        <v>22057984</v>
      </c>
      <c r="M223" s="8">
        <f t="shared" si="21"/>
        <v>3078088</v>
      </c>
      <c r="O223" s="8">
        <v>127542</v>
      </c>
      <c r="Q223" s="8">
        <v>1391412</v>
      </c>
      <c r="S223" s="8">
        <v>4597042</v>
      </c>
      <c r="U223" s="8">
        <v>12719095</v>
      </c>
      <c r="W223" s="8">
        <f t="shared" si="22"/>
        <v>613317</v>
      </c>
      <c r="Y223" s="8">
        <v>4128530</v>
      </c>
      <c r="AA223" s="8">
        <v>17460942</v>
      </c>
      <c r="AD223" s="8">
        <f t="shared" si="19"/>
        <v>0</v>
      </c>
      <c r="AF223" s="35">
        <f t="shared" si="18"/>
        <v>0</v>
      </c>
    </row>
    <row r="224" spans="1:32">
      <c r="A224" s="12" t="s">
        <v>341</v>
      </c>
      <c r="B224" s="12"/>
      <c r="C224" s="12" t="s">
        <v>24</v>
      </c>
      <c r="D224" s="12"/>
      <c r="E224" s="32">
        <v>44131</v>
      </c>
      <c r="G224" s="8">
        <f t="shared" si="20"/>
        <v>18071230</v>
      </c>
      <c r="I224" s="8">
        <f>429494+6877827</f>
        <v>7307321</v>
      </c>
      <c r="K224" s="8">
        <v>25378551</v>
      </c>
      <c r="M224" s="8">
        <f t="shared" si="21"/>
        <v>11335050</v>
      </c>
      <c r="O224" s="8">
        <v>755578</v>
      </c>
      <c r="Q224" s="8">
        <v>7529797</v>
      </c>
      <c r="S224" s="8">
        <v>19620425</v>
      </c>
      <c r="U224" s="8">
        <v>4000283</v>
      </c>
      <c r="W224" s="8">
        <f t="shared" si="22"/>
        <v>1094462</v>
      </c>
      <c r="Y224" s="8">
        <v>663381</v>
      </c>
      <c r="AA224" s="8">
        <v>5758126</v>
      </c>
      <c r="AD224" s="8">
        <f t="shared" si="19"/>
        <v>0</v>
      </c>
      <c r="AF224" s="35">
        <f t="shared" si="18"/>
        <v>0</v>
      </c>
    </row>
    <row r="225" spans="1:32">
      <c r="A225" s="12" t="s">
        <v>313</v>
      </c>
      <c r="B225" s="12"/>
      <c r="C225" s="12" t="s">
        <v>20</v>
      </c>
      <c r="D225" s="12"/>
      <c r="E225" s="32">
        <v>46565</v>
      </c>
      <c r="G225" s="8">
        <f t="shared" si="20"/>
        <v>18752589</v>
      </c>
      <c r="I225" s="8">
        <f>147099+27161780</f>
        <v>27308879</v>
      </c>
      <c r="K225" s="8">
        <v>46061468</v>
      </c>
      <c r="M225" s="8">
        <f t="shared" si="21"/>
        <v>14472037</v>
      </c>
      <c r="O225" s="8">
        <v>1022314</v>
      </c>
      <c r="Q225" s="8">
        <v>16874638</v>
      </c>
      <c r="S225" s="8">
        <v>32368989</v>
      </c>
      <c r="U225" s="8">
        <v>11685319</v>
      </c>
      <c r="W225" s="8">
        <f t="shared" si="22"/>
        <v>1929970</v>
      </c>
      <c r="Y225" s="8">
        <v>77190</v>
      </c>
      <c r="AA225" s="8">
        <v>13692479</v>
      </c>
      <c r="AD225" s="8">
        <f t="shared" si="19"/>
        <v>0</v>
      </c>
      <c r="AF225" s="35">
        <f t="shared" si="18"/>
        <v>0</v>
      </c>
    </row>
    <row r="226" spans="1:32">
      <c r="A226" s="12" t="s">
        <v>456</v>
      </c>
      <c r="B226" s="12"/>
      <c r="C226" s="12" t="s">
        <v>39</v>
      </c>
      <c r="D226" s="12"/>
      <c r="E226" s="32">
        <v>47803</v>
      </c>
      <c r="F226" s="11"/>
      <c r="G226" s="8">
        <f t="shared" si="20"/>
        <v>12820883</v>
      </c>
      <c r="I226" s="8">
        <f>87783+17321+3948946</f>
        <v>4054050</v>
      </c>
      <c r="K226" s="8">
        <v>16874933</v>
      </c>
      <c r="M226" s="8">
        <f t="shared" ref="M226:M269" si="23">+S226-O226-Q226</f>
        <v>9413280</v>
      </c>
      <c r="O226" s="8">
        <v>202065</v>
      </c>
      <c r="Q226" s="8">
        <v>1870152</v>
      </c>
      <c r="S226" s="8">
        <v>11485497</v>
      </c>
      <c r="U226" s="8">
        <v>3252172</v>
      </c>
      <c r="W226" s="8">
        <f t="shared" si="22"/>
        <v>432972</v>
      </c>
      <c r="Y226" s="8">
        <v>1704292</v>
      </c>
      <c r="AA226" s="8">
        <v>5389436</v>
      </c>
      <c r="AD226" s="8">
        <f t="shared" si="19"/>
        <v>0</v>
      </c>
      <c r="AF226" s="35">
        <f t="shared" si="18"/>
        <v>0</v>
      </c>
    </row>
    <row r="227" spans="1:32">
      <c r="A227" s="12" t="s">
        <v>400</v>
      </c>
      <c r="B227" s="12"/>
      <c r="C227" s="12" t="s">
        <v>32</v>
      </c>
      <c r="D227" s="12"/>
      <c r="E227" s="32">
        <v>45435</v>
      </c>
      <c r="G227" s="8">
        <f t="shared" si="20"/>
        <v>49935778</v>
      </c>
      <c r="I227" s="8">
        <v>48583621</v>
      </c>
      <c r="K227" s="8">
        <v>98519399</v>
      </c>
      <c r="M227" s="8">
        <f t="shared" si="23"/>
        <v>20143041</v>
      </c>
      <c r="O227" s="8">
        <v>2498752</v>
      </c>
      <c r="Q227" s="8">
        <v>39881437</v>
      </c>
      <c r="S227" s="8">
        <v>62523230</v>
      </c>
      <c r="U227" s="8">
        <v>8355950</v>
      </c>
      <c r="W227" s="8">
        <f t="shared" si="22"/>
        <v>2507098</v>
      </c>
      <c r="Y227" s="8">
        <v>25133121</v>
      </c>
      <c r="AA227" s="8">
        <v>35996169</v>
      </c>
      <c r="AD227" s="8">
        <f t="shared" si="19"/>
        <v>0</v>
      </c>
      <c r="AF227" s="35">
        <f t="shared" si="18"/>
        <v>0</v>
      </c>
    </row>
    <row r="228" spans="1:32">
      <c r="A228" s="12" t="s">
        <v>702</v>
      </c>
      <c r="B228" s="12"/>
      <c r="C228" s="12" t="s">
        <v>65</v>
      </c>
      <c r="D228" s="12"/>
      <c r="E228" s="32">
        <v>50286</v>
      </c>
      <c r="G228" s="8">
        <f t="shared" si="20"/>
        <v>11410501</v>
      </c>
      <c r="I228" s="8">
        <f>91144+46520819</f>
        <v>46611963</v>
      </c>
      <c r="K228" s="8">
        <v>58022464</v>
      </c>
      <c r="M228" s="8">
        <f t="shared" si="23"/>
        <v>8103649</v>
      </c>
      <c r="O228" s="8">
        <v>732429</v>
      </c>
      <c r="Q228" s="8">
        <v>14356293</v>
      </c>
      <c r="S228" s="8">
        <v>23192371</v>
      </c>
      <c r="U228" s="8">
        <v>33263685</v>
      </c>
      <c r="W228" s="8">
        <f t="shared" si="22"/>
        <v>2420351</v>
      </c>
      <c r="Y228" s="8">
        <v>-853943</v>
      </c>
      <c r="AA228" s="8">
        <v>34830093</v>
      </c>
      <c r="AD228" s="8">
        <f t="shared" si="19"/>
        <v>0</v>
      </c>
      <c r="AF228" s="35">
        <f t="shared" si="18"/>
        <v>0</v>
      </c>
    </row>
    <row r="229" spans="1:32">
      <c r="A229" s="12" t="s">
        <v>474</v>
      </c>
      <c r="B229" s="12"/>
      <c r="C229" s="12" t="s">
        <v>471</v>
      </c>
      <c r="D229" s="12"/>
      <c r="E229" s="32">
        <v>44149</v>
      </c>
      <c r="G229" s="8">
        <f t="shared" si="20"/>
        <v>45606045</v>
      </c>
      <c r="I229" s="8">
        <f>1373032+14363114</f>
        <v>15736146</v>
      </c>
      <c r="K229" s="8">
        <v>61342191</v>
      </c>
      <c r="M229" s="8">
        <f t="shared" si="23"/>
        <v>9793703</v>
      </c>
      <c r="O229" s="8">
        <v>304147</v>
      </c>
      <c r="Q229" s="8">
        <v>16028950</v>
      </c>
      <c r="S229" s="8">
        <v>26126800</v>
      </c>
      <c r="U229" s="8">
        <v>14972501</v>
      </c>
      <c r="W229" s="8">
        <f t="shared" si="22"/>
        <v>19918000</v>
      </c>
      <c r="Y229" s="8">
        <v>324890</v>
      </c>
      <c r="AA229" s="8">
        <v>35215391</v>
      </c>
      <c r="AD229" s="8">
        <f t="shared" si="19"/>
        <v>0</v>
      </c>
      <c r="AF229" s="35">
        <f t="shared" si="18"/>
        <v>0</v>
      </c>
    </row>
    <row r="230" spans="1:32" hidden="1">
      <c r="A230" s="12" t="s">
        <v>942</v>
      </c>
      <c r="B230" s="12"/>
      <c r="C230" s="12" t="s">
        <v>61</v>
      </c>
      <c r="D230" s="12"/>
      <c r="E230" s="32">
        <v>49809</v>
      </c>
      <c r="G230" s="8">
        <f t="shared" si="20"/>
        <v>0</v>
      </c>
      <c r="I230" s="8">
        <v>0</v>
      </c>
      <c r="K230" s="8">
        <v>0</v>
      </c>
      <c r="M230" s="8">
        <f t="shared" si="23"/>
        <v>0</v>
      </c>
      <c r="O230" s="8">
        <v>0</v>
      </c>
      <c r="Q230" s="8">
        <v>0</v>
      </c>
      <c r="S230" s="8">
        <v>0</v>
      </c>
      <c r="U230" s="8">
        <v>0</v>
      </c>
      <c r="W230" s="8">
        <f t="shared" si="22"/>
        <v>0</v>
      </c>
      <c r="Y230" s="8">
        <v>0</v>
      </c>
      <c r="AA230" s="8">
        <v>0</v>
      </c>
      <c r="AD230" s="8">
        <f t="shared" si="19"/>
        <v>0</v>
      </c>
      <c r="AF230" s="35">
        <f t="shared" si="18"/>
        <v>0</v>
      </c>
    </row>
    <row r="231" spans="1:32" hidden="1">
      <c r="A231" s="12" t="s">
        <v>943</v>
      </c>
      <c r="B231" s="12"/>
      <c r="C231" s="12" t="s">
        <v>38</v>
      </c>
      <c r="D231" s="12"/>
      <c r="E231" s="32"/>
      <c r="G231" s="8">
        <f t="shared" si="20"/>
        <v>0</v>
      </c>
      <c r="I231" s="8">
        <v>0</v>
      </c>
      <c r="K231" s="8">
        <v>0</v>
      </c>
      <c r="M231" s="8">
        <f t="shared" si="23"/>
        <v>0</v>
      </c>
      <c r="O231" s="8">
        <v>0</v>
      </c>
      <c r="Q231" s="8">
        <v>0</v>
      </c>
      <c r="S231" s="8">
        <v>0</v>
      </c>
      <c r="U231" s="8">
        <v>0</v>
      </c>
      <c r="W231" s="8">
        <f t="shared" si="22"/>
        <v>0</v>
      </c>
      <c r="Y231" s="8">
        <v>0</v>
      </c>
      <c r="AA231" s="8">
        <v>0</v>
      </c>
      <c r="AD231" s="8">
        <f>+K231-S231-AA231</f>
        <v>0</v>
      </c>
      <c r="AF231" s="35">
        <f t="shared" si="18"/>
        <v>0</v>
      </c>
    </row>
    <row r="232" spans="1:32">
      <c r="A232" s="12" t="s">
        <v>657</v>
      </c>
      <c r="B232" s="12"/>
      <c r="C232" s="12" t="s">
        <v>62</v>
      </c>
      <c r="D232" s="12"/>
      <c r="E232" s="32">
        <v>49858</v>
      </c>
      <c r="G232" s="8">
        <f t="shared" si="20"/>
        <v>57691781</v>
      </c>
      <c r="I232" s="8">
        <f>1974208+93671883</f>
        <v>95646091</v>
      </c>
      <c r="K232" s="8">
        <v>153337872</v>
      </c>
      <c r="M232" s="8">
        <f t="shared" si="23"/>
        <v>43947178</v>
      </c>
      <c r="O232" s="8">
        <v>6192122</v>
      </c>
      <c r="Q232" s="8">
        <v>76777839</v>
      </c>
      <c r="S232" s="8">
        <v>126917139</v>
      </c>
      <c r="U232" s="8">
        <v>23301086</v>
      </c>
      <c r="W232" s="8">
        <f t="shared" si="22"/>
        <v>7046621</v>
      </c>
      <c r="Y232" s="8">
        <v>-3926974</v>
      </c>
      <c r="AA232" s="8">
        <v>26420733</v>
      </c>
      <c r="AD232" s="8">
        <f t="shared" si="19"/>
        <v>0</v>
      </c>
      <c r="AF232" s="35">
        <f t="shared" si="18"/>
        <v>0</v>
      </c>
    </row>
    <row r="233" spans="1:32">
      <c r="A233" s="12" t="s">
        <v>518</v>
      </c>
      <c r="B233" s="12"/>
      <c r="C233" s="12" t="s">
        <v>45</v>
      </c>
      <c r="D233" s="12"/>
      <c r="E233" s="32">
        <v>48322</v>
      </c>
      <c r="G233" s="8">
        <f t="shared" si="20"/>
        <v>22737640</v>
      </c>
      <c r="I233" s="8">
        <v>4870252</v>
      </c>
      <c r="K233" s="8">
        <v>27607892</v>
      </c>
      <c r="M233" s="8">
        <f t="shared" si="23"/>
        <v>6986402</v>
      </c>
      <c r="O233" s="8">
        <v>397027</v>
      </c>
      <c r="Q233" s="8">
        <v>15854308</v>
      </c>
      <c r="S233" s="8">
        <v>23237737</v>
      </c>
      <c r="U233" s="8">
        <v>1995244</v>
      </c>
      <c r="W233" s="8">
        <f t="shared" si="22"/>
        <v>1080464</v>
      </c>
      <c r="Y233" s="8">
        <v>1294447</v>
      </c>
      <c r="AA233" s="8">
        <v>4370155</v>
      </c>
      <c r="AD233" s="8">
        <f t="shared" si="19"/>
        <v>0</v>
      </c>
      <c r="AF233" s="35">
        <f t="shared" si="18"/>
        <v>0</v>
      </c>
    </row>
    <row r="234" spans="1:32">
      <c r="A234" s="12" t="s">
        <v>598</v>
      </c>
      <c r="B234" s="12"/>
      <c r="C234" s="12" t="s">
        <v>56</v>
      </c>
      <c r="D234" s="12"/>
      <c r="E234" s="32">
        <v>49205</v>
      </c>
      <c r="G234" s="8">
        <f t="shared" si="20"/>
        <v>7551775</v>
      </c>
      <c r="I234" s="8">
        <f>118773+7847516</f>
        <v>7966289</v>
      </c>
      <c r="K234" s="8">
        <v>15518064</v>
      </c>
      <c r="M234" s="8">
        <f t="shared" si="23"/>
        <v>6063130</v>
      </c>
      <c r="O234" s="8">
        <v>357710</v>
      </c>
      <c r="Q234" s="8">
        <v>6010165</v>
      </c>
      <c r="S234" s="8">
        <v>12431005</v>
      </c>
      <c r="U234" s="8">
        <v>2383988</v>
      </c>
      <c r="W234" s="8">
        <f t="shared" si="22"/>
        <v>384102</v>
      </c>
      <c r="Y234" s="8">
        <v>318969</v>
      </c>
      <c r="AA234" s="8">
        <v>3087059</v>
      </c>
      <c r="AD234" s="8">
        <f t="shared" si="19"/>
        <v>0</v>
      </c>
      <c r="AF234" s="35">
        <f t="shared" si="18"/>
        <v>0</v>
      </c>
    </row>
    <row r="235" spans="1:32">
      <c r="A235" s="12" t="s">
        <v>223</v>
      </c>
      <c r="B235" s="12"/>
      <c r="C235" s="12" t="s">
        <v>12</v>
      </c>
      <c r="D235" s="12"/>
      <c r="E235" s="32">
        <v>45872</v>
      </c>
      <c r="G235" s="8">
        <f t="shared" si="20"/>
        <v>49564044</v>
      </c>
      <c r="I235" s="8">
        <f>1202576+3864407</f>
        <v>5066983</v>
      </c>
      <c r="K235" s="8">
        <v>54631027</v>
      </c>
      <c r="M235" s="8">
        <f t="shared" si="23"/>
        <v>5482724</v>
      </c>
      <c r="O235" s="8">
        <v>979982</v>
      </c>
      <c r="Q235" s="8">
        <v>22787504</v>
      </c>
      <c r="S235" s="8">
        <v>29250210</v>
      </c>
      <c r="U235" s="8">
        <v>4058288</v>
      </c>
      <c r="W235" s="8">
        <f t="shared" si="22"/>
        <v>19393640</v>
      </c>
      <c r="Y235" s="8">
        <v>1928889</v>
      </c>
      <c r="AA235" s="8">
        <v>25380817</v>
      </c>
      <c r="AD235" s="8">
        <f t="shared" si="19"/>
        <v>0</v>
      </c>
      <c r="AF235" s="35">
        <f t="shared" si="18"/>
        <v>0</v>
      </c>
    </row>
    <row r="236" spans="1:32">
      <c r="A236" s="12" t="s">
        <v>510</v>
      </c>
      <c r="B236" s="12"/>
      <c r="C236" s="12" t="s">
        <v>511</v>
      </c>
      <c r="D236" s="12"/>
      <c r="E236" s="32">
        <v>48256</v>
      </c>
      <c r="G236" s="8">
        <f t="shared" si="20"/>
        <v>14933139</v>
      </c>
      <c r="I236" s="8">
        <v>30899642</v>
      </c>
      <c r="K236" s="8">
        <v>45832781</v>
      </c>
      <c r="M236" s="8">
        <f t="shared" si="23"/>
        <v>4876064</v>
      </c>
      <c r="O236" s="8">
        <v>2039307</v>
      </c>
      <c r="Q236" s="8">
        <v>14390971</v>
      </c>
      <c r="S236" s="8">
        <v>21306342</v>
      </c>
      <c r="U236" s="8">
        <v>15581551</v>
      </c>
      <c r="W236" s="8">
        <f t="shared" si="22"/>
        <v>1861221</v>
      </c>
      <c r="Y236" s="8">
        <v>7083667</v>
      </c>
      <c r="AA236" s="8">
        <v>24526439</v>
      </c>
      <c r="AD236" s="8">
        <f t="shared" si="19"/>
        <v>0</v>
      </c>
      <c r="AF236" s="35">
        <f t="shared" si="18"/>
        <v>0</v>
      </c>
    </row>
    <row r="237" spans="1:32">
      <c r="A237" s="12" t="s">
        <v>556</v>
      </c>
      <c r="B237" s="12"/>
      <c r="C237" s="12" t="s">
        <v>50</v>
      </c>
      <c r="D237" s="12"/>
      <c r="E237" s="32">
        <v>48686</v>
      </c>
      <c r="G237" s="8">
        <f t="shared" si="20"/>
        <v>3497111</v>
      </c>
      <c r="I237" s="8">
        <v>1504254</v>
      </c>
      <c r="K237" s="8">
        <v>5001365</v>
      </c>
      <c r="M237" s="8">
        <f t="shared" si="23"/>
        <v>3246460</v>
      </c>
      <c r="O237" s="8">
        <v>77575</v>
      </c>
      <c r="Q237" s="8">
        <v>936752</v>
      </c>
      <c r="S237" s="8">
        <v>4260787</v>
      </c>
      <c r="U237" s="8">
        <v>926731</v>
      </c>
      <c r="W237" s="8">
        <f t="shared" si="22"/>
        <v>196973</v>
      </c>
      <c r="Y237" s="8">
        <v>-383126</v>
      </c>
      <c r="AA237" s="8">
        <v>740578</v>
      </c>
      <c r="AD237" s="8">
        <f t="shared" si="19"/>
        <v>0</v>
      </c>
      <c r="AF237" s="35">
        <f t="shared" si="18"/>
        <v>0</v>
      </c>
    </row>
    <row r="238" spans="1:32">
      <c r="A238" s="12" t="s">
        <v>480</v>
      </c>
      <c r="B238" s="12"/>
      <c r="C238" s="12" t="s">
        <v>42</v>
      </c>
      <c r="D238" s="12"/>
      <c r="E238" s="32">
        <v>47985</v>
      </c>
      <c r="G238" s="8">
        <f>+K238-I238</f>
        <v>9379008</v>
      </c>
      <c r="I238" s="8">
        <f>280961+2497987</f>
        <v>2778948</v>
      </c>
      <c r="K238" s="8">
        <v>12157956</v>
      </c>
      <c r="M238" s="8">
        <f>+S238-O238-Q238</f>
        <v>5185958</v>
      </c>
      <c r="O238" s="8">
        <v>276990</v>
      </c>
      <c r="Q238" s="8">
        <v>1239962</v>
      </c>
      <c r="S238" s="8">
        <v>6702910</v>
      </c>
      <c r="U238" s="8">
        <v>1919687</v>
      </c>
      <c r="W238" s="8">
        <f>AA238-Y238-U238</f>
        <v>192059</v>
      </c>
      <c r="Y238" s="8">
        <v>3343300</v>
      </c>
      <c r="AA238" s="8">
        <v>5455046</v>
      </c>
      <c r="AD238" s="8">
        <f t="shared" si="19"/>
        <v>0</v>
      </c>
      <c r="AF238" s="35">
        <f t="shared" si="18"/>
        <v>0</v>
      </c>
    </row>
    <row r="239" spans="1:32">
      <c r="A239" s="12" t="s">
        <v>512</v>
      </c>
      <c r="B239" s="12"/>
      <c r="C239" s="12" t="s">
        <v>511</v>
      </c>
      <c r="D239" s="12"/>
      <c r="E239" s="32">
        <v>48264</v>
      </c>
      <c r="G239" s="8">
        <f t="shared" si="20"/>
        <v>12176491</v>
      </c>
      <c r="I239" s="8">
        <v>27076634</v>
      </c>
      <c r="K239" s="8">
        <v>39253125</v>
      </c>
      <c r="M239" s="8">
        <f t="shared" si="23"/>
        <v>6754369</v>
      </c>
      <c r="O239" s="8">
        <v>785265</v>
      </c>
      <c r="Q239" s="8">
        <v>23978014</v>
      </c>
      <c r="S239" s="8">
        <v>31517648</v>
      </c>
      <c r="U239" s="8">
        <v>3995624</v>
      </c>
      <c r="W239" s="8">
        <f t="shared" si="22"/>
        <v>2547817</v>
      </c>
      <c r="Y239" s="8">
        <v>1192036</v>
      </c>
      <c r="AA239" s="8">
        <v>7735477</v>
      </c>
      <c r="AD239" s="8">
        <f t="shared" si="19"/>
        <v>0</v>
      </c>
      <c r="AF239" s="35">
        <f t="shared" si="18"/>
        <v>0</v>
      </c>
    </row>
    <row r="240" spans="1:32">
      <c r="A240" s="13" t="s">
        <v>687</v>
      </c>
      <c r="B240" s="13"/>
      <c r="C240" s="13" t="s">
        <v>64</v>
      </c>
      <c r="D240" s="13"/>
      <c r="E240" s="13">
        <v>50179</v>
      </c>
      <c r="G240" s="8">
        <f t="shared" si="20"/>
        <v>7649178</v>
      </c>
      <c r="I240" s="8">
        <f>528682+28143105</f>
        <v>28671787</v>
      </c>
      <c r="K240" s="8">
        <v>36320965</v>
      </c>
      <c r="M240" s="8">
        <f t="shared" si="23"/>
        <v>4187779</v>
      </c>
      <c r="O240" s="8">
        <v>643010</v>
      </c>
      <c r="Q240" s="8">
        <v>9396899</v>
      </c>
      <c r="S240" s="8">
        <v>14227688</v>
      </c>
      <c r="U240" s="8">
        <v>19892131</v>
      </c>
      <c r="W240" s="8">
        <f t="shared" si="22"/>
        <v>1476556</v>
      </c>
      <c r="Y240" s="8">
        <v>724590</v>
      </c>
      <c r="AA240" s="8">
        <v>22093277</v>
      </c>
      <c r="AD240" s="8">
        <f t="shared" si="19"/>
        <v>0</v>
      </c>
      <c r="AF240" s="8">
        <f t="shared" si="18"/>
        <v>0</v>
      </c>
    </row>
    <row r="241" spans="1:32">
      <c r="A241" s="12" t="s">
        <v>342</v>
      </c>
      <c r="B241" s="12"/>
      <c r="C241" s="12" t="s">
        <v>24</v>
      </c>
      <c r="D241" s="12"/>
      <c r="E241" s="32">
        <v>46797</v>
      </c>
      <c r="G241" s="8">
        <f t="shared" si="20"/>
        <v>1468392</v>
      </c>
      <c r="I241" s="8">
        <v>1879021</v>
      </c>
      <c r="K241" s="8">
        <v>3347413</v>
      </c>
      <c r="M241" s="8">
        <f t="shared" si="23"/>
        <v>1011330</v>
      </c>
      <c r="O241" s="8">
        <v>120000</v>
      </c>
      <c r="Q241" s="8">
        <v>0</v>
      </c>
      <c r="S241" s="8">
        <v>1131330</v>
      </c>
      <c r="U241" s="8">
        <v>1759021</v>
      </c>
      <c r="W241" s="8">
        <f t="shared" si="22"/>
        <v>33631</v>
      </c>
      <c r="Y241" s="8">
        <v>423431</v>
      </c>
      <c r="AA241" s="8">
        <v>2216083</v>
      </c>
      <c r="AD241" s="8">
        <f t="shared" si="19"/>
        <v>0</v>
      </c>
      <c r="AF241" s="35">
        <f t="shared" si="18"/>
        <v>0</v>
      </c>
    </row>
    <row r="242" spans="1:32">
      <c r="A242" s="12" t="s">
        <v>384</v>
      </c>
      <c r="B242" s="12"/>
      <c r="C242" s="12" t="s">
        <v>30</v>
      </c>
      <c r="D242" s="12"/>
      <c r="E242" s="32">
        <v>47191</v>
      </c>
      <c r="G242" s="8">
        <f t="shared" si="20"/>
        <v>41499875</v>
      </c>
      <c r="I242" s="8">
        <f>44625873+10398386</f>
        <v>55024259</v>
      </c>
      <c r="K242" s="8">
        <v>96524134</v>
      </c>
      <c r="M242" s="8">
        <f t="shared" si="23"/>
        <v>26319011</v>
      </c>
      <c r="O242" s="8">
        <v>2264830</v>
      </c>
      <c r="Q242" s="8">
        <v>48030317</v>
      </c>
      <c r="S242" s="8">
        <v>76614158</v>
      </c>
      <c r="U242" s="8">
        <v>7363666</v>
      </c>
      <c r="W242" s="8">
        <f t="shared" si="22"/>
        <v>5461414</v>
      </c>
      <c r="Y242" s="8">
        <v>7084896</v>
      </c>
      <c r="AA242" s="8">
        <v>19909976</v>
      </c>
      <c r="AD242" s="8">
        <f t="shared" si="19"/>
        <v>0</v>
      </c>
      <c r="AF242" s="35">
        <f t="shared" si="18"/>
        <v>0</v>
      </c>
    </row>
    <row r="243" spans="1:32">
      <c r="A243" s="12" t="s">
        <v>599</v>
      </c>
      <c r="B243" s="12"/>
      <c r="C243" s="12" t="s">
        <v>56</v>
      </c>
      <c r="D243" s="12"/>
      <c r="E243" s="32">
        <v>44164</v>
      </c>
      <c r="G243" s="8">
        <f t="shared" si="20"/>
        <v>43668234</v>
      </c>
      <c r="I243" s="8">
        <v>28322615</v>
      </c>
      <c r="K243" s="8">
        <v>71990849</v>
      </c>
      <c r="M243" s="8">
        <f t="shared" si="23"/>
        <v>27435898</v>
      </c>
      <c r="O243" s="8">
        <v>2184067</v>
      </c>
      <c r="Q243" s="8">
        <v>30328090</v>
      </c>
      <c r="S243" s="8">
        <v>59948055</v>
      </c>
      <c r="U243" s="8">
        <v>11068097</v>
      </c>
      <c r="W243" s="8">
        <f t="shared" si="22"/>
        <v>1862037</v>
      </c>
      <c r="Y243" s="8">
        <v>-887340</v>
      </c>
      <c r="AA243" s="8">
        <v>12042794</v>
      </c>
      <c r="AD243" s="8">
        <f t="shared" si="19"/>
        <v>0</v>
      </c>
      <c r="AF243" s="35">
        <f t="shared" si="18"/>
        <v>0</v>
      </c>
    </row>
    <row r="244" spans="1:32">
      <c r="A244" s="12" t="s">
        <v>428</v>
      </c>
      <c r="B244" s="12"/>
      <c r="C244" s="12" t="s">
        <v>426</v>
      </c>
      <c r="D244" s="12"/>
      <c r="E244" s="32">
        <v>44172</v>
      </c>
      <c r="G244" s="8">
        <f>4434502+8758+49483+140499+763592+55803+3368+1317+3849836</f>
        <v>9307158</v>
      </c>
      <c r="I244" s="8">
        <f>651089+2565202</f>
        <v>3216291</v>
      </c>
      <c r="K244" s="8">
        <f>+I244+G244</f>
        <v>12523449</v>
      </c>
      <c r="M244" s="8">
        <f t="shared" si="23"/>
        <v>5705872</v>
      </c>
      <c r="O244" s="8">
        <v>53118</v>
      </c>
      <c r="Q244" s="8">
        <v>1006030</v>
      </c>
      <c r="S244" s="8">
        <v>6765020</v>
      </c>
      <c r="U244" s="8">
        <v>3216291</v>
      </c>
      <c r="W244" s="8">
        <f t="shared" si="22"/>
        <v>191209</v>
      </c>
      <c r="Y244" s="8">
        <v>2350929</v>
      </c>
      <c r="AA244" s="8">
        <v>5758429</v>
      </c>
      <c r="AD244" s="8">
        <f t="shared" si="19"/>
        <v>0</v>
      </c>
      <c r="AF244" s="35">
        <f t="shared" si="18"/>
        <v>0</v>
      </c>
    </row>
    <row r="245" spans="1:32">
      <c r="A245" s="12" t="s">
        <v>557</v>
      </c>
      <c r="B245" s="12"/>
      <c r="C245" s="12" t="s">
        <v>50</v>
      </c>
      <c r="D245" s="12"/>
      <c r="E245" s="32">
        <v>44180</v>
      </c>
      <c r="F245" s="11"/>
      <c r="G245" s="8">
        <f t="shared" si="20"/>
        <v>78896640</v>
      </c>
      <c r="I245" s="8">
        <f>466616+118107988</f>
        <v>118574604</v>
      </c>
      <c r="K245" s="8">
        <v>197471244</v>
      </c>
      <c r="M245" s="8">
        <f t="shared" si="23"/>
        <v>61121521</v>
      </c>
      <c r="O245" s="8">
        <v>4129610</v>
      </c>
      <c r="Q245" s="8">
        <v>110240853</v>
      </c>
      <c r="S245" s="8">
        <v>175491984</v>
      </c>
      <c r="U245" s="8">
        <v>13456377</v>
      </c>
      <c r="W245" s="8">
        <f t="shared" si="22"/>
        <v>4192969</v>
      </c>
      <c r="Y245" s="8">
        <v>4329914</v>
      </c>
      <c r="AA245" s="8">
        <v>21979260</v>
      </c>
      <c r="AD245" s="8">
        <f t="shared" si="19"/>
        <v>0</v>
      </c>
      <c r="AF245" s="35">
        <f t="shared" si="18"/>
        <v>0</v>
      </c>
    </row>
    <row r="246" spans="1:32">
      <c r="A246" s="12" t="s">
        <v>927</v>
      </c>
      <c r="B246" s="12"/>
      <c r="C246" s="12" t="s">
        <v>44</v>
      </c>
      <c r="D246" s="12"/>
      <c r="E246" s="32">
        <v>48165</v>
      </c>
      <c r="G246" s="8">
        <f t="shared" si="20"/>
        <v>14704578</v>
      </c>
      <c r="I246" s="8">
        <f>521816+19263796</f>
        <v>19785612</v>
      </c>
      <c r="K246" s="8">
        <v>34490190</v>
      </c>
      <c r="M246" s="8">
        <f t="shared" si="23"/>
        <v>6470580</v>
      </c>
      <c r="O246" s="8">
        <v>760136</v>
      </c>
      <c r="Q246" s="8">
        <v>15952254</v>
      </c>
      <c r="S246" s="8">
        <v>23182970</v>
      </c>
      <c r="U246" s="8">
        <v>4160612</v>
      </c>
      <c r="W246" s="8">
        <f t="shared" si="22"/>
        <v>2455662</v>
      </c>
      <c r="Y246" s="8">
        <v>4690946</v>
      </c>
      <c r="AA246" s="8">
        <v>11307220</v>
      </c>
      <c r="AD246" s="8">
        <f t="shared" si="19"/>
        <v>0</v>
      </c>
      <c r="AF246" s="35">
        <f t="shared" si="18"/>
        <v>0</v>
      </c>
    </row>
    <row r="247" spans="1:32">
      <c r="A247" s="12" t="s">
        <v>715</v>
      </c>
      <c r="B247" s="12"/>
      <c r="C247" s="12" t="s">
        <v>69</v>
      </c>
      <c r="D247" s="12"/>
      <c r="E247" s="32">
        <v>50435</v>
      </c>
      <c r="G247" s="8">
        <f t="shared" si="20"/>
        <v>69987412</v>
      </c>
      <c r="I247" s="8">
        <f>9260864+34070219</f>
        <v>43331083</v>
      </c>
      <c r="K247" s="8">
        <v>113318495</v>
      </c>
      <c r="M247" s="8">
        <f t="shared" si="23"/>
        <v>34212850</v>
      </c>
      <c r="O247" s="8">
        <v>2306043</v>
      </c>
      <c r="Q247" s="8">
        <v>64599251</v>
      </c>
      <c r="S247" s="8">
        <v>101118144</v>
      </c>
      <c r="U247" s="8">
        <v>633140</v>
      </c>
      <c r="W247" s="8">
        <f t="shared" si="22"/>
        <v>4304745</v>
      </c>
      <c r="Y247" s="8">
        <v>7262466</v>
      </c>
      <c r="AA247" s="8">
        <v>12200351</v>
      </c>
      <c r="AD247" s="8">
        <f t="shared" si="19"/>
        <v>0</v>
      </c>
      <c r="AF247" s="35">
        <f t="shared" si="18"/>
        <v>0</v>
      </c>
    </row>
    <row r="248" spans="1:32" hidden="1">
      <c r="A248" s="12" t="s">
        <v>848</v>
      </c>
      <c r="B248" s="12"/>
      <c r="C248" s="12" t="s">
        <v>41</v>
      </c>
      <c r="D248" s="12"/>
      <c r="E248" s="32">
        <v>47878</v>
      </c>
      <c r="G248" s="8">
        <f t="shared" si="20"/>
        <v>0</v>
      </c>
      <c r="I248" s="8">
        <v>0</v>
      </c>
      <c r="K248" s="8">
        <v>0</v>
      </c>
      <c r="M248" s="8">
        <f t="shared" si="23"/>
        <v>0</v>
      </c>
      <c r="O248" s="8">
        <v>0</v>
      </c>
      <c r="Q248" s="8">
        <v>0</v>
      </c>
      <c r="S248" s="8">
        <v>0</v>
      </c>
      <c r="U248" s="8">
        <v>0</v>
      </c>
      <c r="W248" s="8">
        <f t="shared" si="22"/>
        <v>0</v>
      </c>
      <c r="Y248" s="8">
        <v>0</v>
      </c>
      <c r="AA248" s="8">
        <v>0</v>
      </c>
      <c r="AD248" s="8">
        <f t="shared" si="19"/>
        <v>0</v>
      </c>
      <c r="AF248" s="35">
        <f t="shared" si="18"/>
        <v>0</v>
      </c>
    </row>
    <row r="249" spans="1:32">
      <c r="A249" s="12" t="s">
        <v>688</v>
      </c>
      <c r="B249" s="12"/>
      <c r="C249" s="12" t="s">
        <v>64</v>
      </c>
      <c r="D249" s="12"/>
      <c r="E249" s="32">
        <v>50245</v>
      </c>
      <c r="G249" s="8">
        <f t="shared" si="20"/>
        <v>11875671</v>
      </c>
      <c r="I249" s="8">
        <f>257591+25866593</f>
        <v>26124184</v>
      </c>
      <c r="K249" s="8">
        <v>37999855</v>
      </c>
      <c r="M249" s="8">
        <f t="shared" si="23"/>
        <v>4713095</v>
      </c>
      <c r="O249" s="8">
        <v>640681</v>
      </c>
      <c r="Q249" s="8">
        <v>9591986</v>
      </c>
      <c r="S249" s="8">
        <v>14945762</v>
      </c>
      <c r="U249" s="8">
        <v>16909690</v>
      </c>
      <c r="W249" s="8">
        <f t="shared" si="22"/>
        <v>4214619</v>
      </c>
      <c r="Y249" s="8">
        <v>1929784</v>
      </c>
      <c r="AA249" s="8">
        <v>23054093</v>
      </c>
      <c r="AD249" s="8">
        <f t="shared" si="19"/>
        <v>0</v>
      </c>
      <c r="AF249" s="35">
        <f t="shared" si="18"/>
        <v>0</v>
      </c>
    </row>
    <row r="250" spans="1:32">
      <c r="A250" s="12" t="s">
        <v>658</v>
      </c>
      <c r="B250" s="12"/>
      <c r="C250" s="12" t="s">
        <v>62</v>
      </c>
      <c r="D250" s="12"/>
      <c r="E250" s="32">
        <v>49866</v>
      </c>
      <c r="G250" s="8">
        <f t="shared" si="20"/>
        <v>23531482</v>
      </c>
      <c r="I250" s="8">
        <f>2993257+33443392</f>
        <v>36436649</v>
      </c>
      <c r="K250" s="8">
        <v>59968131</v>
      </c>
      <c r="M250" s="8">
        <f t="shared" si="23"/>
        <v>17734439</v>
      </c>
      <c r="O250" s="8">
        <v>1282539</v>
      </c>
      <c r="Q250" s="8">
        <v>26037161</v>
      </c>
      <c r="S250" s="8">
        <v>45054139</v>
      </c>
      <c r="U250" s="8">
        <v>11605168</v>
      </c>
      <c r="W250" s="8">
        <f t="shared" si="22"/>
        <v>1609548</v>
      </c>
      <c r="Y250" s="8">
        <v>1699276</v>
      </c>
      <c r="AA250" s="8">
        <v>14913992</v>
      </c>
      <c r="AD250" s="8">
        <f t="shared" si="19"/>
        <v>0</v>
      </c>
      <c r="AF250" s="35">
        <f t="shared" si="18"/>
        <v>0</v>
      </c>
    </row>
    <row r="251" spans="1:32">
      <c r="A251" s="12" t="s">
        <v>658</v>
      </c>
      <c r="B251" s="12"/>
      <c r="C251" s="12" t="s">
        <v>72</v>
      </c>
      <c r="D251" s="12"/>
      <c r="E251" s="32">
        <v>50690</v>
      </c>
      <c r="G251" s="8">
        <f t="shared" si="20"/>
        <v>14467456</v>
      </c>
      <c r="I251" s="8">
        <f>909400+15440984</f>
        <v>16350384</v>
      </c>
      <c r="K251" s="8">
        <v>30817840</v>
      </c>
      <c r="M251" s="8">
        <f t="shared" si="23"/>
        <v>9196301</v>
      </c>
      <c r="O251" s="8">
        <v>1091018</v>
      </c>
      <c r="Q251" s="8">
        <v>14681864</v>
      </c>
      <c r="S251" s="8">
        <v>24969183</v>
      </c>
      <c r="U251" s="8">
        <v>1644097</v>
      </c>
      <c r="W251" s="8">
        <f t="shared" si="22"/>
        <v>2224524</v>
      </c>
      <c r="Y251" s="8">
        <v>1980036</v>
      </c>
      <c r="AA251" s="8">
        <v>5848657</v>
      </c>
      <c r="AD251" s="8">
        <f t="shared" si="19"/>
        <v>0</v>
      </c>
      <c r="AF251" s="35">
        <f t="shared" si="18"/>
        <v>0</v>
      </c>
    </row>
    <row r="252" spans="1:32">
      <c r="A252" s="12" t="s">
        <v>689</v>
      </c>
      <c r="B252" s="12"/>
      <c r="C252" s="12" t="s">
        <v>64</v>
      </c>
      <c r="D252" s="12"/>
      <c r="E252" s="32">
        <v>50187</v>
      </c>
      <c r="G252" s="8">
        <f t="shared" si="20"/>
        <v>9347220</v>
      </c>
      <c r="I252" s="8">
        <f>513900+7056876</f>
        <v>7570776</v>
      </c>
      <c r="K252" s="8">
        <v>16917996</v>
      </c>
      <c r="M252" s="8">
        <f t="shared" si="23"/>
        <v>10810108</v>
      </c>
      <c r="O252" s="8">
        <v>328436</v>
      </c>
      <c r="Q252" s="8">
        <v>6423076</v>
      </c>
      <c r="S252" s="8">
        <v>17561620</v>
      </c>
      <c r="U252" s="8">
        <v>3785948</v>
      </c>
      <c r="W252" s="8">
        <f t="shared" si="22"/>
        <v>435875</v>
      </c>
      <c r="Y252" s="8">
        <v>-4865447</v>
      </c>
      <c r="AA252" s="8">
        <v>-643624</v>
      </c>
      <c r="AD252" s="8">
        <f t="shared" si="19"/>
        <v>0</v>
      </c>
      <c r="AF252" s="35">
        <f t="shared" si="18"/>
        <v>0</v>
      </c>
    </row>
    <row r="253" spans="1:32">
      <c r="A253" s="12" t="s">
        <v>314</v>
      </c>
      <c r="B253" s="12"/>
      <c r="C253" s="12" t="s">
        <v>20</v>
      </c>
      <c r="D253" s="12"/>
      <c r="E253" s="32">
        <v>44198</v>
      </c>
      <c r="G253" s="8">
        <f>+K253-I253</f>
        <v>110650562</v>
      </c>
      <c r="I253" s="8">
        <f>96963988+14346798</f>
        <v>111310786</v>
      </c>
      <c r="K253" s="8">
        <v>221961348</v>
      </c>
      <c r="M253" s="8">
        <f t="shared" si="23"/>
        <v>51494673</v>
      </c>
      <c r="O253" s="8">
        <v>4831587</v>
      </c>
      <c r="Q253" s="8">
        <v>140547396</v>
      </c>
      <c r="S253" s="8">
        <v>196873656</v>
      </c>
      <c r="U253" s="8">
        <v>19103860</v>
      </c>
      <c r="W253" s="8">
        <f t="shared" si="22"/>
        <v>6837356</v>
      </c>
      <c r="Y253" s="8">
        <v>-853524</v>
      </c>
      <c r="AA253" s="8">
        <v>25087692</v>
      </c>
      <c r="AD253" s="8">
        <f t="shared" si="19"/>
        <v>0</v>
      </c>
      <c r="AF253" s="35">
        <f t="shared" si="18"/>
        <v>0</v>
      </c>
    </row>
    <row r="254" spans="1:32">
      <c r="A254" s="12" t="s">
        <v>901</v>
      </c>
      <c r="B254" s="12"/>
      <c r="C254" s="12" t="s">
        <v>42</v>
      </c>
      <c r="D254" s="12"/>
      <c r="E254" s="32">
        <v>47993</v>
      </c>
      <c r="G254" s="8">
        <f t="shared" si="20"/>
        <v>18258797</v>
      </c>
      <c r="I254" s="8">
        <f>447728+15882845</f>
        <v>16330573</v>
      </c>
      <c r="K254" s="8">
        <v>34589370</v>
      </c>
      <c r="M254" s="8">
        <f t="shared" si="23"/>
        <v>11577800</v>
      </c>
      <c r="O254" s="8">
        <v>762774</v>
      </c>
      <c r="Q254" s="8">
        <v>14012760</v>
      </c>
      <c r="S254" s="8">
        <v>26353334</v>
      </c>
      <c r="U254" s="8">
        <v>2999249</v>
      </c>
      <c r="W254" s="8">
        <f t="shared" si="22"/>
        <v>676198</v>
      </c>
      <c r="Y254" s="8">
        <v>4560589</v>
      </c>
      <c r="AA254" s="8">
        <v>8236036</v>
      </c>
      <c r="AD254" s="8">
        <f t="shared" si="19"/>
        <v>0</v>
      </c>
      <c r="AF254" s="35">
        <f t="shared" si="18"/>
        <v>0</v>
      </c>
    </row>
    <row r="255" spans="1:32">
      <c r="A255" s="12" t="s">
        <v>249</v>
      </c>
      <c r="B255" s="12"/>
      <c r="C255" s="12" t="s">
        <v>246</v>
      </c>
      <c r="D255" s="12"/>
      <c r="E255" s="32">
        <v>46110</v>
      </c>
      <c r="G255" s="8">
        <f t="shared" si="20"/>
        <v>178443808</v>
      </c>
      <c r="I255" s="8">
        <f>16662559+184900448</f>
        <v>201563007</v>
      </c>
      <c r="K255" s="8">
        <v>380006815</v>
      </c>
      <c r="M255" s="8">
        <f t="shared" si="23"/>
        <v>117424439</v>
      </c>
      <c r="O255" s="8">
        <v>7715119</v>
      </c>
      <c r="Q255" s="8">
        <v>170330897</v>
      </c>
      <c r="S255" s="8">
        <v>295470455</v>
      </c>
      <c r="U255" s="8">
        <v>40122739</v>
      </c>
      <c r="W255" s="8">
        <f t="shared" si="22"/>
        <v>12869138</v>
      </c>
      <c r="Y255" s="8">
        <v>31544483</v>
      </c>
      <c r="AA255" s="8">
        <v>84536360</v>
      </c>
      <c r="AD255" s="8">
        <f t="shared" si="19"/>
        <v>0</v>
      </c>
      <c r="AF255" s="35">
        <f t="shared" si="18"/>
        <v>0</v>
      </c>
    </row>
    <row r="256" spans="1:32">
      <c r="A256" s="12" t="s">
        <v>249</v>
      </c>
      <c r="B256" s="12"/>
      <c r="C256" s="12" t="s">
        <v>79</v>
      </c>
      <c r="D256" s="12"/>
      <c r="E256" s="32">
        <v>49569</v>
      </c>
      <c r="G256" s="8">
        <f>+K256-I256</f>
        <v>41338434</v>
      </c>
      <c r="I256" s="8">
        <v>2342462</v>
      </c>
      <c r="K256" s="8">
        <v>43680896</v>
      </c>
      <c r="M256" s="8">
        <f t="shared" si="23"/>
        <v>4017587</v>
      </c>
      <c r="O256" s="8">
        <v>271803</v>
      </c>
      <c r="Q256" s="8">
        <v>20821299</v>
      </c>
      <c r="S256" s="8">
        <v>25110689</v>
      </c>
      <c r="U256" s="8">
        <v>1958310</v>
      </c>
      <c r="W256" s="8">
        <f t="shared" si="22"/>
        <v>16969216</v>
      </c>
      <c r="Y256" s="8">
        <v>-357319</v>
      </c>
      <c r="AA256" s="8">
        <v>18570207</v>
      </c>
      <c r="AD256" s="8">
        <f t="shared" si="19"/>
        <v>0</v>
      </c>
      <c r="AF256" s="35">
        <f t="shared" si="18"/>
        <v>0</v>
      </c>
    </row>
    <row r="257" spans="1:32">
      <c r="A257" s="12" t="s">
        <v>351</v>
      </c>
      <c r="B257" s="12"/>
      <c r="C257" s="12" t="s">
        <v>25</v>
      </c>
      <c r="D257" s="12"/>
      <c r="E257" s="32">
        <v>44206</v>
      </c>
      <c r="G257" s="8">
        <f t="shared" si="20"/>
        <v>53230477</v>
      </c>
      <c r="I257" s="8">
        <v>6703191</v>
      </c>
      <c r="K257" s="8">
        <v>59933668</v>
      </c>
      <c r="M257" s="8">
        <f t="shared" si="23"/>
        <v>24821962</v>
      </c>
      <c r="O257" s="8">
        <v>494372</v>
      </c>
      <c r="Q257" s="8">
        <v>2917866</v>
      </c>
      <c r="S257" s="8">
        <v>28234200</v>
      </c>
      <c r="U257" s="8">
        <v>7558424</v>
      </c>
      <c r="W257" s="8">
        <f t="shared" si="22"/>
        <v>2021016</v>
      </c>
      <c r="Y257" s="8">
        <v>22120028</v>
      </c>
      <c r="AA257" s="8">
        <v>31699468</v>
      </c>
      <c r="AD257" s="8">
        <f t="shared" si="19"/>
        <v>0</v>
      </c>
      <c r="AF257" s="35">
        <f t="shared" ref="AF257:AF269" si="24">+G257+I257+-M257-O257-U257-W257-Y257-Q257</f>
        <v>0</v>
      </c>
    </row>
    <row r="258" spans="1:32" hidden="1">
      <c r="A258" s="12" t="s">
        <v>849</v>
      </c>
      <c r="B258" s="12"/>
      <c r="C258" s="12" t="s">
        <v>69</v>
      </c>
      <c r="D258" s="12"/>
      <c r="E258" s="32">
        <v>44214</v>
      </c>
      <c r="G258" s="8">
        <f>+K258-I258</f>
        <v>0</v>
      </c>
      <c r="I258" s="8">
        <v>0</v>
      </c>
      <c r="K258" s="8">
        <v>0</v>
      </c>
      <c r="M258" s="8">
        <v>0</v>
      </c>
      <c r="O258" s="8">
        <v>0</v>
      </c>
      <c r="Q258" s="8">
        <v>0</v>
      </c>
      <c r="S258" s="8">
        <v>0</v>
      </c>
      <c r="U258" s="8">
        <v>0</v>
      </c>
      <c r="W258" s="8">
        <f t="shared" si="22"/>
        <v>0</v>
      </c>
      <c r="Y258" s="8">
        <v>0</v>
      </c>
      <c r="AA258" s="8">
        <v>0</v>
      </c>
      <c r="AD258" s="8">
        <f t="shared" si="19"/>
        <v>0</v>
      </c>
      <c r="AF258" s="35">
        <f t="shared" si="24"/>
        <v>0</v>
      </c>
    </row>
    <row r="259" spans="1:32">
      <c r="A259" s="12" t="s">
        <v>385</v>
      </c>
      <c r="B259" s="12"/>
      <c r="C259" s="12" t="s">
        <v>30</v>
      </c>
      <c r="D259" s="12"/>
      <c r="E259" s="32">
        <v>47209</v>
      </c>
      <c r="F259" s="11"/>
      <c r="G259" s="8">
        <f t="shared" si="20"/>
        <v>3050980</v>
      </c>
      <c r="I259" s="8">
        <f>125700+1358529</f>
        <v>1484229</v>
      </c>
      <c r="K259" s="8">
        <v>4535209</v>
      </c>
      <c r="M259" s="8">
        <f t="shared" si="23"/>
        <v>2327450</v>
      </c>
      <c r="O259" s="8">
        <v>51888</v>
      </c>
      <c r="Q259" s="8">
        <v>340824</v>
      </c>
      <c r="S259" s="8">
        <v>2720162</v>
      </c>
      <c r="U259" s="8">
        <v>1484229</v>
      </c>
      <c r="W259" s="8">
        <f t="shared" si="22"/>
        <v>1100606</v>
      </c>
      <c r="Y259" s="8">
        <v>-769788</v>
      </c>
      <c r="AA259" s="8">
        <v>1815047</v>
      </c>
      <c r="AD259" s="8">
        <f t="shared" si="19"/>
        <v>0</v>
      </c>
      <c r="AF259" s="35">
        <f t="shared" si="24"/>
        <v>0</v>
      </c>
    </row>
    <row r="260" spans="1:32" hidden="1">
      <c r="A260" s="12" t="s">
        <v>863</v>
      </c>
      <c r="B260" s="12"/>
      <c r="C260" s="12" t="s">
        <v>608</v>
      </c>
      <c r="D260" s="12"/>
      <c r="E260" s="32">
        <v>49353</v>
      </c>
      <c r="G260" s="8">
        <f t="shared" ref="G260:G269" si="25">+K260-I260</f>
        <v>0</v>
      </c>
      <c r="I260" s="8">
        <f>+M260-K260</f>
        <v>0</v>
      </c>
      <c r="K260" s="8">
        <f>+O260-M260</f>
        <v>0</v>
      </c>
      <c r="M260" s="8">
        <f t="shared" si="23"/>
        <v>0</v>
      </c>
      <c r="O260" s="8">
        <f>+S260-Q260</f>
        <v>0</v>
      </c>
      <c r="Q260" s="8">
        <f>+U260-S260</f>
        <v>0</v>
      </c>
      <c r="S260" s="8">
        <f>+W260-U260</f>
        <v>0</v>
      </c>
      <c r="U260" s="8">
        <v>0</v>
      </c>
      <c r="W260" s="8">
        <f t="shared" si="22"/>
        <v>0</v>
      </c>
      <c r="Y260" s="8">
        <v>0</v>
      </c>
      <c r="AA260" s="8">
        <v>0</v>
      </c>
      <c r="AD260" s="8">
        <f t="shared" si="19"/>
        <v>0</v>
      </c>
      <c r="AF260" s="35">
        <f t="shared" si="24"/>
        <v>0</v>
      </c>
    </row>
    <row r="261" spans="1:32">
      <c r="A261" s="12" t="s">
        <v>615</v>
      </c>
      <c r="B261" s="12"/>
      <c r="C261" s="12" t="s">
        <v>113</v>
      </c>
      <c r="D261" s="12"/>
      <c r="E261" s="32">
        <v>49437</v>
      </c>
      <c r="G261" s="8">
        <f t="shared" si="25"/>
        <v>14652869</v>
      </c>
      <c r="I261" s="8">
        <f>738301+4918553</f>
        <v>5656854</v>
      </c>
      <c r="K261" s="8">
        <v>20309723</v>
      </c>
      <c r="M261" s="8">
        <f t="shared" si="23"/>
        <v>9976212</v>
      </c>
      <c r="O261" s="8">
        <v>377733</v>
      </c>
      <c r="Q261" s="8">
        <v>1910594</v>
      </c>
      <c r="S261" s="8">
        <v>12264539</v>
      </c>
      <c r="U261" s="8">
        <v>5457752</v>
      </c>
      <c r="W261" s="8">
        <f t="shared" si="22"/>
        <v>417615</v>
      </c>
      <c r="Y261" s="8">
        <v>2169817</v>
      </c>
      <c r="AA261" s="8">
        <v>8045184</v>
      </c>
      <c r="AD261" s="8">
        <f t="shared" ref="AD261:AD269" si="26">+K261-S261-AA261</f>
        <v>0</v>
      </c>
      <c r="AF261" s="35">
        <f t="shared" si="24"/>
        <v>0</v>
      </c>
    </row>
    <row r="262" spans="1:32">
      <c r="A262" s="12" t="s">
        <v>436</v>
      </c>
      <c r="B262" s="12"/>
      <c r="C262" s="12" t="s">
        <v>34</v>
      </c>
      <c r="D262" s="12"/>
      <c r="E262" s="32">
        <v>47589</v>
      </c>
      <c r="G262" s="8">
        <f t="shared" si="25"/>
        <v>9251618</v>
      </c>
      <c r="I262" s="8">
        <f>1014877+6250949</f>
        <v>7265826</v>
      </c>
      <c r="K262" s="8">
        <v>16517444</v>
      </c>
      <c r="M262" s="8">
        <f t="shared" si="23"/>
        <v>5553221</v>
      </c>
      <c r="O262" s="8">
        <v>329749</v>
      </c>
      <c r="Q262" s="8">
        <v>2598756</v>
      </c>
      <c r="S262" s="8">
        <v>8481726</v>
      </c>
      <c r="U262" s="8">
        <v>5022824</v>
      </c>
      <c r="W262" s="8">
        <f t="shared" si="22"/>
        <v>704307</v>
      </c>
      <c r="Y262" s="8">
        <v>2308587</v>
      </c>
      <c r="AA262" s="8">
        <v>8035718</v>
      </c>
      <c r="AD262" s="8">
        <f t="shared" si="26"/>
        <v>0</v>
      </c>
      <c r="AF262" s="35">
        <f t="shared" si="24"/>
        <v>0</v>
      </c>
    </row>
    <row r="263" spans="1:32">
      <c r="A263" s="12" t="s">
        <v>966</v>
      </c>
      <c r="B263" s="12"/>
      <c r="C263" s="12" t="s">
        <v>64</v>
      </c>
      <c r="D263" s="12"/>
      <c r="E263" s="32">
        <v>50195</v>
      </c>
      <c r="G263" s="8">
        <f t="shared" si="25"/>
        <v>13127782</v>
      </c>
      <c r="I263" s="8">
        <f>349160+11722079</f>
        <v>12071239</v>
      </c>
      <c r="K263" s="8">
        <v>25199021</v>
      </c>
      <c r="M263" s="8">
        <f t="shared" si="23"/>
        <v>13318507</v>
      </c>
      <c r="O263" s="8">
        <v>804035</v>
      </c>
      <c r="Q263" s="8">
        <v>9516466</v>
      </c>
      <c r="S263" s="8">
        <v>23639008</v>
      </c>
      <c r="U263" s="8">
        <v>4686323</v>
      </c>
      <c r="W263" s="8">
        <f t="shared" si="22"/>
        <v>976160</v>
      </c>
      <c r="Y263" s="8">
        <v>-4102470</v>
      </c>
      <c r="AA263" s="8">
        <v>1560013</v>
      </c>
      <c r="AD263" s="8">
        <f t="shared" si="26"/>
        <v>0</v>
      </c>
      <c r="AF263" s="35">
        <f t="shared" si="24"/>
        <v>0</v>
      </c>
    </row>
    <row r="264" spans="1:32">
      <c r="A264" s="12" t="s">
        <v>906</v>
      </c>
      <c r="B264" s="12"/>
      <c r="C264" s="12" t="s">
        <v>25</v>
      </c>
      <c r="D264" s="12"/>
      <c r="E264" s="32">
        <v>46888</v>
      </c>
      <c r="G264" s="8">
        <f t="shared" si="25"/>
        <v>17748116</v>
      </c>
      <c r="I264" s="8">
        <f>595953+8100779</f>
        <v>8696732</v>
      </c>
      <c r="K264" s="8">
        <v>26444848</v>
      </c>
      <c r="M264" s="8">
        <f t="shared" si="23"/>
        <v>4547112</v>
      </c>
      <c r="O264" s="8">
        <v>580782</v>
      </c>
      <c r="Q264" s="8">
        <v>13454076</v>
      </c>
      <c r="S264" s="8">
        <v>18581970</v>
      </c>
      <c r="U264" s="8">
        <v>1681511</v>
      </c>
      <c r="W264" s="8">
        <f t="shared" si="22"/>
        <v>3491817</v>
      </c>
      <c r="Y264" s="8">
        <v>2689550</v>
      </c>
      <c r="AA264" s="8">
        <v>7862878</v>
      </c>
      <c r="AD264" s="8">
        <f t="shared" si="26"/>
        <v>0</v>
      </c>
      <c r="AF264" s="35">
        <f t="shared" si="24"/>
        <v>0</v>
      </c>
    </row>
    <row r="265" spans="1:32">
      <c r="A265" s="12" t="s">
        <v>422</v>
      </c>
      <c r="B265" s="12"/>
      <c r="C265" s="12" t="s">
        <v>33</v>
      </c>
      <c r="D265" s="12"/>
      <c r="E265" s="32">
        <v>47449</v>
      </c>
      <c r="G265" s="8">
        <f t="shared" si="25"/>
        <v>11659335</v>
      </c>
      <c r="I265" s="8">
        <f>1178094+9489153</f>
        <v>10667247</v>
      </c>
      <c r="K265" s="8">
        <v>22326582</v>
      </c>
      <c r="M265" s="8">
        <f t="shared" si="23"/>
        <v>5428729</v>
      </c>
      <c r="O265" s="8">
        <v>596246</v>
      </c>
      <c r="Q265" s="8">
        <v>4379633</v>
      </c>
      <c r="S265" s="8">
        <v>10404608</v>
      </c>
      <c r="U265" s="8">
        <v>8108820</v>
      </c>
      <c r="W265" s="8">
        <f t="shared" si="22"/>
        <v>629849</v>
      </c>
      <c r="Y265" s="8">
        <v>3183305</v>
      </c>
      <c r="AA265" s="8">
        <v>11921974</v>
      </c>
      <c r="AD265" s="8">
        <f t="shared" si="26"/>
        <v>0</v>
      </c>
      <c r="AF265" s="35">
        <f t="shared" si="24"/>
        <v>0</v>
      </c>
    </row>
    <row r="266" spans="1:32">
      <c r="A266" s="12" t="s">
        <v>482</v>
      </c>
      <c r="B266" s="12"/>
      <c r="C266" s="12" t="s">
        <v>42</v>
      </c>
      <c r="D266" s="12"/>
      <c r="E266" s="32">
        <v>48009</v>
      </c>
      <c r="G266" s="8">
        <f t="shared" si="25"/>
        <v>41589303</v>
      </c>
      <c r="I266" s="8">
        <f>1821947+59814047</f>
        <v>61635994</v>
      </c>
      <c r="K266" s="8">
        <v>103225297</v>
      </c>
      <c r="M266" s="8">
        <f t="shared" si="23"/>
        <v>15784609</v>
      </c>
      <c r="O266" s="8">
        <v>1790940</v>
      </c>
      <c r="Q266" s="8">
        <v>61372525</v>
      </c>
      <c r="S266" s="8">
        <v>78948074</v>
      </c>
      <c r="U266" s="8">
        <v>2039244</v>
      </c>
      <c r="W266" s="8">
        <f>AA266-Y266-U266</f>
        <v>5153892</v>
      </c>
      <c r="Y266" s="8">
        <v>17084087</v>
      </c>
      <c r="AA266" s="8">
        <v>24277223</v>
      </c>
      <c r="AD266" s="8">
        <f t="shared" si="26"/>
        <v>0</v>
      </c>
      <c r="AF266" s="35">
        <f t="shared" si="24"/>
        <v>0</v>
      </c>
    </row>
    <row r="267" spans="1:32">
      <c r="A267" s="12" t="s">
        <v>483</v>
      </c>
      <c r="B267" s="12"/>
      <c r="C267" s="12" t="s">
        <v>42</v>
      </c>
      <c r="D267" s="12"/>
      <c r="E267" s="32">
        <v>48017</v>
      </c>
      <c r="G267" s="8">
        <f t="shared" si="25"/>
        <v>19879705</v>
      </c>
      <c r="I267" s="8">
        <f>3340058+16168613</f>
        <v>19508671</v>
      </c>
      <c r="K267" s="8">
        <v>39388376</v>
      </c>
      <c r="M267" s="8">
        <f t="shared" si="23"/>
        <v>8675396</v>
      </c>
      <c r="O267" s="8">
        <v>902384</v>
      </c>
      <c r="Q267" s="8">
        <v>16032158</v>
      </c>
      <c r="S267" s="8">
        <v>25609938</v>
      </c>
      <c r="U267" s="8">
        <v>5960744</v>
      </c>
      <c r="W267" s="8">
        <f>AA267-Y267-U267</f>
        <v>7678498</v>
      </c>
      <c r="Y267" s="8">
        <v>139196</v>
      </c>
      <c r="AA267" s="8">
        <v>13778438</v>
      </c>
      <c r="AD267" s="8">
        <f t="shared" si="26"/>
        <v>0</v>
      </c>
      <c r="AF267" s="35">
        <f t="shared" si="24"/>
        <v>0</v>
      </c>
    </row>
    <row r="268" spans="1:32" hidden="1">
      <c r="A268" s="12" t="s">
        <v>980</v>
      </c>
      <c r="B268" s="12"/>
      <c r="C268" s="12" t="s">
        <v>10</v>
      </c>
      <c r="D268" s="12"/>
      <c r="E268" s="32">
        <v>50369</v>
      </c>
      <c r="G268" s="8">
        <f>+K268-I268</f>
        <v>0</v>
      </c>
      <c r="I268" s="8">
        <v>0</v>
      </c>
      <c r="K268" s="8">
        <v>0</v>
      </c>
      <c r="M268" s="8">
        <f>+S268-O268-Q268</f>
        <v>0</v>
      </c>
      <c r="O268" s="8">
        <v>0</v>
      </c>
      <c r="Q268" s="8">
        <v>0</v>
      </c>
      <c r="S268" s="8">
        <v>0</v>
      </c>
      <c r="U268" s="8">
        <v>0</v>
      </c>
      <c r="W268" s="8">
        <f>AA268-Y268-U268</f>
        <v>0</v>
      </c>
      <c r="Y268" s="8">
        <v>0</v>
      </c>
      <c r="AA268" s="8">
        <v>0</v>
      </c>
      <c r="AD268" s="8">
        <f>+K268-S268-AA268</f>
        <v>0</v>
      </c>
      <c r="AF268" s="35">
        <f>+G268+I268+-M268-O268-U268-W268-Y268-Q268</f>
        <v>0</v>
      </c>
    </row>
    <row r="269" spans="1:32">
      <c r="A269" s="12" t="s">
        <v>710</v>
      </c>
      <c r="B269" s="12"/>
      <c r="C269" s="12" t="s">
        <v>67</v>
      </c>
      <c r="D269" s="12"/>
      <c r="E269" s="32">
        <v>50369</v>
      </c>
      <c r="G269" s="8">
        <f t="shared" si="25"/>
        <v>19798010</v>
      </c>
      <c r="I269" s="8">
        <f>130323+15382723+4875880</f>
        <v>20388926</v>
      </c>
      <c r="K269" s="8">
        <v>40186936</v>
      </c>
      <c r="M269" s="8">
        <f t="shared" si="23"/>
        <v>4784690</v>
      </c>
      <c r="O269" s="8">
        <v>380141</v>
      </c>
      <c r="Q269" s="8">
        <v>12624225</v>
      </c>
      <c r="S269" s="8">
        <v>17789056</v>
      </c>
      <c r="U269" s="8">
        <v>13310569</v>
      </c>
      <c r="W269" s="8">
        <f>AA269-Y269-U269</f>
        <v>2198252</v>
      </c>
      <c r="Y269" s="8">
        <v>6889059</v>
      </c>
      <c r="AA269" s="8">
        <v>22397880</v>
      </c>
      <c r="AD269" s="8">
        <f t="shared" si="26"/>
        <v>0</v>
      </c>
      <c r="AF269" s="35">
        <f t="shared" si="24"/>
        <v>0</v>
      </c>
    </row>
    <row r="271" spans="1:32">
      <c r="AA271" s="8" t="s">
        <v>819</v>
      </c>
    </row>
    <row r="272" spans="1:32" hidden="1">
      <c r="A272" s="12" t="s">
        <v>850</v>
      </c>
      <c r="B272" s="12"/>
      <c r="C272" s="12" t="s">
        <v>32</v>
      </c>
      <c r="D272" s="12"/>
      <c r="E272" s="32">
        <v>44230</v>
      </c>
      <c r="G272" s="8">
        <f t="shared" ref="G272:G285" si="27">+K272-I272</f>
        <v>0</v>
      </c>
      <c r="I272" s="8">
        <v>0</v>
      </c>
      <c r="K272" s="8">
        <v>0</v>
      </c>
      <c r="M272" s="8">
        <f t="shared" ref="M272:M285" si="28">+S272-O272-Q272</f>
        <v>0</v>
      </c>
      <c r="O272" s="8">
        <v>0</v>
      </c>
      <c r="Q272" s="8">
        <v>0</v>
      </c>
      <c r="S272" s="8">
        <v>0</v>
      </c>
      <c r="U272" s="8">
        <v>0</v>
      </c>
      <c r="W272" s="8">
        <v>0</v>
      </c>
      <c r="Y272" s="8">
        <v>0</v>
      </c>
      <c r="AA272" s="8">
        <v>0</v>
      </c>
      <c r="AD272" s="8">
        <f t="shared" ref="AD272:AD285" si="29">+K272-S272-AA272</f>
        <v>0</v>
      </c>
      <c r="AF272" s="35">
        <f t="shared" ref="AF272:AF285" si="30">+G272+I272+-M272-O272-U272-W272-Y272-Q272</f>
        <v>0</v>
      </c>
    </row>
    <row r="273" spans="1:32" s="35" customFormat="1">
      <c r="A273" s="34" t="s">
        <v>287</v>
      </c>
      <c r="B273" s="34"/>
      <c r="C273" s="34" t="s">
        <v>115</v>
      </c>
      <c r="D273" s="34"/>
      <c r="E273" s="34">
        <v>45450</v>
      </c>
      <c r="G273" s="35">
        <f>+K273-I273</f>
        <v>7407317</v>
      </c>
      <c r="I273" s="35">
        <f>870749+20845755</f>
        <v>21716504</v>
      </c>
      <c r="K273" s="35">
        <v>29123821</v>
      </c>
      <c r="M273" s="35">
        <f>+S273-O273-Q273</f>
        <v>2935939</v>
      </c>
      <c r="O273" s="35">
        <v>226598</v>
      </c>
      <c r="Q273" s="35">
        <v>5977536</v>
      </c>
      <c r="S273" s="35">
        <v>9140073</v>
      </c>
      <c r="U273" s="35">
        <v>16185729</v>
      </c>
      <c r="W273" s="35">
        <f>AA273-Y273-U273</f>
        <v>1922246</v>
      </c>
      <c r="Y273" s="35">
        <v>1875773</v>
      </c>
      <c r="AA273" s="35">
        <v>19983748</v>
      </c>
      <c r="AD273" s="35">
        <f>+K273-S273-AA273</f>
        <v>0</v>
      </c>
      <c r="AF273" s="35">
        <f>+G273+I273+-M273-O273-U273-W273-Y273-Q273</f>
        <v>0</v>
      </c>
    </row>
    <row r="274" spans="1:32">
      <c r="A274" s="13" t="s">
        <v>717</v>
      </c>
      <c r="B274" s="13"/>
      <c r="C274" s="13" t="s">
        <v>69</v>
      </c>
      <c r="D274" s="13"/>
      <c r="E274" s="13">
        <v>50443</v>
      </c>
      <c r="G274" s="8">
        <f>+K274-I274</f>
        <v>61638410</v>
      </c>
      <c r="I274" s="8">
        <f>31946453+16273399</f>
        <v>48219852</v>
      </c>
      <c r="K274" s="8">
        <v>109858262</v>
      </c>
      <c r="M274" s="8">
        <f>+S274-O274-Q274</f>
        <v>35694675</v>
      </c>
      <c r="O274" s="8">
        <v>2881213</v>
      </c>
      <c r="Q274" s="8">
        <v>75895294</v>
      </c>
      <c r="S274" s="8">
        <v>114471182</v>
      </c>
      <c r="U274" s="8">
        <v>3243980</v>
      </c>
      <c r="W274" s="8">
        <f>AA274-Y274-U274</f>
        <v>396750</v>
      </c>
      <c r="Y274" s="8">
        <v>-8253650</v>
      </c>
      <c r="AA274" s="8">
        <v>-4612920</v>
      </c>
      <c r="AD274" s="8">
        <f>+K274-S274-AA274</f>
        <v>0</v>
      </c>
      <c r="AF274" s="8">
        <f>+G274+I274+-M274-O274-U274-W274-Y274-Q274</f>
        <v>0</v>
      </c>
    </row>
    <row r="275" spans="1:32">
      <c r="A275" s="12" t="s">
        <v>589</v>
      </c>
      <c r="B275" s="12"/>
      <c r="C275" s="12" t="s">
        <v>54</v>
      </c>
      <c r="D275" s="12"/>
      <c r="E275" s="32">
        <v>49080</v>
      </c>
      <c r="G275" s="8">
        <f>+K275-I275</f>
        <v>16101574</v>
      </c>
      <c r="I275" s="8">
        <f>8024+3794775</f>
        <v>3802799</v>
      </c>
      <c r="K275" s="8">
        <v>19904373</v>
      </c>
      <c r="M275" s="8">
        <f>+S275-O275-Q275</f>
        <v>8697098</v>
      </c>
      <c r="O275" s="8">
        <v>108812</v>
      </c>
      <c r="Q275" s="8">
        <v>1105299</v>
      </c>
      <c r="S275" s="8">
        <v>9911209</v>
      </c>
      <c r="U275" s="8">
        <v>3802799</v>
      </c>
      <c r="W275" s="8">
        <f>AA275-Y275-U275</f>
        <v>464487</v>
      </c>
      <c r="Y275" s="8">
        <v>5725878</v>
      </c>
      <c r="AA275" s="8">
        <v>9993164</v>
      </c>
      <c r="AD275" s="8">
        <f>+K275-S275-AA275</f>
        <v>0</v>
      </c>
      <c r="AF275" s="35">
        <f>+G275+I275+-M275-O275-U275-W275-Y275-Q275</f>
        <v>0</v>
      </c>
    </row>
    <row r="276" spans="1:32">
      <c r="A276" s="12" t="s">
        <v>445</v>
      </c>
      <c r="B276" s="12"/>
      <c r="C276" s="12" t="s">
        <v>35</v>
      </c>
      <c r="D276" s="12"/>
      <c r="E276" s="32">
        <v>44248</v>
      </c>
      <c r="G276" s="8">
        <f>+K276-I276</f>
        <v>50295920</v>
      </c>
      <c r="I276" s="8">
        <f>43524187+32215631</f>
        <v>75739818</v>
      </c>
      <c r="K276" s="8">
        <v>126035738</v>
      </c>
      <c r="M276" s="8">
        <f>+S276-O276-Q276</f>
        <v>16440835</v>
      </c>
      <c r="O276" s="8">
        <v>2514879</v>
      </c>
      <c r="Q276" s="8">
        <v>29297401</v>
      </c>
      <c r="S276" s="8">
        <v>48253115</v>
      </c>
      <c r="U276" s="8">
        <v>49524318</v>
      </c>
      <c r="W276" s="8">
        <f>AA276-Y276-U276</f>
        <v>25177243</v>
      </c>
      <c r="Y276" s="8">
        <v>3081062</v>
      </c>
      <c r="AA276" s="8">
        <v>77782623</v>
      </c>
      <c r="AD276" s="8">
        <f>+K276-S276-AA276</f>
        <v>0</v>
      </c>
      <c r="AF276" s="35">
        <f>+G276+I276+-M276-O276-U276-W276-Y276-Q276</f>
        <v>0</v>
      </c>
    </row>
    <row r="277" spans="1:32">
      <c r="A277" s="13" t="s">
        <v>513</v>
      </c>
      <c r="B277" s="13"/>
      <c r="C277" s="13" t="s">
        <v>511</v>
      </c>
      <c r="D277" s="13"/>
      <c r="E277" s="13">
        <v>44255</v>
      </c>
      <c r="G277" s="8">
        <f t="shared" si="27"/>
        <v>16689770</v>
      </c>
      <c r="I277" s="8">
        <f>884550+40248537</f>
        <v>41133087</v>
      </c>
      <c r="K277" s="8">
        <v>57822857</v>
      </c>
      <c r="M277" s="8">
        <f t="shared" si="28"/>
        <v>11128553</v>
      </c>
      <c r="O277" s="8">
        <v>1616925</v>
      </c>
      <c r="Q277" s="8">
        <v>25868875</v>
      </c>
      <c r="S277" s="8">
        <v>38614353</v>
      </c>
      <c r="U277" s="8">
        <v>15403898</v>
      </c>
      <c r="W277" s="8">
        <f t="shared" ref="W277:W285" si="31">AA277-Y277-U277</f>
        <v>2154388</v>
      </c>
      <c r="Y277" s="8">
        <v>1650218</v>
      </c>
      <c r="AA277" s="8">
        <v>19208504</v>
      </c>
      <c r="AD277" s="8">
        <f t="shared" si="29"/>
        <v>0</v>
      </c>
      <c r="AF277" s="8">
        <f t="shared" si="30"/>
        <v>0</v>
      </c>
    </row>
    <row r="278" spans="1:32">
      <c r="A278" s="12" t="s">
        <v>496</v>
      </c>
      <c r="B278" s="12"/>
      <c r="C278" s="12" t="s">
        <v>44</v>
      </c>
      <c r="D278" s="12"/>
      <c r="E278" s="32">
        <v>44263</v>
      </c>
      <c r="G278" s="8">
        <f>+K278-I278</f>
        <v>182576130</v>
      </c>
      <c r="I278" s="8">
        <f>8016885+79426621</f>
        <v>87443506</v>
      </c>
      <c r="K278" s="8">
        <v>270019636</v>
      </c>
      <c r="M278" s="8">
        <f t="shared" si="28"/>
        <v>32118695</v>
      </c>
      <c r="O278" s="8">
        <v>3679116</v>
      </c>
      <c r="Q278" s="8">
        <v>50717502</v>
      </c>
      <c r="S278" s="8">
        <v>86515313</v>
      </c>
      <c r="U278" s="8">
        <v>48343932</v>
      </c>
      <c r="W278" s="8">
        <f t="shared" si="31"/>
        <v>146506367</v>
      </c>
      <c r="Y278" s="8">
        <v>-11345976</v>
      </c>
      <c r="AA278" s="8">
        <v>183504323</v>
      </c>
      <c r="AD278" s="8">
        <f t="shared" si="29"/>
        <v>0</v>
      </c>
      <c r="AF278" s="35">
        <f t="shared" si="30"/>
        <v>0</v>
      </c>
    </row>
    <row r="279" spans="1:32">
      <c r="A279" s="12" t="s">
        <v>691</v>
      </c>
      <c r="B279" s="12"/>
      <c r="C279" s="12" t="s">
        <v>64</v>
      </c>
      <c r="D279" s="12"/>
      <c r="E279" s="32">
        <v>50203</v>
      </c>
      <c r="G279" s="8">
        <f t="shared" si="27"/>
        <v>11185260</v>
      </c>
      <c r="I279" s="8">
        <f>543600+3264147</f>
        <v>3807747</v>
      </c>
      <c r="K279" s="8">
        <v>14993007</v>
      </c>
      <c r="M279" s="8">
        <f t="shared" si="28"/>
        <v>6836281</v>
      </c>
      <c r="O279" s="8">
        <v>514173</v>
      </c>
      <c r="Q279" s="8">
        <v>3010239</v>
      </c>
      <c r="S279" s="8">
        <v>10360693</v>
      </c>
      <c r="U279" s="8">
        <v>2802630</v>
      </c>
      <c r="W279" s="8">
        <f t="shared" si="31"/>
        <v>2090977</v>
      </c>
      <c r="Y279" s="8">
        <v>-261293</v>
      </c>
      <c r="AA279" s="8">
        <v>4632314</v>
      </c>
      <c r="AD279" s="8">
        <f t="shared" si="29"/>
        <v>0</v>
      </c>
      <c r="AF279" s="35">
        <f t="shared" si="30"/>
        <v>0</v>
      </c>
    </row>
    <row r="280" spans="1:32">
      <c r="A280" s="12" t="s">
        <v>907</v>
      </c>
      <c r="B280" s="12"/>
      <c r="C280" s="12" t="s">
        <v>11</v>
      </c>
      <c r="D280" s="12"/>
      <c r="E280" s="32">
        <v>45468</v>
      </c>
      <c r="F280" s="11"/>
      <c r="G280" s="8">
        <f t="shared" si="27"/>
        <v>9945810</v>
      </c>
      <c r="I280" s="8">
        <f>78472+2953650</f>
        <v>3032122</v>
      </c>
      <c r="K280" s="8">
        <v>12977932</v>
      </c>
      <c r="M280" s="8">
        <f t="shared" si="28"/>
        <v>5341272</v>
      </c>
      <c r="O280" s="8">
        <v>128288</v>
      </c>
      <c r="Q280" s="8">
        <v>1119494</v>
      </c>
      <c r="S280" s="8">
        <v>6589054</v>
      </c>
      <c r="U280" s="8">
        <v>2994892</v>
      </c>
      <c r="W280" s="8">
        <f t="shared" si="31"/>
        <v>256231</v>
      </c>
      <c r="Y280" s="8">
        <v>3137755</v>
      </c>
      <c r="AA280" s="8">
        <v>6388878</v>
      </c>
      <c r="AD280" s="8">
        <f t="shared" si="29"/>
        <v>0</v>
      </c>
      <c r="AF280" s="35">
        <f t="shared" si="30"/>
        <v>0</v>
      </c>
    </row>
    <row r="281" spans="1:32">
      <c r="A281" s="12" t="s">
        <v>659</v>
      </c>
      <c r="B281" s="12"/>
      <c r="C281" s="12" t="s">
        <v>62</v>
      </c>
      <c r="D281" s="12"/>
      <c r="E281" s="32">
        <v>49874</v>
      </c>
      <c r="G281" s="8">
        <f t="shared" si="27"/>
        <v>15359273</v>
      </c>
      <c r="I281" s="8">
        <f>2632128+28445593</f>
        <v>31077721</v>
      </c>
      <c r="K281" s="8">
        <v>46436994</v>
      </c>
      <c r="M281" s="8">
        <f t="shared" si="28"/>
        <v>9898410</v>
      </c>
      <c r="O281" s="8">
        <v>360062</v>
      </c>
      <c r="Q281" s="8">
        <v>24321567</v>
      </c>
      <c r="S281" s="8">
        <v>34580039</v>
      </c>
      <c r="U281" s="8">
        <v>7652721</v>
      </c>
      <c r="W281" s="8">
        <f t="shared" si="31"/>
        <v>3147271</v>
      </c>
      <c r="Y281" s="8">
        <v>1056963</v>
      </c>
      <c r="AA281" s="8">
        <v>11856955</v>
      </c>
      <c r="AD281" s="8">
        <f t="shared" si="29"/>
        <v>0</v>
      </c>
      <c r="AF281" s="35">
        <f t="shared" si="30"/>
        <v>0</v>
      </c>
    </row>
    <row r="282" spans="1:32">
      <c r="A282" s="12" t="s">
        <v>402</v>
      </c>
      <c r="B282" s="12"/>
      <c r="C282" s="12" t="s">
        <v>32</v>
      </c>
      <c r="D282" s="12"/>
      <c r="E282" s="32">
        <v>44271</v>
      </c>
      <c r="F282" s="35"/>
      <c r="G282" s="8">
        <f>+K282-I282</f>
        <v>44810260</v>
      </c>
      <c r="I282" s="8">
        <f>1436356+48326485</f>
        <v>49762841</v>
      </c>
      <c r="K282" s="8">
        <v>94573101</v>
      </c>
      <c r="M282" s="8">
        <f>+S282-O282-Q282</f>
        <v>35623531</v>
      </c>
      <c r="O282" s="8">
        <v>3769936</v>
      </c>
      <c r="Q282" s="8">
        <v>22747647</v>
      </c>
      <c r="S282" s="8">
        <v>62141114</v>
      </c>
      <c r="U282" s="8">
        <v>15019214</v>
      </c>
      <c r="W282" s="8">
        <f t="shared" si="31"/>
        <v>6307212</v>
      </c>
      <c r="Y282" s="8">
        <v>11105561</v>
      </c>
      <c r="AA282" s="8">
        <v>32431987</v>
      </c>
      <c r="AD282" s="8">
        <f t="shared" si="29"/>
        <v>0</v>
      </c>
      <c r="AF282" s="35">
        <f t="shared" si="30"/>
        <v>0</v>
      </c>
    </row>
    <row r="283" spans="1:32">
      <c r="A283" s="12" t="s">
        <v>981</v>
      </c>
      <c r="B283" s="12"/>
      <c r="C283" s="12" t="s">
        <v>45</v>
      </c>
      <c r="D283" s="12"/>
      <c r="E283" s="32">
        <v>48330</v>
      </c>
      <c r="G283" s="8">
        <f t="shared" si="27"/>
        <v>4607927</v>
      </c>
      <c r="I283" s="8">
        <f>590631+13233843</f>
        <v>13824474</v>
      </c>
      <c r="K283" s="8">
        <v>18432401</v>
      </c>
      <c r="M283" s="8">
        <f t="shared" si="28"/>
        <v>1809977</v>
      </c>
      <c r="O283" s="8">
        <v>93133</v>
      </c>
      <c r="Q283" s="8">
        <v>1985903</v>
      </c>
      <c r="S283" s="8">
        <v>3889013</v>
      </c>
      <c r="U283" s="8">
        <v>12024700</v>
      </c>
      <c r="W283" s="8">
        <f t="shared" si="31"/>
        <v>1390157</v>
      </c>
      <c r="Y283" s="8">
        <v>1128531</v>
      </c>
      <c r="AA283" s="8">
        <v>14543388</v>
      </c>
      <c r="AD283" s="8">
        <f t="shared" si="29"/>
        <v>0</v>
      </c>
      <c r="AF283" s="35">
        <f t="shared" si="30"/>
        <v>0</v>
      </c>
    </row>
    <row r="284" spans="1:32">
      <c r="A284" s="12" t="s">
        <v>616</v>
      </c>
      <c r="B284" s="12"/>
      <c r="C284" s="12" t="s">
        <v>113</v>
      </c>
      <c r="D284" s="12"/>
      <c r="E284" s="32">
        <v>49445</v>
      </c>
      <c r="G284" s="8">
        <f>+K284-I284</f>
        <v>5284614</v>
      </c>
      <c r="I284" s="8">
        <f>328875+856605</f>
        <v>1185480</v>
      </c>
      <c r="K284" s="8">
        <v>6470094</v>
      </c>
      <c r="M284" s="8">
        <f t="shared" si="28"/>
        <v>2726305</v>
      </c>
      <c r="O284" s="8">
        <v>26219</v>
      </c>
      <c r="Q284" s="8">
        <v>160934</v>
      </c>
      <c r="S284" s="8">
        <v>2913458</v>
      </c>
      <c r="U284" s="8">
        <v>1185480</v>
      </c>
      <c r="W284" s="8">
        <f t="shared" si="31"/>
        <v>422981</v>
      </c>
      <c r="Y284" s="8">
        <v>1948175</v>
      </c>
      <c r="AA284" s="8">
        <v>3556636</v>
      </c>
      <c r="AD284" s="8">
        <f t="shared" si="29"/>
        <v>0</v>
      </c>
      <c r="AF284" s="35">
        <f t="shared" si="30"/>
        <v>0</v>
      </c>
    </row>
    <row r="285" spans="1:32">
      <c r="A285" s="12" t="s">
        <v>444</v>
      </c>
      <c r="B285" s="12"/>
      <c r="C285" s="12" t="s">
        <v>440</v>
      </c>
      <c r="D285" s="12"/>
      <c r="E285" s="32">
        <v>47639</v>
      </c>
      <c r="G285" s="8">
        <f t="shared" si="27"/>
        <v>11190048</v>
      </c>
      <c r="I285" s="8">
        <f>405668+20343500</f>
        <v>20749168</v>
      </c>
      <c r="K285" s="8">
        <v>31939216</v>
      </c>
      <c r="M285" s="8">
        <f t="shared" si="28"/>
        <v>3399017</v>
      </c>
      <c r="O285" s="8">
        <v>135400</v>
      </c>
      <c r="Q285" s="8">
        <v>1915468</v>
      </c>
      <c r="S285" s="8">
        <v>5449885</v>
      </c>
      <c r="U285" s="8">
        <v>19118604</v>
      </c>
      <c r="W285" s="8">
        <f t="shared" si="31"/>
        <v>1322008</v>
      </c>
      <c r="Y285" s="8">
        <v>6048719</v>
      </c>
      <c r="AA285" s="8">
        <v>26489331</v>
      </c>
      <c r="AD285" s="8">
        <f t="shared" si="29"/>
        <v>0</v>
      </c>
      <c r="AF285" s="35">
        <f t="shared" si="30"/>
        <v>0</v>
      </c>
    </row>
    <row r="286" spans="1:32">
      <c r="A286" s="12" t="s">
        <v>558</v>
      </c>
      <c r="B286" s="12"/>
      <c r="C286" s="12" t="s">
        <v>50</v>
      </c>
      <c r="D286" s="12"/>
      <c r="E286" s="32">
        <v>48702</v>
      </c>
      <c r="G286" s="8">
        <f t="shared" ref="G286:G322" si="32">+K286-I286</f>
        <v>31376018</v>
      </c>
      <c r="I286" s="8">
        <f>916000+81606549</f>
        <v>82522549</v>
      </c>
      <c r="K286" s="8">
        <v>113898567</v>
      </c>
      <c r="M286" s="8">
        <f t="shared" ref="M286:M322" si="33">+S286-O286-Q286</f>
        <v>13406078</v>
      </c>
      <c r="O286" s="8">
        <v>1296416</v>
      </c>
      <c r="Q286" s="8">
        <v>17289698</v>
      </c>
      <c r="S286" s="8">
        <v>31992192</v>
      </c>
      <c r="U286" s="8">
        <v>66985844</v>
      </c>
      <c r="W286" s="8">
        <f t="shared" ref="W286:W337" si="34">AA286-Y286-U286</f>
        <v>5084706</v>
      </c>
      <c r="Y286" s="8">
        <v>9835825</v>
      </c>
      <c r="AA286" s="8">
        <v>81906375</v>
      </c>
      <c r="AD286" s="8">
        <f t="shared" ref="AD286:AD327" si="35">+K286-S286-AA286</f>
        <v>0</v>
      </c>
      <c r="AF286" s="35">
        <f t="shared" ref="AF286:AF322" si="36">+G286+I286+-M286-O286-U286-W286-Y286-Q286</f>
        <v>0</v>
      </c>
    </row>
    <row r="287" spans="1:32">
      <c r="A287" s="12" t="s">
        <v>403</v>
      </c>
      <c r="B287" s="12"/>
      <c r="C287" s="12" t="s">
        <v>32</v>
      </c>
      <c r="D287" s="12"/>
      <c r="E287" s="32">
        <v>44289</v>
      </c>
      <c r="G287" s="8">
        <f t="shared" si="32"/>
        <v>20400369</v>
      </c>
      <c r="I287" s="8">
        <f>1153974+30170878</f>
        <v>31324852</v>
      </c>
      <c r="K287" s="8">
        <v>51725221</v>
      </c>
      <c r="M287" s="8">
        <f t="shared" si="33"/>
        <v>10890712</v>
      </c>
      <c r="O287" s="8">
        <v>1254135</v>
      </c>
      <c r="Q287" s="8">
        <v>30739589</v>
      </c>
      <c r="S287" s="8">
        <v>42884436</v>
      </c>
      <c r="U287" s="8">
        <v>387838</v>
      </c>
      <c r="W287" s="8">
        <f t="shared" si="34"/>
        <v>3257344</v>
      </c>
      <c r="Y287" s="8">
        <v>5195603</v>
      </c>
      <c r="AA287" s="8">
        <v>8840785</v>
      </c>
      <c r="AD287" s="8">
        <f t="shared" si="35"/>
        <v>0</v>
      </c>
      <c r="AF287" s="35">
        <f t="shared" si="36"/>
        <v>0</v>
      </c>
    </row>
    <row r="288" spans="1:32">
      <c r="A288" s="12" t="s">
        <v>250</v>
      </c>
      <c r="B288" s="12"/>
      <c r="C288" s="12" t="s">
        <v>246</v>
      </c>
      <c r="D288" s="12"/>
      <c r="E288" s="32">
        <v>46128</v>
      </c>
      <c r="G288" s="8">
        <f t="shared" si="32"/>
        <v>30180558</v>
      </c>
      <c r="I288" s="8">
        <v>12919006</v>
      </c>
      <c r="K288" s="8">
        <v>43099564</v>
      </c>
      <c r="M288" s="8">
        <f t="shared" si="33"/>
        <v>6602800</v>
      </c>
      <c r="O288" s="8">
        <v>542532</v>
      </c>
      <c r="Q288" s="8">
        <v>14983360</v>
      </c>
      <c r="S288" s="8">
        <v>22128692</v>
      </c>
      <c r="U288" s="8">
        <v>165652</v>
      </c>
      <c r="W288" s="8">
        <f t="shared" si="34"/>
        <v>18450394</v>
      </c>
      <c r="Y288" s="8">
        <v>2354826</v>
      </c>
      <c r="AA288" s="8">
        <v>20970872</v>
      </c>
      <c r="AD288" s="8">
        <f>+K288-S288-AA288</f>
        <v>0</v>
      </c>
      <c r="AF288" s="35">
        <f t="shared" si="36"/>
        <v>0</v>
      </c>
    </row>
    <row r="289" spans="1:32">
      <c r="A289" s="12" t="s">
        <v>250</v>
      </c>
      <c r="B289" s="12"/>
      <c r="C289" s="12" t="s">
        <v>113</v>
      </c>
      <c r="D289" s="12"/>
      <c r="E289" s="32">
        <v>49452</v>
      </c>
      <c r="G289" s="8">
        <f t="shared" si="32"/>
        <v>29166562</v>
      </c>
      <c r="I289" s="8">
        <v>3759996</v>
      </c>
      <c r="K289" s="8">
        <v>32926558</v>
      </c>
      <c r="M289" s="8">
        <f t="shared" si="33"/>
        <v>15432046</v>
      </c>
      <c r="O289" s="8">
        <v>435012</v>
      </c>
      <c r="Q289" s="8">
        <v>2098799</v>
      </c>
      <c r="S289" s="8">
        <v>17965857</v>
      </c>
      <c r="U289" s="8">
        <v>3414996</v>
      </c>
      <c r="W289" s="8">
        <f t="shared" si="34"/>
        <v>821713</v>
      </c>
      <c r="Y289" s="8">
        <v>10723992</v>
      </c>
      <c r="AA289" s="8">
        <v>14960701</v>
      </c>
      <c r="AD289" s="8">
        <f t="shared" si="35"/>
        <v>0</v>
      </c>
      <c r="AF289" s="35">
        <f t="shared" si="36"/>
        <v>0</v>
      </c>
    </row>
    <row r="290" spans="1:32">
      <c r="A290" s="12" t="s">
        <v>835</v>
      </c>
      <c r="B290" s="12"/>
      <c r="C290" s="12" t="s">
        <v>210</v>
      </c>
      <c r="D290" s="12"/>
      <c r="E290" s="32"/>
      <c r="G290" s="8">
        <f t="shared" si="32"/>
        <v>14972390</v>
      </c>
      <c r="I290" s="8">
        <f>14481946+12613991+40515</f>
        <v>27136452</v>
      </c>
      <c r="K290" s="8">
        <v>42108842</v>
      </c>
      <c r="M290" s="8">
        <f t="shared" si="33"/>
        <v>9413875</v>
      </c>
      <c r="O290" s="8">
        <v>2905311</v>
      </c>
      <c r="Q290" s="8">
        <v>19480511</v>
      </c>
      <c r="S290" s="8">
        <v>31799697</v>
      </c>
      <c r="U290" s="8">
        <v>5399743</v>
      </c>
      <c r="W290" s="8">
        <f t="shared" si="34"/>
        <v>2451678</v>
      </c>
      <c r="Y290" s="8">
        <v>2457724</v>
      </c>
      <c r="AA290" s="8">
        <v>10309145</v>
      </c>
      <c r="AD290" s="8">
        <f>+K290-S290-AA290</f>
        <v>0</v>
      </c>
      <c r="AF290" s="35">
        <f t="shared" si="36"/>
        <v>0</v>
      </c>
    </row>
    <row r="291" spans="1:32">
      <c r="A291" s="12" t="s">
        <v>617</v>
      </c>
      <c r="B291" s="12"/>
      <c r="C291" s="12" t="s">
        <v>113</v>
      </c>
      <c r="D291" s="12"/>
      <c r="E291" s="32">
        <v>44297</v>
      </c>
      <c r="G291" s="8">
        <f t="shared" si="32"/>
        <v>47730882</v>
      </c>
      <c r="I291" s="8">
        <v>57660606</v>
      </c>
      <c r="K291" s="8">
        <v>105391488</v>
      </c>
      <c r="M291" s="8">
        <f t="shared" si="33"/>
        <v>22432754</v>
      </c>
      <c r="O291" s="8">
        <v>1633661</v>
      </c>
      <c r="Q291" s="8">
        <v>17632902</v>
      </c>
      <c r="S291" s="8">
        <v>41699317</v>
      </c>
      <c r="U291" s="8">
        <v>41845804</v>
      </c>
      <c r="W291" s="8">
        <f t="shared" si="34"/>
        <v>20507539</v>
      </c>
      <c r="Y291" s="8">
        <v>1338828</v>
      </c>
      <c r="AA291" s="8">
        <v>63692171</v>
      </c>
      <c r="AD291" s="8">
        <f t="shared" si="35"/>
        <v>0</v>
      </c>
      <c r="AF291" s="35">
        <f t="shared" si="36"/>
        <v>0</v>
      </c>
    </row>
    <row r="292" spans="1:32">
      <c r="A292" s="12" t="s">
        <v>315</v>
      </c>
      <c r="B292" s="12"/>
      <c r="C292" s="12" t="s">
        <v>20</v>
      </c>
      <c r="D292" s="12"/>
      <c r="E292" s="32">
        <v>44305</v>
      </c>
      <c r="G292" s="8">
        <f t="shared" si="32"/>
        <v>27040861</v>
      </c>
      <c r="I292" s="8">
        <f>1306608+8730209</f>
        <v>10036817</v>
      </c>
      <c r="K292" s="8">
        <v>37077678</v>
      </c>
      <c r="M292" s="8">
        <f t="shared" si="33"/>
        <v>20211044</v>
      </c>
      <c r="O292" s="8">
        <v>482137</v>
      </c>
      <c r="Q292" s="8">
        <v>5023314</v>
      </c>
      <c r="S292" s="8">
        <v>25716495</v>
      </c>
      <c r="U292" s="8">
        <v>6439219</v>
      </c>
      <c r="W292" s="8">
        <f t="shared" si="34"/>
        <v>830477</v>
      </c>
      <c r="Y292" s="8">
        <v>4091487</v>
      </c>
      <c r="AA292" s="8">
        <v>11361183</v>
      </c>
      <c r="AD292" s="8">
        <f t="shared" si="35"/>
        <v>0</v>
      </c>
      <c r="AF292" s="35">
        <f t="shared" si="36"/>
        <v>0</v>
      </c>
    </row>
    <row r="293" spans="1:32">
      <c r="A293" s="12" t="s">
        <v>218</v>
      </c>
      <c r="B293" s="12"/>
      <c r="C293" s="12" t="s">
        <v>11</v>
      </c>
      <c r="D293" s="12"/>
      <c r="E293" s="32">
        <v>45831</v>
      </c>
      <c r="G293" s="8">
        <f t="shared" si="32"/>
        <v>6594939</v>
      </c>
      <c r="I293" s="8">
        <f>192900+18977071</f>
        <v>19169971</v>
      </c>
      <c r="K293" s="8">
        <v>25764910</v>
      </c>
      <c r="M293" s="8">
        <f t="shared" si="33"/>
        <v>3802384</v>
      </c>
      <c r="O293" s="8">
        <v>237733</v>
      </c>
      <c r="Q293" s="8">
        <v>3495740</v>
      </c>
      <c r="S293" s="8">
        <v>7535857</v>
      </c>
      <c r="U293" s="8">
        <v>15790006</v>
      </c>
      <c r="W293" s="8">
        <f t="shared" si="34"/>
        <v>-10574249</v>
      </c>
      <c r="Y293" s="8">
        <v>13013296</v>
      </c>
      <c r="AA293" s="8">
        <v>18229053</v>
      </c>
      <c r="AD293" s="8">
        <f t="shared" si="35"/>
        <v>0</v>
      </c>
      <c r="AF293" s="35">
        <f t="shared" si="36"/>
        <v>0</v>
      </c>
    </row>
    <row r="294" spans="1:32">
      <c r="A294" s="12" t="s">
        <v>692</v>
      </c>
      <c r="B294" s="12"/>
      <c r="C294" s="12" t="s">
        <v>64</v>
      </c>
      <c r="D294" s="12"/>
      <c r="E294" s="32">
        <v>50211</v>
      </c>
      <c r="G294" s="8">
        <f t="shared" si="32"/>
        <v>5594420</v>
      </c>
      <c r="I294" s="8">
        <v>21937797</v>
      </c>
      <c r="K294" s="8">
        <v>27532217</v>
      </c>
      <c r="M294" s="8">
        <f t="shared" si="33"/>
        <v>4459424</v>
      </c>
      <c r="O294" s="8">
        <v>325868</v>
      </c>
      <c r="Q294" s="8">
        <v>3176214</v>
      </c>
      <c r="S294" s="8">
        <v>7961506</v>
      </c>
      <c r="U294" s="8">
        <v>19811573</v>
      </c>
      <c r="W294" s="8">
        <f t="shared" si="34"/>
        <v>1150709</v>
      </c>
      <c r="Y294" s="8">
        <v>-1391571</v>
      </c>
      <c r="AA294" s="8">
        <v>19570711</v>
      </c>
      <c r="AD294" s="8">
        <f t="shared" si="35"/>
        <v>0</v>
      </c>
      <c r="AF294" s="35">
        <f t="shared" si="36"/>
        <v>0</v>
      </c>
    </row>
    <row r="295" spans="1:32">
      <c r="A295" s="12" t="s">
        <v>343</v>
      </c>
      <c r="B295" s="12"/>
      <c r="C295" s="12" t="s">
        <v>24</v>
      </c>
      <c r="D295" s="12"/>
      <c r="E295" s="32">
        <v>46805</v>
      </c>
      <c r="G295" s="8">
        <f t="shared" si="32"/>
        <v>10906051</v>
      </c>
      <c r="I295" s="8">
        <v>3119580</v>
      </c>
      <c r="K295" s="8">
        <v>14025631</v>
      </c>
      <c r="M295" s="8">
        <f t="shared" si="33"/>
        <v>6382406</v>
      </c>
      <c r="O295" s="8">
        <v>423102</v>
      </c>
      <c r="Q295" s="8">
        <v>3275981</v>
      </c>
      <c r="S295" s="8">
        <v>10081489</v>
      </c>
      <c r="U295" s="8">
        <v>2649626</v>
      </c>
      <c r="W295" s="8">
        <f t="shared" si="34"/>
        <v>354055</v>
      </c>
      <c r="Y295" s="8">
        <v>940461</v>
      </c>
      <c r="AA295" s="8">
        <v>3944142</v>
      </c>
      <c r="AD295" s="8">
        <f t="shared" si="35"/>
        <v>0</v>
      </c>
      <c r="AF295" s="35">
        <f t="shared" si="36"/>
        <v>0</v>
      </c>
    </row>
    <row r="296" spans="1:32">
      <c r="A296" s="12" t="s">
        <v>404</v>
      </c>
      <c r="B296" s="12"/>
      <c r="C296" s="12" t="s">
        <v>32</v>
      </c>
      <c r="D296" s="12"/>
      <c r="E296" s="32">
        <v>44313</v>
      </c>
      <c r="G296" s="8">
        <f t="shared" si="32"/>
        <v>21593287</v>
      </c>
      <c r="I296" s="8">
        <f>927079+10266200</f>
        <v>11193279</v>
      </c>
      <c r="K296" s="8">
        <v>32786566</v>
      </c>
      <c r="M296" s="8">
        <f t="shared" si="33"/>
        <v>11851763</v>
      </c>
      <c r="O296" s="8">
        <v>549725</v>
      </c>
      <c r="Q296" s="8">
        <v>8108326</v>
      </c>
      <c r="S296" s="8">
        <v>20509814</v>
      </c>
      <c r="U296" s="8">
        <v>3337406</v>
      </c>
      <c r="W296" s="8">
        <f t="shared" si="34"/>
        <v>1256687</v>
      </c>
      <c r="Y296" s="8">
        <v>7682659</v>
      </c>
      <c r="AA296" s="8">
        <v>12276752</v>
      </c>
      <c r="AD296" s="8">
        <f t="shared" si="35"/>
        <v>0</v>
      </c>
      <c r="AF296" s="35">
        <f t="shared" si="36"/>
        <v>0</v>
      </c>
    </row>
    <row r="297" spans="1:32" hidden="1">
      <c r="A297" s="12" t="s">
        <v>851</v>
      </c>
      <c r="B297" s="12"/>
      <c r="C297" s="12" t="s">
        <v>70</v>
      </c>
      <c r="D297" s="12"/>
      <c r="E297" s="32">
        <v>44321</v>
      </c>
      <c r="F297" s="11"/>
      <c r="G297" s="8">
        <f t="shared" si="32"/>
        <v>0</v>
      </c>
      <c r="M297" s="8">
        <f t="shared" si="33"/>
        <v>0</v>
      </c>
      <c r="W297" s="8">
        <f t="shared" si="34"/>
        <v>0</v>
      </c>
      <c r="AD297" s="8">
        <f>+K297-S297-AA297</f>
        <v>0</v>
      </c>
      <c r="AF297" s="35">
        <f t="shared" si="36"/>
        <v>0</v>
      </c>
    </row>
    <row r="298" spans="1:32">
      <c r="A298" s="12" t="s">
        <v>527</v>
      </c>
      <c r="B298" s="12"/>
      <c r="C298" s="12" t="s">
        <v>46</v>
      </c>
      <c r="D298" s="12"/>
      <c r="E298" s="32">
        <v>44339</v>
      </c>
      <c r="G298" s="8">
        <f t="shared" si="32"/>
        <v>28428248</v>
      </c>
      <c r="I298" s="8">
        <f>1965229+82842337</f>
        <v>84807566</v>
      </c>
      <c r="K298" s="8">
        <v>113235814</v>
      </c>
      <c r="M298" s="8">
        <f t="shared" si="33"/>
        <v>12059383</v>
      </c>
      <c r="O298" s="8">
        <v>795541</v>
      </c>
      <c r="Q298" s="8">
        <v>15541900</v>
      </c>
      <c r="S298" s="8">
        <v>28396824</v>
      </c>
      <c r="U298" s="8">
        <v>73089982</v>
      </c>
      <c r="W298" s="8">
        <f t="shared" si="34"/>
        <v>5089992</v>
      </c>
      <c r="Y298" s="8">
        <v>6659016</v>
      </c>
      <c r="AA298" s="8">
        <v>84838990</v>
      </c>
      <c r="AD298" s="8">
        <f t="shared" si="35"/>
        <v>0</v>
      </c>
      <c r="AF298" s="35">
        <f t="shared" si="36"/>
        <v>0</v>
      </c>
    </row>
    <row r="299" spans="1:32">
      <c r="A299" s="12" t="s">
        <v>660</v>
      </c>
      <c r="B299" s="12"/>
      <c r="C299" s="12" t="s">
        <v>62</v>
      </c>
      <c r="D299" s="12"/>
      <c r="E299" s="32">
        <v>49882</v>
      </c>
      <c r="G299" s="8">
        <f t="shared" si="32"/>
        <v>17255183</v>
      </c>
      <c r="I299" s="8">
        <f>2298712+5314665</f>
        <v>7613377</v>
      </c>
      <c r="K299" s="8">
        <v>24868560</v>
      </c>
      <c r="M299" s="8">
        <f t="shared" si="33"/>
        <v>12582711</v>
      </c>
      <c r="O299" s="8">
        <v>519212</v>
      </c>
      <c r="Q299" s="8">
        <v>1536723</v>
      </c>
      <c r="S299" s="8">
        <v>14638646</v>
      </c>
      <c r="U299" s="8">
        <v>6812211</v>
      </c>
      <c r="W299" s="8">
        <f t="shared" si="34"/>
        <v>1123976</v>
      </c>
      <c r="Y299" s="8">
        <v>2293727</v>
      </c>
      <c r="AA299" s="8">
        <v>10229914</v>
      </c>
      <c r="AD299" s="8">
        <f t="shared" si="35"/>
        <v>0</v>
      </c>
      <c r="AF299" s="35">
        <f t="shared" si="36"/>
        <v>0</v>
      </c>
    </row>
    <row r="300" spans="1:32">
      <c r="A300" s="12" t="s">
        <v>236</v>
      </c>
      <c r="B300" s="12"/>
      <c r="C300" s="12" t="s">
        <v>15</v>
      </c>
      <c r="D300" s="12"/>
      <c r="E300" s="32">
        <v>44347</v>
      </c>
      <c r="G300" s="8">
        <f t="shared" si="32"/>
        <v>7409940</v>
      </c>
      <c r="I300" s="8">
        <f>1663973+42642529</f>
        <v>44306502</v>
      </c>
      <c r="K300" s="8">
        <v>51716442</v>
      </c>
      <c r="M300" s="8">
        <f t="shared" si="33"/>
        <v>5457418</v>
      </c>
      <c r="O300" s="8">
        <v>349423</v>
      </c>
      <c r="Q300" s="8">
        <v>15427200</v>
      </c>
      <c r="S300" s="8">
        <v>21234041</v>
      </c>
      <c r="U300" s="8">
        <v>30089672</v>
      </c>
      <c r="W300" s="8">
        <f t="shared" si="34"/>
        <v>2310665</v>
      </c>
      <c r="Y300" s="8">
        <v>-1917936</v>
      </c>
      <c r="AA300" s="8">
        <v>30482401</v>
      </c>
      <c r="AD300" s="8">
        <f t="shared" si="35"/>
        <v>0</v>
      </c>
      <c r="AF300" s="35">
        <f t="shared" si="36"/>
        <v>0</v>
      </c>
    </row>
    <row r="301" spans="1:32">
      <c r="A301" s="12" t="s">
        <v>708</v>
      </c>
      <c r="B301" s="12"/>
      <c r="C301" s="12" t="s">
        <v>66</v>
      </c>
      <c r="D301" s="12"/>
      <c r="E301" s="32">
        <v>45476</v>
      </c>
      <c r="G301" s="8">
        <f t="shared" si="32"/>
        <v>49168064</v>
      </c>
      <c r="I301" s="8">
        <v>108939594</v>
      </c>
      <c r="K301" s="8">
        <v>158107658</v>
      </c>
      <c r="M301" s="8">
        <f t="shared" si="33"/>
        <v>34650050</v>
      </c>
      <c r="O301" s="8">
        <v>4601360</v>
      </c>
      <c r="Q301" s="8">
        <v>106549871</v>
      </c>
      <c r="S301" s="8">
        <v>145801281</v>
      </c>
      <c r="U301" s="8">
        <v>16168546</v>
      </c>
      <c r="W301" s="8">
        <f t="shared" si="34"/>
        <v>5085450</v>
      </c>
      <c r="Y301" s="8">
        <v>-8947619</v>
      </c>
      <c r="AA301" s="8">
        <v>12306377</v>
      </c>
      <c r="AD301" s="8">
        <f t="shared" si="35"/>
        <v>0</v>
      </c>
      <c r="AF301" s="35">
        <f t="shared" si="36"/>
        <v>0</v>
      </c>
    </row>
    <row r="302" spans="1:32">
      <c r="A302" s="12" t="s">
        <v>718</v>
      </c>
      <c r="B302" s="12"/>
      <c r="C302" s="12" t="s">
        <v>69</v>
      </c>
      <c r="D302" s="12"/>
      <c r="E302" s="32">
        <v>50450</v>
      </c>
      <c r="G302" s="8">
        <f t="shared" si="32"/>
        <v>170350513</v>
      </c>
      <c r="I302" s="8">
        <f>10840393+146280735</f>
        <v>157121128</v>
      </c>
      <c r="K302" s="8">
        <v>327471641</v>
      </c>
      <c r="M302" s="8">
        <f t="shared" si="33"/>
        <v>95642992</v>
      </c>
      <c r="O302" s="8">
        <v>6969030</v>
      </c>
      <c r="Q302" s="8">
        <v>149019494</v>
      </c>
      <c r="S302" s="8">
        <v>251631516</v>
      </c>
      <c r="U302" s="8">
        <v>18655396</v>
      </c>
      <c r="W302" s="8">
        <f t="shared" si="34"/>
        <v>20469256</v>
      </c>
      <c r="Y302" s="8">
        <v>36715473</v>
      </c>
      <c r="AA302" s="8">
        <v>75840125</v>
      </c>
      <c r="AD302" s="8">
        <f t="shared" si="35"/>
        <v>0</v>
      </c>
      <c r="AF302" s="35">
        <f t="shared" si="36"/>
        <v>0</v>
      </c>
    </row>
    <row r="303" spans="1:32">
      <c r="A303" s="12" t="s">
        <v>661</v>
      </c>
      <c r="B303" s="12"/>
      <c r="C303" s="12" t="s">
        <v>62</v>
      </c>
      <c r="D303" s="12"/>
      <c r="E303" s="32">
        <v>44354</v>
      </c>
      <c r="G303" s="8">
        <f t="shared" si="32"/>
        <v>34781139</v>
      </c>
      <c r="I303" s="8">
        <f>3452636+37398667</f>
        <v>40851303</v>
      </c>
      <c r="K303" s="8">
        <v>75632442</v>
      </c>
      <c r="M303" s="8">
        <f t="shared" si="33"/>
        <v>20339724</v>
      </c>
      <c r="O303" s="8">
        <v>4092833</v>
      </c>
      <c r="Q303" s="8">
        <v>16677749</v>
      </c>
      <c r="S303" s="8">
        <v>41110306</v>
      </c>
      <c r="U303" s="8">
        <v>27592913</v>
      </c>
      <c r="W303" s="8">
        <f t="shared" si="34"/>
        <v>5638808</v>
      </c>
      <c r="Y303" s="8">
        <v>1290415</v>
      </c>
      <c r="AA303" s="8">
        <v>34522136</v>
      </c>
      <c r="AD303" s="8">
        <f t="shared" si="35"/>
        <v>0</v>
      </c>
      <c r="AF303" s="35">
        <f t="shared" si="36"/>
        <v>0</v>
      </c>
    </row>
    <row r="304" spans="1:32">
      <c r="A304" s="12" t="s">
        <v>693</v>
      </c>
      <c r="B304" s="12"/>
      <c r="C304" s="12" t="s">
        <v>64</v>
      </c>
      <c r="D304" s="12"/>
      <c r="E304" s="32">
        <v>50153</v>
      </c>
      <c r="G304" s="8">
        <f t="shared" si="32"/>
        <v>7130446</v>
      </c>
      <c r="I304" s="8">
        <v>3511315</v>
      </c>
      <c r="K304" s="8">
        <v>10641761</v>
      </c>
      <c r="M304" s="8">
        <f t="shared" si="33"/>
        <v>5317639</v>
      </c>
      <c r="O304" s="8">
        <v>236236</v>
      </c>
      <c r="Q304" s="8">
        <v>1290614</v>
      </c>
      <c r="S304" s="8">
        <v>6844489</v>
      </c>
      <c r="U304" s="8">
        <v>3458749</v>
      </c>
      <c r="W304" s="8">
        <f t="shared" si="34"/>
        <v>100808</v>
      </c>
      <c r="Y304" s="8">
        <v>237715</v>
      </c>
      <c r="AA304" s="8">
        <v>3797272</v>
      </c>
      <c r="AD304" s="8">
        <f t="shared" si="35"/>
        <v>0</v>
      </c>
      <c r="AF304" s="35">
        <f t="shared" si="36"/>
        <v>0</v>
      </c>
    </row>
    <row r="305" spans="1:32">
      <c r="A305" s="12" t="s">
        <v>503</v>
      </c>
      <c r="B305" s="12"/>
      <c r="C305" s="12" t="s">
        <v>118</v>
      </c>
      <c r="D305" s="12"/>
      <c r="E305" s="32">
        <v>44362</v>
      </c>
      <c r="G305" s="8">
        <f t="shared" si="32"/>
        <v>29936885</v>
      </c>
      <c r="I305" s="8">
        <v>48443242</v>
      </c>
      <c r="K305" s="8">
        <v>78380127</v>
      </c>
      <c r="M305" s="8">
        <f t="shared" si="33"/>
        <v>23769967</v>
      </c>
      <c r="O305" s="8">
        <v>1795453</v>
      </c>
      <c r="Q305" s="8">
        <v>39545355</v>
      </c>
      <c r="S305" s="8">
        <v>65110775</v>
      </c>
      <c r="U305" s="8">
        <v>10521064</v>
      </c>
      <c r="W305" s="8">
        <f t="shared" si="34"/>
        <v>2539137</v>
      </c>
      <c r="Y305" s="8">
        <v>209151</v>
      </c>
      <c r="AA305" s="8">
        <v>13269352</v>
      </c>
      <c r="AD305" s="8">
        <f t="shared" si="35"/>
        <v>0</v>
      </c>
      <c r="AF305" s="35">
        <f t="shared" si="36"/>
        <v>0</v>
      </c>
    </row>
    <row r="306" spans="1:32">
      <c r="A306" s="12" t="s">
        <v>316</v>
      </c>
      <c r="B306" s="12"/>
      <c r="C306" s="12" t="s">
        <v>20</v>
      </c>
      <c r="D306" s="12"/>
      <c r="E306" s="32">
        <v>44370</v>
      </c>
      <c r="G306" s="8">
        <f t="shared" si="32"/>
        <v>78389743</v>
      </c>
      <c r="I306" s="8">
        <f>16394487+2760325</f>
        <v>19154812</v>
      </c>
      <c r="K306" s="8">
        <v>97544555</v>
      </c>
      <c r="M306" s="8">
        <f t="shared" si="33"/>
        <v>45579800</v>
      </c>
      <c r="O306" s="8">
        <v>1466068</v>
      </c>
      <c r="Q306" s="8">
        <v>22244550</v>
      </c>
      <c r="S306" s="8">
        <v>69290418</v>
      </c>
      <c r="U306" s="8">
        <v>13539032</v>
      </c>
      <c r="W306" s="8">
        <f t="shared" si="34"/>
        <v>4029164</v>
      </c>
      <c r="Y306" s="8">
        <v>10685941</v>
      </c>
      <c r="AA306" s="8">
        <v>28254137</v>
      </c>
      <c r="AD306" s="8">
        <f t="shared" si="35"/>
        <v>0</v>
      </c>
      <c r="AF306" s="35">
        <f t="shared" si="36"/>
        <v>0</v>
      </c>
    </row>
    <row r="307" spans="1:32">
      <c r="A307" s="12" t="s">
        <v>573</v>
      </c>
      <c r="B307" s="12"/>
      <c r="C307" s="12" t="s">
        <v>51</v>
      </c>
      <c r="D307" s="12"/>
      <c r="E307" s="32">
        <v>48850</v>
      </c>
      <c r="G307" s="8">
        <f t="shared" si="32"/>
        <v>14416495</v>
      </c>
      <c r="I307" s="8">
        <f>1162298+31603100</f>
        <v>32765398</v>
      </c>
      <c r="K307" s="8">
        <v>47181893</v>
      </c>
      <c r="M307" s="8">
        <f t="shared" si="33"/>
        <v>7139049</v>
      </c>
      <c r="O307" s="8">
        <v>282010</v>
      </c>
      <c r="Q307" s="8">
        <v>4442516</v>
      </c>
      <c r="S307" s="8">
        <v>11863575</v>
      </c>
      <c r="U307" s="8">
        <v>29107471</v>
      </c>
      <c r="W307" s="8">
        <f t="shared" si="34"/>
        <v>1883128</v>
      </c>
      <c r="Y307" s="8">
        <v>4327719</v>
      </c>
      <c r="AA307" s="8">
        <v>35318318</v>
      </c>
      <c r="AD307" s="8">
        <f t="shared" si="35"/>
        <v>0</v>
      </c>
      <c r="AF307" s="35">
        <f t="shared" si="36"/>
        <v>0</v>
      </c>
    </row>
    <row r="308" spans="1:32" hidden="1">
      <c r="A308" s="12" t="s">
        <v>932</v>
      </c>
      <c r="B308" s="12"/>
      <c r="C308" s="12" t="s">
        <v>33</v>
      </c>
      <c r="D308" s="12"/>
      <c r="E308" s="32">
        <v>47456</v>
      </c>
      <c r="G308" s="8">
        <f t="shared" si="32"/>
        <v>0</v>
      </c>
      <c r="M308" s="8">
        <f t="shared" si="33"/>
        <v>0</v>
      </c>
      <c r="W308" s="8">
        <f t="shared" si="34"/>
        <v>0</v>
      </c>
      <c r="AD308" s="8">
        <f t="shared" si="35"/>
        <v>0</v>
      </c>
      <c r="AF308" s="35">
        <f t="shared" si="36"/>
        <v>0</v>
      </c>
    </row>
    <row r="309" spans="1:32">
      <c r="A309" s="12" t="s">
        <v>928</v>
      </c>
      <c r="B309" s="12"/>
      <c r="C309" s="12" t="s">
        <v>64</v>
      </c>
      <c r="D309" s="12"/>
      <c r="E309" s="32">
        <v>50229</v>
      </c>
      <c r="G309" s="8">
        <f t="shared" si="32"/>
        <v>1790272</v>
      </c>
      <c r="I309" s="8">
        <f>311600+15524782</f>
        <v>15836382</v>
      </c>
      <c r="K309" s="8">
        <v>17626654</v>
      </c>
      <c r="M309" s="8">
        <f t="shared" si="33"/>
        <v>3130841</v>
      </c>
      <c r="O309" s="8">
        <v>147871</v>
      </c>
      <c r="Q309" s="8">
        <v>1792016</v>
      </c>
      <c r="S309" s="8">
        <v>5070728</v>
      </c>
      <c r="U309" s="8">
        <v>14364967</v>
      </c>
      <c r="W309" s="8">
        <f t="shared" si="34"/>
        <v>53403</v>
      </c>
      <c r="Y309" s="8">
        <v>-1862444</v>
      </c>
      <c r="AA309" s="8">
        <v>12555926</v>
      </c>
      <c r="AD309" s="8">
        <f t="shared" si="35"/>
        <v>0</v>
      </c>
      <c r="AF309" s="35">
        <f t="shared" si="36"/>
        <v>0</v>
      </c>
    </row>
    <row r="310" spans="1:32">
      <c r="A310" s="12" t="s">
        <v>260</v>
      </c>
      <c r="B310" s="12"/>
      <c r="C310" s="12" t="s">
        <v>259</v>
      </c>
      <c r="D310" s="12"/>
      <c r="E310" s="32">
        <v>45484</v>
      </c>
      <c r="G310" s="8">
        <f t="shared" si="32"/>
        <v>7144413</v>
      </c>
      <c r="I310" s="8">
        <v>25903865</v>
      </c>
      <c r="K310" s="8">
        <v>33048278</v>
      </c>
      <c r="M310" s="8">
        <f t="shared" si="33"/>
        <v>3644709</v>
      </c>
      <c r="O310" s="8">
        <v>297216</v>
      </c>
      <c r="Q310" s="8">
        <v>7664020</v>
      </c>
      <c r="S310" s="8">
        <v>11605945</v>
      </c>
      <c r="U310" s="8">
        <v>18568051</v>
      </c>
      <c r="W310" s="8">
        <f t="shared" si="34"/>
        <v>1692367</v>
      </c>
      <c r="Y310" s="8">
        <v>1181915</v>
      </c>
      <c r="AA310" s="8">
        <v>21442333</v>
      </c>
      <c r="AD310" s="8">
        <f t="shared" si="35"/>
        <v>0</v>
      </c>
      <c r="AF310" s="35">
        <f t="shared" si="36"/>
        <v>0</v>
      </c>
    </row>
    <row r="311" spans="1:32">
      <c r="A311" s="12" t="s">
        <v>535</v>
      </c>
      <c r="B311" s="12"/>
      <c r="C311" s="12" t="s">
        <v>47</v>
      </c>
      <c r="D311" s="12"/>
      <c r="E311" s="32">
        <v>44388</v>
      </c>
      <c r="G311" s="8">
        <f t="shared" si="32"/>
        <v>116917951</v>
      </c>
      <c r="I311" s="8">
        <f>5185089+88832718</f>
        <v>94017807</v>
      </c>
      <c r="K311" s="8">
        <v>210935758</v>
      </c>
      <c r="M311" s="8">
        <f t="shared" si="33"/>
        <v>66000662</v>
      </c>
      <c r="O311" s="8">
        <v>4894944</v>
      </c>
      <c r="Q311" s="8">
        <v>113299236</v>
      </c>
      <c r="S311" s="8">
        <v>184194842</v>
      </c>
      <c r="U311" s="8">
        <v>19614453</v>
      </c>
      <c r="W311" s="8">
        <f t="shared" si="34"/>
        <v>8530465</v>
      </c>
      <c r="Y311" s="8">
        <v>-1404002</v>
      </c>
      <c r="AA311" s="8">
        <v>26740916</v>
      </c>
      <c r="AD311" s="8">
        <f>+K311-S311-AA311</f>
        <v>0</v>
      </c>
      <c r="AF311" s="35">
        <f t="shared" si="36"/>
        <v>0</v>
      </c>
    </row>
    <row r="312" spans="1:32">
      <c r="A312" s="12" t="s">
        <v>538</v>
      </c>
      <c r="B312" s="12"/>
      <c r="C312" s="12" t="s">
        <v>537</v>
      </c>
      <c r="D312" s="12"/>
      <c r="E312" s="32">
        <v>48520</v>
      </c>
      <c r="G312" s="8">
        <f t="shared" si="32"/>
        <v>6344652</v>
      </c>
      <c r="I312" s="8">
        <f>70301+751943+27524768</f>
        <v>28347012</v>
      </c>
      <c r="K312" s="8">
        <v>34691664</v>
      </c>
      <c r="M312" s="8">
        <f t="shared" si="33"/>
        <v>4719770</v>
      </c>
      <c r="O312" s="8">
        <v>422586</v>
      </c>
      <c r="Q312" s="8">
        <v>6881382</v>
      </c>
      <c r="S312" s="8">
        <v>12023738</v>
      </c>
      <c r="U312" s="8">
        <v>21911716</v>
      </c>
      <c r="W312" s="8">
        <f t="shared" si="34"/>
        <v>2377514</v>
      </c>
      <c r="Y312" s="8">
        <v>-1621304</v>
      </c>
      <c r="AA312" s="8">
        <v>22667926</v>
      </c>
      <c r="AD312" s="8">
        <f t="shared" si="35"/>
        <v>0</v>
      </c>
      <c r="AF312" s="35">
        <f t="shared" si="36"/>
        <v>0</v>
      </c>
    </row>
    <row r="313" spans="1:32">
      <c r="A313" s="12" t="s">
        <v>465</v>
      </c>
      <c r="B313" s="12"/>
      <c r="C313" s="12" t="s">
        <v>41</v>
      </c>
      <c r="D313" s="12"/>
      <c r="E313" s="32">
        <v>45492</v>
      </c>
      <c r="G313" s="8">
        <f t="shared" si="32"/>
        <v>124147354</v>
      </c>
      <c r="I313" s="8">
        <f>1662922+12399728</f>
        <v>14062650</v>
      </c>
      <c r="K313" s="8">
        <v>138210004</v>
      </c>
      <c r="M313" s="8">
        <f t="shared" si="33"/>
        <v>76432785</v>
      </c>
      <c r="O313" s="8">
        <v>5476873</v>
      </c>
      <c r="Q313" s="8">
        <v>14672452</v>
      </c>
      <c r="S313" s="8">
        <v>96582110</v>
      </c>
      <c r="U313" s="8">
        <v>6387242</v>
      </c>
      <c r="W313" s="8">
        <f t="shared" si="34"/>
        <v>1792124</v>
      </c>
      <c r="Y313" s="8">
        <v>33448528</v>
      </c>
      <c r="AA313" s="8">
        <v>41627894</v>
      </c>
      <c r="AD313" s="8">
        <f t="shared" si="35"/>
        <v>0</v>
      </c>
      <c r="AF313" s="35">
        <f t="shared" si="36"/>
        <v>0</v>
      </c>
    </row>
    <row r="314" spans="1:32">
      <c r="A314" s="12" t="s">
        <v>545</v>
      </c>
      <c r="B314" s="12"/>
      <c r="C314" s="12" t="s">
        <v>48</v>
      </c>
      <c r="D314" s="12"/>
      <c r="E314" s="32">
        <v>48629</v>
      </c>
      <c r="G314" s="8">
        <f t="shared" si="32"/>
        <v>6805734</v>
      </c>
      <c r="I314" s="8">
        <f>247182+14267039</f>
        <v>14514221</v>
      </c>
      <c r="K314" s="8">
        <v>21319955</v>
      </c>
      <c r="M314" s="8">
        <f t="shared" si="33"/>
        <v>5199450</v>
      </c>
      <c r="O314" s="8">
        <v>619127</v>
      </c>
      <c r="Q314" s="8">
        <v>11842514</v>
      </c>
      <c r="S314" s="8">
        <v>17661091</v>
      </c>
      <c r="U314" s="8">
        <v>3770159</v>
      </c>
      <c r="W314" s="8">
        <f t="shared" si="34"/>
        <v>1290953</v>
      </c>
      <c r="Y314" s="8">
        <v>-1402248</v>
      </c>
      <c r="AA314" s="8">
        <v>3658864</v>
      </c>
      <c r="AD314" s="8">
        <f t="shared" si="35"/>
        <v>0</v>
      </c>
      <c r="AF314" s="35">
        <f t="shared" si="36"/>
        <v>0</v>
      </c>
    </row>
    <row r="315" spans="1:32">
      <c r="A315" s="12" t="s">
        <v>354</v>
      </c>
      <c r="B315" s="12"/>
      <c r="C315" s="12" t="s">
        <v>26</v>
      </c>
      <c r="D315" s="12"/>
      <c r="E315" s="32">
        <v>46920</v>
      </c>
      <c r="G315" s="8">
        <f t="shared" si="32"/>
        <v>28488481</v>
      </c>
      <c r="I315" s="8">
        <f>3094294+25226128</f>
        <v>28320422</v>
      </c>
      <c r="K315" s="8">
        <v>56808903</v>
      </c>
      <c r="M315" s="8">
        <f t="shared" si="33"/>
        <v>14193256</v>
      </c>
      <c r="O315" s="8">
        <v>402499</v>
      </c>
      <c r="Q315" s="8">
        <v>17395821</v>
      </c>
      <c r="S315" s="8">
        <v>31991576</v>
      </c>
      <c r="U315" s="8">
        <v>14348395</v>
      </c>
      <c r="W315" s="8">
        <f t="shared" si="34"/>
        <v>6904591</v>
      </c>
      <c r="Y315" s="8">
        <v>3564341</v>
      </c>
      <c r="AA315" s="8">
        <v>24817327</v>
      </c>
      <c r="AD315" s="8">
        <f t="shared" si="35"/>
        <v>0</v>
      </c>
      <c r="AF315" s="35">
        <f t="shared" si="36"/>
        <v>0</v>
      </c>
    </row>
    <row r="316" spans="1:32">
      <c r="A316" s="12" t="s">
        <v>559</v>
      </c>
      <c r="B316" s="12"/>
      <c r="C316" s="12" t="s">
        <v>50</v>
      </c>
      <c r="D316" s="12"/>
      <c r="E316" s="32">
        <v>44396</v>
      </c>
      <c r="G316" s="8">
        <f t="shared" si="32"/>
        <v>129620697</v>
      </c>
      <c r="I316" s="8">
        <v>21189319</v>
      </c>
      <c r="K316" s="8">
        <v>150810016</v>
      </c>
      <c r="M316" s="8">
        <f t="shared" si="33"/>
        <v>37964074</v>
      </c>
      <c r="O316" s="8">
        <v>79580889</v>
      </c>
      <c r="Q316" s="8">
        <v>10419021</v>
      </c>
      <c r="S316" s="8">
        <v>127963984</v>
      </c>
      <c r="U316" s="8">
        <v>13665834</v>
      </c>
      <c r="W316" s="8">
        <f t="shared" si="34"/>
        <v>9281565</v>
      </c>
      <c r="Y316" s="8">
        <v>-101367</v>
      </c>
      <c r="AA316" s="8">
        <v>22846032</v>
      </c>
      <c r="AD316" s="8">
        <f t="shared" si="35"/>
        <v>0</v>
      </c>
      <c r="AF316" s="35">
        <f t="shared" si="36"/>
        <v>0</v>
      </c>
    </row>
    <row r="317" spans="1:32">
      <c r="A317" s="12" t="s">
        <v>251</v>
      </c>
      <c r="B317" s="12"/>
      <c r="C317" s="12" t="s">
        <v>246</v>
      </c>
      <c r="D317" s="12"/>
      <c r="E317" s="32">
        <v>44404</v>
      </c>
      <c r="G317" s="8">
        <f t="shared" si="32"/>
        <v>68361941</v>
      </c>
      <c r="I317" s="8">
        <f>30020367+54076863</f>
        <v>84097230</v>
      </c>
      <c r="K317" s="8">
        <v>152459171</v>
      </c>
      <c r="M317" s="8">
        <f t="shared" si="33"/>
        <v>56537518</v>
      </c>
      <c r="O317" s="8">
        <v>2565640</v>
      </c>
      <c r="Q317" s="8">
        <v>67666454</v>
      </c>
      <c r="S317" s="8">
        <v>126769612</v>
      </c>
      <c r="U317" s="8">
        <v>12290959</v>
      </c>
      <c r="W317" s="8">
        <f t="shared" si="34"/>
        <v>13174556</v>
      </c>
      <c r="Y317" s="8">
        <v>224044</v>
      </c>
      <c r="AA317" s="8">
        <v>25689559</v>
      </c>
      <c r="AD317" s="8">
        <f t="shared" si="35"/>
        <v>0</v>
      </c>
      <c r="AF317" s="35">
        <f t="shared" si="36"/>
        <v>0</v>
      </c>
    </row>
    <row r="318" spans="1:32">
      <c r="A318" s="12" t="s">
        <v>497</v>
      </c>
      <c r="B318" s="12"/>
      <c r="C318" s="12" t="s">
        <v>44</v>
      </c>
      <c r="D318" s="12"/>
      <c r="E318" s="32">
        <v>48173</v>
      </c>
      <c r="G318" s="8">
        <f t="shared" si="32"/>
        <v>23862831</v>
      </c>
      <c r="I318" s="8">
        <f>1899121+32002221</f>
        <v>33901342</v>
      </c>
      <c r="K318" s="8">
        <v>57764173</v>
      </c>
      <c r="M318" s="8">
        <f t="shared" si="33"/>
        <v>16433047</v>
      </c>
      <c r="O318" s="8">
        <v>967452</v>
      </c>
      <c r="Q318" s="8">
        <v>30602908</v>
      </c>
      <c r="S318" s="8">
        <v>48003407</v>
      </c>
      <c r="U318" s="8">
        <v>6405876</v>
      </c>
      <c r="W318" s="8">
        <f t="shared" si="34"/>
        <v>4201297</v>
      </c>
      <c r="Y318" s="8">
        <v>-846407</v>
      </c>
      <c r="AA318" s="8">
        <v>9760766</v>
      </c>
      <c r="AD318" s="8">
        <f t="shared" si="35"/>
        <v>0</v>
      </c>
      <c r="AF318" s="35">
        <f t="shared" si="36"/>
        <v>0</v>
      </c>
    </row>
    <row r="319" spans="1:32">
      <c r="A319" s="13" t="s">
        <v>274</v>
      </c>
      <c r="B319" s="13"/>
      <c r="C319" s="13" t="s">
        <v>116</v>
      </c>
      <c r="D319" s="13"/>
      <c r="E319" s="13">
        <v>45500</v>
      </c>
      <c r="G319" s="8">
        <f t="shared" si="32"/>
        <v>45180543</v>
      </c>
      <c r="I319" s="8">
        <f>8884391+47295700</f>
        <v>56180091</v>
      </c>
      <c r="K319" s="8">
        <v>101360634</v>
      </c>
      <c r="M319" s="8">
        <f t="shared" si="33"/>
        <v>39787521</v>
      </c>
      <c r="O319" s="8">
        <v>2975705</v>
      </c>
      <c r="Q319" s="8">
        <v>41763390</v>
      </c>
      <c r="S319" s="8">
        <v>84526616</v>
      </c>
      <c r="U319" s="8">
        <v>12406398</v>
      </c>
      <c r="W319" s="8">
        <f t="shared" si="34"/>
        <v>3679155</v>
      </c>
      <c r="Y319" s="8">
        <v>748465</v>
      </c>
      <c r="AA319" s="8">
        <v>16834018</v>
      </c>
      <c r="AD319" s="8">
        <f t="shared" si="35"/>
        <v>0</v>
      </c>
      <c r="AF319" s="8">
        <f t="shared" si="36"/>
        <v>0</v>
      </c>
    </row>
    <row r="320" spans="1:32" hidden="1">
      <c r="A320" s="12" t="s">
        <v>852</v>
      </c>
      <c r="B320" s="12"/>
      <c r="C320" s="12" t="s">
        <v>733</v>
      </c>
      <c r="D320" s="12"/>
      <c r="E320" s="32">
        <v>50633</v>
      </c>
      <c r="G320" s="8">
        <f t="shared" si="32"/>
        <v>0</v>
      </c>
      <c r="M320" s="8">
        <f t="shared" si="33"/>
        <v>0</v>
      </c>
      <c r="W320" s="8">
        <f t="shared" si="34"/>
        <v>0</v>
      </c>
      <c r="AD320" s="8">
        <f t="shared" si="35"/>
        <v>0</v>
      </c>
      <c r="AF320" s="35">
        <f t="shared" si="36"/>
        <v>0</v>
      </c>
    </row>
    <row r="321" spans="1:32" hidden="1">
      <c r="A321" s="12" t="s">
        <v>864</v>
      </c>
      <c r="B321" s="12"/>
      <c r="C321" s="12" t="s">
        <v>608</v>
      </c>
      <c r="D321" s="12"/>
      <c r="E321" s="32">
        <v>49361</v>
      </c>
      <c r="G321" s="8">
        <f t="shared" si="32"/>
        <v>0</v>
      </c>
      <c r="M321" s="8">
        <f t="shared" si="33"/>
        <v>0</v>
      </c>
      <c r="W321" s="8">
        <f t="shared" si="34"/>
        <v>0</v>
      </c>
      <c r="AD321" s="8">
        <f t="shared" si="35"/>
        <v>0</v>
      </c>
      <c r="AF321" s="35">
        <f t="shared" si="36"/>
        <v>0</v>
      </c>
    </row>
    <row r="322" spans="1:32">
      <c r="A322" s="12" t="s">
        <v>546</v>
      </c>
      <c r="B322" s="12"/>
      <c r="C322" s="12" t="s">
        <v>48</v>
      </c>
      <c r="D322" s="12"/>
      <c r="E322" s="32">
        <v>45518</v>
      </c>
      <c r="G322" s="8">
        <f t="shared" si="32"/>
        <v>11025756</v>
      </c>
      <c r="I322" s="8">
        <f>107448+4385928</f>
        <v>4493376</v>
      </c>
      <c r="K322" s="8">
        <v>15519132</v>
      </c>
      <c r="M322" s="8">
        <f t="shared" si="33"/>
        <v>6914611</v>
      </c>
      <c r="O322" s="8">
        <v>85522</v>
      </c>
      <c r="Q322" s="8">
        <v>1163671</v>
      </c>
      <c r="S322" s="8">
        <v>8163804</v>
      </c>
      <c r="U322" s="8">
        <v>4366089</v>
      </c>
      <c r="W322" s="8">
        <f t="shared" si="34"/>
        <v>676594</v>
      </c>
      <c r="Y322" s="8">
        <v>2312645</v>
      </c>
      <c r="AA322" s="8">
        <v>7355328</v>
      </c>
      <c r="AD322" s="8">
        <f t="shared" si="35"/>
        <v>0</v>
      </c>
      <c r="AF322" s="35">
        <f t="shared" si="36"/>
        <v>0</v>
      </c>
    </row>
    <row r="323" spans="1:32">
      <c r="A323" s="12" t="s">
        <v>662</v>
      </c>
      <c r="B323" s="12"/>
      <c r="C323" s="12" t="s">
        <v>62</v>
      </c>
      <c r="D323" s="12"/>
      <c r="E323" s="32">
        <v>49890</v>
      </c>
      <c r="G323" s="8">
        <f t="shared" ref="G323:G337" si="37">+K323-I323</f>
        <v>27773349</v>
      </c>
      <c r="I323" s="8">
        <f>12312847+12872647</f>
        <v>25185494</v>
      </c>
      <c r="K323" s="8">
        <v>52958843</v>
      </c>
      <c r="M323" s="8">
        <f t="shared" ref="M323:M337" si="38">+S323-O323-Q323</f>
        <v>10688512</v>
      </c>
      <c r="O323" s="8">
        <v>396552</v>
      </c>
      <c r="Q323" s="8">
        <v>13852568</v>
      </c>
      <c r="S323" s="8">
        <v>24937632</v>
      </c>
      <c r="U323" s="8">
        <v>12542846</v>
      </c>
      <c r="W323" s="8">
        <f t="shared" si="34"/>
        <v>18746541</v>
      </c>
      <c r="Y323" s="8">
        <v>-3268176</v>
      </c>
      <c r="AA323" s="8">
        <v>28021211</v>
      </c>
      <c r="AD323" s="8">
        <f t="shared" si="35"/>
        <v>0</v>
      </c>
      <c r="AF323" s="35">
        <f t="shared" ref="AF323:AF387" si="39">+G323+I323+-M323-O323-U323-W323-Y323-Q323</f>
        <v>0</v>
      </c>
    </row>
    <row r="324" spans="1:32">
      <c r="A324" s="12" t="s">
        <v>634</v>
      </c>
      <c r="B324" s="12"/>
      <c r="C324" s="12" t="s">
        <v>59</v>
      </c>
      <c r="D324" s="12"/>
      <c r="E324" s="32">
        <v>49627</v>
      </c>
      <c r="F324" s="11"/>
      <c r="G324" s="8">
        <f t="shared" si="37"/>
        <v>3837521</v>
      </c>
      <c r="I324" s="8">
        <f>674603+29106256</f>
        <v>29780859</v>
      </c>
      <c r="K324" s="8">
        <v>33618380</v>
      </c>
      <c r="M324" s="8">
        <f t="shared" si="38"/>
        <v>3239340</v>
      </c>
      <c r="O324" s="8">
        <v>343462</v>
      </c>
      <c r="Q324" s="8">
        <v>4211344</v>
      </c>
      <c r="S324" s="8">
        <v>7794146</v>
      </c>
      <c r="U324" s="8">
        <v>26414238</v>
      </c>
      <c r="W324" s="8">
        <f t="shared" si="34"/>
        <v>-2244703</v>
      </c>
      <c r="Y324" s="8">
        <v>1654699</v>
      </c>
      <c r="AA324" s="8">
        <v>25824234</v>
      </c>
      <c r="AD324" s="8">
        <f t="shared" si="35"/>
        <v>0</v>
      </c>
      <c r="AF324" s="35">
        <f t="shared" si="39"/>
        <v>0</v>
      </c>
    </row>
    <row r="325" spans="1:32">
      <c r="A325" s="12" t="s">
        <v>229</v>
      </c>
      <c r="B325" s="12"/>
      <c r="C325" s="12" t="s">
        <v>14</v>
      </c>
      <c r="D325" s="12"/>
      <c r="E325" s="32">
        <v>45948</v>
      </c>
      <c r="G325" s="8">
        <f t="shared" si="37"/>
        <v>6861509</v>
      </c>
      <c r="I325" s="8">
        <f>265225+15436766</f>
        <v>15701991</v>
      </c>
      <c r="K325" s="8">
        <v>22563500</v>
      </c>
      <c r="M325" s="8">
        <f t="shared" si="38"/>
        <v>5796200</v>
      </c>
      <c r="O325" s="8">
        <v>600590</v>
      </c>
      <c r="Q325" s="8">
        <v>12113529</v>
      </c>
      <c r="S325" s="8">
        <v>18510319</v>
      </c>
      <c r="U325" s="8">
        <v>4639869</v>
      </c>
      <c r="W325" s="8">
        <f t="shared" si="34"/>
        <v>217210</v>
      </c>
      <c r="Y325" s="8">
        <v>-803898</v>
      </c>
      <c r="AA325" s="8">
        <v>4053181</v>
      </c>
      <c r="AD325" s="8">
        <f t="shared" si="35"/>
        <v>0</v>
      </c>
      <c r="AF325" s="35">
        <f t="shared" si="39"/>
        <v>0</v>
      </c>
    </row>
    <row r="326" spans="1:32" hidden="1">
      <c r="A326" s="12" t="s">
        <v>931</v>
      </c>
      <c r="B326" s="12"/>
      <c r="C326" s="12" t="s">
        <v>21</v>
      </c>
      <c r="D326" s="12"/>
      <c r="E326" s="32">
        <v>46672</v>
      </c>
      <c r="G326" s="8">
        <f t="shared" si="37"/>
        <v>0</v>
      </c>
      <c r="M326" s="8">
        <f t="shared" si="38"/>
        <v>0</v>
      </c>
      <c r="W326" s="8">
        <f t="shared" si="34"/>
        <v>0</v>
      </c>
      <c r="AD326" s="8">
        <f t="shared" si="35"/>
        <v>0</v>
      </c>
      <c r="AF326" s="35">
        <f t="shared" si="39"/>
        <v>0</v>
      </c>
    </row>
    <row r="327" spans="1:32">
      <c r="A327" s="12" t="s">
        <v>672</v>
      </c>
      <c r="B327" s="12"/>
      <c r="C327" s="12" t="s">
        <v>63</v>
      </c>
      <c r="D327" s="12"/>
      <c r="E327" s="32">
        <v>50039</v>
      </c>
      <c r="G327" s="8">
        <f t="shared" si="37"/>
        <v>10915736</v>
      </c>
      <c r="I327" s="8">
        <f>13176517+1258685</f>
        <v>14435202</v>
      </c>
      <c r="K327" s="8">
        <v>25350938</v>
      </c>
      <c r="M327" s="8">
        <f t="shared" si="38"/>
        <v>4537045</v>
      </c>
      <c r="O327" s="8">
        <v>465871</v>
      </c>
      <c r="Q327" s="8">
        <v>12028743</v>
      </c>
      <c r="S327" s="8">
        <v>17031659</v>
      </c>
      <c r="U327" s="8">
        <v>2559030</v>
      </c>
      <c r="W327" s="8">
        <f t="shared" si="34"/>
        <v>661290</v>
      </c>
      <c r="Y327" s="8">
        <v>5098959</v>
      </c>
      <c r="AA327" s="8">
        <v>8319279</v>
      </c>
      <c r="AD327" s="8">
        <f t="shared" si="35"/>
        <v>0</v>
      </c>
      <c r="AF327" s="35">
        <f t="shared" si="39"/>
        <v>0</v>
      </c>
    </row>
    <row r="328" spans="1:32" hidden="1">
      <c r="A328" s="12" t="s">
        <v>865</v>
      </c>
      <c r="B328" s="12"/>
      <c r="C328" s="12" t="s">
        <v>747</v>
      </c>
      <c r="D328" s="12"/>
      <c r="E328" s="32">
        <v>50740</v>
      </c>
      <c r="G328" s="8">
        <f t="shared" si="37"/>
        <v>0</v>
      </c>
      <c r="M328" s="8">
        <f t="shared" si="38"/>
        <v>0</v>
      </c>
      <c r="W328" s="8">
        <f t="shared" si="34"/>
        <v>0</v>
      </c>
      <c r="AD328" s="8">
        <f t="shared" ref="AD328:AD395" si="40">+K328-S328-AA328</f>
        <v>0</v>
      </c>
      <c r="AF328" s="35">
        <f t="shared" si="39"/>
        <v>0</v>
      </c>
    </row>
    <row r="329" spans="1:32">
      <c r="A329" s="12" t="s">
        <v>252</v>
      </c>
      <c r="B329" s="12"/>
      <c r="C329" s="12" t="s">
        <v>246</v>
      </c>
      <c r="D329" s="12"/>
      <c r="E329" s="32">
        <v>139303</v>
      </c>
      <c r="G329" s="8">
        <f t="shared" si="37"/>
        <v>14820088</v>
      </c>
      <c r="I329" s="8">
        <f>2228759+33086448</f>
        <v>35315207</v>
      </c>
      <c r="K329" s="8">
        <v>50135295</v>
      </c>
      <c r="M329" s="8">
        <f t="shared" si="38"/>
        <v>12940853</v>
      </c>
      <c r="O329" s="8">
        <v>1130213</v>
      </c>
      <c r="Q329" s="8">
        <v>32080693</v>
      </c>
      <c r="S329" s="8">
        <v>46151759</v>
      </c>
      <c r="U329" s="8">
        <v>2809409</v>
      </c>
      <c r="W329" s="8">
        <f t="shared" si="34"/>
        <v>1508424</v>
      </c>
      <c r="Y329" s="8">
        <v>-334297</v>
      </c>
      <c r="AA329" s="8">
        <v>3983536</v>
      </c>
      <c r="AD329" s="8">
        <f t="shared" si="40"/>
        <v>0</v>
      </c>
      <c r="AF329" s="35">
        <f t="shared" si="39"/>
        <v>0</v>
      </c>
    </row>
    <row r="330" spans="1:32">
      <c r="A330" s="12" t="s">
        <v>449</v>
      </c>
      <c r="B330" s="12"/>
      <c r="C330" s="12" t="s">
        <v>37</v>
      </c>
      <c r="D330" s="12"/>
      <c r="E330" s="32">
        <v>47712</v>
      </c>
      <c r="G330" s="8">
        <f t="shared" si="37"/>
        <v>4668640</v>
      </c>
      <c r="I330" s="8">
        <v>1772666</v>
      </c>
      <c r="K330" s="8">
        <v>6441306</v>
      </c>
      <c r="M330" s="8">
        <f t="shared" si="38"/>
        <v>2732333</v>
      </c>
      <c r="O330" s="8">
        <v>89747</v>
      </c>
      <c r="Q330" s="8">
        <v>326524</v>
      </c>
      <c r="S330" s="8">
        <v>3148604</v>
      </c>
      <c r="U330" s="8">
        <v>1638302</v>
      </c>
      <c r="W330" s="8">
        <f t="shared" si="34"/>
        <v>215911</v>
      </c>
      <c r="Y330" s="8">
        <v>1438489</v>
      </c>
      <c r="AA330" s="8">
        <v>3292702</v>
      </c>
      <c r="AD330" s="8">
        <f t="shared" si="40"/>
        <v>0</v>
      </c>
      <c r="AF330" s="35">
        <f t="shared" si="39"/>
        <v>0</v>
      </c>
    </row>
    <row r="331" spans="1:32">
      <c r="A331" s="12" t="s">
        <v>737</v>
      </c>
      <c r="B331" s="12"/>
      <c r="C331" s="12" t="s">
        <v>733</v>
      </c>
      <c r="D331" s="12"/>
      <c r="E331" s="32">
        <v>45526</v>
      </c>
      <c r="G331" s="8">
        <f t="shared" si="37"/>
        <v>8116420</v>
      </c>
      <c r="I331" s="8">
        <f>267213+27602089</f>
        <v>27869302</v>
      </c>
      <c r="K331" s="8">
        <v>35985722</v>
      </c>
      <c r="M331" s="8">
        <f t="shared" si="38"/>
        <v>3261156</v>
      </c>
      <c r="O331" s="8">
        <v>281708</v>
      </c>
      <c r="Q331" s="8">
        <v>5235498</v>
      </c>
      <c r="S331" s="8">
        <v>8778362</v>
      </c>
      <c r="U331" s="8">
        <v>23234300</v>
      </c>
      <c r="W331" s="8">
        <f t="shared" si="34"/>
        <v>3102855</v>
      </c>
      <c r="Y331" s="8">
        <v>870205</v>
      </c>
      <c r="AA331" s="8">
        <v>27207360</v>
      </c>
      <c r="AD331" s="8">
        <f t="shared" si="40"/>
        <v>0</v>
      </c>
      <c r="AF331" s="35">
        <f t="shared" si="39"/>
        <v>0</v>
      </c>
    </row>
    <row r="332" spans="1:32">
      <c r="A332" s="12" t="s">
        <v>566</v>
      </c>
      <c r="B332" s="12"/>
      <c r="C332" s="12" t="s">
        <v>567</v>
      </c>
      <c r="D332" s="12"/>
      <c r="E332" s="32">
        <v>48777</v>
      </c>
      <c r="G332" s="8">
        <f t="shared" si="37"/>
        <v>37023327</v>
      </c>
      <c r="I332" s="8">
        <f>1967294+22761491</f>
        <v>24728785</v>
      </c>
      <c r="K332" s="8">
        <v>61752112</v>
      </c>
      <c r="M332" s="8">
        <f t="shared" si="38"/>
        <v>7536067</v>
      </c>
      <c r="O332" s="8">
        <v>644978</v>
      </c>
      <c r="Q332" s="8">
        <v>11811698</v>
      </c>
      <c r="S332" s="8">
        <v>19992743</v>
      </c>
      <c r="U332" s="8">
        <v>16181078</v>
      </c>
      <c r="W332" s="8">
        <f t="shared" si="34"/>
        <v>23222613</v>
      </c>
      <c r="Y332" s="8">
        <v>2355678</v>
      </c>
      <c r="AA332" s="8">
        <v>41759369</v>
      </c>
      <c r="AD332" s="8">
        <f t="shared" si="40"/>
        <v>0</v>
      </c>
      <c r="AF332" s="35">
        <f t="shared" si="39"/>
        <v>0</v>
      </c>
    </row>
    <row r="333" spans="1:32">
      <c r="A333" s="13" t="s">
        <v>894</v>
      </c>
      <c r="B333" s="12"/>
      <c r="C333" s="12" t="s">
        <v>78</v>
      </c>
      <c r="D333" s="12"/>
      <c r="E333" s="32">
        <v>45534</v>
      </c>
      <c r="G333" s="8">
        <f t="shared" si="37"/>
        <v>31064827</v>
      </c>
      <c r="I333" s="8">
        <v>13777529</v>
      </c>
      <c r="K333" s="8">
        <v>44842356</v>
      </c>
      <c r="M333" s="8">
        <f t="shared" si="38"/>
        <v>5891913</v>
      </c>
      <c r="O333" s="8">
        <v>510745</v>
      </c>
      <c r="Q333" s="8">
        <v>10486108</v>
      </c>
      <c r="S333" s="8">
        <v>16888766</v>
      </c>
      <c r="U333" s="8">
        <v>5115173</v>
      </c>
      <c r="W333" s="8">
        <f t="shared" si="34"/>
        <v>21417951</v>
      </c>
      <c r="Y333" s="8">
        <v>1420466</v>
      </c>
      <c r="AA333" s="8">
        <v>27953590</v>
      </c>
      <c r="AD333" s="8">
        <f t="shared" si="40"/>
        <v>0</v>
      </c>
      <c r="AF333" s="35">
        <f t="shared" si="39"/>
        <v>0</v>
      </c>
    </row>
    <row r="334" spans="1:32">
      <c r="A334" s="12" t="s">
        <v>462</v>
      </c>
      <c r="B334" s="12"/>
      <c r="C334" s="12" t="s">
        <v>40</v>
      </c>
      <c r="D334" s="12"/>
      <c r="E334" s="32">
        <v>44420</v>
      </c>
      <c r="G334" s="8">
        <f t="shared" si="37"/>
        <v>31376780</v>
      </c>
      <c r="I334" s="8">
        <f>230664+13573108</f>
        <v>13803772</v>
      </c>
      <c r="K334" s="8">
        <v>45180552</v>
      </c>
      <c r="M334" s="8">
        <f t="shared" si="38"/>
        <v>14587280</v>
      </c>
      <c r="O334" s="8">
        <v>758713</v>
      </c>
      <c r="Q334" s="8">
        <v>8815649</v>
      </c>
      <c r="S334" s="8">
        <v>24161642</v>
      </c>
      <c r="U334" s="8">
        <v>5674912</v>
      </c>
      <c r="W334" s="8">
        <f t="shared" si="34"/>
        <v>4882372</v>
      </c>
      <c r="Y334" s="8">
        <v>10461626</v>
      </c>
      <c r="AA334" s="8">
        <v>21018910</v>
      </c>
      <c r="AD334" s="8">
        <f t="shared" si="40"/>
        <v>0</v>
      </c>
      <c r="AF334" s="35">
        <f t="shared" si="39"/>
        <v>0</v>
      </c>
    </row>
    <row r="335" spans="1:32">
      <c r="A335" s="12" t="s">
        <v>898</v>
      </c>
      <c r="B335" s="12"/>
      <c r="C335" s="12" t="s">
        <v>32</v>
      </c>
      <c r="D335" s="12"/>
      <c r="E335" s="32">
        <v>44412</v>
      </c>
      <c r="G335" s="8">
        <f t="shared" si="37"/>
        <v>58162617</v>
      </c>
      <c r="I335" s="8">
        <f>5732336+3693773</f>
        <v>9426109</v>
      </c>
      <c r="K335" s="8">
        <v>67588726</v>
      </c>
      <c r="M335" s="8">
        <f t="shared" si="38"/>
        <v>14548129</v>
      </c>
      <c r="O335" s="8">
        <v>1081999</v>
      </c>
      <c r="Q335" s="8">
        <v>36687955</v>
      </c>
      <c r="S335" s="8">
        <v>52318083</v>
      </c>
      <c r="U335" s="8">
        <v>2801730</v>
      </c>
      <c r="W335" s="8">
        <f t="shared" si="34"/>
        <v>11098543</v>
      </c>
      <c r="Y335" s="8">
        <v>1370370</v>
      </c>
      <c r="AA335" s="8">
        <v>15270643</v>
      </c>
      <c r="AD335" s="8">
        <f t="shared" si="40"/>
        <v>0</v>
      </c>
      <c r="AF335" s="35">
        <f t="shared" si="39"/>
        <v>0</v>
      </c>
    </row>
    <row r="336" spans="1:32">
      <c r="A336" s="12" t="s">
        <v>437</v>
      </c>
      <c r="B336" s="12"/>
      <c r="C336" s="12" t="s">
        <v>34</v>
      </c>
      <c r="D336" s="12"/>
      <c r="E336" s="32">
        <v>44438</v>
      </c>
      <c r="G336" s="8">
        <f t="shared" si="37"/>
        <v>21692079</v>
      </c>
      <c r="I336" s="8">
        <f>254016+9528776</f>
        <v>9782792</v>
      </c>
      <c r="K336" s="8">
        <v>31474871</v>
      </c>
      <c r="M336" s="8">
        <f t="shared" si="38"/>
        <v>12562738</v>
      </c>
      <c r="O336" s="8">
        <v>768549</v>
      </c>
      <c r="Q336" s="8">
        <v>7222060</v>
      </c>
      <c r="S336" s="8">
        <v>20553347</v>
      </c>
      <c r="U336" s="8">
        <v>3363491</v>
      </c>
      <c r="W336" s="8">
        <f t="shared" si="34"/>
        <v>1677845</v>
      </c>
      <c r="Y336" s="8">
        <v>5880188</v>
      </c>
      <c r="AA336" s="8">
        <v>10921524</v>
      </c>
      <c r="AD336" s="8">
        <f t="shared" si="40"/>
        <v>0</v>
      </c>
      <c r="AF336" s="35">
        <f t="shared" si="39"/>
        <v>0</v>
      </c>
    </row>
    <row r="337" spans="1:32">
      <c r="A337" s="12" t="s">
        <v>227</v>
      </c>
      <c r="B337" s="12"/>
      <c r="C337" s="12" t="s">
        <v>13</v>
      </c>
      <c r="D337" s="12"/>
      <c r="E337" s="32">
        <v>44446</v>
      </c>
      <c r="G337" s="8">
        <f t="shared" si="37"/>
        <v>20487711</v>
      </c>
      <c r="I337" s="8">
        <f>7474920+10605607</f>
        <v>18080527</v>
      </c>
      <c r="K337" s="8">
        <v>38568238</v>
      </c>
      <c r="M337" s="8">
        <f t="shared" si="38"/>
        <v>4733894</v>
      </c>
      <c r="O337" s="8">
        <v>602376</v>
      </c>
      <c r="Q337" s="8">
        <v>7988366</v>
      </c>
      <c r="S337" s="8">
        <v>13324636</v>
      </c>
      <c r="U337" s="8">
        <v>10191043</v>
      </c>
      <c r="W337" s="8">
        <f t="shared" si="34"/>
        <v>13511648</v>
      </c>
      <c r="Y337" s="8">
        <v>1540911</v>
      </c>
      <c r="AA337" s="8">
        <v>25243602</v>
      </c>
      <c r="AD337" s="8">
        <f t="shared" si="40"/>
        <v>0</v>
      </c>
      <c r="AF337" s="35">
        <f t="shared" si="39"/>
        <v>0</v>
      </c>
    </row>
    <row r="339" spans="1:32">
      <c r="AA339" s="8" t="s">
        <v>819</v>
      </c>
    </row>
    <row r="340" spans="1:32" s="35" customFormat="1">
      <c r="A340" s="34" t="s">
        <v>844</v>
      </c>
      <c r="B340" s="34"/>
      <c r="C340" s="34" t="s">
        <v>27</v>
      </c>
      <c r="D340" s="34"/>
      <c r="E340" s="34"/>
      <c r="G340" s="35">
        <f t="shared" ref="G340:G346" si="41">+K340-I340</f>
        <v>65490278</v>
      </c>
      <c r="I340" s="35">
        <f>3146592+85460968</f>
        <v>88607560</v>
      </c>
      <c r="K340" s="35">
        <v>154097838</v>
      </c>
      <c r="M340" s="35">
        <f t="shared" ref="M340:M346" si="42">+S340-O340-Q340</f>
        <v>31952142</v>
      </c>
      <c r="O340" s="35">
        <v>2618841</v>
      </c>
      <c r="Q340" s="35">
        <v>86090358</v>
      </c>
      <c r="S340" s="35">
        <v>120661341</v>
      </c>
      <c r="U340" s="35">
        <v>6942381</v>
      </c>
      <c r="W340" s="35">
        <f t="shared" ref="W340:W346" si="43">AA340-Y340-U340</f>
        <v>7931908</v>
      </c>
      <c r="Y340" s="35">
        <v>18562208</v>
      </c>
      <c r="AA340" s="35">
        <v>33436497</v>
      </c>
      <c r="AD340" s="35">
        <f t="shared" ref="AD340:AD346" si="44">+K340-S340-AA340</f>
        <v>0</v>
      </c>
      <c r="AF340" s="35">
        <f t="shared" ref="AF340:AF346" si="45">+G340+I340+-M340-O340-U340-W340-Y340-Q340</f>
        <v>0</v>
      </c>
    </row>
    <row r="341" spans="1:32">
      <c r="A341" s="12" t="s">
        <v>635</v>
      </c>
      <c r="B341" s="12"/>
      <c r="C341" s="12" t="s">
        <v>59</v>
      </c>
      <c r="D341" s="12"/>
      <c r="E341" s="32">
        <v>44461</v>
      </c>
      <c r="G341" s="8">
        <f t="shared" si="41"/>
        <v>2823835</v>
      </c>
      <c r="I341" s="8">
        <f>21303+1899487</f>
        <v>1920790</v>
      </c>
      <c r="K341" s="8">
        <v>4744625</v>
      </c>
      <c r="M341" s="8">
        <f t="shared" si="42"/>
        <v>1560876</v>
      </c>
      <c r="O341" s="8">
        <v>36439</v>
      </c>
      <c r="Q341" s="8">
        <v>125258</v>
      </c>
      <c r="S341" s="8">
        <v>1722573</v>
      </c>
      <c r="U341" s="8">
        <v>1920790</v>
      </c>
      <c r="W341" s="8">
        <f t="shared" si="43"/>
        <v>216980</v>
      </c>
      <c r="Y341" s="8">
        <v>884282</v>
      </c>
      <c r="AA341" s="8">
        <v>3022052</v>
      </c>
      <c r="AD341" s="8">
        <f t="shared" si="44"/>
        <v>0</v>
      </c>
      <c r="AF341" s="35">
        <f t="shared" si="45"/>
        <v>0</v>
      </c>
    </row>
    <row r="342" spans="1:32">
      <c r="A342" s="12" t="s">
        <v>230</v>
      </c>
      <c r="B342" s="12"/>
      <c r="C342" s="12" t="s">
        <v>14</v>
      </c>
      <c r="D342" s="12"/>
      <c r="E342" s="32">
        <v>45955</v>
      </c>
      <c r="G342" s="8">
        <f t="shared" si="41"/>
        <v>9204199</v>
      </c>
      <c r="I342" s="8">
        <f>1025092+12355683</f>
        <v>13380775</v>
      </c>
      <c r="K342" s="8">
        <v>22584974</v>
      </c>
      <c r="M342" s="8">
        <f t="shared" si="42"/>
        <v>3908297</v>
      </c>
      <c r="O342" s="8">
        <v>631443</v>
      </c>
      <c r="Q342" s="8">
        <v>6143288</v>
      </c>
      <c r="S342" s="8">
        <v>10683028</v>
      </c>
      <c r="U342" s="8">
        <v>7640398</v>
      </c>
      <c r="W342" s="8">
        <f t="shared" si="43"/>
        <v>1032861</v>
      </c>
      <c r="Y342" s="8">
        <v>3228687</v>
      </c>
      <c r="AA342" s="8">
        <v>11901946</v>
      </c>
      <c r="AD342" s="8">
        <f t="shared" si="44"/>
        <v>0</v>
      </c>
      <c r="AF342" s="35">
        <f t="shared" si="45"/>
        <v>0</v>
      </c>
    </row>
    <row r="343" spans="1:32" hidden="1">
      <c r="A343" s="12" t="s">
        <v>965</v>
      </c>
      <c r="B343" s="12"/>
      <c r="C343" s="12" t="s">
        <v>14</v>
      </c>
      <c r="D343" s="12"/>
      <c r="E343" s="32">
        <v>45963</v>
      </c>
      <c r="G343" s="35">
        <f t="shared" si="41"/>
        <v>0</v>
      </c>
      <c r="H343" s="35"/>
      <c r="I343" s="35"/>
      <c r="J343" s="35"/>
      <c r="K343" s="35"/>
      <c r="L343" s="35"/>
      <c r="M343" s="35">
        <f t="shared" si="42"/>
        <v>0</v>
      </c>
      <c r="N343" s="35"/>
      <c r="O343" s="35"/>
      <c r="P343" s="35"/>
      <c r="Q343" s="35"/>
      <c r="R343" s="35"/>
      <c r="S343" s="35"/>
      <c r="T343" s="35"/>
      <c r="U343" s="35"/>
      <c r="V343" s="35"/>
      <c r="W343" s="35">
        <f t="shared" si="43"/>
        <v>0</v>
      </c>
      <c r="X343" s="35"/>
      <c r="Y343" s="35"/>
      <c r="Z343" s="35"/>
      <c r="AA343" s="35"/>
      <c r="AB343" s="35"/>
      <c r="AC343" s="35"/>
      <c r="AD343" s="35">
        <f t="shared" si="44"/>
        <v>0</v>
      </c>
      <c r="AE343" s="35"/>
      <c r="AF343" s="35">
        <f t="shared" si="45"/>
        <v>0</v>
      </c>
    </row>
    <row r="344" spans="1:32">
      <c r="A344" s="12" t="s">
        <v>560</v>
      </c>
      <c r="B344" s="12"/>
      <c r="C344" s="12" t="s">
        <v>50</v>
      </c>
      <c r="D344" s="12"/>
      <c r="E344" s="32">
        <v>48710</v>
      </c>
      <c r="G344" s="8">
        <f t="shared" si="41"/>
        <v>7452635</v>
      </c>
      <c r="I344" s="8">
        <v>28039629</v>
      </c>
      <c r="K344" s="8">
        <v>35492264</v>
      </c>
      <c r="M344" s="8">
        <f t="shared" si="42"/>
        <v>3774795</v>
      </c>
      <c r="O344" s="8">
        <v>455631</v>
      </c>
      <c r="Q344" s="8">
        <v>3882754</v>
      </c>
      <c r="S344" s="8">
        <v>8113180</v>
      </c>
      <c r="U344" s="8">
        <v>24067810</v>
      </c>
      <c r="W344" s="8">
        <f t="shared" si="43"/>
        <v>1298096</v>
      </c>
      <c r="Y344" s="8">
        <v>2013178</v>
      </c>
      <c r="AA344" s="8">
        <v>27379084</v>
      </c>
      <c r="AD344" s="8">
        <f t="shared" si="44"/>
        <v>0</v>
      </c>
      <c r="AF344" s="35">
        <f t="shared" si="45"/>
        <v>0</v>
      </c>
    </row>
    <row r="345" spans="1:32" hidden="1">
      <c r="A345" s="13" t="s">
        <v>964</v>
      </c>
      <c r="B345" s="13"/>
      <c r="C345" s="13" t="s">
        <v>586</v>
      </c>
      <c r="D345" s="13"/>
      <c r="E345" s="13">
        <v>44479</v>
      </c>
      <c r="G345" s="8">
        <f t="shared" si="41"/>
        <v>0</v>
      </c>
      <c r="M345" s="8">
        <f t="shared" si="42"/>
        <v>0</v>
      </c>
      <c r="W345" s="8">
        <f t="shared" si="43"/>
        <v>0</v>
      </c>
      <c r="AD345" s="8">
        <f t="shared" si="44"/>
        <v>0</v>
      </c>
      <c r="AF345" s="8">
        <f t="shared" si="45"/>
        <v>0</v>
      </c>
    </row>
    <row r="346" spans="1:32">
      <c r="A346" s="13" t="s">
        <v>450</v>
      </c>
      <c r="B346" s="13"/>
      <c r="C346" s="13" t="s">
        <v>37</v>
      </c>
      <c r="D346" s="13"/>
      <c r="E346" s="13">
        <v>47720</v>
      </c>
      <c r="G346" s="8">
        <f t="shared" si="41"/>
        <v>6204513</v>
      </c>
      <c r="I346" s="8">
        <f>285043+14341983</f>
        <v>14627026</v>
      </c>
      <c r="K346" s="8">
        <v>20831539</v>
      </c>
      <c r="M346" s="8">
        <f t="shared" si="42"/>
        <v>3004177</v>
      </c>
      <c r="O346" s="8">
        <v>398149</v>
      </c>
      <c r="Q346" s="8">
        <v>3121284</v>
      </c>
      <c r="S346" s="8">
        <v>6523610</v>
      </c>
      <c r="U346" s="8">
        <v>12140158</v>
      </c>
      <c r="W346" s="8">
        <f t="shared" si="43"/>
        <v>1188362</v>
      </c>
      <c r="Y346" s="8">
        <v>979409</v>
      </c>
      <c r="AA346" s="8">
        <v>14307929</v>
      </c>
      <c r="AD346" s="8">
        <f t="shared" si="44"/>
        <v>0</v>
      </c>
      <c r="AF346" s="8">
        <f t="shared" si="45"/>
        <v>0</v>
      </c>
    </row>
    <row r="347" spans="1:32">
      <c r="A347" s="13" t="s">
        <v>253</v>
      </c>
      <c r="B347" s="13"/>
      <c r="C347" s="13" t="s">
        <v>246</v>
      </c>
      <c r="D347" s="13"/>
      <c r="E347" s="13">
        <v>46136</v>
      </c>
      <c r="G347" s="8">
        <f t="shared" ref="G347:G397" si="46">+K347-I347</f>
        <v>4492148</v>
      </c>
      <c r="I347" s="8">
        <f>428932+12266089</f>
        <v>12695021</v>
      </c>
      <c r="K347" s="8">
        <v>17187169</v>
      </c>
      <c r="M347" s="8">
        <f t="shared" ref="M347:M406" si="47">+S347-O347-Q347</f>
        <v>2065610</v>
      </c>
      <c r="O347" s="8">
        <v>177767</v>
      </c>
      <c r="Q347" s="8">
        <v>2008587</v>
      </c>
      <c r="S347" s="8">
        <v>4251964</v>
      </c>
      <c r="U347" s="8">
        <v>10763021</v>
      </c>
      <c r="W347" s="8">
        <f t="shared" ref="W347:W397" si="48">AA347-Y347-U347</f>
        <v>346914</v>
      </c>
      <c r="Y347" s="8">
        <v>1825270</v>
      </c>
      <c r="AA347" s="8">
        <v>12935205</v>
      </c>
      <c r="AD347" s="8">
        <f t="shared" si="40"/>
        <v>0</v>
      </c>
      <c r="AF347" s="8">
        <f t="shared" si="39"/>
        <v>0</v>
      </c>
    </row>
    <row r="348" spans="1:32">
      <c r="A348" s="12" t="s">
        <v>703</v>
      </c>
      <c r="B348" s="12"/>
      <c r="C348" s="12" t="s">
        <v>65</v>
      </c>
      <c r="D348" s="12"/>
      <c r="E348" s="32">
        <v>44487</v>
      </c>
      <c r="G348" s="8">
        <f t="shared" si="46"/>
        <v>22342718</v>
      </c>
      <c r="I348" s="8">
        <f>933077+13527592</f>
        <v>14460669</v>
      </c>
      <c r="K348" s="8">
        <v>36803387</v>
      </c>
      <c r="M348" s="8">
        <f t="shared" si="47"/>
        <v>16001334</v>
      </c>
      <c r="O348" s="8">
        <v>561921</v>
      </c>
      <c r="Q348" s="8">
        <v>7361768</v>
      </c>
      <c r="S348" s="8">
        <v>23925023</v>
      </c>
      <c r="U348" s="8">
        <v>8117695</v>
      </c>
      <c r="W348" s="8">
        <f t="shared" si="48"/>
        <v>1676936</v>
      </c>
      <c r="Y348" s="8">
        <v>3083733</v>
      </c>
      <c r="AA348" s="8">
        <v>12878364</v>
      </c>
      <c r="AD348" s="8">
        <f>+K348-S348-AA348</f>
        <v>0</v>
      </c>
      <c r="AF348" s="35">
        <f t="shared" si="39"/>
        <v>0</v>
      </c>
    </row>
    <row r="349" spans="1:32">
      <c r="A349" s="12" t="s">
        <v>275</v>
      </c>
      <c r="B349" s="12"/>
      <c r="C349" s="12" t="s">
        <v>116</v>
      </c>
      <c r="D349" s="12"/>
      <c r="E349" s="32">
        <v>45559</v>
      </c>
      <c r="G349" s="8">
        <f t="shared" si="46"/>
        <v>30804797</v>
      </c>
      <c r="I349" s="8">
        <v>18940765</v>
      </c>
      <c r="K349" s="8">
        <v>49745562</v>
      </c>
      <c r="M349" s="8">
        <f t="shared" si="47"/>
        <v>14078005</v>
      </c>
      <c r="O349" s="8">
        <v>337059</v>
      </c>
      <c r="Q349" s="8">
        <v>2894170</v>
      </c>
      <c r="S349" s="8">
        <v>17309234</v>
      </c>
      <c r="U349" s="8">
        <v>18490765</v>
      </c>
      <c r="W349" s="8">
        <f t="shared" si="48"/>
        <v>731017</v>
      </c>
      <c r="Y349" s="8">
        <v>13214546</v>
      </c>
      <c r="AA349" s="8">
        <v>32436328</v>
      </c>
      <c r="AD349" s="8">
        <f t="shared" si="40"/>
        <v>0</v>
      </c>
      <c r="AF349" s="35">
        <f t="shared" si="39"/>
        <v>0</v>
      </c>
    </row>
    <row r="350" spans="1:32" hidden="1">
      <c r="A350" s="12" t="s">
        <v>888</v>
      </c>
      <c r="B350" s="12"/>
      <c r="C350" s="12" t="s">
        <v>60</v>
      </c>
      <c r="D350" s="12"/>
      <c r="E350" s="32">
        <v>49718</v>
      </c>
      <c r="G350" s="8">
        <f t="shared" si="46"/>
        <v>0</v>
      </c>
      <c r="M350" s="8">
        <f t="shared" si="47"/>
        <v>0</v>
      </c>
      <c r="W350" s="8">
        <f t="shared" si="48"/>
        <v>0</v>
      </c>
      <c r="AD350" s="8">
        <f t="shared" si="40"/>
        <v>0</v>
      </c>
      <c r="AF350" s="35">
        <f t="shared" si="39"/>
        <v>0</v>
      </c>
    </row>
    <row r="351" spans="1:32">
      <c r="A351" s="12" t="s">
        <v>484</v>
      </c>
      <c r="B351" s="12"/>
      <c r="C351" s="12" t="s">
        <v>42</v>
      </c>
      <c r="D351" s="12"/>
      <c r="E351" s="32">
        <v>44453</v>
      </c>
      <c r="G351" s="8">
        <f t="shared" si="46"/>
        <v>58351118</v>
      </c>
      <c r="I351" s="8">
        <f>61999060+7839197</f>
        <v>69838257</v>
      </c>
      <c r="K351" s="8">
        <v>128189375</v>
      </c>
      <c r="M351" s="8">
        <f t="shared" si="47"/>
        <v>27948651</v>
      </c>
      <c r="O351" s="8">
        <v>2866941</v>
      </c>
      <c r="Q351" s="8">
        <v>72785295</v>
      </c>
      <c r="S351" s="8">
        <v>103600887</v>
      </c>
      <c r="U351" s="8">
        <v>17859087</v>
      </c>
      <c r="W351" s="8">
        <f t="shared" si="48"/>
        <v>7388040</v>
      </c>
      <c r="Y351" s="8">
        <v>-658639</v>
      </c>
      <c r="AA351" s="8">
        <v>24588488</v>
      </c>
      <c r="AD351" s="8">
        <f>+K351-S351-AA351</f>
        <v>0</v>
      </c>
      <c r="AF351" s="35">
        <f>+G351+I351+-M351-O351-U351-W351-Y351-Q351</f>
        <v>0</v>
      </c>
    </row>
    <row r="352" spans="1:32">
      <c r="A352" s="12" t="s">
        <v>386</v>
      </c>
      <c r="B352" s="12"/>
      <c r="C352" s="12" t="s">
        <v>30</v>
      </c>
      <c r="D352" s="12"/>
      <c r="E352" s="32">
        <v>47217</v>
      </c>
      <c r="G352" s="8">
        <f t="shared" si="46"/>
        <v>6480412</v>
      </c>
      <c r="I352" s="8">
        <f>248900+3252379</f>
        <v>3501279</v>
      </c>
      <c r="K352" s="8">
        <v>9981691</v>
      </c>
      <c r="M352" s="8">
        <f t="shared" si="47"/>
        <v>4896035</v>
      </c>
      <c r="O352" s="8">
        <v>132604</v>
      </c>
      <c r="Q352" s="8">
        <v>341174</v>
      </c>
      <c r="S352" s="8">
        <v>5369813</v>
      </c>
      <c r="U352" s="8">
        <v>3277982</v>
      </c>
      <c r="W352" s="8">
        <f t="shared" si="48"/>
        <v>135376</v>
      </c>
      <c r="Y352" s="8">
        <v>1198520</v>
      </c>
      <c r="AA352" s="8">
        <v>4611878</v>
      </c>
      <c r="AD352" s="8">
        <f t="shared" si="40"/>
        <v>0</v>
      </c>
      <c r="AF352" s="35">
        <f t="shared" si="39"/>
        <v>0</v>
      </c>
    </row>
    <row r="353" spans="1:32">
      <c r="A353" s="12" t="s">
        <v>704</v>
      </c>
      <c r="B353" s="12"/>
      <c r="C353" s="12" t="s">
        <v>65</v>
      </c>
      <c r="D353" s="12"/>
      <c r="E353" s="32">
        <v>45542</v>
      </c>
      <c r="G353" s="8">
        <f t="shared" si="46"/>
        <v>6315056</v>
      </c>
      <c r="I353" s="8">
        <v>16265494</v>
      </c>
      <c r="K353" s="8">
        <v>22580550</v>
      </c>
      <c r="M353" s="8">
        <f t="shared" si="47"/>
        <v>4593191</v>
      </c>
      <c r="O353" s="8">
        <v>277930</v>
      </c>
      <c r="Q353" s="8">
        <v>3451868</v>
      </c>
      <c r="S353" s="8">
        <v>8322989</v>
      </c>
      <c r="U353" s="8">
        <v>13084518</v>
      </c>
      <c r="W353" s="8">
        <f t="shared" si="48"/>
        <v>1104504</v>
      </c>
      <c r="Y353" s="8">
        <v>68539</v>
      </c>
      <c r="AA353" s="8">
        <v>14257561</v>
      </c>
      <c r="AD353" s="8">
        <f t="shared" si="40"/>
        <v>0</v>
      </c>
      <c r="AF353" s="35">
        <f t="shared" si="39"/>
        <v>0</v>
      </c>
    </row>
    <row r="354" spans="1:32">
      <c r="A354" s="12" t="s">
        <v>695</v>
      </c>
      <c r="B354" s="12"/>
      <c r="C354" s="12" t="s">
        <v>64</v>
      </c>
      <c r="D354" s="12"/>
      <c r="E354" s="32">
        <v>45567</v>
      </c>
      <c r="G354" s="8">
        <f t="shared" si="46"/>
        <v>8287673</v>
      </c>
      <c r="I354" s="8">
        <f>199565+26526696</f>
        <v>26726261</v>
      </c>
      <c r="K354" s="8">
        <v>35013934</v>
      </c>
      <c r="M354" s="8">
        <f t="shared" si="47"/>
        <v>5127354</v>
      </c>
      <c r="O354" s="8">
        <v>673930</v>
      </c>
      <c r="Q354" s="8">
        <v>6902748</v>
      </c>
      <c r="S354" s="8">
        <v>12704032</v>
      </c>
      <c r="U354" s="8">
        <v>19754457</v>
      </c>
      <c r="W354" s="8">
        <f t="shared" si="48"/>
        <v>3236267</v>
      </c>
      <c r="Y354" s="8">
        <v>-680822</v>
      </c>
      <c r="AA354" s="8">
        <v>22309902</v>
      </c>
      <c r="AD354" s="8">
        <f t="shared" si="40"/>
        <v>0</v>
      </c>
      <c r="AF354" s="35">
        <f t="shared" si="39"/>
        <v>0</v>
      </c>
    </row>
    <row r="355" spans="1:32">
      <c r="A355" s="12" t="s">
        <v>547</v>
      </c>
      <c r="B355" s="12"/>
      <c r="C355" s="12" t="s">
        <v>48</v>
      </c>
      <c r="D355" s="12"/>
      <c r="E355" s="32">
        <v>48637</v>
      </c>
      <c r="G355" s="8">
        <f t="shared" si="46"/>
        <v>21523486</v>
      </c>
      <c r="I355" s="8">
        <f>203373+3056491</f>
        <v>3259864</v>
      </c>
      <c r="K355" s="8">
        <v>24783350</v>
      </c>
      <c r="M355" s="8">
        <f t="shared" si="47"/>
        <v>2272076</v>
      </c>
      <c r="O355" s="8">
        <v>226699</v>
      </c>
      <c r="Q355" s="8">
        <v>8520286</v>
      </c>
      <c r="S355" s="8">
        <v>11019061</v>
      </c>
      <c r="U355" s="8">
        <v>1939864</v>
      </c>
      <c r="W355" s="8">
        <f t="shared" si="48"/>
        <v>11538686</v>
      </c>
      <c r="Y355" s="8">
        <v>285739</v>
      </c>
      <c r="AA355" s="8">
        <v>13764289</v>
      </c>
      <c r="AD355" s="8">
        <f t="shared" si="40"/>
        <v>0</v>
      </c>
      <c r="AF355" s="35">
        <f t="shared" si="39"/>
        <v>0</v>
      </c>
    </row>
    <row r="356" spans="1:32">
      <c r="A356" s="12" t="s">
        <v>836</v>
      </c>
      <c r="B356" s="12"/>
      <c r="C356" s="12" t="s">
        <v>64</v>
      </c>
      <c r="D356" s="12"/>
      <c r="E356" s="32"/>
      <c r="G356" s="8">
        <f t="shared" si="46"/>
        <v>15219470</v>
      </c>
      <c r="I356" s="8">
        <f>700380+11914742</f>
        <v>12615122</v>
      </c>
      <c r="K356" s="8">
        <v>27834592</v>
      </c>
      <c r="M356" s="8">
        <f t="shared" si="47"/>
        <v>12454016</v>
      </c>
      <c r="O356" s="8">
        <v>475899</v>
      </c>
      <c r="Q356" s="8">
        <v>7314086</v>
      </c>
      <c r="S356" s="8">
        <v>20244001</v>
      </c>
      <c r="U356" s="8">
        <v>6379225</v>
      </c>
      <c r="W356" s="8">
        <f t="shared" si="48"/>
        <v>1532933</v>
      </c>
      <c r="Y356" s="8">
        <v>-321567</v>
      </c>
      <c r="AA356" s="8">
        <v>7590591</v>
      </c>
      <c r="AD356" s="8">
        <f t="shared" si="40"/>
        <v>0</v>
      </c>
      <c r="AF356" s="35">
        <f t="shared" si="39"/>
        <v>0</v>
      </c>
    </row>
    <row r="357" spans="1:32">
      <c r="A357" s="12" t="s">
        <v>578</v>
      </c>
      <c r="B357" s="12"/>
      <c r="C357" s="12" t="s">
        <v>52</v>
      </c>
      <c r="D357" s="12"/>
      <c r="E357" s="32">
        <v>48900</v>
      </c>
      <c r="G357" s="8">
        <f t="shared" si="46"/>
        <v>5329403</v>
      </c>
      <c r="I357" s="8">
        <f>20925+4954776</f>
        <v>4975701</v>
      </c>
      <c r="K357" s="8">
        <v>10305104</v>
      </c>
      <c r="M357" s="8">
        <f t="shared" si="47"/>
        <v>3548562</v>
      </c>
      <c r="O357" s="8">
        <v>203490</v>
      </c>
      <c r="Q357" s="8">
        <v>582204</v>
      </c>
      <c r="S357" s="8">
        <v>4334256</v>
      </c>
      <c r="U357" s="8">
        <v>4537054</v>
      </c>
      <c r="W357" s="8">
        <f t="shared" si="48"/>
        <v>219563</v>
      </c>
      <c r="Y357" s="8">
        <v>1214231</v>
      </c>
      <c r="AA357" s="8">
        <v>5970848</v>
      </c>
      <c r="AD357" s="8">
        <f t="shared" si="40"/>
        <v>0</v>
      </c>
      <c r="AF357" s="35">
        <f t="shared" si="39"/>
        <v>0</v>
      </c>
    </row>
    <row r="358" spans="1:32">
      <c r="A358" s="12" t="s">
        <v>673</v>
      </c>
      <c r="B358" s="12"/>
      <c r="C358" s="12" t="s">
        <v>63</v>
      </c>
      <c r="D358" s="12"/>
      <c r="E358" s="32">
        <v>50047</v>
      </c>
      <c r="G358" s="8">
        <f t="shared" si="46"/>
        <v>49264321</v>
      </c>
      <c r="I358" s="8">
        <f>1260328+35669728</f>
        <v>36930056</v>
      </c>
      <c r="K358" s="8">
        <v>86194377</v>
      </c>
      <c r="M358" s="8">
        <f t="shared" si="47"/>
        <v>33440960</v>
      </c>
      <c r="O358" s="8">
        <v>1981962</v>
      </c>
      <c r="Q358" s="8">
        <v>34471886</v>
      </c>
      <c r="S358" s="8">
        <v>69894808</v>
      </c>
      <c r="U358" s="8">
        <v>1611822</v>
      </c>
      <c r="W358" s="8">
        <f t="shared" si="48"/>
        <v>4158010</v>
      </c>
      <c r="Y358" s="8">
        <v>10529737</v>
      </c>
      <c r="AA358" s="8">
        <v>16299569</v>
      </c>
      <c r="AD358" s="8">
        <f t="shared" si="40"/>
        <v>0</v>
      </c>
      <c r="AF358" s="35">
        <f t="shared" si="39"/>
        <v>0</v>
      </c>
    </row>
    <row r="359" spans="1:32">
      <c r="A359" s="12" t="s">
        <v>741</v>
      </c>
      <c r="B359" s="12"/>
      <c r="C359" s="12" t="s">
        <v>72</v>
      </c>
      <c r="D359" s="12"/>
      <c r="E359" s="32">
        <v>50708</v>
      </c>
      <c r="G359" s="8">
        <f t="shared" si="46"/>
        <v>5653137</v>
      </c>
      <c r="I359" s="8">
        <f>39592+2126649</f>
        <v>2166241</v>
      </c>
      <c r="K359" s="8">
        <v>7819378</v>
      </c>
      <c r="M359" s="8">
        <f t="shared" si="47"/>
        <v>5554487</v>
      </c>
      <c r="O359" s="8">
        <v>26720</v>
      </c>
      <c r="Q359" s="8">
        <v>479464</v>
      </c>
      <c r="S359" s="8">
        <v>6060671</v>
      </c>
      <c r="U359" s="8">
        <v>186241</v>
      </c>
      <c r="W359" s="8">
        <f t="shared" si="48"/>
        <v>449204</v>
      </c>
      <c r="Y359" s="8">
        <v>1123262</v>
      </c>
      <c r="AA359" s="8">
        <v>1758707</v>
      </c>
      <c r="AD359" s="8">
        <f t="shared" si="40"/>
        <v>0</v>
      </c>
      <c r="AF359" s="35">
        <f t="shared" si="39"/>
        <v>0</v>
      </c>
    </row>
    <row r="360" spans="1:32" hidden="1">
      <c r="A360" s="12" t="s">
        <v>866</v>
      </c>
      <c r="B360" s="12"/>
      <c r="C360" s="12" t="s">
        <v>53</v>
      </c>
      <c r="D360" s="12"/>
      <c r="E360" s="32">
        <v>48967</v>
      </c>
      <c r="G360" s="8">
        <f t="shared" si="46"/>
        <v>0</v>
      </c>
      <c r="M360" s="8">
        <f t="shared" si="47"/>
        <v>0</v>
      </c>
      <c r="W360" s="8">
        <f t="shared" si="48"/>
        <v>0</v>
      </c>
      <c r="AD360" s="8">
        <f t="shared" si="40"/>
        <v>0</v>
      </c>
      <c r="AF360" s="35">
        <f t="shared" si="39"/>
        <v>0</v>
      </c>
    </row>
    <row r="361" spans="1:32">
      <c r="A361" s="12" t="s">
        <v>663</v>
      </c>
      <c r="B361" s="12"/>
      <c r="C361" s="12" t="s">
        <v>62</v>
      </c>
      <c r="D361" s="12"/>
      <c r="E361" s="32">
        <v>44503</v>
      </c>
      <c r="G361" s="8">
        <f t="shared" si="46"/>
        <v>29323382</v>
      </c>
      <c r="I361" s="8">
        <f>1785562+22311595</f>
        <v>24097157</v>
      </c>
      <c r="K361" s="8">
        <v>53420539</v>
      </c>
      <c r="M361" s="8">
        <f t="shared" si="47"/>
        <v>28187866</v>
      </c>
      <c r="O361" s="8">
        <v>1819648</v>
      </c>
      <c r="Q361" s="8">
        <v>19656073</v>
      </c>
      <c r="S361" s="8">
        <v>49663587</v>
      </c>
      <c r="U361" s="8">
        <v>7818632</v>
      </c>
      <c r="W361" s="8">
        <f t="shared" si="48"/>
        <v>2242250</v>
      </c>
      <c r="Y361" s="8">
        <v>-6303930</v>
      </c>
      <c r="AA361" s="8">
        <v>3756952</v>
      </c>
      <c r="AD361" s="8">
        <f t="shared" si="40"/>
        <v>0</v>
      </c>
      <c r="AF361" s="35">
        <f t="shared" si="39"/>
        <v>0</v>
      </c>
    </row>
    <row r="362" spans="1:32" hidden="1">
      <c r="A362" s="12" t="s">
        <v>963</v>
      </c>
      <c r="B362" s="12"/>
      <c r="C362" s="12" t="s">
        <v>733</v>
      </c>
      <c r="D362" s="12"/>
      <c r="E362" s="32">
        <v>50641</v>
      </c>
      <c r="G362" s="8">
        <f t="shared" si="46"/>
        <v>0</v>
      </c>
      <c r="M362" s="8">
        <f t="shared" si="47"/>
        <v>0</v>
      </c>
      <c r="W362" s="8">
        <f t="shared" si="48"/>
        <v>0</v>
      </c>
      <c r="AD362" s="8">
        <f t="shared" si="40"/>
        <v>0</v>
      </c>
      <c r="AF362" s="35">
        <f t="shared" si="39"/>
        <v>0</v>
      </c>
    </row>
    <row r="363" spans="1:32" hidden="1">
      <c r="A363" s="12" t="s">
        <v>867</v>
      </c>
      <c r="B363" s="12"/>
      <c r="C363" s="12" t="s">
        <v>32</v>
      </c>
      <c r="D363" s="12"/>
      <c r="E363" s="32">
        <v>44511</v>
      </c>
      <c r="G363" s="8">
        <f t="shared" si="46"/>
        <v>0</v>
      </c>
      <c r="M363" s="8">
        <f t="shared" si="47"/>
        <v>0</v>
      </c>
      <c r="W363" s="8">
        <f t="shared" si="48"/>
        <v>0</v>
      </c>
      <c r="AD363" s="8">
        <f t="shared" si="40"/>
        <v>0</v>
      </c>
      <c r="AF363" s="35">
        <f t="shared" si="39"/>
        <v>0</v>
      </c>
    </row>
    <row r="364" spans="1:32">
      <c r="A364" s="12" t="s">
        <v>485</v>
      </c>
      <c r="B364" s="12"/>
      <c r="C364" s="12" t="s">
        <v>42</v>
      </c>
      <c r="D364" s="12"/>
      <c r="E364" s="32">
        <v>48025</v>
      </c>
      <c r="G364" s="8">
        <f t="shared" si="46"/>
        <v>13062407</v>
      </c>
      <c r="I364" s="8">
        <f>17985498+12884446</f>
        <v>30869944</v>
      </c>
      <c r="K364" s="8">
        <v>43932351</v>
      </c>
      <c r="M364" s="8">
        <f t="shared" si="47"/>
        <v>6201372</v>
      </c>
      <c r="O364" s="8">
        <v>591826</v>
      </c>
      <c r="Q364" s="8">
        <v>10212524</v>
      </c>
      <c r="S364" s="8">
        <v>17005722</v>
      </c>
      <c r="U364" s="8">
        <v>25400827</v>
      </c>
      <c r="W364" s="8">
        <f t="shared" si="48"/>
        <v>7619380</v>
      </c>
      <c r="Y364" s="8">
        <v>-6093578</v>
      </c>
      <c r="AA364" s="8">
        <v>26926629</v>
      </c>
      <c r="AD364" s="8">
        <f t="shared" si="40"/>
        <v>0</v>
      </c>
      <c r="AF364" s="35">
        <f t="shared" si="39"/>
        <v>0</v>
      </c>
    </row>
    <row r="365" spans="1:32">
      <c r="A365" s="12" t="s">
        <v>317</v>
      </c>
      <c r="B365" s="12"/>
      <c r="C365" s="12" t="s">
        <v>20</v>
      </c>
      <c r="D365" s="12"/>
      <c r="E365" s="32">
        <v>44529</v>
      </c>
      <c r="G365" s="8">
        <f t="shared" si="46"/>
        <v>53517533</v>
      </c>
      <c r="I365" s="8">
        <f>1088848+12173459</f>
        <v>13262307</v>
      </c>
      <c r="K365" s="8">
        <v>66779840</v>
      </c>
      <c r="M365" s="8">
        <f t="shared" si="47"/>
        <v>37028716</v>
      </c>
      <c r="O365" s="8">
        <v>898178</v>
      </c>
      <c r="Q365" s="8">
        <v>3329562</v>
      </c>
      <c r="S365" s="8">
        <v>41256456</v>
      </c>
      <c r="U365" s="8">
        <v>12667307</v>
      </c>
      <c r="W365" s="8">
        <f t="shared" si="48"/>
        <v>2325296</v>
      </c>
      <c r="Y365" s="8">
        <v>10530781</v>
      </c>
      <c r="AA365" s="8">
        <v>25523384</v>
      </c>
      <c r="AD365" s="8">
        <f t="shared" si="40"/>
        <v>0</v>
      </c>
      <c r="AF365" s="35">
        <f t="shared" si="39"/>
        <v>0</v>
      </c>
    </row>
    <row r="366" spans="1:32">
      <c r="A366" s="12" t="s">
        <v>498</v>
      </c>
      <c r="B366" s="12"/>
      <c r="C366" s="12" t="s">
        <v>44</v>
      </c>
      <c r="D366" s="12"/>
      <c r="E366" s="32">
        <v>44537</v>
      </c>
      <c r="G366" s="8">
        <f t="shared" si="46"/>
        <v>32620740</v>
      </c>
      <c r="I366" s="8">
        <f>1740513+12313005</f>
        <v>14053518</v>
      </c>
      <c r="K366" s="8">
        <v>46674258</v>
      </c>
      <c r="M366" s="8">
        <f t="shared" si="47"/>
        <v>24899017</v>
      </c>
      <c r="O366" s="8">
        <v>463774</v>
      </c>
      <c r="Q366" s="8">
        <v>3835184</v>
      </c>
      <c r="S366" s="8">
        <v>29197975</v>
      </c>
      <c r="U366" s="8">
        <v>11858968</v>
      </c>
      <c r="W366" s="8">
        <f t="shared" si="48"/>
        <v>943772</v>
      </c>
      <c r="Y366" s="8">
        <v>4673543</v>
      </c>
      <c r="AA366" s="8">
        <v>17476283</v>
      </c>
      <c r="AD366" s="8">
        <f t="shared" si="40"/>
        <v>0</v>
      </c>
      <c r="AF366" s="35">
        <f t="shared" si="39"/>
        <v>0</v>
      </c>
    </row>
    <row r="367" spans="1:32">
      <c r="A367" s="12" t="s">
        <v>318</v>
      </c>
      <c r="B367" s="12"/>
      <c r="C367" s="12" t="s">
        <v>20</v>
      </c>
      <c r="D367" s="12"/>
      <c r="E367" s="32">
        <v>44545</v>
      </c>
      <c r="G367" s="8">
        <f t="shared" si="46"/>
        <v>45646969</v>
      </c>
      <c r="I367" s="8">
        <f>560140+25371977</f>
        <v>25932117</v>
      </c>
      <c r="K367" s="8">
        <v>71579086</v>
      </c>
      <c r="M367" s="8">
        <f t="shared" si="47"/>
        <v>34130350</v>
      </c>
      <c r="O367" s="8">
        <v>1374479</v>
      </c>
      <c r="Q367" s="8">
        <v>18641739</v>
      </c>
      <c r="S367" s="8">
        <v>54146568</v>
      </c>
      <c r="U367" s="8">
        <v>11206829</v>
      </c>
      <c r="W367" s="8">
        <f t="shared" si="48"/>
        <v>4031571</v>
      </c>
      <c r="Y367" s="8">
        <v>2194118</v>
      </c>
      <c r="AA367" s="8">
        <v>17432518</v>
      </c>
      <c r="AD367" s="8">
        <f t="shared" si="40"/>
        <v>0</v>
      </c>
      <c r="AF367" s="35">
        <f t="shared" si="39"/>
        <v>0</v>
      </c>
    </row>
    <row r="368" spans="1:32">
      <c r="A368" s="12" t="s">
        <v>709</v>
      </c>
      <c r="B368" s="12"/>
      <c r="C368" s="12" t="s">
        <v>66</v>
      </c>
      <c r="D368" s="12"/>
      <c r="E368" s="32">
        <v>50336</v>
      </c>
      <c r="G368" s="8">
        <f t="shared" si="46"/>
        <v>36264125</v>
      </c>
      <c r="I368" s="8">
        <f>5875011+17159268</f>
        <v>23034279</v>
      </c>
      <c r="K368" s="8">
        <v>59298404</v>
      </c>
      <c r="M368" s="8">
        <f t="shared" si="47"/>
        <v>8127949</v>
      </c>
      <c r="O368" s="8">
        <v>465822</v>
      </c>
      <c r="Q368" s="8">
        <v>12248235</v>
      </c>
      <c r="S368" s="8">
        <v>20842006</v>
      </c>
      <c r="U368" s="8">
        <v>11145927</v>
      </c>
      <c r="W368" s="8">
        <f t="shared" si="48"/>
        <v>18096751</v>
      </c>
      <c r="Y368" s="8">
        <v>9213720</v>
      </c>
      <c r="AA368" s="8">
        <v>38456398</v>
      </c>
      <c r="AD368" s="8">
        <f t="shared" si="40"/>
        <v>0</v>
      </c>
      <c r="AF368" s="35">
        <f t="shared" si="39"/>
        <v>0</v>
      </c>
    </row>
    <row r="369" spans="1:32">
      <c r="A369" s="12" t="s">
        <v>266</v>
      </c>
      <c r="B369" s="12"/>
      <c r="C369" s="12" t="s">
        <v>17</v>
      </c>
      <c r="D369" s="12"/>
      <c r="E369" s="32">
        <v>46250</v>
      </c>
      <c r="G369" s="8">
        <f t="shared" si="46"/>
        <v>22995744</v>
      </c>
      <c r="I369" s="8">
        <f>19445845</f>
        <v>19445845</v>
      </c>
      <c r="K369" s="8">
        <v>42441589</v>
      </c>
      <c r="M369" s="8">
        <f t="shared" si="47"/>
        <v>15036465</v>
      </c>
      <c r="O369" s="8">
        <v>744994</v>
      </c>
      <c r="Q369" s="8">
        <v>5624703</v>
      </c>
      <c r="S369" s="8">
        <v>21406162</v>
      </c>
      <c r="U369" s="8">
        <v>14179762</v>
      </c>
      <c r="W369" s="8">
        <f t="shared" si="48"/>
        <v>2013572</v>
      </c>
      <c r="Y369" s="8">
        <v>4842093</v>
      </c>
      <c r="AA369" s="8">
        <v>21035427</v>
      </c>
      <c r="AD369" s="8">
        <f t="shared" si="40"/>
        <v>0</v>
      </c>
      <c r="AF369" s="35">
        <f t="shared" si="39"/>
        <v>0</v>
      </c>
    </row>
    <row r="370" spans="1:32" hidden="1">
      <c r="A370" s="12" t="s">
        <v>962</v>
      </c>
      <c r="B370" s="12"/>
      <c r="C370" s="12" t="s">
        <v>22</v>
      </c>
      <c r="D370" s="12"/>
      <c r="E370" s="32">
        <v>46722</v>
      </c>
      <c r="G370" s="8">
        <f t="shared" si="46"/>
        <v>0</v>
      </c>
      <c r="M370" s="8">
        <f t="shared" si="47"/>
        <v>0</v>
      </c>
      <c r="W370" s="8">
        <f t="shared" si="48"/>
        <v>0</v>
      </c>
      <c r="AD370" s="8">
        <f t="shared" si="40"/>
        <v>0</v>
      </c>
      <c r="AF370" s="35">
        <f t="shared" si="39"/>
        <v>0</v>
      </c>
    </row>
    <row r="371" spans="1:32">
      <c r="A371" s="12" t="s">
        <v>561</v>
      </c>
      <c r="B371" s="12"/>
      <c r="C371" s="12" t="s">
        <v>50</v>
      </c>
      <c r="D371" s="12"/>
      <c r="E371" s="32">
        <v>48728</v>
      </c>
      <c r="G371" s="8">
        <f t="shared" si="46"/>
        <v>36073701</v>
      </c>
      <c r="I371" s="8">
        <f>1070666+5385485</f>
        <v>6456151</v>
      </c>
      <c r="K371" s="8">
        <v>42529852</v>
      </c>
      <c r="M371" s="8">
        <f t="shared" si="47"/>
        <v>28317359</v>
      </c>
      <c r="O371" s="8">
        <v>793463</v>
      </c>
      <c r="Q371" s="8">
        <v>2673821</v>
      </c>
      <c r="S371" s="8">
        <v>31784643</v>
      </c>
      <c r="U371" s="8">
        <v>5659901</v>
      </c>
      <c r="W371" s="8">
        <f t="shared" si="48"/>
        <v>1487804</v>
      </c>
      <c r="Y371" s="8">
        <v>3597504</v>
      </c>
      <c r="AA371" s="8">
        <v>10745209</v>
      </c>
      <c r="AD371" s="8">
        <f t="shared" si="40"/>
        <v>0</v>
      </c>
      <c r="AF371" s="35">
        <f t="shared" si="39"/>
        <v>0</v>
      </c>
    </row>
    <row r="372" spans="1:32">
      <c r="A372" s="12" t="s">
        <v>570</v>
      </c>
      <c r="B372" s="12"/>
      <c r="C372" s="12" t="s">
        <v>78</v>
      </c>
      <c r="D372" s="12"/>
      <c r="E372" s="32">
        <v>48819</v>
      </c>
      <c r="G372" s="8">
        <f t="shared" si="46"/>
        <v>21470927</v>
      </c>
      <c r="I372" s="8">
        <f>139000+1344626</f>
        <v>1483626</v>
      </c>
      <c r="K372" s="8">
        <v>22954553</v>
      </c>
      <c r="M372" s="8">
        <f t="shared" si="47"/>
        <v>5075862</v>
      </c>
      <c r="O372" s="8">
        <v>14591140</v>
      </c>
      <c r="Q372" s="8">
        <v>804629</v>
      </c>
      <c r="S372" s="8">
        <v>20471631</v>
      </c>
      <c r="U372" s="8">
        <v>1483626</v>
      </c>
      <c r="W372" s="8">
        <f t="shared" si="48"/>
        <v>14648225</v>
      </c>
      <c r="Y372" s="8">
        <v>-13648929</v>
      </c>
      <c r="AA372" s="8">
        <v>2482922</v>
      </c>
      <c r="AD372" s="8">
        <f t="shared" si="40"/>
        <v>0</v>
      </c>
      <c r="AF372" s="35">
        <f t="shared" si="39"/>
        <v>0</v>
      </c>
    </row>
    <row r="373" spans="1:32">
      <c r="A373" s="12" t="s">
        <v>486</v>
      </c>
      <c r="B373" s="12"/>
      <c r="C373" s="12" t="s">
        <v>50</v>
      </c>
      <c r="D373" s="12"/>
      <c r="E373" s="32">
        <v>48033</v>
      </c>
      <c r="G373" s="8">
        <f t="shared" si="46"/>
        <v>17640726</v>
      </c>
      <c r="I373" s="8">
        <f>1413567+11788205</f>
        <v>13201772</v>
      </c>
      <c r="K373" s="8">
        <v>30842498</v>
      </c>
      <c r="M373" s="8">
        <f t="shared" si="47"/>
        <v>8400830</v>
      </c>
      <c r="O373" s="8">
        <v>488309</v>
      </c>
      <c r="Q373" s="8">
        <v>12244942</v>
      </c>
      <c r="S373" s="8">
        <v>21134081</v>
      </c>
      <c r="U373" s="8">
        <v>2033229</v>
      </c>
      <c r="W373" s="8">
        <f t="shared" si="48"/>
        <v>1568670</v>
      </c>
      <c r="Y373" s="8">
        <v>6106518</v>
      </c>
      <c r="AA373" s="8">
        <v>9708417</v>
      </c>
      <c r="AD373" s="8">
        <f t="shared" si="40"/>
        <v>0</v>
      </c>
      <c r="AF373" s="35">
        <f t="shared" si="39"/>
        <v>0</v>
      </c>
    </row>
    <row r="374" spans="1:32">
      <c r="A374" s="12" t="s">
        <v>486</v>
      </c>
      <c r="B374" s="12"/>
      <c r="C374" s="12" t="s">
        <v>42</v>
      </c>
      <c r="D374" s="12"/>
      <c r="E374" s="32">
        <v>48736</v>
      </c>
      <c r="G374" s="8">
        <f t="shared" si="46"/>
        <v>7003600</v>
      </c>
      <c r="I374" s="8">
        <f>253013+13974316</f>
        <v>14227329</v>
      </c>
      <c r="K374" s="8">
        <v>21230929</v>
      </c>
      <c r="M374" s="8">
        <f t="shared" si="47"/>
        <v>5511199</v>
      </c>
      <c r="O374" s="8">
        <v>684714</v>
      </c>
      <c r="Q374" s="8">
        <v>7379884</v>
      </c>
      <c r="S374" s="8">
        <v>13575797</v>
      </c>
      <c r="U374" s="8">
        <v>7295973</v>
      </c>
      <c r="W374" s="8">
        <f t="shared" si="48"/>
        <v>749729</v>
      </c>
      <c r="Y374" s="8">
        <v>-390570</v>
      </c>
      <c r="AA374" s="8">
        <v>7655132</v>
      </c>
      <c r="AD374" s="8">
        <f t="shared" si="40"/>
        <v>0</v>
      </c>
      <c r="AF374" s="35">
        <f t="shared" si="39"/>
        <v>0</v>
      </c>
    </row>
    <row r="375" spans="1:32">
      <c r="A375" s="12" t="s">
        <v>407</v>
      </c>
      <c r="B375" s="12"/>
      <c r="C375" s="12" t="s">
        <v>32</v>
      </c>
      <c r="D375" s="12"/>
      <c r="E375" s="32">
        <v>47365</v>
      </c>
      <c r="G375" s="8">
        <f t="shared" si="46"/>
        <v>65665167</v>
      </c>
      <c r="I375" s="8">
        <f>3926125+19674475</f>
        <v>23600600</v>
      </c>
      <c r="K375" s="8">
        <v>89265767</v>
      </c>
      <c r="M375" s="8">
        <f t="shared" si="47"/>
        <v>38613942</v>
      </c>
      <c r="O375" s="8">
        <v>1842553</v>
      </c>
      <c r="Q375" s="8">
        <v>23322765</v>
      </c>
      <c r="S375" s="8">
        <v>63779260</v>
      </c>
      <c r="U375" s="8">
        <v>2857440</v>
      </c>
      <c r="W375" s="8">
        <f t="shared" si="48"/>
        <v>3637951</v>
      </c>
      <c r="Y375" s="8">
        <v>18991116</v>
      </c>
      <c r="AA375" s="8">
        <v>25486507</v>
      </c>
      <c r="AD375" s="8">
        <f t="shared" si="40"/>
        <v>0</v>
      </c>
      <c r="AF375" s="35">
        <f t="shared" si="39"/>
        <v>0</v>
      </c>
    </row>
    <row r="376" spans="1:32">
      <c r="A376" s="12" t="s">
        <v>818</v>
      </c>
      <c r="B376" s="12"/>
      <c r="C376" s="12" t="s">
        <v>59</v>
      </c>
      <c r="D376" s="12"/>
      <c r="E376" s="32">
        <v>49635</v>
      </c>
      <c r="G376" s="8">
        <f t="shared" si="46"/>
        <v>7931983</v>
      </c>
      <c r="I376" s="8">
        <f>247189+28103590</f>
        <v>28350779</v>
      </c>
      <c r="K376" s="8">
        <v>36282762</v>
      </c>
      <c r="M376" s="8">
        <f t="shared" si="47"/>
        <v>4378568</v>
      </c>
      <c r="O376" s="8">
        <v>468520</v>
      </c>
      <c r="Q376" s="8">
        <v>4614153</v>
      </c>
      <c r="S376" s="8">
        <v>9461241</v>
      </c>
      <c r="U376" s="8">
        <v>23969779</v>
      </c>
      <c r="W376" s="8">
        <f t="shared" si="48"/>
        <v>1201850</v>
      </c>
      <c r="Y376" s="8">
        <v>1649892</v>
      </c>
      <c r="AA376" s="8">
        <v>26821521</v>
      </c>
      <c r="AD376" s="8">
        <f t="shared" si="40"/>
        <v>0</v>
      </c>
      <c r="AF376" s="35">
        <f t="shared" si="39"/>
        <v>0</v>
      </c>
    </row>
    <row r="377" spans="1:32">
      <c r="A377" s="12" t="s">
        <v>407</v>
      </c>
      <c r="B377" s="12"/>
      <c r="C377" s="12" t="s">
        <v>62</v>
      </c>
      <c r="D377" s="12"/>
      <c r="E377" s="32">
        <v>49908</v>
      </c>
      <c r="F377" s="35"/>
      <c r="G377" s="8">
        <f t="shared" si="46"/>
        <v>9027354</v>
      </c>
      <c r="I377" s="8">
        <f>133138+26412311</f>
        <v>26545449</v>
      </c>
      <c r="K377" s="8">
        <v>35572803</v>
      </c>
      <c r="M377" s="8">
        <f t="shared" si="47"/>
        <v>10560900</v>
      </c>
      <c r="O377" s="8">
        <v>845942</v>
      </c>
      <c r="Q377" s="8">
        <v>23466165</v>
      </c>
      <c r="S377" s="8">
        <v>34873007</v>
      </c>
      <c r="U377" s="8">
        <v>4436659</v>
      </c>
      <c r="W377" s="8">
        <f t="shared" si="48"/>
        <v>1900488</v>
      </c>
      <c r="Y377" s="8">
        <v>-5637351</v>
      </c>
      <c r="AA377" s="8">
        <v>699796</v>
      </c>
      <c r="AD377" s="8">
        <f t="shared" si="40"/>
        <v>0</v>
      </c>
      <c r="AF377" s="35">
        <f t="shared" si="39"/>
        <v>0</v>
      </c>
    </row>
    <row r="378" spans="1:32">
      <c r="A378" s="12" t="s">
        <v>267</v>
      </c>
      <c r="B378" s="12"/>
      <c r="C378" s="12" t="s">
        <v>17</v>
      </c>
      <c r="D378" s="12"/>
      <c r="E378" s="32">
        <v>46268</v>
      </c>
      <c r="G378" s="8">
        <f>+K378-I378</f>
        <v>9926499</v>
      </c>
      <c r="I378" s="8">
        <f>949676+5369767</f>
        <v>6319443</v>
      </c>
      <c r="K378" s="8">
        <v>16245942</v>
      </c>
      <c r="M378" s="8">
        <f>+S378-O378-Q378</f>
        <v>6379101</v>
      </c>
      <c r="O378" s="8">
        <v>198268</v>
      </c>
      <c r="Q378" s="8">
        <v>1308196</v>
      </c>
      <c r="S378" s="8">
        <v>7885565</v>
      </c>
      <c r="U378" s="8">
        <v>5594443</v>
      </c>
      <c r="W378" s="8">
        <f>AA378-Y378-U378</f>
        <v>534299</v>
      </c>
      <c r="Y378" s="8">
        <v>2231635</v>
      </c>
      <c r="AA378" s="8">
        <v>8360377</v>
      </c>
      <c r="AD378" s="8">
        <f>+K378-S378-AA378</f>
        <v>0</v>
      </c>
      <c r="AF378" s="35">
        <f>+G378+I378+-M378-O378-U378-W378-Y378-Q378</f>
        <v>0</v>
      </c>
    </row>
    <row r="379" spans="1:32">
      <c r="A379" s="12" t="s">
        <v>742</v>
      </c>
      <c r="B379" s="12"/>
      <c r="C379" s="12" t="s">
        <v>72</v>
      </c>
      <c r="D379" s="12"/>
      <c r="E379" s="32">
        <v>50716</v>
      </c>
      <c r="G379" s="8">
        <f t="shared" si="46"/>
        <v>10554150</v>
      </c>
      <c r="I379" s="8">
        <f>193339+3477055</f>
        <v>3670394</v>
      </c>
      <c r="K379" s="8">
        <v>14224544</v>
      </c>
      <c r="M379" s="8">
        <f t="shared" si="47"/>
        <v>6119570</v>
      </c>
      <c r="O379" s="8">
        <v>411715</v>
      </c>
      <c r="Q379" s="8">
        <v>1598601</v>
      </c>
      <c r="S379" s="8">
        <v>8129886</v>
      </c>
      <c r="U379" s="8">
        <v>2229263</v>
      </c>
      <c r="W379" s="8">
        <f t="shared" si="48"/>
        <v>524936</v>
      </c>
      <c r="Y379" s="8">
        <v>3340459</v>
      </c>
      <c r="AA379" s="8">
        <v>6094658</v>
      </c>
      <c r="AD379" s="8">
        <f t="shared" si="40"/>
        <v>0</v>
      </c>
      <c r="AF379" s="35">
        <f t="shared" si="39"/>
        <v>0</v>
      </c>
    </row>
    <row r="380" spans="1:32">
      <c r="A380" s="12" t="s">
        <v>674</v>
      </c>
      <c r="B380" s="12"/>
      <c r="C380" s="12" t="s">
        <v>63</v>
      </c>
      <c r="D380" s="12"/>
      <c r="E380" s="32">
        <v>44552</v>
      </c>
      <c r="G380" s="8">
        <f t="shared" si="46"/>
        <v>18833850</v>
      </c>
      <c r="I380" s="8">
        <f>71000+4233818</f>
        <v>4304818</v>
      </c>
      <c r="K380" s="8">
        <v>23138668</v>
      </c>
      <c r="M380" s="8">
        <f t="shared" si="47"/>
        <v>11676423</v>
      </c>
      <c r="O380" s="8">
        <v>186282</v>
      </c>
      <c r="Q380" s="8">
        <v>817575</v>
      </c>
      <c r="S380" s="8">
        <v>12680280</v>
      </c>
      <c r="U380" s="8">
        <v>4121550</v>
      </c>
      <c r="W380" s="8">
        <f t="shared" si="48"/>
        <v>1279381</v>
      </c>
      <c r="Y380" s="8">
        <v>5057457</v>
      </c>
      <c r="AA380" s="8">
        <v>10458388</v>
      </c>
      <c r="AD380" s="8">
        <f t="shared" si="40"/>
        <v>0</v>
      </c>
      <c r="AF380" s="35">
        <f t="shared" si="39"/>
        <v>0</v>
      </c>
    </row>
    <row r="381" spans="1:32">
      <c r="A381" s="12" t="s">
        <v>451</v>
      </c>
      <c r="B381" s="12"/>
      <c r="C381" s="12" t="s">
        <v>37</v>
      </c>
      <c r="D381" s="12"/>
      <c r="E381" s="32">
        <v>44560</v>
      </c>
      <c r="G381" s="8">
        <f t="shared" si="46"/>
        <v>26752094</v>
      </c>
      <c r="I381" s="8">
        <f>2196532+24201670</f>
        <v>26398202</v>
      </c>
      <c r="K381" s="8">
        <v>53150296</v>
      </c>
      <c r="M381" s="8">
        <f t="shared" si="47"/>
        <v>9863822</v>
      </c>
      <c r="O381" s="8">
        <v>752476</v>
      </c>
      <c r="Q381" s="8">
        <v>14031174</v>
      </c>
      <c r="S381" s="8">
        <v>24647472</v>
      </c>
      <c r="U381" s="8">
        <v>13323211</v>
      </c>
      <c r="W381" s="8">
        <f t="shared" si="48"/>
        <v>4426369</v>
      </c>
      <c r="Y381" s="8">
        <v>10753244</v>
      </c>
      <c r="AA381" s="8">
        <v>28502824</v>
      </c>
      <c r="AD381" s="8">
        <f t="shared" si="40"/>
        <v>0</v>
      </c>
      <c r="AF381" s="35">
        <f t="shared" si="39"/>
        <v>0</v>
      </c>
    </row>
    <row r="382" spans="1:32">
      <c r="A382" s="12" t="s">
        <v>902</v>
      </c>
      <c r="B382" s="12"/>
      <c r="C382" s="12" t="s">
        <v>32</v>
      </c>
      <c r="D382" s="12"/>
      <c r="E382" s="32">
        <v>44578</v>
      </c>
      <c r="G382" s="8">
        <f t="shared" si="46"/>
        <v>19541405</v>
      </c>
      <c r="I382" s="8">
        <f>524809+6479958</f>
        <v>7004767</v>
      </c>
      <c r="K382" s="8">
        <v>26546172</v>
      </c>
      <c r="M382" s="8">
        <f t="shared" si="47"/>
        <v>10062041</v>
      </c>
      <c r="O382" s="8">
        <v>256407</v>
      </c>
      <c r="Q382" s="8">
        <v>5653485</v>
      </c>
      <c r="S382" s="8">
        <v>15971933</v>
      </c>
      <c r="U382" s="8">
        <v>2176767</v>
      </c>
      <c r="W382" s="8">
        <f t="shared" si="48"/>
        <v>1765769</v>
      </c>
      <c r="Y382" s="8">
        <v>6631703</v>
      </c>
      <c r="AA382" s="8">
        <v>10574239</v>
      </c>
      <c r="AD382" s="8">
        <f t="shared" si="40"/>
        <v>0</v>
      </c>
      <c r="AF382" s="35">
        <f t="shared" si="39"/>
        <v>0</v>
      </c>
    </row>
    <row r="383" spans="1:32">
      <c r="A383" s="12" t="s">
        <v>409</v>
      </c>
      <c r="B383" s="12"/>
      <c r="C383" s="12" t="s">
        <v>32</v>
      </c>
      <c r="D383" s="12"/>
      <c r="E383" s="32">
        <v>47373</v>
      </c>
      <c r="F383" s="11"/>
      <c r="G383" s="8">
        <f t="shared" si="46"/>
        <v>68297566</v>
      </c>
      <c r="I383" s="8">
        <f>1631693+20408476</f>
        <v>22040169</v>
      </c>
      <c r="K383" s="8">
        <v>90337735</v>
      </c>
      <c r="M383" s="8">
        <f t="shared" si="47"/>
        <v>32251752</v>
      </c>
      <c r="O383" s="8">
        <v>3047191</v>
      </c>
      <c r="Q383" s="8">
        <v>47327144</v>
      </c>
      <c r="S383" s="8">
        <v>82626087</v>
      </c>
      <c r="U383" s="8">
        <v>2438470</v>
      </c>
      <c r="W383" s="8">
        <f t="shared" si="48"/>
        <v>6154650</v>
      </c>
      <c r="Y383" s="8">
        <v>-881472</v>
      </c>
      <c r="AA383" s="8">
        <v>7711648</v>
      </c>
      <c r="AD383" s="8">
        <f t="shared" si="40"/>
        <v>0</v>
      </c>
      <c r="AF383" s="35">
        <f t="shared" si="39"/>
        <v>0</v>
      </c>
    </row>
    <row r="384" spans="1:32">
      <c r="A384" s="12" t="s">
        <v>562</v>
      </c>
      <c r="B384" s="12"/>
      <c r="C384" s="12" t="s">
        <v>50</v>
      </c>
      <c r="D384" s="12"/>
      <c r="E384" s="32">
        <v>44586</v>
      </c>
      <c r="G384" s="8">
        <f t="shared" si="46"/>
        <v>20114078</v>
      </c>
      <c r="I384" s="8">
        <f>488237+21248905</f>
        <v>21737142</v>
      </c>
      <c r="K384" s="8">
        <v>41851220</v>
      </c>
      <c r="M384" s="8">
        <f t="shared" si="47"/>
        <v>19944247</v>
      </c>
      <c r="O384" s="8">
        <v>541956</v>
      </c>
      <c r="Q384" s="8">
        <v>18668319</v>
      </c>
      <c r="S384" s="8">
        <v>39154522</v>
      </c>
      <c r="U384" s="8">
        <v>2960718</v>
      </c>
      <c r="W384" s="8">
        <f t="shared" si="48"/>
        <v>1561342</v>
      </c>
      <c r="Y384" s="8">
        <v>-1825362</v>
      </c>
      <c r="AA384" s="8">
        <v>2696698</v>
      </c>
      <c r="AD384" s="8">
        <f t="shared" si="40"/>
        <v>0</v>
      </c>
      <c r="AF384" s="35">
        <f t="shared" si="39"/>
        <v>0</v>
      </c>
    </row>
    <row r="385" spans="1:34">
      <c r="A385" s="12" t="s">
        <v>499</v>
      </c>
      <c r="B385" s="12"/>
      <c r="C385" s="12" t="s">
        <v>44</v>
      </c>
      <c r="D385" s="12"/>
      <c r="E385" s="32">
        <v>44594</v>
      </c>
      <c r="G385" s="8">
        <f t="shared" si="46"/>
        <v>7267289</v>
      </c>
      <c r="I385" s="8">
        <f>2279070+3490865</f>
        <v>5769935</v>
      </c>
      <c r="K385" s="8">
        <v>13037224</v>
      </c>
      <c r="M385" s="8">
        <f t="shared" si="47"/>
        <v>5863689</v>
      </c>
      <c r="O385" s="8">
        <v>206051</v>
      </c>
      <c r="Q385" s="8">
        <v>1297707</v>
      </c>
      <c r="S385" s="8">
        <v>7367447</v>
      </c>
      <c r="U385" s="8">
        <v>5265090</v>
      </c>
      <c r="W385" s="8">
        <f t="shared" si="48"/>
        <v>711243</v>
      </c>
      <c r="Y385" s="8">
        <v>-306556</v>
      </c>
      <c r="AA385" s="8">
        <v>5669777</v>
      </c>
      <c r="AD385" s="8">
        <f t="shared" si="40"/>
        <v>0</v>
      </c>
      <c r="AF385" s="35">
        <f t="shared" si="39"/>
        <v>0</v>
      </c>
    </row>
    <row r="386" spans="1:34" hidden="1">
      <c r="A386" s="12" t="s">
        <v>853</v>
      </c>
      <c r="B386" s="12"/>
      <c r="C386" s="12" t="s">
        <v>60</v>
      </c>
      <c r="D386" s="12"/>
      <c r="E386" s="32">
        <v>49726</v>
      </c>
      <c r="G386" s="8">
        <f t="shared" si="46"/>
        <v>0</v>
      </c>
      <c r="M386" s="8">
        <f t="shared" si="47"/>
        <v>0</v>
      </c>
      <c r="W386" s="8">
        <f t="shared" si="48"/>
        <v>0</v>
      </c>
      <c r="AD386" s="8">
        <f t="shared" si="40"/>
        <v>0</v>
      </c>
      <c r="AF386" s="35">
        <f t="shared" si="39"/>
        <v>0</v>
      </c>
    </row>
    <row r="387" spans="1:34">
      <c r="A387" s="12" t="s">
        <v>339</v>
      </c>
      <c r="B387" s="12"/>
      <c r="C387" s="12" t="s">
        <v>23</v>
      </c>
      <c r="D387" s="12"/>
      <c r="E387" s="32">
        <v>46763</v>
      </c>
      <c r="G387" s="8">
        <f t="shared" si="46"/>
        <v>229426046</v>
      </c>
      <c r="I387" s="8">
        <f>73156693+226766859</f>
        <v>299923552</v>
      </c>
      <c r="K387" s="8">
        <v>529349598</v>
      </c>
      <c r="M387" s="8">
        <f t="shared" si="47"/>
        <v>119996390</v>
      </c>
      <c r="O387" s="8">
        <v>8007458</v>
      </c>
      <c r="Q387" s="8">
        <v>349792528</v>
      </c>
      <c r="S387" s="8">
        <v>477796376</v>
      </c>
      <c r="U387" s="8">
        <v>10647873</v>
      </c>
      <c r="W387" s="8">
        <f t="shared" si="48"/>
        <v>21480317</v>
      </c>
      <c r="Y387" s="8">
        <v>19425032</v>
      </c>
      <c r="AA387" s="8">
        <v>51553222</v>
      </c>
      <c r="AD387" s="8">
        <f t="shared" si="40"/>
        <v>0</v>
      </c>
      <c r="AF387" s="35">
        <f t="shared" si="39"/>
        <v>0</v>
      </c>
    </row>
    <row r="388" spans="1:34">
      <c r="A388" s="12" t="s">
        <v>319</v>
      </c>
      <c r="B388" s="12"/>
      <c r="C388" s="12" t="s">
        <v>20</v>
      </c>
      <c r="D388" s="12"/>
      <c r="E388" s="32">
        <v>46573</v>
      </c>
      <c r="G388" s="8">
        <f t="shared" si="46"/>
        <v>52524512</v>
      </c>
      <c r="I388" s="8">
        <f>4043613+17213560</f>
        <v>21257173</v>
      </c>
      <c r="K388" s="8">
        <v>73781685</v>
      </c>
      <c r="M388" s="8">
        <f t="shared" si="47"/>
        <v>23129391</v>
      </c>
      <c r="O388" s="8">
        <v>2406710</v>
      </c>
      <c r="Q388" s="8">
        <v>30045232</v>
      </c>
      <c r="S388" s="8">
        <v>55581333</v>
      </c>
      <c r="U388" s="8">
        <v>133184442</v>
      </c>
      <c r="W388" s="8">
        <f t="shared" si="48"/>
        <v>-115464743</v>
      </c>
      <c r="Y388" s="8">
        <v>480653</v>
      </c>
      <c r="AA388" s="8">
        <v>18200352</v>
      </c>
      <c r="AD388" s="8">
        <f t="shared" si="40"/>
        <v>0</v>
      </c>
      <c r="AF388" s="35">
        <f t="shared" ref="AF388:AF411" si="49">+G388+I388+-M388-O388-U388-W388-Y388-Q388</f>
        <v>0</v>
      </c>
    </row>
    <row r="389" spans="1:34">
      <c r="A389" s="12" t="s">
        <v>618</v>
      </c>
      <c r="B389" s="12"/>
      <c r="C389" s="12" t="s">
        <v>113</v>
      </c>
      <c r="D389" s="12"/>
      <c r="E389" s="32">
        <v>49478</v>
      </c>
      <c r="G389" s="8">
        <f t="shared" si="46"/>
        <v>20602228</v>
      </c>
      <c r="I389" s="8">
        <f>40839+24131255</f>
        <v>24172094</v>
      </c>
      <c r="K389" s="8">
        <f>44774322</f>
        <v>44774322</v>
      </c>
      <c r="M389" s="8">
        <f t="shared" si="47"/>
        <v>11103495</v>
      </c>
      <c r="O389" s="8">
        <v>1187283</v>
      </c>
      <c r="Q389" s="8">
        <v>17634981</v>
      </c>
      <c r="S389" s="8">
        <v>29925759</v>
      </c>
      <c r="U389" s="8">
        <v>7542095</v>
      </c>
      <c r="W389" s="8">
        <f t="shared" si="48"/>
        <v>2532284</v>
      </c>
      <c r="Y389" s="8">
        <v>4774184</v>
      </c>
      <c r="AA389" s="8">
        <v>14848563</v>
      </c>
      <c r="AD389" s="8">
        <f t="shared" si="40"/>
        <v>0</v>
      </c>
      <c r="AF389" s="35">
        <f t="shared" si="49"/>
        <v>0</v>
      </c>
    </row>
    <row r="390" spans="1:34">
      <c r="A390" s="12" t="s">
        <v>320</v>
      </c>
      <c r="B390" s="12"/>
      <c r="C390" s="12" t="s">
        <v>20</v>
      </c>
      <c r="D390" s="12"/>
      <c r="E390" s="32">
        <v>46581</v>
      </c>
      <c r="G390" s="8">
        <f t="shared" si="46"/>
        <v>81347866</v>
      </c>
      <c r="I390" s="8">
        <f>6425253+35389998</f>
        <v>41815251</v>
      </c>
      <c r="K390" s="8">
        <v>123163117</v>
      </c>
      <c r="M390" s="8">
        <f t="shared" si="47"/>
        <v>38616160</v>
      </c>
      <c r="O390" s="8">
        <v>1585162</v>
      </c>
      <c r="Q390" s="8">
        <v>29747306</v>
      </c>
      <c r="S390" s="8">
        <v>69948628</v>
      </c>
      <c r="U390" s="8">
        <v>15940380</v>
      </c>
      <c r="W390" s="8">
        <f t="shared" si="48"/>
        <v>6410493</v>
      </c>
      <c r="Y390" s="8">
        <v>30863616</v>
      </c>
      <c r="AA390" s="8">
        <v>53214489</v>
      </c>
      <c r="AD390" s="8">
        <f t="shared" si="40"/>
        <v>0</v>
      </c>
      <c r="AF390" s="35">
        <f t="shared" si="49"/>
        <v>0</v>
      </c>
    </row>
    <row r="391" spans="1:34">
      <c r="A391" s="12" t="s">
        <v>504</v>
      </c>
      <c r="B391" s="12"/>
      <c r="C391" s="12" t="s">
        <v>118</v>
      </c>
      <c r="D391" s="12"/>
      <c r="E391" s="32">
        <v>44602</v>
      </c>
      <c r="G391" s="8">
        <f t="shared" si="46"/>
        <v>42133455</v>
      </c>
      <c r="I391" s="8">
        <f>495967+49949939+7582891</f>
        <v>58028797</v>
      </c>
      <c r="K391" s="8">
        <v>100162252</v>
      </c>
      <c r="M391" s="8">
        <f t="shared" si="47"/>
        <v>29613783</v>
      </c>
      <c r="O391" s="8">
        <v>2403310</v>
      </c>
      <c r="Q391" s="8">
        <v>50616600</v>
      </c>
      <c r="S391" s="8">
        <v>82633693</v>
      </c>
      <c r="U391" s="8">
        <v>14243203</v>
      </c>
      <c r="W391" s="8">
        <f t="shared" si="48"/>
        <v>9200001</v>
      </c>
      <c r="Y391" s="8">
        <v>-5914645</v>
      </c>
      <c r="AA391" s="8">
        <v>17528559</v>
      </c>
      <c r="AD391" s="8">
        <f t="shared" si="40"/>
        <v>0</v>
      </c>
      <c r="AF391" s="35">
        <f t="shared" si="49"/>
        <v>0</v>
      </c>
    </row>
    <row r="392" spans="1:34">
      <c r="A392" s="12" t="s">
        <v>817</v>
      </c>
      <c r="B392" s="12"/>
      <c r="C392" s="12" t="s">
        <v>71</v>
      </c>
      <c r="D392" s="12"/>
      <c r="E392" s="32">
        <v>44610</v>
      </c>
      <c r="G392" s="8">
        <f t="shared" si="46"/>
        <v>29755055</v>
      </c>
      <c r="I392" s="8">
        <f>2709586+15263738</f>
        <v>17973324</v>
      </c>
      <c r="K392" s="8">
        <v>47728379</v>
      </c>
      <c r="M392" s="8">
        <f t="shared" si="47"/>
        <v>10158925</v>
      </c>
      <c r="O392" s="8">
        <v>501136</v>
      </c>
      <c r="Q392" s="8">
        <v>33802317</v>
      </c>
      <c r="S392" s="8">
        <v>44462378</v>
      </c>
      <c r="U392" s="8">
        <v>3838914</v>
      </c>
      <c r="W392" s="8">
        <f t="shared" si="48"/>
        <v>-3677838</v>
      </c>
      <c r="Y392" s="8">
        <v>3104925</v>
      </c>
      <c r="AA392" s="8">
        <v>3266001</v>
      </c>
      <c r="AD392" s="8">
        <f t="shared" si="40"/>
        <v>0</v>
      </c>
      <c r="AF392" s="35">
        <f t="shared" si="49"/>
        <v>0</v>
      </c>
    </row>
    <row r="393" spans="1:34">
      <c r="A393" s="12" t="s">
        <v>664</v>
      </c>
      <c r="B393" s="12"/>
      <c r="C393" s="12" t="s">
        <v>62</v>
      </c>
      <c r="D393" s="12"/>
      <c r="E393" s="32">
        <v>49916</v>
      </c>
      <c r="G393" s="8">
        <f t="shared" si="46"/>
        <v>19036363</v>
      </c>
      <c r="I393" s="8">
        <v>14528164</v>
      </c>
      <c r="K393" s="8">
        <v>33564527</v>
      </c>
      <c r="M393" s="8">
        <f t="shared" si="47"/>
        <v>3806191</v>
      </c>
      <c r="O393" s="8">
        <v>151852</v>
      </c>
      <c r="Q393" s="8">
        <v>9379263</v>
      </c>
      <c r="S393" s="8">
        <v>13337306</v>
      </c>
      <c r="U393" s="8">
        <v>2265680</v>
      </c>
      <c r="W393" s="8">
        <f t="shared" si="48"/>
        <v>14585009</v>
      </c>
      <c r="Y393" s="8">
        <v>3376532</v>
      </c>
      <c r="AA393" s="8">
        <v>20227221</v>
      </c>
      <c r="AD393" s="8">
        <f t="shared" si="40"/>
        <v>0</v>
      </c>
      <c r="AF393" s="35">
        <f t="shared" si="49"/>
        <v>0</v>
      </c>
    </row>
    <row r="394" spans="1:34">
      <c r="A394" s="12" t="s">
        <v>743</v>
      </c>
      <c r="B394" s="12"/>
      <c r="C394" s="12" t="s">
        <v>72</v>
      </c>
      <c r="D394" s="12"/>
      <c r="E394" s="32">
        <v>50724</v>
      </c>
      <c r="G394" s="8">
        <f t="shared" si="46"/>
        <v>8870188</v>
      </c>
      <c r="I394" s="8">
        <f>143659+22402142</f>
        <v>22545801</v>
      </c>
      <c r="K394" s="8">
        <v>31415989</v>
      </c>
      <c r="M394" s="8">
        <f t="shared" si="47"/>
        <v>6044903</v>
      </c>
      <c r="O394" s="8">
        <v>568044</v>
      </c>
      <c r="Q394" s="8">
        <v>18847290</v>
      </c>
      <c r="S394" s="8">
        <v>25460237</v>
      </c>
      <c r="U394" s="8">
        <v>4804111</v>
      </c>
      <c r="W394" s="8">
        <f t="shared" si="48"/>
        <v>1160603</v>
      </c>
      <c r="Y394" s="8">
        <v>-8962</v>
      </c>
      <c r="AA394" s="8">
        <v>5955752</v>
      </c>
      <c r="AD394" s="8">
        <f t="shared" si="40"/>
        <v>0</v>
      </c>
      <c r="AF394" s="35">
        <f t="shared" si="49"/>
        <v>0</v>
      </c>
    </row>
    <row r="395" spans="1:34">
      <c r="A395" s="12" t="s">
        <v>505</v>
      </c>
      <c r="B395" s="12"/>
      <c r="C395" s="12" t="s">
        <v>118</v>
      </c>
      <c r="D395" s="12"/>
      <c r="E395" s="32">
        <v>48215</v>
      </c>
      <c r="G395" s="8">
        <f t="shared" si="46"/>
        <v>17362532</v>
      </c>
      <c r="I395" s="8">
        <f>5693323</f>
        <v>5693323</v>
      </c>
      <c r="K395" s="8">
        <v>23055855</v>
      </c>
      <c r="M395" s="8">
        <f t="shared" si="47"/>
        <v>10473042</v>
      </c>
      <c r="O395" s="8">
        <v>381217</v>
      </c>
      <c r="Q395" s="8">
        <v>4994735</v>
      </c>
      <c r="S395" s="8">
        <v>15848994</v>
      </c>
      <c r="U395" s="8">
        <v>1818323</v>
      </c>
      <c r="W395" s="8">
        <f t="shared" si="48"/>
        <v>1104008</v>
      </c>
      <c r="Y395" s="8">
        <v>4284530</v>
      </c>
      <c r="AA395" s="8">
        <v>7206861</v>
      </c>
      <c r="AD395" s="8">
        <f t="shared" si="40"/>
        <v>0</v>
      </c>
      <c r="AF395" s="35">
        <f t="shared" si="49"/>
        <v>0</v>
      </c>
    </row>
    <row r="396" spans="1:34" hidden="1">
      <c r="A396" s="12" t="s">
        <v>868</v>
      </c>
      <c r="B396" s="12"/>
      <c r="C396" s="12" t="s">
        <v>608</v>
      </c>
      <c r="D396" s="12"/>
      <c r="E396" s="32">
        <v>49379</v>
      </c>
      <c r="G396" s="8">
        <f t="shared" si="46"/>
        <v>0</v>
      </c>
      <c r="M396" s="8">
        <f t="shared" si="47"/>
        <v>0</v>
      </c>
      <c r="W396" s="8">
        <f t="shared" si="48"/>
        <v>0</v>
      </c>
      <c r="AD396" s="8">
        <f t="shared" ref="AD396:AD411" si="50">+K396-S396-AA396</f>
        <v>0</v>
      </c>
      <c r="AF396" s="35">
        <f t="shared" si="49"/>
        <v>0</v>
      </c>
    </row>
    <row r="397" spans="1:34" hidden="1">
      <c r="A397" s="12" t="s">
        <v>869</v>
      </c>
      <c r="B397" s="12"/>
      <c r="C397" s="12" t="s">
        <v>608</v>
      </c>
      <c r="D397" s="12"/>
      <c r="E397" s="32">
        <v>49387</v>
      </c>
      <c r="G397" s="8">
        <f t="shared" si="46"/>
        <v>0</v>
      </c>
      <c r="M397" s="8">
        <f t="shared" si="47"/>
        <v>0</v>
      </c>
      <c r="W397" s="8">
        <f t="shared" si="48"/>
        <v>0</v>
      </c>
      <c r="AD397" s="8">
        <f t="shared" si="50"/>
        <v>0</v>
      </c>
      <c r="AF397" s="35">
        <f t="shared" si="49"/>
        <v>0</v>
      </c>
    </row>
    <row r="398" spans="1:34">
      <c r="A398" s="12" t="s">
        <v>466</v>
      </c>
      <c r="B398" s="12"/>
      <c r="C398" s="12" t="s">
        <v>41</v>
      </c>
      <c r="D398" s="12"/>
      <c r="E398" s="32">
        <v>44628</v>
      </c>
      <c r="G398" s="8">
        <f>+K398-I398</f>
        <v>42149454</v>
      </c>
      <c r="I398" s="8">
        <f>57146826+14217911</f>
        <v>71364737</v>
      </c>
      <c r="K398" s="8">
        <v>113514191</v>
      </c>
      <c r="M398" s="8">
        <f t="shared" si="47"/>
        <v>16356738</v>
      </c>
      <c r="O398" s="8">
        <v>1005961</v>
      </c>
      <c r="Q398" s="8">
        <v>31859043</v>
      </c>
      <c r="S398" s="8">
        <v>49221742</v>
      </c>
      <c r="U398" s="8">
        <v>40250379</v>
      </c>
      <c r="W398" s="8">
        <f>AA398-Y398-U398</f>
        <v>22035758</v>
      </c>
      <c r="Y398" s="8">
        <v>2006312</v>
      </c>
      <c r="AA398" s="8">
        <v>64292449</v>
      </c>
      <c r="AD398" s="8">
        <f t="shared" si="50"/>
        <v>0</v>
      </c>
      <c r="AF398" s="35">
        <f t="shared" si="49"/>
        <v>0</v>
      </c>
    </row>
    <row r="399" spans="1:34" hidden="1">
      <c r="A399" s="12" t="s">
        <v>961</v>
      </c>
      <c r="B399" s="12"/>
      <c r="C399" s="12" t="s">
        <v>41</v>
      </c>
      <c r="D399" s="12"/>
      <c r="E399" s="32">
        <v>47894</v>
      </c>
      <c r="G399" s="8">
        <f t="shared" ref="G399:G406" si="51">+K399-I399</f>
        <v>0</v>
      </c>
      <c r="M399" s="8">
        <f t="shared" si="47"/>
        <v>0</v>
      </c>
      <c r="W399" s="8">
        <f t="shared" ref="W399:W406" si="52">AA399-Y399-U399</f>
        <v>0</v>
      </c>
      <c r="AD399" s="8">
        <f t="shared" si="50"/>
        <v>0</v>
      </c>
      <c r="AF399" s="35">
        <f t="shared" si="49"/>
        <v>0</v>
      </c>
      <c r="AH399" s="8" t="s">
        <v>890</v>
      </c>
    </row>
    <row r="400" spans="1:34">
      <c r="A400" s="12" t="s">
        <v>624</v>
      </c>
      <c r="B400" s="12"/>
      <c r="C400" s="12" t="s">
        <v>58</v>
      </c>
      <c r="D400" s="12"/>
      <c r="E400" s="32">
        <v>49510</v>
      </c>
      <c r="G400" s="8">
        <f t="shared" si="51"/>
        <v>6398086</v>
      </c>
      <c r="I400" s="8">
        <f>35188+18993438</f>
        <v>19028626</v>
      </c>
      <c r="K400" s="8">
        <v>25426712</v>
      </c>
      <c r="M400" s="8">
        <f t="shared" si="47"/>
        <v>2992792</v>
      </c>
      <c r="O400" s="8">
        <v>105980</v>
      </c>
      <c r="Q400" s="8">
        <v>1797655</v>
      </c>
      <c r="S400" s="8">
        <v>4896427</v>
      </c>
      <c r="U400" s="8">
        <v>17508644</v>
      </c>
      <c r="W400" s="8">
        <f t="shared" si="52"/>
        <v>1978368</v>
      </c>
      <c r="Y400" s="8">
        <v>1043273</v>
      </c>
      <c r="AA400" s="8">
        <v>20530285</v>
      </c>
      <c r="AD400" s="8">
        <f t="shared" si="50"/>
        <v>0</v>
      </c>
      <c r="AF400" s="35">
        <f t="shared" si="49"/>
        <v>0</v>
      </c>
    </row>
    <row r="401" spans="1:32" hidden="1">
      <c r="A401" s="12" t="s">
        <v>960</v>
      </c>
      <c r="B401" s="12"/>
      <c r="C401" s="12" t="s">
        <v>608</v>
      </c>
      <c r="D401" s="12"/>
      <c r="E401" s="32">
        <v>49395</v>
      </c>
      <c r="F401" s="11"/>
      <c r="G401" s="8">
        <f t="shared" si="51"/>
        <v>0</v>
      </c>
      <c r="M401" s="8">
        <f t="shared" si="47"/>
        <v>0</v>
      </c>
      <c r="W401" s="8">
        <f t="shared" si="52"/>
        <v>0</v>
      </c>
      <c r="AD401" s="8">
        <f t="shared" si="50"/>
        <v>0</v>
      </c>
      <c r="AF401" s="35">
        <f t="shared" si="49"/>
        <v>0</v>
      </c>
    </row>
    <row r="402" spans="1:32" hidden="1">
      <c r="A402" s="12" t="s">
        <v>870</v>
      </c>
      <c r="B402" s="12"/>
      <c r="C402" s="12" t="s">
        <v>540</v>
      </c>
      <c r="D402" s="12"/>
      <c r="E402" s="32">
        <v>48579</v>
      </c>
      <c r="G402" s="8">
        <f t="shared" si="51"/>
        <v>0</v>
      </c>
      <c r="M402" s="8">
        <f t="shared" si="47"/>
        <v>0</v>
      </c>
      <c r="W402" s="8">
        <f t="shared" si="52"/>
        <v>0</v>
      </c>
      <c r="AD402" s="8">
        <f t="shared" si="50"/>
        <v>0</v>
      </c>
      <c r="AF402" s="35">
        <f t="shared" si="49"/>
        <v>0</v>
      </c>
    </row>
    <row r="403" spans="1:32">
      <c r="A403" s="12" t="s">
        <v>321</v>
      </c>
      <c r="B403" s="12"/>
      <c r="C403" s="12" t="s">
        <v>20</v>
      </c>
      <c r="D403" s="12"/>
      <c r="E403" s="32">
        <v>44636</v>
      </c>
      <c r="G403" s="8">
        <f t="shared" si="51"/>
        <v>116215897</v>
      </c>
      <c r="I403" s="8">
        <f>8121818+62957611</f>
        <v>71079429</v>
      </c>
      <c r="K403" s="8">
        <v>187295326</v>
      </c>
      <c r="M403" s="8">
        <f t="shared" si="47"/>
        <v>89138205</v>
      </c>
      <c r="O403" s="8">
        <v>6045528</v>
      </c>
      <c r="Q403" s="8">
        <v>57239090</v>
      </c>
      <c r="S403" s="8">
        <v>152422823</v>
      </c>
      <c r="U403" s="8">
        <v>17993627</v>
      </c>
      <c r="W403" s="8">
        <f t="shared" si="52"/>
        <v>3092373</v>
      </c>
      <c r="Y403" s="8">
        <v>13786503</v>
      </c>
      <c r="AA403" s="8">
        <v>34872503</v>
      </c>
      <c r="AD403" s="8">
        <f t="shared" si="50"/>
        <v>0</v>
      </c>
      <c r="AF403" s="35">
        <f t="shared" si="49"/>
        <v>0</v>
      </c>
    </row>
    <row r="404" spans="1:32">
      <c r="A404" s="13" t="s">
        <v>438</v>
      </c>
      <c r="B404" s="13"/>
      <c r="C404" s="13" t="s">
        <v>34</v>
      </c>
      <c r="D404" s="13"/>
      <c r="E404" s="13">
        <v>47597</v>
      </c>
      <c r="G404" s="8">
        <f t="shared" si="51"/>
        <v>8808461</v>
      </c>
      <c r="I404" s="8">
        <f>592870+14673753</f>
        <v>15266623</v>
      </c>
      <c r="K404" s="8">
        <v>24075084</v>
      </c>
      <c r="M404" s="8">
        <f t="shared" si="47"/>
        <v>5542769</v>
      </c>
      <c r="O404" s="8">
        <v>221333</v>
      </c>
      <c r="Q404" s="8">
        <v>6066148</v>
      </c>
      <c r="S404" s="8">
        <v>11830250</v>
      </c>
      <c r="U404" s="8">
        <v>9672523</v>
      </c>
      <c r="W404" s="8">
        <f t="shared" si="52"/>
        <v>1334153</v>
      </c>
      <c r="Y404" s="8">
        <v>1238158</v>
      </c>
      <c r="AA404" s="8">
        <v>12244834</v>
      </c>
      <c r="AD404" s="8">
        <f t="shared" si="50"/>
        <v>0</v>
      </c>
      <c r="AF404" s="8">
        <f t="shared" si="49"/>
        <v>0</v>
      </c>
    </row>
    <row r="405" spans="1:32" hidden="1">
      <c r="A405" s="12" t="s">
        <v>959</v>
      </c>
      <c r="B405" s="12"/>
      <c r="C405" s="12" t="s">
        <v>583</v>
      </c>
      <c r="D405" s="12"/>
      <c r="E405" s="32">
        <v>45575</v>
      </c>
      <c r="G405" s="8">
        <f t="shared" si="51"/>
        <v>0</v>
      </c>
      <c r="M405" s="8">
        <f t="shared" si="47"/>
        <v>0</v>
      </c>
      <c r="W405" s="8">
        <f t="shared" si="52"/>
        <v>0</v>
      </c>
      <c r="AD405" s="8">
        <f t="shared" si="50"/>
        <v>0</v>
      </c>
      <c r="AF405" s="35">
        <f t="shared" si="49"/>
        <v>0</v>
      </c>
    </row>
    <row r="406" spans="1:32">
      <c r="A406" s="12" t="s">
        <v>344</v>
      </c>
      <c r="B406" s="12"/>
      <c r="C406" s="12" t="s">
        <v>24</v>
      </c>
      <c r="D406" s="12"/>
      <c r="E406" s="32">
        <v>46813</v>
      </c>
      <c r="G406" s="8">
        <f t="shared" si="51"/>
        <v>20973188</v>
      </c>
      <c r="I406" s="8">
        <f>647925+760058+4845745</f>
        <v>6253728</v>
      </c>
      <c r="K406" s="8">
        <v>27226916</v>
      </c>
      <c r="M406" s="8">
        <f t="shared" si="47"/>
        <v>12519374</v>
      </c>
      <c r="O406" s="8">
        <v>318581</v>
      </c>
      <c r="Q406" s="8">
        <v>2857102</v>
      </c>
      <c r="S406" s="8">
        <v>15695057</v>
      </c>
      <c r="U406" s="8">
        <v>4233728</v>
      </c>
      <c r="W406" s="8">
        <f t="shared" si="52"/>
        <v>2748016</v>
      </c>
      <c r="Y406" s="8">
        <v>4550115</v>
      </c>
      <c r="AA406" s="8">
        <v>11531859</v>
      </c>
      <c r="AD406" s="8">
        <f t="shared" si="50"/>
        <v>0</v>
      </c>
      <c r="AF406" s="35">
        <f t="shared" si="49"/>
        <v>0</v>
      </c>
    </row>
    <row r="407" spans="1:32">
      <c r="A407" s="12" t="s">
        <v>213</v>
      </c>
      <c r="B407" s="12"/>
      <c r="C407" s="12" t="s">
        <v>41</v>
      </c>
      <c r="D407" s="12"/>
      <c r="E407" s="32">
        <v>47902</v>
      </c>
      <c r="G407" s="8">
        <f>+K407-I407</f>
        <v>55742473</v>
      </c>
      <c r="I407" s="8">
        <f>1200000+54340306</f>
        <v>55540306</v>
      </c>
      <c r="K407" s="8">
        <v>111282779</v>
      </c>
      <c r="M407" s="8">
        <f>+S407-O407-Q407</f>
        <v>26983945</v>
      </c>
      <c r="O407" s="8">
        <v>868004</v>
      </c>
      <c r="Q407" s="8">
        <v>3789971</v>
      </c>
      <c r="S407" s="8">
        <v>31641920</v>
      </c>
      <c r="U407" s="8">
        <v>53751215</v>
      </c>
      <c r="W407" s="8">
        <f>AA407-Y407-U407</f>
        <v>13722872</v>
      </c>
      <c r="Y407" s="8">
        <v>12166772</v>
      </c>
      <c r="AA407" s="8">
        <v>79640859</v>
      </c>
      <c r="AD407" s="8">
        <f t="shared" si="50"/>
        <v>0</v>
      </c>
      <c r="AF407" s="35">
        <f t="shared" si="49"/>
        <v>0</v>
      </c>
    </row>
    <row r="408" spans="1:32">
      <c r="A408" s="12" t="s">
        <v>213</v>
      </c>
      <c r="B408" s="12"/>
      <c r="C408" s="12" t="s">
        <v>62</v>
      </c>
      <c r="D408" s="12"/>
      <c r="E408" s="32">
        <v>49924</v>
      </c>
      <c r="G408" s="8">
        <f>+K408-I408</f>
        <v>49657935</v>
      </c>
      <c r="I408" s="8">
        <f>1366878+20916042</f>
        <v>22282920</v>
      </c>
      <c r="K408" s="8">
        <v>71940855</v>
      </c>
      <c r="M408" s="8">
        <f>+S408-O408-Q408</f>
        <v>24538716</v>
      </c>
      <c r="O408" s="8">
        <v>256679</v>
      </c>
      <c r="Q408" s="8">
        <v>4288208</v>
      </c>
      <c r="S408" s="8">
        <v>29083603</v>
      </c>
      <c r="U408" s="8">
        <v>21697920</v>
      </c>
      <c r="W408" s="8">
        <f>AA408-Y408-U408</f>
        <v>5100836</v>
      </c>
      <c r="Y408" s="8">
        <v>16058496</v>
      </c>
      <c r="AA408" s="8">
        <v>42857252</v>
      </c>
      <c r="AD408" s="8">
        <f t="shared" si="50"/>
        <v>0</v>
      </c>
      <c r="AF408" s="35">
        <f t="shared" si="49"/>
        <v>0</v>
      </c>
    </row>
    <row r="409" spans="1:32">
      <c r="A409" s="12" t="s">
        <v>744</v>
      </c>
      <c r="B409" s="12"/>
      <c r="C409" s="12" t="s">
        <v>72</v>
      </c>
      <c r="D409" s="12"/>
      <c r="E409" s="32">
        <v>45583</v>
      </c>
      <c r="F409" s="11"/>
      <c r="G409" s="8">
        <f>+K409-I409</f>
        <v>33261195</v>
      </c>
      <c r="I409" s="8">
        <f>42828335+1043788</f>
        <v>43872123</v>
      </c>
      <c r="K409" s="8">
        <v>77133318</v>
      </c>
      <c r="M409" s="8">
        <f>+S409-O409-Q409</f>
        <v>26735251</v>
      </c>
      <c r="O409" s="8">
        <v>2165069</v>
      </c>
      <c r="Q409" s="8">
        <v>36375336</v>
      </c>
      <c r="S409" s="8">
        <v>65275656</v>
      </c>
      <c r="U409" s="8">
        <v>10182960</v>
      </c>
      <c r="W409" s="8">
        <f>AA409-Y409-U409</f>
        <v>2920751</v>
      </c>
      <c r="Y409" s="8">
        <v>-1246049</v>
      </c>
      <c r="AA409" s="8">
        <v>11857662</v>
      </c>
      <c r="AD409" s="8">
        <f t="shared" si="50"/>
        <v>0</v>
      </c>
      <c r="AF409" s="35">
        <f t="shared" si="49"/>
        <v>0</v>
      </c>
    </row>
    <row r="410" spans="1:32">
      <c r="A410" s="12" t="s">
        <v>375</v>
      </c>
      <c r="B410" s="12"/>
      <c r="C410" s="12" t="s">
        <v>28</v>
      </c>
      <c r="D410" s="12"/>
      <c r="E410" s="32">
        <v>47076</v>
      </c>
      <c r="G410" s="8">
        <f>+K410-I410</f>
        <v>3038923</v>
      </c>
      <c r="I410" s="8">
        <f>275900+2593245</f>
        <v>2869145</v>
      </c>
      <c r="K410" s="8">
        <f>5908068</f>
        <v>5908068</v>
      </c>
      <c r="M410" s="8">
        <f>+S410-O410-Q410</f>
        <v>1783264</v>
      </c>
      <c r="O410" s="8">
        <v>1342</v>
      </c>
      <c r="Q410" s="8">
        <v>396301</v>
      </c>
      <c r="S410" s="8">
        <v>2180907</v>
      </c>
      <c r="U410" s="8">
        <v>2861762</v>
      </c>
      <c r="W410" s="8">
        <f>AA410-Y410-U410</f>
        <v>604664</v>
      </c>
      <c r="Y410" s="8">
        <v>260735</v>
      </c>
      <c r="AA410" s="8">
        <v>3727161</v>
      </c>
      <c r="AD410" s="8">
        <f t="shared" si="50"/>
        <v>0</v>
      </c>
      <c r="AF410" s="35">
        <f t="shared" si="49"/>
        <v>0</v>
      </c>
    </row>
    <row r="411" spans="1:32">
      <c r="A411" s="12" t="s">
        <v>353</v>
      </c>
      <c r="B411" s="12"/>
      <c r="C411" s="12" t="s">
        <v>25</v>
      </c>
      <c r="D411" s="12"/>
      <c r="E411" s="32">
        <v>46896</v>
      </c>
      <c r="G411" s="8">
        <f>+K411-I411</f>
        <v>130782889</v>
      </c>
      <c r="I411" s="8">
        <f>25081599+101276613</f>
        <v>126358212</v>
      </c>
      <c r="K411" s="8">
        <v>257141101</v>
      </c>
      <c r="M411" s="8">
        <f>+S411-O411-Q411</f>
        <v>50545988</v>
      </c>
      <c r="O411" s="8">
        <v>8584174</v>
      </c>
      <c r="Q411" s="8">
        <v>171053167</v>
      </c>
      <c r="S411" s="8">
        <v>230183329</v>
      </c>
      <c r="U411" s="8">
        <v>7887455</v>
      </c>
      <c r="W411" s="8">
        <f>AA411-Y411-U411</f>
        <v>26376454</v>
      </c>
      <c r="Y411" s="8">
        <v>-7306137</v>
      </c>
      <c r="AA411" s="8">
        <v>26957772</v>
      </c>
      <c r="AD411" s="8">
        <f t="shared" si="50"/>
        <v>0</v>
      </c>
      <c r="AF411" s="35">
        <f t="shared" si="49"/>
        <v>0</v>
      </c>
    </row>
    <row r="412" spans="1:32">
      <c r="A412" s="13" t="s">
        <v>376</v>
      </c>
      <c r="B412" s="13"/>
      <c r="C412" s="13" t="s">
        <v>28</v>
      </c>
      <c r="D412" s="13"/>
      <c r="E412" s="13">
        <v>47084</v>
      </c>
      <c r="G412" s="8">
        <f t="shared" ref="G412:G447" si="53">+K412-I412</f>
        <v>13434907</v>
      </c>
      <c r="I412" s="8">
        <f>970367+15991876</f>
        <v>16962243</v>
      </c>
      <c r="K412" s="8">
        <v>30397150</v>
      </c>
      <c r="M412" s="8">
        <f t="shared" ref="M412:M447" si="54">+S412-O412-Q412</f>
        <v>6802694</v>
      </c>
      <c r="O412" s="8">
        <v>589118</v>
      </c>
      <c r="Q412" s="8">
        <v>8086017</v>
      </c>
      <c r="S412" s="8">
        <v>15477829</v>
      </c>
      <c r="U412" s="8">
        <v>10441343</v>
      </c>
      <c r="W412" s="8">
        <f t="shared" ref="W412:W447" si="55">AA412-Y412-U412</f>
        <v>1218680</v>
      </c>
      <c r="Y412" s="8">
        <v>3259298</v>
      </c>
      <c r="AA412" s="8">
        <v>14919321</v>
      </c>
      <c r="AD412" s="8">
        <f t="shared" ref="AD412:AD478" si="56">+K412-S412-AA412</f>
        <v>0</v>
      </c>
      <c r="AF412" s="8">
        <f t="shared" ref="AF412:AF478" si="57">+G412+I412+-M412-O412-U412-W412-Y412-Q412</f>
        <v>0</v>
      </c>
    </row>
    <row r="414" spans="1:32">
      <c r="AA414" s="8" t="s">
        <v>819</v>
      </c>
    </row>
    <row r="415" spans="1:32" s="35" customFormat="1">
      <c r="A415" s="34" t="s">
        <v>548</v>
      </c>
      <c r="B415" s="34"/>
      <c r="C415" s="34" t="s">
        <v>48</v>
      </c>
      <c r="D415" s="34"/>
      <c r="E415" s="34">
        <v>44644</v>
      </c>
      <c r="G415" s="35">
        <f t="shared" ref="G415:G421" si="58">+K415-I415</f>
        <v>27141975</v>
      </c>
      <c r="I415" s="35">
        <f>415730+26009682</f>
        <v>26425412</v>
      </c>
      <c r="K415" s="35">
        <v>53567387</v>
      </c>
      <c r="M415" s="35">
        <f t="shared" ref="M415:M421" si="59">+S415-O415-Q415</f>
        <v>16813767</v>
      </c>
      <c r="O415" s="35">
        <v>600384</v>
      </c>
      <c r="Q415" s="35">
        <v>11145516</v>
      </c>
      <c r="S415" s="35">
        <v>28559667</v>
      </c>
      <c r="U415" s="35">
        <v>17911256</v>
      </c>
      <c r="W415" s="35">
        <f t="shared" ref="W415:W421" si="60">AA415-Y415-U415</f>
        <v>2832729</v>
      </c>
      <c r="Y415" s="35">
        <v>4263735</v>
      </c>
      <c r="AA415" s="35">
        <v>25007720</v>
      </c>
      <c r="AD415" s="35">
        <f t="shared" ref="AD415:AD421" si="61">+K415-S415-AA415</f>
        <v>0</v>
      </c>
      <c r="AF415" s="35">
        <f t="shared" ref="AF415:AF421" si="62">+G415+I415+-M415-O415-U415-W415-Y415-Q415</f>
        <v>0</v>
      </c>
    </row>
    <row r="416" spans="1:32" hidden="1">
      <c r="A416" s="12" t="s">
        <v>958</v>
      </c>
      <c r="B416" s="12"/>
      <c r="C416" s="12" t="s">
        <v>27</v>
      </c>
      <c r="D416" s="12"/>
      <c r="E416" s="32">
        <v>46995</v>
      </c>
      <c r="G416" s="8">
        <f t="shared" si="58"/>
        <v>0</v>
      </c>
      <c r="M416" s="8">
        <f t="shared" si="59"/>
        <v>0</v>
      </c>
      <c r="W416" s="8">
        <f t="shared" si="60"/>
        <v>0</v>
      </c>
      <c r="AD416" s="8">
        <f t="shared" si="61"/>
        <v>0</v>
      </c>
      <c r="AF416" s="35">
        <f t="shared" si="62"/>
        <v>0</v>
      </c>
    </row>
    <row r="417" spans="1:32">
      <c r="A417" s="12" t="s">
        <v>365</v>
      </c>
      <c r="B417" s="12"/>
      <c r="C417" s="12" t="s">
        <v>62</v>
      </c>
      <c r="D417" s="12"/>
      <c r="E417" s="32">
        <v>49932</v>
      </c>
      <c r="G417" s="8">
        <f t="shared" si="58"/>
        <v>46530034</v>
      </c>
      <c r="I417" s="8">
        <f>2370360+67799345</f>
        <v>70169705</v>
      </c>
      <c r="K417" s="8">
        <v>116699739</v>
      </c>
      <c r="M417" s="8">
        <f t="shared" si="59"/>
        <v>32447502</v>
      </c>
      <c r="O417" s="8">
        <v>2377249</v>
      </c>
      <c r="Q417" s="8">
        <v>59700316</v>
      </c>
      <c r="S417" s="8">
        <v>94525067</v>
      </c>
      <c r="U417" s="8">
        <v>12957382</v>
      </c>
      <c r="W417" s="8">
        <f t="shared" si="60"/>
        <v>3485462</v>
      </c>
      <c r="Y417" s="8">
        <v>5731828</v>
      </c>
      <c r="AA417" s="8">
        <v>22174672</v>
      </c>
      <c r="AD417" s="8">
        <f t="shared" si="61"/>
        <v>0</v>
      </c>
      <c r="AF417" s="35">
        <f t="shared" si="62"/>
        <v>0</v>
      </c>
    </row>
    <row r="418" spans="1:32">
      <c r="A418" s="12" t="s">
        <v>528</v>
      </c>
      <c r="B418" s="12"/>
      <c r="C418" s="12" t="s">
        <v>46</v>
      </c>
      <c r="D418" s="12"/>
      <c r="E418" s="32">
        <v>48421</v>
      </c>
      <c r="G418" s="8">
        <f t="shared" si="58"/>
        <v>10052711</v>
      </c>
      <c r="I418" s="8">
        <f>424836+7475525</f>
        <v>7900361</v>
      </c>
      <c r="K418" s="8">
        <v>17953072</v>
      </c>
      <c r="M418" s="8">
        <f t="shared" si="59"/>
        <v>4136057</v>
      </c>
      <c r="O418" s="8">
        <v>380664</v>
      </c>
      <c r="Q418" s="8">
        <v>2950438</v>
      </c>
      <c r="S418" s="8">
        <v>7467159</v>
      </c>
      <c r="U418" s="8">
        <v>5195879</v>
      </c>
      <c r="W418" s="8">
        <f t="shared" si="60"/>
        <v>1048954</v>
      </c>
      <c r="Y418" s="8">
        <v>4241080</v>
      </c>
      <c r="AA418" s="8">
        <v>10485913</v>
      </c>
      <c r="AD418" s="8">
        <f t="shared" si="61"/>
        <v>0</v>
      </c>
      <c r="AF418" s="35">
        <f t="shared" si="62"/>
        <v>0</v>
      </c>
    </row>
    <row r="419" spans="1:32">
      <c r="A419" s="12" t="s">
        <v>619</v>
      </c>
      <c r="B419" s="12"/>
      <c r="C419" s="12" t="s">
        <v>113</v>
      </c>
      <c r="D419" s="12"/>
      <c r="E419" s="32">
        <v>49460</v>
      </c>
      <c r="G419" s="8">
        <f t="shared" si="58"/>
        <v>10225667</v>
      </c>
      <c r="I419" s="8">
        <f>914810+7506390+10906641</f>
        <v>19327841</v>
      </c>
      <c r="K419" s="8">
        <v>29553508</v>
      </c>
      <c r="M419" s="8">
        <f t="shared" si="59"/>
        <v>2538323</v>
      </c>
      <c r="O419" s="8">
        <v>166171</v>
      </c>
      <c r="Q419" s="8">
        <v>2465053</v>
      </c>
      <c r="S419" s="8">
        <v>5169547</v>
      </c>
      <c r="U419" s="8">
        <v>17201839</v>
      </c>
      <c r="W419" s="8">
        <f t="shared" si="60"/>
        <v>4736896</v>
      </c>
      <c r="Y419" s="8">
        <v>2445226</v>
      </c>
      <c r="AA419" s="8">
        <v>24383961</v>
      </c>
      <c r="AD419" s="8">
        <f t="shared" si="61"/>
        <v>0</v>
      </c>
      <c r="AF419" s="35">
        <f t="shared" si="62"/>
        <v>0</v>
      </c>
    </row>
    <row r="420" spans="1:32">
      <c r="A420" s="12" t="s">
        <v>520</v>
      </c>
      <c r="B420" s="12"/>
      <c r="C420" s="12" t="s">
        <v>45</v>
      </c>
      <c r="D420" s="12"/>
      <c r="E420" s="32">
        <v>48348</v>
      </c>
      <c r="G420" s="8">
        <f t="shared" si="58"/>
        <v>19233668</v>
      </c>
      <c r="I420" s="8">
        <f>304780+9830572</f>
        <v>10135352</v>
      </c>
      <c r="K420" s="8">
        <f>29369020</f>
        <v>29369020</v>
      </c>
      <c r="M420" s="8">
        <f t="shared" si="59"/>
        <v>15936330</v>
      </c>
      <c r="O420" s="8">
        <v>863920</v>
      </c>
      <c r="Q420" s="8">
        <v>11394933</v>
      </c>
      <c r="S420" s="8">
        <v>28195183</v>
      </c>
      <c r="U420" s="8">
        <v>-82964</v>
      </c>
      <c r="W420" s="8">
        <f t="shared" si="60"/>
        <v>1382033</v>
      </c>
      <c r="Y420" s="8">
        <v>-125232</v>
      </c>
      <c r="AA420" s="8">
        <v>1173837</v>
      </c>
      <c r="AD420" s="8">
        <f t="shared" si="61"/>
        <v>0</v>
      </c>
      <c r="AF420" s="35">
        <f t="shared" si="62"/>
        <v>0</v>
      </c>
    </row>
    <row r="421" spans="1:32">
      <c r="A421" s="12" t="s">
        <v>582</v>
      </c>
      <c r="B421" s="12"/>
      <c r="C421" s="12" t="s">
        <v>53</v>
      </c>
      <c r="D421" s="12"/>
      <c r="E421" s="32">
        <v>44651</v>
      </c>
      <c r="G421" s="8">
        <f t="shared" si="58"/>
        <v>26494580</v>
      </c>
      <c r="I421" s="8">
        <f>58517+3278981</f>
        <v>3337498</v>
      </c>
      <c r="K421" s="8">
        <v>29832078</v>
      </c>
      <c r="M421" s="8">
        <f t="shared" si="59"/>
        <v>15440853</v>
      </c>
      <c r="O421" s="8">
        <v>959293</v>
      </c>
      <c r="Q421" s="8">
        <v>3369931</v>
      </c>
      <c r="S421" s="8">
        <v>19770077</v>
      </c>
      <c r="U421" s="8">
        <v>2021435</v>
      </c>
      <c r="W421" s="8">
        <f t="shared" si="60"/>
        <v>4058829</v>
      </c>
      <c r="Y421" s="8">
        <v>3981737</v>
      </c>
      <c r="AA421" s="8">
        <v>10062001</v>
      </c>
      <c r="AD421" s="8">
        <f t="shared" si="61"/>
        <v>0</v>
      </c>
      <c r="AF421" s="35">
        <f t="shared" si="62"/>
        <v>0</v>
      </c>
    </row>
    <row r="422" spans="1:32">
      <c r="A422" s="13" t="s">
        <v>636</v>
      </c>
      <c r="B422" s="13"/>
      <c r="C422" s="13" t="s">
        <v>59</v>
      </c>
      <c r="D422" s="13"/>
      <c r="E422" s="13">
        <v>44669</v>
      </c>
      <c r="G422" s="8">
        <f t="shared" si="53"/>
        <v>15810320</v>
      </c>
      <c r="I422" s="8">
        <f>5875593+56327160</f>
        <v>62202753</v>
      </c>
      <c r="K422" s="8">
        <v>78013073</v>
      </c>
      <c r="M422" s="8">
        <f t="shared" si="54"/>
        <v>8603912</v>
      </c>
      <c r="O422" s="8">
        <v>714739</v>
      </c>
      <c r="Q422" s="8">
        <v>16243719</v>
      </c>
      <c r="S422" s="8">
        <v>25562370</v>
      </c>
      <c r="U422" s="8">
        <v>48373156</v>
      </c>
      <c r="W422" s="8">
        <f t="shared" si="55"/>
        <v>4666717</v>
      </c>
      <c r="Y422" s="8">
        <v>-589170</v>
      </c>
      <c r="AA422" s="8">
        <v>52450703</v>
      </c>
      <c r="AD422" s="8">
        <f t="shared" si="56"/>
        <v>0</v>
      </c>
      <c r="AF422" s="8">
        <f t="shared" si="57"/>
        <v>0</v>
      </c>
    </row>
    <row r="423" spans="1:32" hidden="1">
      <c r="A423" s="12" t="s">
        <v>605</v>
      </c>
      <c r="B423" s="12"/>
      <c r="C423" s="12" t="s">
        <v>57</v>
      </c>
      <c r="D423" s="12"/>
      <c r="E423" s="32">
        <v>49288</v>
      </c>
      <c r="G423" s="8">
        <f t="shared" si="53"/>
        <v>0</v>
      </c>
      <c r="I423" s="8">
        <v>0</v>
      </c>
      <c r="K423" s="8">
        <v>0</v>
      </c>
      <c r="M423" s="8">
        <f t="shared" si="54"/>
        <v>0</v>
      </c>
      <c r="O423" s="8">
        <v>0</v>
      </c>
      <c r="Q423" s="8">
        <v>0</v>
      </c>
      <c r="S423" s="8">
        <v>0</v>
      </c>
      <c r="U423" s="8">
        <v>0</v>
      </c>
      <c r="W423" s="8">
        <f t="shared" si="55"/>
        <v>0</v>
      </c>
      <c r="Y423" s="8">
        <v>0</v>
      </c>
      <c r="AA423" s="8">
        <v>0</v>
      </c>
      <c r="AD423" s="8">
        <f t="shared" si="56"/>
        <v>0</v>
      </c>
      <c r="AF423" s="35">
        <f t="shared" si="57"/>
        <v>0</v>
      </c>
    </row>
    <row r="424" spans="1:32">
      <c r="A424" s="12" t="s">
        <v>410</v>
      </c>
      <c r="B424" s="12"/>
      <c r="C424" s="12" t="s">
        <v>32</v>
      </c>
      <c r="D424" s="12"/>
      <c r="E424" s="32">
        <v>44677</v>
      </c>
      <c r="G424" s="8">
        <f t="shared" si="53"/>
        <v>99560281</v>
      </c>
      <c r="I424" s="8">
        <f>5382961+95371244</f>
        <v>100754205</v>
      </c>
      <c r="K424" s="8">
        <v>200314486</v>
      </c>
      <c r="M424" s="8">
        <f>+S424-O424-Q424</f>
        <v>55729557</v>
      </c>
      <c r="O424" s="8">
        <v>2318543</v>
      </c>
      <c r="Q424" s="8">
        <v>82399445</v>
      </c>
      <c r="S424" s="8">
        <v>140447545</v>
      </c>
      <c r="U424" s="8">
        <v>82399445</v>
      </c>
      <c r="W424" s="8">
        <f t="shared" si="55"/>
        <v>-54753617</v>
      </c>
      <c r="Y424" s="8">
        <v>32221113</v>
      </c>
      <c r="AA424" s="8">
        <v>59866941</v>
      </c>
      <c r="AD424" s="8">
        <f t="shared" si="56"/>
        <v>0</v>
      </c>
      <c r="AF424" s="35">
        <f t="shared" si="57"/>
        <v>0</v>
      </c>
    </row>
    <row r="425" spans="1:32">
      <c r="A425" s="12" t="s">
        <v>224</v>
      </c>
      <c r="B425" s="12"/>
      <c r="C425" s="12" t="s">
        <v>12</v>
      </c>
      <c r="D425" s="12"/>
      <c r="E425" s="32">
        <v>45880</v>
      </c>
      <c r="G425" s="8">
        <f t="shared" si="53"/>
        <v>9016182</v>
      </c>
      <c r="I425" s="8">
        <f>478147+26886174</f>
        <v>27364321</v>
      </c>
      <c r="K425" s="8">
        <v>36380503</v>
      </c>
      <c r="M425" s="8">
        <f t="shared" si="54"/>
        <v>4225200</v>
      </c>
      <c r="O425" s="8">
        <v>589785</v>
      </c>
      <c r="Q425" s="8">
        <v>7209858</v>
      </c>
      <c r="S425" s="8">
        <v>12024843</v>
      </c>
      <c r="U425" s="8">
        <v>20748440</v>
      </c>
      <c r="W425" s="8">
        <f t="shared" si="55"/>
        <v>2408602</v>
      </c>
      <c r="Y425" s="8">
        <v>1198618</v>
      </c>
      <c r="AA425" s="8">
        <v>24355660</v>
      </c>
      <c r="AD425" s="8">
        <f t="shared" si="56"/>
        <v>0</v>
      </c>
      <c r="AF425" s="35">
        <f t="shared" si="57"/>
        <v>0</v>
      </c>
    </row>
    <row r="426" spans="1:32">
      <c r="A426" s="12" t="s">
        <v>903</v>
      </c>
      <c r="B426" s="12"/>
      <c r="C426" s="12" t="s">
        <v>56</v>
      </c>
      <c r="D426" s="12"/>
      <c r="E426" s="32"/>
      <c r="G426" s="8">
        <f t="shared" si="53"/>
        <v>47702061</v>
      </c>
      <c r="I426" s="8">
        <f>2521375+6177612</f>
        <v>8698987</v>
      </c>
      <c r="K426" s="8">
        <v>56401048</v>
      </c>
      <c r="M426" s="8">
        <f t="shared" si="54"/>
        <v>15975966</v>
      </c>
      <c r="O426" s="8">
        <v>770528</v>
      </c>
      <c r="Q426" s="8">
        <v>22140608</v>
      </c>
      <c r="S426" s="8">
        <v>38887102</v>
      </c>
      <c r="U426" s="8">
        <v>2396512</v>
      </c>
      <c r="W426" s="8">
        <f t="shared" si="55"/>
        <v>16679058</v>
      </c>
      <c r="Y426" s="8">
        <v>-1561624</v>
      </c>
      <c r="AA426" s="8">
        <v>17513946</v>
      </c>
      <c r="AD426" s="8">
        <f t="shared" si="56"/>
        <v>0</v>
      </c>
      <c r="AF426" s="35">
        <f t="shared" si="57"/>
        <v>0</v>
      </c>
    </row>
    <row r="427" spans="1:32">
      <c r="A427" s="12" t="s">
        <v>411</v>
      </c>
      <c r="B427" s="12"/>
      <c r="C427" s="12" t="s">
        <v>32</v>
      </c>
      <c r="D427" s="12"/>
      <c r="E427" s="32">
        <v>44693</v>
      </c>
      <c r="G427" s="8">
        <f t="shared" si="53"/>
        <v>9479406</v>
      </c>
      <c r="I427" s="8">
        <f>419344+1745943</f>
        <v>2165287</v>
      </c>
      <c r="K427" s="8">
        <v>11644693</v>
      </c>
      <c r="M427" s="8">
        <f t="shared" si="54"/>
        <v>5768153</v>
      </c>
      <c r="O427" s="8">
        <v>201320</v>
      </c>
      <c r="Q427" s="8">
        <v>1360165</v>
      </c>
      <c r="S427" s="8">
        <v>7329638</v>
      </c>
      <c r="U427" s="8">
        <v>1763412</v>
      </c>
      <c r="W427" s="8">
        <f t="shared" si="55"/>
        <v>651320</v>
      </c>
      <c r="Y427" s="8">
        <v>1900323</v>
      </c>
      <c r="AA427" s="8">
        <v>4315055</v>
      </c>
      <c r="AD427" s="8">
        <f t="shared" si="56"/>
        <v>0</v>
      </c>
      <c r="AF427" s="35">
        <f t="shared" si="57"/>
        <v>0</v>
      </c>
    </row>
    <row r="428" spans="1:32">
      <c r="A428" s="12" t="s">
        <v>675</v>
      </c>
      <c r="B428" s="12"/>
      <c r="C428" s="12" t="s">
        <v>63</v>
      </c>
      <c r="D428" s="12"/>
      <c r="E428" s="32">
        <v>50054</v>
      </c>
      <c r="G428" s="8">
        <f t="shared" si="53"/>
        <v>47388783</v>
      </c>
      <c r="I428" s="8">
        <f>199942+15114470</f>
        <v>15314412</v>
      </c>
      <c r="K428" s="8">
        <v>62703195</v>
      </c>
      <c r="M428" s="8">
        <f t="shared" si="54"/>
        <v>27032641</v>
      </c>
      <c r="O428" s="8">
        <v>1018436</v>
      </c>
      <c r="Q428" s="8">
        <v>11600421</v>
      </c>
      <c r="S428" s="8">
        <v>39651498</v>
      </c>
      <c r="U428" s="8">
        <v>7004524</v>
      </c>
      <c r="W428" s="8">
        <f t="shared" si="55"/>
        <v>2903851</v>
      </c>
      <c r="Y428" s="8">
        <v>13143322</v>
      </c>
      <c r="AA428" s="8">
        <v>23051697</v>
      </c>
      <c r="AD428" s="8">
        <f t="shared" si="56"/>
        <v>0</v>
      </c>
      <c r="AF428" s="35">
        <f t="shared" si="57"/>
        <v>0</v>
      </c>
    </row>
    <row r="429" spans="1:32">
      <c r="A429" s="12" t="s">
        <v>366</v>
      </c>
      <c r="B429" s="12"/>
      <c r="C429" s="12" t="s">
        <v>27</v>
      </c>
      <c r="D429" s="12"/>
      <c r="E429" s="32">
        <v>47001</v>
      </c>
      <c r="F429" s="11"/>
      <c r="G429" s="8">
        <f t="shared" si="53"/>
        <v>97385496</v>
      </c>
      <c r="I429" s="8">
        <v>77579222</v>
      </c>
      <c r="K429" s="8">
        <v>174964718</v>
      </c>
      <c r="M429" s="8">
        <f t="shared" si="54"/>
        <v>28391158</v>
      </c>
      <c r="O429" s="8">
        <v>59340065</v>
      </c>
      <c r="Q429" s="8">
        <v>67066273</v>
      </c>
      <c r="S429" s="8">
        <v>154797496</v>
      </c>
      <c r="U429" s="8">
        <v>15658761</v>
      </c>
      <c r="W429" s="8">
        <f t="shared" si="55"/>
        <v>4331815</v>
      </c>
      <c r="Y429" s="8">
        <v>176646</v>
      </c>
      <c r="AA429" s="8">
        <v>20167222</v>
      </c>
      <c r="AD429" s="8">
        <f t="shared" si="56"/>
        <v>0</v>
      </c>
      <c r="AF429" s="35">
        <f t="shared" si="57"/>
        <v>0</v>
      </c>
    </row>
    <row r="430" spans="1:32" hidden="1">
      <c r="A430" s="12" t="s">
        <v>957</v>
      </c>
      <c r="B430" s="12"/>
      <c r="C430" s="12" t="s">
        <v>20</v>
      </c>
      <c r="D430" s="12"/>
      <c r="E430" s="32">
        <v>46599</v>
      </c>
      <c r="G430" s="8">
        <f t="shared" si="53"/>
        <v>0</v>
      </c>
      <c r="M430" s="8">
        <f t="shared" si="54"/>
        <v>0</v>
      </c>
      <c r="W430" s="8">
        <f t="shared" si="55"/>
        <v>0</v>
      </c>
      <c r="AD430" s="8">
        <f t="shared" si="56"/>
        <v>0</v>
      </c>
      <c r="AF430" s="35">
        <f t="shared" si="57"/>
        <v>0</v>
      </c>
    </row>
    <row r="431" spans="1:32">
      <c r="A431" s="12" t="s">
        <v>529</v>
      </c>
      <c r="B431" s="12"/>
      <c r="C431" s="12" t="s">
        <v>46</v>
      </c>
      <c r="D431" s="12"/>
      <c r="E431" s="32">
        <v>48439</v>
      </c>
      <c r="G431" s="8">
        <f t="shared" si="53"/>
        <v>5008090</v>
      </c>
      <c r="I431" s="8">
        <f>50442+1975424</f>
        <v>2025866</v>
      </c>
      <c r="K431" s="8">
        <v>7033956</v>
      </c>
      <c r="M431" s="8">
        <f t="shared" si="54"/>
        <v>2566240</v>
      </c>
      <c r="O431" s="8">
        <v>110433</v>
      </c>
      <c r="Q431" s="8">
        <v>619490</v>
      </c>
      <c r="S431" s="8">
        <v>3296163</v>
      </c>
      <c r="U431" s="8">
        <v>1776229</v>
      </c>
      <c r="W431" s="8">
        <f t="shared" si="55"/>
        <v>500958</v>
      </c>
      <c r="Y431" s="8">
        <v>1460606</v>
      </c>
      <c r="AA431" s="8">
        <v>3737793</v>
      </c>
      <c r="AD431" s="8">
        <f t="shared" si="56"/>
        <v>0</v>
      </c>
      <c r="AF431" s="35">
        <f t="shared" si="57"/>
        <v>0</v>
      </c>
    </row>
    <row r="432" spans="1:32">
      <c r="A432" s="12" t="s">
        <v>429</v>
      </c>
      <c r="B432" s="12"/>
      <c r="C432" s="12" t="s">
        <v>426</v>
      </c>
      <c r="D432" s="12"/>
      <c r="E432" s="32">
        <v>47506</v>
      </c>
      <c r="G432" s="8">
        <f t="shared" si="53"/>
        <v>2830896</v>
      </c>
      <c r="I432" s="8">
        <f>78259+2081700</f>
        <v>2159959</v>
      </c>
      <c r="K432" s="8">
        <v>4990855</v>
      </c>
      <c r="M432" s="8">
        <f t="shared" si="54"/>
        <v>1523283</v>
      </c>
      <c r="O432" s="8">
        <v>204687</v>
      </c>
      <c r="Q432" s="8">
        <v>1104880</v>
      </c>
      <c r="S432" s="8">
        <v>2832850</v>
      </c>
      <c r="U432" s="8">
        <v>1059599</v>
      </c>
      <c r="W432" s="8">
        <f t="shared" si="55"/>
        <v>274669</v>
      </c>
      <c r="Y432" s="8">
        <v>823737</v>
      </c>
      <c r="AA432" s="8">
        <v>2158005</v>
      </c>
      <c r="AD432" s="8">
        <f t="shared" si="56"/>
        <v>0</v>
      </c>
      <c r="AF432" s="35">
        <f t="shared" si="57"/>
        <v>0</v>
      </c>
    </row>
    <row r="433" spans="1:32">
      <c r="A433" s="12" t="s">
        <v>292</v>
      </c>
      <c r="B433" s="12"/>
      <c r="C433" s="12" t="s">
        <v>19</v>
      </c>
      <c r="D433" s="12"/>
      <c r="E433" s="32">
        <v>46474</v>
      </c>
      <c r="G433" s="8">
        <f t="shared" si="53"/>
        <v>8784528</v>
      </c>
      <c r="I433" s="8">
        <f>194966+17303024</f>
        <v>17497990</v>
      </c>
      <c r="K433" s="8">
        <v>26282518</v>
      </c>
      <c r="M433" s="8">
        <f t="shared" si="54"/>
        <v>4135792</v>
      </c>
      <c r="O433" s="8">
        <v>278878</v>
      </c>
      <c r="Q433" s="8">
        <v>4189605</v>
      </c>
      <c r="S433" s="8">
        <v>8604275</v>
      </c>
      <c r="U433" s="8">
        <v>14058993</v>
      </c>
      <c r="W433" s="8">
        <f t="shared" si="55"/>
        <v>1095675</v>
      </c>
      <c r="Y433" s="8">
        <v>2523575</v>
      </c>
      <c r="AA433" s="8">
        <v>17678243</v>
      </c>
      <c r="AD433" s="8">
        <f t="shared" si="56"/>
        <v>0</v>
      </c>
      <c r="AF433" s="35">
        <f t="shared" si="57"/>
        <v>0</v>
      </c>
    </row>
    <row r="434" spans="1:32">
      <c r="A434" s="12" t="s">
        <v>904</v>
      </c>
      <c r="B434" s="12"/>
      <c r="C434" s="12" t="s">
        <v>77</v>
      </c>
      <c r="D434" s="12"/>
      <c r="E434" s="32">
        <v>46078</v>
      </c>
      <c r="G434" s="8">
        <f t="shared" si="53"/>
        <v>6895707</v>
      </c>
      <c r="I434" s="8">
        <f>289313+31167335</f>
        <v>31456648</v>
      </c>
      <c r="K434" s="8">
        <v>38352355</v>
      </c>
      <c r="M434" s="8">
        <f t="shared" si="54"/>
        <v>3215085</v>
      </c>
      <c r="O434" s="8">
        <v>343559</v>
      </c>
      <c r="Q434" s="8">
        <v>3502056</v>
      </c>
      <c r="S434" s="8">
        <v>7060700</v>
      </c>
      <c r="U434" s="8">
        <v>28274922</v>
      </c>
      <c r="W434" s="8">
        <f t="shared" si="55"/>
        <v>3474510</v>
      </c>
      <c r="Y434" s="8">
        <v>-457777</v>
      </c>
      <c r="AA434" s="8">
        <v>31291655</v>
      </c>
      <c r="AD434" s="8">
        <f t="shared" si="56"/>
        <v>0</v>
      </c>
      <c r="AF434" s="35">
        <f t="shared" si="57"/>
        <v>0</v>
      </c>
    </row>
    <row r="435" spans="1:32">
      <c r="A435" s="12" t="s">
        <v>730</v>
      </c>
      <c r="B435" s="12"/>
      <c r="C435" s="12" t="s">
        <v>71</v>
      </c>
      <c r="D435" s="12"/>
      <c r="E435" s="32">
        <v>45591</v>
      </c>
      <c r="G435" s="8">
        <f t="shared" si="53"/>
        <v>10343082</v>
      </c>
      <c r="I435" s="8">
        <f>142554+9417501</f>
        <v>9560055</v>
      </c>
      <c r="K435" s="8">
        <v>19903137</v>
      </c>
      <c r="M435" s="8">
        <f t="shared" si="54"/>
        <v>5051798</v>
      </c>
      <c r="O435" s="8">
        <v>335726</v>
      </c>
      <c r="Q435" s="8">
        <v>9388959</v>
      </c>
      <c r="S435" s="8">
        <v>14776483</v>
      </c>
      <c r="U435" s="8">
        <v>883444</v>
      </c>
      <c r="W435" s="8">
        <f t="shared" si="55"/>
        <v>2412558</v>
      </c>
      <c r="Y435" s="8">
        <v>1830652</v>
      </c>
      <c r="AA435" s="8">
        <v>5126654</v>
      </c>
      <c r="AD435" s="8">
        <f t="shared" si="56"/>
        <v>0</v>
      </c>
      <c r="AF435" s="35">
        <f t="shared" si="57"/>
        <v>0</v>
      </c>
    </row>
    <row r="436" spans="1:32">
      <c r="A436" s="12" t="s">
        <v>530</v>
      </c>
      <c r="B436" s="12"/>
      <c r="C436" s="12" t="s">
        <v>46</v>
      </c>
      <c r="D436" s="12"/>
      <c r="E436" s="32">
        <v>48447</v>
      </c>
      <c r="G436" s="8">
        <f t="shared" si="53"/>
        <v>17923557</v>
      </c>
      <c r="I436" s="8">
        <f>971089+38491432</f>
        <v>39462521</v>
      </c>
      <c r="K436" s="8">
        <v>57386078</v>
      </c>
      <c r="M436" s="8">
        <f t="shared" si="54"/>
        <v>5811384</v>
      </c>
      <c r="O436" s="8">
        <v>818748</v>
      </c>
      <c r="Q436" s="8">
        <v>16275596</v>
      </c>
      <c r="S436" s="8">
        <v>22905728</v>
      </c>
      <c r="U436" s="8">
        <v>23348263</v>
      </c>
      <c r="W436" s="8">
        <f t="shared" si="55"/>
        <v>3837058</v>
      </c>
      <c r="Y436" s="8">
        <v>7295029</v>
      </c>
      <c r="AA436" s="8">
        <v>34480350</v>
      </c>
      <c r="AD436" s="8">
        <f t="shared" si="56"/>
        <v>0</v>
      </c>
      <c r="AF436" s="35">
        <f t="shared" si="57"/>
        <v>0</v>
      </c>
    </row>
    <row r="437" spans="1:32">
      <c r="A437" s="12" t="s">
        <v>293</v>
      </c>
      <c r="B437" s="12"/>
      <c r="C437" s="12" t="s">
        <v>19</v>
      </c>
      <c r="D437" s="12"/>
      <c r="E437" s="32">
        <v>46482</v>
      </c>
      <c r="G437" s="8">
        <f t="shared" si="53"/>
        <v>17097030</v>
      </c>
      <c r="I437" s="8">
        <f>478659+5536589</f>
        <v>6015248</v>
      </c>
      <c r="K437" s="8">
        <v>23112278</v>
      </c>
      <c r="M437" s="8">
        <f t="shared" si="54"/>
        <v>10274095</v>
      </c>
      <c r="O437" s="8">
        <v>178474</v>
      </c>
      <c r="Q437" s="8">
        <v>2369493</v>
      </c>
      <c r="S437" s="8">
        <v>12822062</v>
      </c>
      <c r="U437" s="8">
        <v>4318059</v>
      </c>
      <c r="W437" s="8">
        <f t="shared" si="55"/>
        <v>2676144</v>
      </c>
      <c r="Y437" s="8">
        <v>3296013</v>
      </c>
      <c r="AA437" s="8">
        <v>10290216</v>
      </c>
      <c r="AD437" s="8">
        <f t="shared" si="56"/>
        <v>0</v>
      </c>
      <c r="AF437" s="35">
        <f t="shared" si="57"/>
        <v>0</v>
      </c>
    </row>
    <row r="438" spans="1:32">
      <c r="A438" s="12" t="s">
        <v>430</v>
      </c>
      <c r="B438" s="12"/>
      <c r="C438" s="12" t="s">
        <v>426</v>
      </c>
      <c r="D438" s="12"/>
      <c r="E438" s="32">
        <v>47514</v>
      </c>
      <c r="G438" s="8">
        <f t="shared" si="53"/>
        <v>6435737</v>
      </c>
      <c r="I438" s="8">
        <f>7929+20754341</f>
        <v>20762270</v>
      </c>
      <c r="K438" s="8">
        <v>27198007</v>
      </c>
      <c r="M438" s="8">
        <f t="shared" si="54"/>
        <v>2617382</v>
      </c>
      <c r="O438" s="8">
        <v>225000</v>
      </c>
      <c r="Q438" s="8">
        <v>5056609</v>
      </c>
      <c r="S438" s="8">
        <v>7898991</v>
      </c>
      <c r="U438" s="8">
        <v>15909272</v>
      </c>
      <c r="W438" s="8">
        <f t="shared" si="55"/>
        <v>2445213</v>
      </c>
      <c r="Y438" s="8">
        <v>944531</v>
      </c>
      <c r="AA438" s="8">
        <v>19299016</v>
      </c>
      <c r="AD438" s="8">
        <f t="shared" si="56"/>
        <v>0</v>
      </c>
      <c r="AF438" s="35">
        <f t="shared" si="57"/>
        <v>0</v>
      </c>
    </row>
    <row r="439" spans="1:32">
      <c r="A439" s="12" t="s">
        <v>488</v>
      </c>
      <c r="B439" s="12"/>
      <c r="C439" s="12" t="s">
        <v>41</v>
      </c>
      <c r="D439" s="12"/>
      <c r="E439" s="32"/>
      <c r="G439" s="8">
        <f t="shared" si="53"/>
        <v>43783388</v>
      </c>
      <c r="I439" s="8">
        <f>1495805+13968233</f>
        <v>15464038</v>
      </c>
      <c r="K439" s="8">
        <v>59247426</v>
      </c>
      <c r="M439" s="8">
        <f t="shared" si="54"/>
        <v>35098224</v>
      </c>
      <c r="O439" s="8">
        <v>980010</v>
      </c>
      <c r="Q439" s="8">
        <v>6454965</v>
      </c>
      <c r="S439" s="8">
        <v>42533199</v>
      </c>
      <c r="U439" s="8">
        <v>9302426</v>
      </c>
      <c r="W439" s="8">
        <f t="shared" si="55"/>
        <v>1908001</v>
      </c>
      <c r="Y439" s="8">
        <v>5503800</v>
      </c>
      <c r="AA439" s="8">
        <v>16714227</v>
      </c>
      <c r="AD439" s="8">
        <f t="shared" si="56"/>
        <v>0</v>
      </c>
      <c r="AF439" s="35">
        <f t="shared" si="57"/>
        <v>0</v>
      </c>
    </row>
    <row r="440" spans="1:32">
      <c r="A440" s="12" t="s">
        <v>488</v>
      </c>
      <c r="B440" s="12"/>
      <c r="C440" s="12" t="s">
        <v>43</v>
      </c>
      <c r="D440" s="12"/>
      <c r="E440" s="32">
        <v>48090</v>
      </c>
      <c r="G440" s="8">
        <f t="shared" si="53"/>
        <v>3448117</v>
      </c>
      <c r="I440" s="8">
        <f>11423+12928351</f>
        <v>12939774</v>
      </c>
      <c r="K440" s="8">
        <f>16387891</f>
        <v>16387891</v>
      </c>
      <c r="M440" s="8">
        <f t="shared" si="54"/>
        <v>2390717</v>
      </c>
      <c r="O440" s="8">
        <v>184039</v>
      </c>
      <c r="Q440" s="8">
        <v>2600499</v>
      </c>
      <c r="S440" s="8">
        <v>5175255</v>
      </c>
      <c r="U440" s="8">
        <v>10882957</v>
      </c>
      <c r="W440" s="8">
        <f t="shared" si="55"/>
        <v>420922</v>
      </c>
      <c r="Y440" s="8">
        <v>-91243</v>
      </c>
      <c r="AA440" s="8">
        <v>11212636</v>
      </c>
      <c r="AD440" s="8">
        <f t="shared" si="56"/>
        <v>0</v>
      </c>
      <c r="AF440" s="35">
        <f t="shared" si="57"/>
        <v>0</v>
      </c>
    </row>
    <row r="441" spans="1:32">
      <c r="A441" s="12" t="s">
        <v>475</v>
      </c>
      <c r="B441" s="12"/>
      <c r="C441" s="12" t="s">
        <v>471</v>
      </c>
      <c r="D441" s="12"/>
      <c r="E441" s="32">
        <v>47944</v>
      </c>
      <c r="G441" s="8">
        <f t="shared" si="53"/>
        <v>15402938</v>
      </c>
      <c r="I441" s="8">
        <f>2384642+37730688</f>
        <v>40115330</v>
      </c>
      <c r="K441" s="8">
        <v>55518268</v>
      </c>
      <c r="M441" s="8">
        <f t="shared" si="54"/>
        <v>7190644</v>
      </c>
      <c r="O441" s="8">
        <v>64439</v>
      </c>
      <c r="Q441" s="8">
        <v>1005119</v>
      </c>
      <c r="S441" s="8">
        <v>8260202</v>
      </c>
      <c r="U441" s="8">
        <v>40115330</v>
      </c>
      <c r="W441" s="8">
        <f t="shared" si="55"/>
        <v>5664888</v>
      </c>
      <c r="Y441" s="8">
        <v>1477848</v>
      </c>
      <c r="AA441" s="8">
        <v>47258066</v>
      </c>
      <c r="AD441" s="8">
        <f t="shared" si="56"/>
        <v>0</v>
      </c>
      <c r="AF441" s="35">
        <f t="shared" si="57"/>
        <v>0</v>
      </c>
    </row>
    <row r="442" spans="1:32">
      <c r="A442" s="12" t="s">
        <v>323</v>
      </c>
      <c r="B442" s="12"/>
      <c r="C442" s="12" t="s">
        <v>20</v>
      </c>
      <c r="D442" s="12"/>
      <c r="E442" s="32">
        <v>44701</v>
      </c>
      <c r="G442" s="8">
        <f t="shared" si="53"/>
        <v>32254966</v>
      </c>
      <c r="I442" s="8">
        <f>722230+25199581</f>
        <v>25921811</v>
      </c>
      <c r="K442" s="8">
        <v>58176777</v>
      </c>
      <c r="M442" s="8">
        <f t="shared" si="54"/>
        <v>27568373</v>
      </c>
      <c r="O442" s="8">
        <v>3263554</v>
      </c>
      <c r="Q442" s="8">
        <v>19205359</v>
      </c>
      <c r="S442" s="8">
        <v>50037286</v>
      </c>
      <c r="U442" s="8">
        <v>9384811</v>
      </c>
      <c r="W442" s="8">
        <f t="shared" si="55"/>
        <v>4928512</v>
      </c>
      <c r="Y442" s="8">
        <v>-6173832</v>
      </c>
      <c r="AA442" s="8">
        <v>8139491</v>
      </c>
      <c r="AD442" s="8">
        <f t="shared" si="56"/>
        <v>0</v>
      </c>
      <c r="AF442" s="35">
        <f t="shared" si="57"/>
        <v>0</v>
      </c>
    </row>
    <row r="443" spans="1:32">
      <c r="A443" s="12" t="s">
        <v>395</v>
      </c>
      <c r="B443" s="12"/>
      <c r="C443" s="12" t="s">
        <v>31</v>
      </c>
      <c r="D443" s="12"/>
      <c r="E443" s="32">
        <v>47308</v>
      </c>
      <c r="G443" s="8">
        <f t="shared" si="53"/>
        <v>9195297</v>
      </c>
      <c r="I443" s="8">
        <f>12078301+279502</f>
        <v>12357803</v>
      </c>
      <c r="K443" s="8">
        <v>21553100</v>
      </c>
      <c r="M443" s="8">
        <f t="shared" si="54"/>
        <v>5571814</v>
      </c>
      <c r="O443" s="8">
        <v>574180</v>
      </c>
      <c r="Q443" s="8">
        <v>1450100</v>
      </c>
      <c r="S443" s="8">
        <v>7596094</v>
      </c>
      <c r="U443" s="8">
        <v>12032803</v>
      </c>
      <c r="W443" s="8">
        <f t="shared" si="55"/>
        <v>1853086</v>
      </c>
      <c r="Y443" s="8">
        <v>71117</v>
      </c>
      <c r="AA443" s="8">
        <v>13957006</v>
      </c>
      <c r="AD443" s="8">
        <f t="shared" si="56"/>
        <v>0</v>
      </c>
      <c r="AF443" s="35">
        <f t="shared" si="57"/>
        <v>0</v>
      </c>
    </row>
    <row r="444" spans="1:32">
      <c r="A444" s="12" t="s">
        <v>600</v>
      </c>
      <c r="B444" s="12"/>
      <c r="C444" s="12" t="s">
        <v>56</v>
      </c>
      <c r="D444" s="12"/>
      <c r="E444" s="32">
        <v>49213</v>
      </c>
      <c r="G444" s="8">
        <f t="shared" si="53"/>
        <v>6342499</v>
      </c>
      <c r="I444" s="8">
        <f>779700+1717293</f>
        <v>2496993</v>
      </c>
      <c r="K444" s="8">
        <v>8839492</v>
      </c>
      <c r="M444" s="8">
        <f t="shared" si="54"/>
        <v>6205106</v>
      </c>
      <c r="O444" s="8">
        <v>336721</v>
      </c>
      <c r="Q444" s="8">
        <v>1010492</v>
      </c>
      <c r="S444" s="8">
        <v>7552319</v>
      </c>
      <c r="U444" s="8">
        <v>2496993</v>
      </c>
      <c r="W444" s="8">
        <f t="shared" si="55"/>
        <v>536867</v>
      </c>
      <c r="Y444" s="8">
        <v>-1746687</v>
      </c>
      <c r="AA444" s="8">
        <v>1287173</v>
      </c>
      <c r="AD444" s="8">
        <f t="shared" si="56"/>
        <v>0</v>
      </c>
      <c r="AF444" s="35">
        <f t="shared" si="57"/>
        <v>0</v>
      </c>
    </row>
    <row r="445" spans="1:32">
      <c r="A445" s="12" t="s">
        <v>254</v>
      </c>
      <c r="B445" s="12"/>
      <c r="C445" s="12" t="s">
        <v>246</v>
      </c>
      <c r="D445" s="12"/>
      <c r="E445" s="32">
        <v>46144</v>
      </c>
      <c r="G445" s="8">
        <f t="shared" si="53"/>
        <v>18314245</v>
      </c>
      <c r="I445" s="8">
        <f>1262525+34492666</f>
        <v>35755191</v>
      </c>
      <c r="K445" s="8">
        <v>54069436</v>
      </c>
      <c r="M445" s="8">
        <f t="shared" si="54"/>
        <v>12895519</v>
      </c>
      <c r="O445" s="8">
        <v>1278849</v>
      </c>
      <c r="Q445" s="8">
        <v>22447755</v>
      </c>
      <c r="S445" s="8">
        <v>36622123</v>
      </c>
      <c r="U445" s="8">
        <v>13365318</v>
      </c>
      <c r="W445" s="8">
        <f t="shared" si="55"/>
        <v>1770516</v>
      </c>
      <c r="Y445" s="8">
        <v>2311479</v>
      </c>
      <c r="AA445" s="8">
        <v>17447313</v>
      </c>
      <c r="AD445" s="8">
        <f t="shared" si="56"/>
        <v>0</v>
      </c>
      <c r="AF445" s="35">
        <f t="shared" si="57"/>
        <v>0</v>
      </c>
    </row>
    <row r="446" spans="1:32">
      <c r="A446" s="12" t="s">
        <v>745</v>
      </c>
      <c r="B446" s="12"/>
      <c r="C446" s="12" t="s">
        <v>72</v>
      </c>
      <c r="D446" s="12"/>
      <c r="E446" s="32">
        <v>45609</v>
      </c>
      <c r="G446" s="8">
        <f t="shared" si="53"/>
        <v>51369686</v>
      </c>
      <c r="I446" s="8">
        <f>408500+5602497</f>
        <v>6010997</v>
      </c>
      <c r="K446" s="8">
        <v>57380683</v>
      </c>
      <c r="M446" s="8">
        <f t="shared" si="54"/>
        <v>14788899</v>
      </c>
      <c r="O446" s="8">
        <v>243832</v>
      </c>
      <c r="Q446" s="8">
        <v>1843472</v>
      </c>
      <c r="S446" s="8">
        <v>16876203</v>
      </c>
      <c r="U446" s="8">
        <v>6010997</v>
      </c>
      <c r="W446" s="8">
        <f t="shared" si="55"/>
        <v>1022406</v>
      </c>
      <c r="Y446" s="8">
        <v>33471077</v>
      </c>
      <c r="AA446" s="8">
        <v>40504480</v>
      </c>
      <c r="AD446" s="8">
        <f>+K446-S446-AA446</f>
        <v>0</v>
      </c>
      <c r="AF446" s="35">
        <f t="shared" si="57"/>
        <v>0</v>
      </c>
    </row>
    <row r="447" spans="1:32">
      <c r="A447" s="12" t="s">
        <v>651</v>
      </c>
      <c r="B447" s="12"/>
      <c r="C447" s="12" t="s">
        <v>61</v>
      </c>
      <c r="D447" s="12"/>
      <c r="E447" s="32">
        <v>49817</v>
      </c>
      <c r="G447" s="8">
        <f t="shared" si="53"/>
        <v>3212680</v>
      </c>
      <c r="I447" s="8">
        <f>5480650+18000</f>
        <v>5498650</v>
      </c>
      <c r="K447" s="8">
        <v>8711330</v>
      </c>
      <c r="M447" s="8">
        <f t="shared" si="54"/>
        <v>1528977</v>
      </c>
      <c r="O447" s="8">
        <v>115000</v>
      </c>
      <c r="Q447" s="8">
        <v>4043092</v>
      </c>
      <c r="S447" s="8">
        <v>5687069</v>
      </c>
      <c r="U447" s="8">
        <v>1537397</v>
      </c>
      <c r="W447" s="8">
        <f t="shared" si="55"/>
        <v>572780</v>
      </c>
      <c r="Y447" s="8">
        <v>914084</v>
      </c>
      <c r="AA447" s="8">
        <v>3024261</v>
      </c>
      <c r="AD447" s="8">
        <f t="shared" si="56"/>
        <v>0</v>
      </c>
      <c r="AF447" s="35">
        <f t="shared" si="57"/>
        <v>0</v>
      </c>
    </row>
    <row r="448" spans="1:32">
      <c r="A448" s="12" t="s">
        <v>814</v>
      </c>
      <c r="B448" s="12"/>
      <c r="C448" s="12" t="s">
        <v>115</v>
      </c>
      <c r="D448" s="12"/>
      <c r="E448" s="32"/>
      <c r="G448" s="8">
        <f t="shared" ref="G448:G478" si="63">+K448-I448</f>
        <v>14993506</v>
      </c>
      <c r="I448" s="8">
        <v>5572404</v>
      </c>
      <c r="K448" s="8">
        <v>20565910</v>
      </c>
      <c r="M448" s="8">
        <f t="shared" ref="M448:M478" si="64">+S448-O448-Q448</f>
        <v>12662614</v>
      </c>
      <c r="O448" s="8">
        <v>763445</v>
      </c>
      <c r="Q448" s="8">
        <v>1986414</v>
      </c>
      <c r="S448" s="8">
        <v>15412473</v>
      </c>
      <c r="U448" s="8">
        <v>5567970</v>
      </c>
      <c r="W448" s="8">
        <f t="shared" ref="W448:W478" si="65">AA448-Y448-U448</f>
        <v>1253635</v>
      </c>
      <c r="Y448" s="8">
        <v>-1668168</v>
      </c>
      <c r="AA448" s="8">
        <v>5153437</v>
      </c>
      <c r="AD448" s="8">
        <f>+K448-S448-AA448</f>
        <v>0</v>
      </c>
      <c r="AF448" s="35">
        <f t="shared" si="57"/>
        <v>0</v>
      </c>
    </row>
    <row r="449" spans="1:32">
      <c r="A449" s="12" t="s">
        <v>345</v>
      </c>
      <c r="B449" s="12"/>
      <c r="C449" s="12" t="s">
        <v>24</v>
      </c>
      <c r="D449" s="12"/>
      <c r="E449" s="32">
        <v>44743</v>
      </c>
      <c r="F449" s="11"/>
      <c r="G449" s="8">
        <f t="shared" si="63"/>
        <v>32026089</v>
      </c>
      <c r="I449" s="8">
        <v>10327565</v>
      </c>
      <c r="K449" s="8">
        <v>42353654</v>
      </c>
      <c r="M449" s="8">
        <f t="shared" si="64"/>
        <v>24006473</v>
      </c>
      <c r="O449" s="8">
        <v>1520574</v>
      </c>
      <c r="Q449" s="8">
        <v>3367619</v>
      </c>
      <c r="S449" s="8">
        <v>28894666</v>
      </c>
      <c r="U449" s="8">
        <v>9733381</v>
      </c>
      <c r="W449" s="8">
        <f t="shared" si="65"/>
        <v>1661477</v>
      </c>
      <c r="Y449" s="8">
        <v>2064130</v>
      </c>
      <c r="AA449" s="8">
        <v>13458988</v>
      </c>
      <c r="AD449" s="8">
        <f t="shared" si="56"/>
        <v>0</v>
      </c>
      <c r="AF449" s="35">
        <f t="shared" si="57"/>
        <v>0</v>
      </c>
    </row>
    <row r="450" spans="1:32">
      <c r="A450" s="12" t="s">
        <v>665</v>
      </c>
      <c r="B450" s="12"/>
      <c r="C450" s="12" t="s">
        <v>62</v>
      </c>
      <c r="D450" s="12"/>
      <c r="E450" s="32">
        <v>49940</v>
      </c>
      <c r="G450" s="8">
        <f t="shared" si="63"/>
        <v>24814936</v>
      </c>
      <c r="I450" s="8">
        <f>30411576</f>
        <v>30411576</v>
      </c>
      <c r="K450" s="8">
        <v>55226512</v>
      </c>
      <c r="M450" s="8">
        <f t="shared" si="64"/>
        <v>8285055</v>
      </c>
      <c r="O450" s="8">
        <v>600812</v>
      </c>
      <c r="Q450" s="8">
        <v>12766011</v>
      </c>
      <c r="S450" s="8">
        <v>21651878</v>
      </c>
      <c r="U450" s="8">
        <v>26401448</v>
      </c>
      <c r="W450" s="8">
        <f t="shared" si="65"/>
        <v>6765762</v>
      </c>
      <c r="Y450" s="8">
        <v>407424</v>
      </c>
      <c r="AA450" s="8">
        <v>33574634</v>
      </c>
      <c r="AD450" s="8">
        <f t="shared" si="56"/>
        <v>0</v>
      </c>
      <c r="AF450" s="35">
        <f t="shared" si="57"/>
        <v>0</v>
      </c>
    </row>
    <row r="451" spans="1:32">
      <c r="A451" s="12" t="s">
        <v>592</v>
      </c>
      <c r="B451" s="12"/>
      <c r="C451" s="12" t="s">
        <v>55</v>
      </c>
      <c r="D451" s="12"/>
      <c r="E451" s="32"/>
      <c r="F451" s="11"/>
      <c r="G451" s="8">
        <f t="shared" si="63"/>
        <v>13864379</v>
      </c>
      <c r="I451" s="8">
        <f>830500+24638300</f>
        <v>25468800</v>
      </c>
      <c r="K451" s="8">
        <v>39333179</v>
      </c>
      <c r="M451" s="8">
        <f t="shared" si="64"/>
        <v>5022419</v>
      </c>
      <c r="O451" s="8">
        <v>75752</v>
      </c>
      <c r="Q451" s="8">
        <v>1464885</v>
      </c>
      <c r="S451" s="8">
        <v>6563056</v>
      </c>
      <c r="U451" s="8">
        <v>24618800</v>
      </c>
      <c r="W451" s="8">
        <f t="shared" si="65"/>
        <v>1303218</v>
      </c>
      <c r="Y451" s="8">
        <v>6848105</v>
      </c>
      <c r="AA451" s="8">
        <v>32770123</v>
      </c>
      <c r="AD451" s="8">
        <f>+K451-S451-AA451</f>
        <v>0</v>
      </c>
      <c r="AF451" s="35">
        <f t="shared" si="57"/>
        <v>0</v>
      </c>
    </row>
    <row r="452" spans="1:32">
      <c r="A452" s="12" t="s">
        <v>521</v>
      </c>
      <c r="B452" s="12"/>
      <c r="C452" s="12" t="s">
        <v>45</v>
      </c>
      <c r="D452" s="12"/>
      <c r="E452" s="32">
        <v>48355</v>
      </c>
      <c r="G452" s="8">
        <f t="shared" si="63"/>
        <v>3478442</v>
      </c>
      <c r="I452" s="8">
        <f>219600+11986312</f>
        <v>12205912</v>
      </c>
      <c r="K452" s="8">
        <v>15684354</v>
      </c>
      <c r="M452" s="8">
        <f t="shared" si="64"/>
        <v>1977399</v>
      </c>
      <c r="O452" s="8">
        <v>106852</v>
      </c>
      <c r="Q452" s="8">
        <v>1651096</v>
      </c>
      <c r="S452" s="8">
        <v>3735347</v>
      </c>
      <c r="U452" s="8">
        <v>10850912</v>
      </c>
      <c r="W452" s="8">
        <f t="shared" si="65"/>
        <v>673114</v>
      </c>
      <c r="Y452" s="8">
        <v>424981</v>
      </c>
      <c r="AA452" s="8">
        <v>11949007</v>
      </c>
      <c r="AD452" s="8">
        <f t="shared" si="56"/>
        <v>0</v>
      </c>
      <c r="AF452" s="35">
        <f t="shared" si="57"/>
        <v>0</v>
      </c>
    </row>
    <row r="453" spans="1:32">
      <c r="A453" s="12" t="s">
        <v>644</v>
      </c>
      <c r="B453" s="12"/>
      <c r="C453" s="12" t="s">
        <v>60</v>
      </c>
      <c r="D453" s="12"/>
      <c r="E453" s="32">
        <v>49684</v>
      </c>
      <c r="G453" s="8">
        <f t="shared" si="63"/>
        <v>5793945</v>
      </c>
      <c r="I453" s="8">
        <v>31360992</v>
      </c>
      <c r="K453" s="8">
        <v>37154937</v>
      </c>
      <c r="M453" s="8">
        <f t="shared" si="64"/>
        <v>3114908</v>
      </c>
      <c r="O453" s="8">
        <v>367925</v>
      </c>
      <c r="Q453" s="8">
        <v>11768861</v>
      </c>
      <c r="S453" s="8">
        <v>15251694</v>
      </c>
      <c r="U453" s="8">
        <v>19951420</v>
      </c>
      <c r="W453" s="8">
        <f t="shared" si="65"/>
        <v>1860217</v>
      </c>
      <c r="Y453" s="8">
        <f>91606</f>
        <v>91606</v>
      </c>
      <c r="AA453" s="8">
        <v>21903243</v>
      </c>
      <c r="AD453" s="8">
        <f t="shared" si="56"/>
        <v>0</v>
      </c>
      <c r="AF453" s="35">
        <f t="shared" si="57"/>
        <v>0</v>
      </c>
    </row>
    <row r="454" spans="1:32">
      <c r="A454" s="12" t="s">
        <v>237</v>
      </c>
      <c r="B454" s="12"/>
      <c r="C454" s="12" t="s">
        <v>15</v>
      </c>
      <c r="D454" s="12"/>
      <c r="E454" s="32">
        <v>46003</v>
      </c>
      <c r="G454" s="8">
        <f t="shared" si="63"/>
        <v>5685963</v>
      </c>
      <c r="I454" s="8">
        <f>42289+1041159</f>
        <v>1083448</v>
      </c>
      <c r="K454" s="8">
        <v>6769411</v>
      </c>
      <c r="M454" s="8">
        <f t="shared" si="64"/>
        <v>3529166</v>
      </c>
      <c r="O454" s="8">
        <v>49279</v>
      </c>
      <c r="Q454" s="8">
        <v>522825</v>
      </c>
      <c r="S454" s="8">
        <v>4101270</v>
      </c>
      <c r="U454" s="8">
        <v>1001147</v>
      </c>
      <c r="W454" s="8">
        <f t="shared" si="65"/>
        <v>594558</v>
      </c>
      <c r="Y454" s="8">
        <v>1072436</v>
      </c>
      <c r="AA454" s="8">
        <v>2668141</v>
      </c>
      <c r="AD454" s="8">
        <f t="shared" si="56"/>
        <v>0</v>
      </c>
      <c r="AF454" s="35">
        <f t="shared" si="57"/>
        <v>0</v>
      </c>
    </row>
    <row r="455" spans="1:32">
      <c r="A455" s="12" t="s">
        <v>324</v>
      </c>
      <c r="B455" s="12"/>
      <c r="C455" s="12" t="s">
        <v>20</v>
      </c>
      <c r="D455" s="12"/>
      <c r="E455" s="32">
        <v>44750</v>
      </c>
      <c r="G455" s="8">
        <f t="shared" si="63"/>
        <v>115045850</v>
      </c>
      <c r="I455" s="8">
        <f>4038821+26656213</f>
        <v>30695034</v>
      </c>
      <c r="K455" s="8">
        <v>145740884</v>
      </c>
      <c r="M455" s="8">
        <f t="shared" si="64"/>
        <v>64781369</v>
      </c>
      <c r="O455" s="8">
        <v>3165716</v>
      </c>
      <c r="Q455" s="8">
        <v>34834290</v>
      </c>
      <c r="S455" s="8">
        <v>102781375</v>
      </c>
      <c r="U455" s="8">
        <v>8694425</v>
      </c>
      <c r="W455" s="8">
        <f t="shared" si="65"/>
        <v>3696162</v>
      </c>
      <c r="Y455" s="8">
        <v>30568922</v>
      </c>
      <c r="AA455" s="8">
        <v>42959509</v>
      </c>
      <c r="AD455" s="8">
        <f t="shared" si="56"/>
        <v>0</v>
      </c>
      <c r="AF455" s="35">
        <f t="shared" si="57"/>
        <v>0</v>
      </c>
    </row>
    <row r="456" spans="1:32">
      <c r="A456" s="12" t="s">
        <v>803</v>
      </c>
      <c r="B456" s="12"/>
      <c r="C456" s="12" t="s">
        <v>44</v>
      </c>
      <c r="D456" s="12"/>
      <c r="E456" s="32">
        <v>44768</v>
      </c>
      <c r="G456" s="8">
        <f t="shared" si="63"/>
        <v>22238200</v>
      </c>
      <c r="I456" s="8">
        <f>477715+1694003</f>
        <v>2171718</v>
      </c>
      <c r="K456" s="8">
        <v>24409918</v>
      </c>
      <c r="M456" s="8">
        <f t="shared" si="64"/>
        <v>13236380</v>
      </c>
      <c r="O456" s="8">
        <v>187638</v>
      </c>
      <c r="Q456" s="8">
        <v>1020015</v>
      </c>
      <c r="S456" s="8">
        <v>14444033</v>
      </c>
      <c r="U456" s="8">
        <v>2171718</v>
      </c>
      <c r="W456" s="8">
        <f t="shared" si="65"/>
        <v>1265329</v>
      </c>
      <c r="Y456" s="8">
        <v>6528838</v>
      </c>
      <c r="AA456" s="8">
        <v>9965885</v>
      </c>
      <c r="AD456" s="8">
        <f t="shared" si="56"/>
        <v>0</v>
      </c>
      <c r="AF456" s="35">
        <f t="shared" si="57"/>
        <v>0</v>
      </c>
    </row>
    <row r="457" spans="1:32">
      <c r="A457" s="12" t="s">
        <v>620</v>
      </c>
      <c r="B457" s="12"/>
      <c r="C457" s="12" t="s">
        <v>113</v>
      </c>
      <c r="D457" s="12"/>
      <c r="E457" s="32">
        <v>44776</v>
      </c>
      <c r="G457" s="8">
        <f t="shared" si="63"/>
        <v>12031967</v>
      </c>
      <c r="I457" s="8">
        <f>348364+4304204</f>
        <v>4652568</v>
      </c>
      <c r="K457" s="8">
        <v>16684535</v>
      </c>
      <c r="M457" s="8">
        <f t="shared" si="64"/>
        <v>8040313</v>
      </c>
      <c r="O457" s="8">
        <v>350819</v>
      </c>
      <c r="Q457" s="8">
        <v>1596732</v>
      </c>
      <c r="S457" s="8">
        <v>9987864</v>
      </c>
      <c r="U457" s="8">
        <v>4127568</v>
      </c>
      <c r="W457" s="8">
        <f t="shared" si="65"/>
        <v>746682</v>
      </c>
      <c r="Y457" s="8">
        <v>1822421</v>
      </c>
      <c r="AA457" s="8">
        <v>6696671</v>
      </c>
      <c r="AD457" s="8">
        <f t="shared" si="56"/>
        <v>0</v>
      </c>
      <c r="AF457" s="35">
        <f t="shared" si="57"/>
        <v>0</v>
      </c>
    </row>
    <row r="458" spans="1:32" hidden="1">
      <c r="A458" s="12" t="s">
        <v>956</v>
      </c>
      <c r="B458" s="12"/>
      <c r="C458" s="12" t="s">
        <v>61</v>
      </c>
      <c r="D458" s="12"/>
      <c r="E458" s="32">
        <v>44784</v>
      </c>
      <c r="G458" s="8">
        <f t="shared" si="63"/>
        <v>0</v>
      </c>
      <c r="M458" s="8">
        <f t="shared" si="64"/>
        <v>0</v>
      </c>
      <c r="W458" s="8">
        <f t="shared" si="65"/>
        <v>0</v>
      </c>
      <c r="AD458" s="8">
        <f t="shared" si="56"/>
        <v>0</v>
      </c>
      <c r="AF458" s="35">
        <f t="shared" si="57"/>
        <v>0</v>
      </c>
    </row>
    <row r="459" spans="1:32">
      <c r="A459" s="12" t="s">
        <v>325</v>
      </c>
      <c r="B459" s="12"/>
      <c r="C459" s="12" t="s">
        <v>20</v>
      </c>
      <c r="D459" s="12"/>
      <c r="E459" s="32">
        <v>46607</v>
      </c>
      <c r="G459" s="8">
        <f t="shared" si="63"/>
        <v>78384681</v>
      </c>
      <c r="I459" s="8">
        <f>2966549+45205665</f>
        <v>48172214</v>
      </c>
      <c r="K459" s="8">
        <v>126556895</v>
      </c>
      <c r="M459" s="8">
        <f t="shared" si="64"/>
        <v>50339067</v>
      </c>
      <c r="O459" s="8">
        <v>2280821</v>
      </c>
      <c r="Q459" s="8">
        <v>30354324</v>
      </c>
      <c r="S459" s="8">
        <v>82974212</v>
      </c>
      <c r="U459" s="8">
        <v>24323449</v>
      </c>
      <c r="W459" s="8">
        <f t="shared" si="65"/>
        <v>11093598</v>
      </c>
      <c r="Y459" s="8">
        <v>8165636</v>
      </c>
      <c r="AA459" s="8">
        <v>43582683</v>
      </c>
      <c r="AD459" s="8">
        <f t="shared" si="56"/>
        <v>0</v>
      </c>
      <c r="AF459" s="35">
        <f t="shared" si="57"/>
        <v>0</v>
      </c>
    </row>
    <row r="460" spans="1:32">
      <c r="A460" s="12" t="s">
        <v>905</v>
      </c>
      <c r="B460" s="12"/>
      <c r="C460" s="13" t="s">
        <v>37</v>
      </c>
      <c r="D460" s="12"/>
      <c r="E460" s="32"/>
      <c r="G460" s="8">
        <f t="shared" si="63"/>
        <v>6716281</v>
      </c>
      <c r="I460" s="8">
        <v>6359689</v>
      </c>
      <c r="K460" s="8">
        <v>13075970</v>
      </c>
      <c r="M460" s="8">
        <f t="shared" si="64"/>
        <v>1931708</v>
      </c>
      <c r="O460" s="8">
        <v>142630</v>
      </c>
      <c r="Q460" s="8">
        <v>1636080</v>
      </c>
      <c r="S460" s="8">
        <v>3710418</v>
      </c>
      <c r="U460" s="8">
        <v>5236838</v>
      </c>
      <c r="W460" s="8">
        <f t="shared" si="65"/>
        <v>1054475</v>
      </c>
      <c r="Y460" s="8">
        <v>3074239</v>
      </c>
      <c r="AA460" s="8">
        <v>9365552</v>
      </c>
      <c r="AD460" s="8">
        <f>+K460-S460-AA460</f>
        <v>0</v>
      </c>
      <c r="AF460" s="35">
        <f t="shared" si="57"/>
        <v>0</v>
      </c>
    </row>
    <row r="461" spans="1:32">
      <c r="A461" s="12" t="s">
        <v>326</v>
      </c>
      <c r="B461" s="12"/>
      <c r="C461" s="12" t="s">
        <v>20</v>
      </c>
      <c r="D461" s="12"/>
      <c r="E461" s="32">
        <v>44792</v>
      </c>
      <c r="G461" s="8">
        <f t="shared" si="63"/>
        <v>60633196</v>
      </c>
      <c r="I461" s="8">
        <f>2331959+6497490</f>
        <v>8829449</v>
      </c>
      <c r="K461" s="8">
        <v>69462645</v>
      </c>
      <c r="M461" s="8">
        <f t="shared" si="64"/>
        <v>40528424</v>
      </c>
      <c r="O461" s="8">
        <v>2454453</v>
      </c>
      <c r="Q461" s="8">
        <v>20332479</v>
      </c>
      <c r="S461" s="8">
        <v>63315356</v>
      </c>
      <c r="U461" s="8">
        <v>-2444974</v>
      </c>
      <c r="W461" s="8">
        <f t="shared" si="65"/>
        <v>-3588870</v>
      </c>
      <c r="Y461" s="8">
        <v>12181133</v>
      </c>
      <c r="AA461" s="8">
        <v>6147289</v>
      </c>
      <c r="AD461" s="8">
        <f t="shared" si="56"/>
        <v>0</v>
      </c>
      <c r="AF461" s="35">
        <f t="shared" si="57"/>
        <v>0</v>
      </c>
    </row>
    <row r="462" spans="1:32" hidden="1">
      <c r="A462" s="12" t="s">
        <v>871</v>
      </c>
      <c r="B462" s="12"/>
      <c r="C462" s="12" t="s">
        <v>471</v>
      </c>
      <c r="D462" s="12"/>
      <c r="E462" s="32">
        <v>47951</v>
      </c>
      <c r="G462" s="8">
        <f t="shared" si="63"/>
        <v>0</v>
      </c>
      <c r="M462" s="8">
        <f t="shared" si="64"/>
        <v>0</v>
      </c>
      <c r="W462" s="8">
        <f t="shared" si="65"/>
        <v>0</v>
      </c>
      <c r="AD462" s="8">
        <f>+K462-S462-AA462</f>
        <v>0</v>
      </c>
      <c r="AF462" s="35">
        <f t="shared" si="57"/>
        <v>0</v>
      </c>
    </row>
    <row r="463" spans="1:32">
      <c r="A463" s="12" t="s">
        <v>522</v>
      </c>
      <c r="B463" s="12"/>
      <c r="C463" s="12" t="s">
        <v>45</v>
      </c>
      <c r="D463" s="12"/>
      <c r="E463" s="32">
        <v>48363</v>
      </c>
      <c r="G463" s="8">
        <f t="shared" si="63"/>
        <v>51440948</v>
      </c>
      <c r="I463" s="8">
        <v>4198951</v>
      </c>
      <c r="K463" s="8">
        <v>55639899</v>
      </c>
      <c r="M463" s="8">
        <f t="shared" si="64"/>
        <v>7959157</v>
      </c>
      <c r="O463" s="8">
        <v>380251</v>
      </c>
      <c r="Q463" s="8">
        <v>20863577</v>
      </c>
      <c r="S463" s="8">
        <v>29202985</v>
      </c>
      <c r="U463" s="8">
        <v>4144217</v>
      </c>
      <c r="W463" s="8">
        <f t="shared" si="65"/>
        <v>20552012</v>
      </c>
      <c r="Y463" s="8">
        <v>1740685</v>
      </c>
      <c r="AA463" s="8">
        <v>26436914</v>
      </c>
      <c r="AD463" s="8">
        <f t="shared" si="56"/>
        <v>0</v>
      </c>
      <c r="AF463" s="35">
        <f t="shared" si="57"/>
        <v>0</v>
      </c>
    </row>
    <row r="464" spans="1:32">
      <c r="A464" s="12" t="s">
        <v>601</v>
      </c>
      <c r="B464" s="12"/>
      <c r="C464" s="12" t="s">
        <v>56</v>
      </c>
      <c r="D464" s="12"/>
      <c r="E464" s="32">
        <v>49221</v>
      </c>
      <c r="G464" s="8">
        <f t="shared" si="63"/>
        <v>13517499</v>
      </c>
      <c r="I464" s="8">
        <f>1475065+31144640</f>
        <v>32619705</v>
      </c>
      <c r="K464" s="8">
        <v>46137204</v>
      </c>
      <c r="M464" s="8">
        <f t="shared" si="64"/>
        <v>8699806</v>
      </c>
      <c r="O464" s="8">
        <v>380100</v>
      </c>
      <c r="Q464" s="8">
        <v>7044292</v>
      </c>
      <c r="S464" s="8">
        <v>16124198</v>
      </c>
      <c r="U464" s="8">
        <v>26972705</v>
      </c>
      <c r="W464" s="8">
        <f t="shared" si="65"/>
        <v>1726897</v>
      </c>
      <c r="Y464" s="8">
        <v>1313404</v>
      </c>
      <c r="AA464" s="8">
        <v>30013006</v>
      </c>
      <c r="AD464" s="8">
        <f t="shared" si="56"/>
        <v>0</v>
      </c>
      <c r="AF464" s="35">
        <f t="shared" si="57"/>
        <v>0</v>
      </c>
    </row>
    <row r="465" spans="1:32">
      <c r="A465" s="12" t="s">
        <v>601</v>
      </c>
      <c r="B465" s="12"/>
      <c r="C465" s="12" t="s">
        <v>71</v>
      </c>
      <c r="D465" s="12"/>
      <c r="E465" s="32">
        <v>50583</v>
      </c>
      <c r="G465" s="8">
        <f t="shared" si="63"/>
        <v>9199097</v>
      </c>
      <c r="I465" s="8">
        <f>588680+2808025</f>
        <v>3396705</v>
      </c>
      <c r="K465" s="8">
        <v>12595802</v>
      </c>
      <c r="M465" s="8">
        <f t="shared" si="64"/>
        <v>7249532</v>
      </c>
      <c r="O465" s="8">
        <v>220863</v>
      </c>
      <c r="Q465" s="8">
        <v>734217</v>
      </c>
      <c r="S465" s="8">
        <v>8204612</v>
      </c>
      <c r="U465" s="8">
        <v>3139525</v>
      </c>
      <c r="W465" s="8">
        <f t="shared" si="65"/>
        <v>669838</v>
      </c>
      <c r="Y465" s="8">
        <v>581827</v>
      </c>
      <c r="AA465" s="8">
        <v>4391190</v>
      </c>
      <c r="AD465" s="8">
        <f t="shared" si="56"/>
        <v>0</v>
      </c>
      <c r="AF465" s="35">
        <f t="shared" si="57"/>
        <v>0</v>
      </c>
    </row>
    <row r="466" spans="1:32">
      <c r="A466" s="12" t="s">
        <v>268</v>
      </c>
      <c r="B466" s="12"/>
      <c r="C466" s="12" t="s">
        <v>17</v>
      </c>
      <c r="D466" s="12"/>
      <c r="E466" s="32">
        <v>46276</v>
      </c>
      <c r="G466" s="8">
        <f t="shared" si="63"/>
        <v>8014622</v>
      </c>
      <c r="I466" s="8">
        <f>1014272+2248355</f>
        <v>3262627</v>
      </c>
      <c r="K466" s="8">
        <v>11277249</v>
      </c>
      <c r="M466" s="8">
        <f t="shared" si="64"/>
        <v>2561379</v>
      </c>
      <c r="O466" s="8">
        <v>242522</v>
      </c>
      <c r="Q466" s="8">
        <v>729846</v>
      </c>
      <c r="S466" s="8">
        <v>3533747</v>
      </c>
      <c r="U466" s="8">
        <v>2707645</v>
      </c>
      <c r="W466" s="8">
        <f t="shared" si="65"/>
        <v>1248878</v>
      </c>
      <c r="Y466" s="8">
        <v>3786979</v>
      </c>
      <c r="AA466" s="8">
        <f>7743502</f>
        <v>7743502</v>
      </c>
      <c r="AD466" s="8">
        <f t="shared" si="56"/>
        <v>0</v>
      </c>
      <c r="AF466" s="35">
        <f t="shared" si="57"/>
        <v>0</v>
      </c>
    </row>
    <row r="467" spans="1:32">
      <c r="A467" s="12" t="s">
        <v>268</v>
      </c>
      <c r="B467" s="12"/>
      <c r="C467" s="12" t="s">
        <v>58</v>
      </c>
      <c r="D467" s="12"/>
      <c r="E467" s="32">
        <v>49528</v>
      </c>
      <c r="G467" s="8">
        <f t="shared" si="63"/>
        <v>8597490</v>
      </c>
      <c r="I467" s="8">
        <f>733600+24386207</f>
        <v>25119807</v>
      </c>
      <c r="K467" s="8">
        <v>33717297</v>
      </c>
      <c r="M467" s="8">
        <f t="shared" si="64"/>
        <v>2934349</v>
      </c>
      <c r="O467" s="8">
        <v>237219</v>
      </c>
      <c r="Q467" s="8">
        <v>5180701</v>
      </c>
      <c r="S467" s="8">
        <v>8352269</v>
      </c>
      <c r="U467" s="8">
        <v>20245531</v>
      </c>
      <c r="W467" s="8">
        <f t="shared" si="65"/>
        <v>1344927</v>
      </c>
      <c r="Y467" s="8">
        <v>3774570</v>
      </c>
      <c r="AA467" s="8">
        <v>25365028</v>
      </c>
      <c r="AD467" s="8">
        <f t="shared" si="56"/>
        <v>0</v>
      </c>
      <c r="AF467" s="35">
        <f t="shared" si="57"/>
        <v>0</v>
      </c>
    </row>
    <row r="468" spans="1:32">
      <c r="A468" s="12" t="s">
        <v>938</v>
      </c>
      <c r="B468" s="12"/>
      <c r="C468" s="12" t="s">
        <v>115</v>
      </c>
      <c r="D468" s="12"/>
      <c r="E468" s="32">
        <v>46441</v>
      </c>
      <c r="F468" s="35"/>
      <c r="G468" s="8">
        <f t="shared" si="63"/>
        <v>3683758</v>
      </c>
      <c r="I468" s="8">
        <v>13784906</v>
      </c>
      <c r="K468" s="8">
        <v>17468664</v>
      </c>
      <c r="M468" s="8">
        <f>+S468-O468-Q468</f>
        <v>2538711</v>
      </c>
      <c r="O468" s="8">
        <v>193318</v>
      </c>
      <c r="Q468" s="8">
        <v>3232927</v>
      </c>
      <c r="S468" s="8">
        <v>5964956</v>
      </c>
      <c r="U468" s="8">
        <v>10989976</v>
      </c>
      <c r="W468" s="8">
        <f>AA468-Y468-U468</f>
        <v>954650</v>
      </c>
      <c r="Y468" s="8">
        <v>-440918</v>
      </c>
      <c r="AA468" s="8">
        <v>11503708</v>
      </c>
      <c r="AD468" s="8">
        <f t="shared" si="56"/>
        <v>0</v>
      </c>
      <c r="AF468" s="35">
        <f t="shared" si="57"/>
        <v>0</v>
      </c>
    </row>
    <row r="469" spans="1:32">
      <c r="A469" s="12" t="s">
        <v>288</v>
      </c>
      <c r="B469" s="12"/>
      <c r="C469" s="12" t="s">
        <v>537</v>
      </c>
      <c r="D469" s="12"/>
      <c r="E469" s="32">
        <v>46441</v>
      </c>
      <c r="F469" s="35"/>
      <c r="G469" s="8">
        <f t="shared" si="63"/>
        <v>4323676</v>
      </c>
      <c r="I469" s="8">
        <f>199100+9479350</f>
        <v>9678450</v>
      </c>
      <c r="K469" s="8">
        <v>14002126</v>
      </c>
      <c r="M469" s="8">
        <f t="shared" si="64"/>
        <v>2729855</v>
      </c>
      <c r="O469" s="8">
        <v>169721</v>
      </c>
      <c r="Q469" s="8">
        <v>3166434</v>
      </c>
      <c r="S469" s="8">
        <v>6066010</v>
      </c>
      <c r="U469" s="8">
        <v>6666306</v>
      </c>
      <c r="W469" s="8">
        <f t="shared" si="65"/>
        <v>598654</v>
      </c>
      <c r="Y469" s="8">
        <v>671156</v>
      </c>
      <c r="AA469" s="8">
        <v>7936116</v>
      </c>
      <c r="AD469" s="8">
        <f>+K469-S469-AA469</f>
        <v>0</v>
      </c>
      <c r="AF469" s="35">
        <f>+G469+I469+-M469-O469-U469-W469-Y469-Q469</f>
        <v>0</v>
      </c>
    </row>
    <row r="470" spans="1:32">
      <c r="A470" s="12" t="s">
        <v>696</v>
      </c>
      <c r="B470" s="12"/>
      <c r="C470" s="12" t="s">
        <v>64</v>
      </c>
      <c r="D470" s="12"/>
      <c r="E470" s="32">
        <v>50237</v>
      </c>
      <c r="G470" s="8">
        <f t="shared" si="63"/>
        <v>27447616</v>
      </c>
      <c r="I470" s="8">
        <f>581045+845476</f>
        <v>1426521</v>
      </c>
      <c r="K470" s="8">
        <v>28874137</v>
      </c>
      <c r="M470" s="8">
        <f t="shared" si="64"/>
        <v>2810651</v>
      </c>
      <c r="O470" s="8">
        <v>124384</v>
      </c>
      <c r="Q470" s="8">
        <v>8446460</v>
      </c>
      <c r="S470" s="8">
        <v>11381495</v>
      </c>
      <c r="U470" s="8">
        <v>1426521</v>
      </c>
      <c r="W470" s="8">
        <f t="shared" si="65"/>
        <v>15700000</v>
      </c>
      <c r="Y470" s="8">
        <v>366121</v>
      </c>
      <c r="AA470" s="8">
        <v>17492642</v>
      </c>
      <c r="AD470" s="8">
        <f t="shared" si="56"/>
        <v>0</v>
      </c>
      <c r="AF470" s="35">
        <f t="shared" si="57"/>
        <v>0</v>
      </c>
    </row>
    <row r="471" spans="1:32">
      <c r="A471" s="12" t="s">
        <v>919</v>
      </c>
      <c r="B471" s="12"/>
      <c r="C471" s="12" t="s">
        <v>42</v>
      </c>
      <c r="D471" s="12"/>
      <c r="E471" s="32">
        <v>48041</v>
      </c>
      <c r="F471" s="11"/>
      <c r="G471" s="8">
        <f t="shared" si="63"/>
        <v>28847081</v>
      </c>
      <c r="I471" s="8">
        <f>751808+25334837</f>
        <v>26086645</v>
      </c>
      <c r="K471" s="8">
        <v>54933726</v>
      </c>
      <c r="M471" s="8">
        <f t="shared" si="64"/>
        <v>19047190</v>
      </c>
      <c r="O471" s="8">
        <v>1570535</v>
      </c>
      <c r="Q471" s="8">
        <v>20924894</v>
      </c>
      <c r="S471" s="8">
        <v>41542619</v>
      </c>
      <c r="U471" s="8">
        <v>7190537</v>
      </c>
      <c r="W471" s="8">
        <f t="shared" si="65"/>
        <v>3477292</v>
      </c>
      <c r="Y471" s="8">
        <v>2723278</v>
      </c>
      <c r="AA471" s="8">
        <v>13391107</v>
      </c>
      <c r="AD471" s="8">
        <f t="shared" si="56"/>
        <v>0</v>
      </c>
      <c r="AF471" s="35">
        <f t="shared" si="57"/>
        <v>0</v>
      </c>
    </row>
    <row r="472" spans="1:32">
      <c r="A472" s="12" t="s">
        <v>412</v>
      </c>
      <c r="B472" s="12"/>
      <c r="C472" s="12" t="s">
        <v>32</v>
      </c>
      <c r="D472" s="12"/>
      <c r="E472" s="32">
        <v>47381</v>
      </c>
      <c r="G472" s="8">
        <f t="shared" si="63"/>
        <v>18365382</v>
      </c>
      <c r="I472" s="8">
        <f>2875501+21273038</f>
        <v>24148539</v>
      </c>
      <c r="K472" s="8">
        <v>42513921</v>
      </c>
      <c r="M472" s="8">
        <f t="shared" si="64"/>
        <v>12839836</v>
      </c>
      <c r="O472" s="8">
        <v>1963775</v>
      </c>
      <c r="Q472" s="8">
        <v>21697262</v>
      </c>
      <c r="S472" s="8">
        <v>36500873</v>
      </c>
      <c r="U472" s="8">
        <v>5185736</v>
      </c>
      <c r="W472" s="8">
        <f t="shared" si="65"/>
        <v>3551802</v>
      </c>
      <c r="Y472" s="8">
        <v>-2724490</v>
      </c>
      <c r="AA472" s="8">
        <v>6013048</v>
      </c>
      <c r="AD472" s="8">
        <f t="shared" si="56"/>
        <v>0</v>
      </c>
      <c r="AF472" s="35">
        <f t="shared" si="57"/>
        <v>0</v>
      </c>
    </row>
    <row r="473" spans="1:32">
      <c r="A473" s="12" t="s">
        <v>367</v>
      </c>
      <c r="B473" s="12"/>
      <c r="C473" s="12" t="s">
        <v>27</v>
      </c>
      <c r="D473" s="12"/>
      <c r="E473" s="32">
        <v>44800</v>
      </c>
      <c r="G473" s="8">
        <f t="shared" si="63"/>
        <v>151469979</v>
      </c>
      <c r="I473" s="8">
        <v>144870474</v>
      </c>
      <c r="K473" s="8">
        <v>296340453</v>
      </c>
      <c r="M473" s="8">
        <f t="shared" si="64"/>
        <v>85838928</v>
      </c>
      <c r="O473" s="8">
        <v>16989281</v>
      </c>
      <c r="Q473" s="8">
        <v>113549898</v>
      </c>
      <c r="S473" s="8">
        <v>216378107</v>
      </c>
      <c r="U473" s="8">
        <v>34413508</v>
      </c>
      <c r="W473" s="8">
        <f t="shared" si="65"/>
        <v>22761533</v>
      </c>
      <c r="Y473" s="8">
        <v>22787305</v>
      </c>
      <c r="AA473" s="8">
        <v>79962346</v>
      </c>
      <c r="AD473" s="8">
        <f t="shared" si="56"/>
        <v>0</v>
      </c>
      <c r="AF473" s="35">
        <f t="shared" si="57"/>
        <v>0</v>
      </c>
    </row>
    <row r="474" spans="1:32" hidden="1">
      <c r="A474" s="12" t="s">
        <v>920</v>
      </c>
      <c r="B474" s="12"/>
      <c r="C474" s="12" t="s">
        <v>10</v>
      </c>
      <c r="D474" s="12"/>
      <c r="E474" s="32">
        <v>45807</v>
      </c>
      <c r="G474" s="8">
        <f t="shared" si="63"/>
        <v>0</v>
      </c>
      <c r="I474" s="8">
        <v>0</v>
      </c>
      <c r="K474" s="8">
        <v>0</v>
      </c>
      <c r="M474" s="8">
        <f t="shared" si="64"/>
        <v>0</v>
      </c>
      <c r="O474" s="8">
        <v>0</v>
      </c>
      <c r="Q474" s="8">
        <v>0</v>
      </c>
      <c r="S474" s="8">
        <v>0</v>
      </c>
      <c r="U474" s="8">
        <v>0</v>
      </c>
      <c r="W474" s="8">
        <f t="shared" si="65"/>
        <v>0</v>
      </c>
      <c r="Y474" s="8">
        <v>0</v>
      </c>
      <c r="AA474" s="8">
        <v>0</v>
      </c>
      <c r="AD474" s="8">
        <f t="shared" si="56"/>
        <v>0</v>
      </c>
      <c r="AF474" s="35">
        <f t="shared" si="57"/>
        <v>0</v>
      </c>
    </row>
    <row r="475" spans="1:32">
      <c r="A475" s="12" t="s">
        <v>719</v>
      </c>
      <c r="B475" s="12"/>
      <c r="C475" s="12" t="s">
        <v>69</v>
      </c>
      <c r="D475" s="12"/>
      <c r="E475" s="32">
        <v>50427</v>
      </c>
      <c r="G475" s="8">
        <f t="shared" si="63"/>
        <v>59581337</v>
      </c>
      <c r="I475" s="8">
        <f>2764847+81585480</f>
        <v>84350327</v>
      </c>
      <c r="K475" s="8">
        <v>143931664</v>
      </c>
      <c r="M475" s="8">
        <f t="shared" si="64"/>
        <v>43507437</v>
      </c>
      <c r="O475" s="8">
        <v>3680202</v>
      </c>
      <c r="Q475" s="8">
        <v>98774100</v>
      </c>
      <c r="S475" s="8">
        <v>145961739</v>
      </c>
      <c r="U475" s="8">
        <v>-5847867</v>
      </c>
      <c r="W475" s="8">
        <f t="shared" si="65"/>
        <v>5771998</v>
      </c>
      <c r="Y475" s="8">
        <v>-1954206</v>
      </c>
      <c r="AA475" s="8">
        <v>-2030075</v>
      </c>
      <c r="AD475" s="8">
        <f t="shared" si="56"/>
        <v>0</v>
      </c>
      <c r="AF475" s="35">
        <f t="shared" si="57"/>
        <v>0</v>
      </c>
    </row>
    <row r="476" spans="1:32">
      <c r="A476" s="12" t="s">
        <v>899</v>
      </c>
      <c r="B476" s="12"/>
      <c r="C476" s="12" t="s">
        <v>17</v>
      </c>
      <c r="D476" s="12"/>
      <c r="E476" s="32"/>
      <c r="G476" s="8">
        <f t="shared" si="63"/>
        <v>83170814</v>
      </c>
      <c r="I476" s="8">
        <f>67667579+119454862</f>
        <v>187122441</v>
      </c>
      <c r="K476" s="8">
        <v>270293255</v>
      </c>
      <c r="M476" s="8">
        <f t="shared" si="64"/>
        <v>46398455</v>
      </c>
      <c r="O476" s="8">
        <v>4059402</v>
      </c>
      <c r="Q476" s="8">
        <v>37257927</v>
      </c>
      <c r="S476" s="8">
        <v>87715784</v>
      </c>
      <c r="U476" s="8">
        <v>154126291</v>
      </c>
      <c r="W476" s="8">
        <f t="shared" si="65"/>
        <v>25439929</v>
      </c>
      <c r="Y476" s="8">
        <v>3011251</v>
      </c>
      <c r="AA476" s="8">
        <v>182577471</v>
      </c>
      <c r="AD476" s="8">
        <f>+K476-S476-AA476</f>
        <v>0</v>
      </c>
      <c r="AF476" s="35">
        <f t="shared" si="57"/>
        <v>0</v>
      </c>
    </row>
    <row r="477" spans="1:32">
      <c r="A477" s="12" t="s">
        <v>506</v>
      </c>
      <c r="B477" s="12"/>
      <c r="C477" s="12" t="s">
        <v>118</v>
      </c>
      <c r="D477" s="12"/>
      <c r="E477" s="32">
        <v>48223</v>
      </c>
      <c r="G477" s="8">
        <f t="shared" si="63"/>
        <v>35938339</v>
      </c>
      <c r="I477" s="8">
        <f>2809414+19858590</f>
        <v>22668004</v>
      </c>
      <c r="K477" s="8">
        <v>58606343</v>
      </c>
      <c r="M477" s="8">
        <f t="shared" si="64"/>
        <v>30136735</v>
      </c>
      <c r="O477" s="8">
        <v>1620767</v>
      </c>
      <c r="Q477" s="8">
        <v>16121907</v>
      </c>
      <c r="S477" s="8">
        <v>47879409</v>
      </c>
      <c r="U477" s="8">
        <v>16233004</v>
      </c>
      <c r="W477" s="8">
        <f t="shared" si="65"/>
        <v>-2931573</v>
      </c>
      <c r="Y477" s="8">
        <v>-2574497</v>
      </c>
      <c r="AA477" s="8">
        <v>10726934</v>
      </c>
      <c r="AD477" s="8">
        <f t="shared" si="56"/>
        <v>0</v>
      </c>
      <c r="AF477" s="35">
        <f t="shared" si="57"/>
        <v>0</v>
      </c>
    </row>
    <row r="478" spans="1:32">
      <c r="A478" s="12" t="s">
        <v>506</v>
      </c>
      <c r="B478" s="12"/>
      <c r="C478" s="12" t="s">
        <v>45</v>
      </c>
      <c r="D478" s="12"/>
      <c r="E478" s="32">
        <v>48371</v>
      </c>
      <c r="G478" s="8">
        <f t="shared" si="63"/>
        <v>8284547</v>
      </c>
      <c r="I478" s="8">
        <f>99230+4460309</f>
        <v>4559539</v>
      </c>
      <c r="K478" s="8">
        <v>12844086</v>
      </c>
      <c r="M478" s="8">
        <f t="shared" si="64"/>
        <v>4724129</v>
      </c>
      <c r="O478" s="8">
        <v>475155</v>
      </c>
      <c r="Q478" s="8">
        <v>2404547</v>
      </c>
      <c r="S478" s="8">
        <v>7603831</v>
      </c>
      <c r="U478" s="8">
        <v>2516269</v>
      </c>
      <c r="W478" s="8">
        <f t="shared" si="65"/>
        <v>1257832</v>
      </c>
      <c r="Y478" s="8">
        <v>1466154</v>
      </c>
      <c r="AA478" s="8">
        <v>5240255</v>
      </c>
      <c r="AD478" s="8">
        <f t="shared" si="56"/>
        <v>0</v>
      </c>
      <c r="AF478" s="35">
        <f t="shared" si="57"/>
        <v>0</v>
      </c>
    </row>
    <row r="479" spans="1:32">
      <c r="A479" s="13" t="s">
        <v>506</v>
      </c>
      <c r="B479" s="13"/>
      <c r="C479" s="13" t="s">
        <v>63</v>
      </c>
      <c r="D479" s="13"/>
      <c r="E479" s="13">
        <v>50062</v>
      </c>
      <c r="G479" s="8">
        <f t="shared" ref="G479:G490" si="66">+K479-I479</f>
        <v>14186258</v>
      </c>
      <c r="I479" s="8">
        <f>687020+2050032</f>
        <v>2737052</v>
      </c>
      <c r="K479" s="8">
        <v>16923310</v>
      </c>
      <c r="M479" s="8">
        <f t="shared" ref="M479:M490" si="67">+S479-O479-Q479</f>
        <v>15364812</v>
      </c>
      <c r="O479" s="8">
        <v>1110172</v>
      </c>
      <c r="Q479" s="8">
        <v>1538104</v>
      </c>
      <c r="S479" s="8">
        <v>18013088</v>
      </c>
      <c r="U479" s="8">
        <v>2113444</v>
      </c>
      <c r="W479" s="8">
        <f t="shared" ref="W479:W490" si="68">AA479-Y479-U479</f>
        <v>581919</v>
      </c>
      <c r="Y479" s="8">
        <v>-3785141</v>
      </c>
      <c r="AA479" s="8">
        <v>-1089778</v>
      </c>
      <c r="AD479" s="8">
        <f t="shared" ref="AD479:AD490" si="69">+K479-S479-AA479</f>
        <v>0</v>
      </c>
      <c r="AF479" s="8">
        <f t="shared" ref="AF479:AF490" si="70">+G479+I479+-M479-O479-U479-W479-Y479-Q479</f>
        <v>0</v>
      </c>
    </row>
    <row r="480" spans="1:32">
      <c r="A480" s="13"/>
      <c r="B480" s="13"/>
      <c r="C480" s="13"/>
      <c r="D480" s="13"/>
      <c r="E480" s="13"/>
    </row>
    <row r="481" spans="1:32">
      <c r="A481" s="13"/>
      <c r="B481" s="13"/>
      <c r="C481" s="13"/>
      <c r="D481" s="13"/>
      <c r="E481" s="13"/>
      <c r="AA481" s="8" t="s">
        <v>819</v>
      </c>
    </row>
    <row r="482" spans="1:32" s="35" customFormat="1">
      <c r="A482" s="34" t="s">
        <v>896</v>
      </c>
      <c r="B482" s="34"/>
      <c r="C482" s="34" t="s">
        <v>32</v>
      </c>
      <c r="D482" s="34"/>
      <c r="E482" s="34">
        <v>44719</v>
      </c>
      <c r="G482" s="35">
        <f t="shared" si="66"/>
        <v>14024279</v>
      </c>
      <c r="I482" s="35">
        <f>306322+2868392</f>
        <v>3174714</v>
      </c>
      <c r="K482" s="35">
        <v>17198993</v>
      </c>
      <c r="M482" s="35">
        <f t="shared" si="67"/>
        <v>9327747</v>
      </c>
      <c r="O482" s="35">
        <v>155011</v>
      </c>
      <c r="Q482" s="35">
        <v>2378053</v>
      </c>
      <c r="S482" s="35">
        <v>11860811</v>
      </c>
      <c r="U482" s="35">
        <v>1737714</v>
      </c>
      <c r="W482" s="35">
        <f t="shared" si="68"/>
        <v>500334</v>
      </c>
      <c r="Y482" s="35">
        <v>3100134</v>
      </c>
      <c r="AA482" s="35">
        <v>5338182</v>
      </c>
      <c r="AD482" s="35">
        <f t="shared" si="69"/>
        <v>0</v>
      </c>
      <c r="AF482" s="35">
        <f t="shared" si="70"/>
        <v>0</v>
      </c>
    </row>
    <row r="483" spans="1:32">
      <c r="A483" s="12" t="s">
        <v>895</v>
      </c>
      <c r="B483" s="12"/>
      <c r="C483" s="12" t="s">
        <v>15</v>
      </c>
      <c r="D483" s="12"/>
      <c r="E483" s="32">
        <v>45997</v>
      </c>
      <c r="G483" s="8">
        <f t="shared" si="66"/>
        <v>13235883</v>
      </c>
      <c r="I483" s="8">
        <f>700855+8023713</f>
        <v>8724568</v>
      </c>
      <c r="K483" s="8">
        <v>21960451</v>
      </c>
      <c r="M483" s="8">
        <f t="shared" si="67"/>
        <v>8216336</v>
      </c>
      <c r="O483" s="8">
        <v>842849</v>
      </c>
      <c r="Q483" s="8">
        <v>4869262</v>
      </c>
      <c r="S483" s="8">
        <v>13928447</v>
      </c>
      <c r="U483" s="8">
        <v>4181206</v>
      </c>
      <c r="W483" s="8">
        <f t="shared" si="68"/>
        <v>1717437</v>
      </c>
      <c r="Y483" s="8">
        <v>2133361</v>
      </c>
      <c r="AA483" s="8">
        <v>8032004</v>
      </c>
      <c r="AD483" s="8">
        <f t="shared" si="69"/>
        <v>0</v>
      </c>
      <c r="AF483" s="35">
        <f t="shared" si="70"/>
        <v>0</v>
      </c>
    </row>
    <row r="484" spans="1:32" hidden="1">
      <c r="A484" s="12" t="s">
        <v>955</v>
      </c>
      <c r="B484" s="12"/>
      <c r="C484" s="12" t="s">
        <v>540</v>
      </c>
      <c r="D484" s="12"/>
      <c r="E484" s="32">
        <v>48587</v>
      </c>
      <c r="G484" s="8">
        <f t="shared" si="66"/>
        <v>0</v>
      </c>
      <c r="M484" s="8">
        <f t="shared" si="67"/>
        <v>0</v>
      </c>
      <c r="W484" s="8">
        <f t="shared" si="68"/>
        <v>0</v>
      </c>
      <c r="AD484" s="8">
        <f t="shared" si="69"/>
        <v>0</v>
      </c>
      <c r="AF484" s="35">
        <f t="shared" si="70"/>
        <v>0</v>
      </c>
    </row>
    <row r="485" spans="1:32" hidden="1">
      <c r="A485" s="12" t="s">
        <v>954</v>
      </c>
      <c r="B485" s="12"/>
      <c r="C485" s="12" t="s">
        <v>14</v>
      </c>
      <c r="D485" s="12"/>
      <c r="E485" s="32">
        <v>44727</v>
      </c>
      <c r="G485" s="8">
        <f t="shared" si="66"/>
        <v>0</v>
      </c>
      <c r="M485" s="8">
        <f t="shared" si="67"/>
        <v>0</v>
      </c>
      <c r="W485" s="8">
        <f t="shared" si="68"/>
        <v>0</v>
      </c>
      <c r="AD485" s="8">
        <f t="shared" si="69"/>
        <v>0</v>
      </c>
      <c r="AF485" s="35">
        <f t="shared" si="70"/>
        <v>0</v>
      </c>
    </row>
    <row r="486" spans="1:32">
      <c r="A486" s="12" t="s">
        <v>457</v>
      </c>
      <c r="B486" s="12"/>
      <c r="C486" s="12" t="s">
        <v>39</v>
      </c>
      <c r="D486" s="12"/>
      <c r="E486" s="32">
        <v>44826</v>
      </c>
      <c r="G486" s="8">
        <f t="shared" si="66"/>
        <v>26496337</v>
      </c>
      <c r="I486" s="8">
        <f>25000754+21007763</f>
        <v>46008517</v>
      </c>
      <c r="K486" s="8">
        <v>72504854</v>
      </c>
      <c r="M486" s="8">
        <f t="shared" si="67"/>
        <v>7202798</v>
      </c>
      <c r="O486" s="8">
        <v>1025234</v>
      </c>
      <c r="Q486" s="8">
        <v>12860166</v>
      </c>
      <c r="S486" s="8">
        <v>21088198</v>
      </c>
      <c r="U486" s="8">
        <v>39373377</v>
      </c>
      <c r="W486" s="8">
        <f t="shared" si="68"/>
        <v>8609540</v>
      </c>
      <c r="Y486" s="8">
        <v>3433739</v>
      </c>
      <c r="AA486" s="8">
        <v>51416656</v>
      </c>
      <c r="AD486" s="8">
        <f t="shared" si="69"/>
        <v>0</v>
      </c>
      <c r="AF486" s="35">
        <f t="shared" si="70"/>
        <v>0</v>
      </c>
    </row>
    <row r="487" spans="1:32">
      <c r="A487" s="12" t="s">
        <v>676</v>
      </c>
      <c r="B487" s="12"/>
      <c r="C487" s="12" t="s">
        <v>63</v>
      </c>
      <c r="D487" s="12"/>
      <c r="E487" s="32">
        <v>44834</v>
      </c>
      <c r="G487" s="8">
        <f t="shared" si="66"/>
        <v>42753599</v>
      </c>
      <c r="I487" s="8">
        <v>18003782</v>
      </c>
      <c r="K487" s="8">
        <v>60757381</v>
      </c>
      <c r="M487" s="8">
        <f t="shared" si="67"/>
        <v>34083273</v>
      </c>
      <c r="O487" s="8">
        <v>1094589</v>
      </c>
      <c r="Q487" s="8">
        <v>6810905</v>
      </c>
      <c r="S487" s="8">
        <v>41988767</v>
      </c>
      <c r="U487" s="8">
        <v>14413341</v>
      </c>
      <c r="W487" s="8">
        <f t="shared" si="68"/>
        <v>1539570</v>
      </c>
      <c r="Y487" s="8">
        <v>2815703</v>
      </c>
      <c r="AA487" s="8">
        <v>18768614</v>
      </c>
      <c r="AD487" s="8">
        <f t="shared" si="69"/>
        <v>0</v>
      </c>
      <c r="AF487" s="35">
        <f t="shared" si="70"/>
        <v>0</v>
      </c>
    </row>
    <row r="488" spans="1:32" hidden="1">
      <c r="A488" s="12" t="s">
        <v>953</v>
      </c>
      <c r="B488" s="12"/>
      <c r="C488" s="12" t="s">
        <v>65</v>
      </c>
      <c r="D488" s="12"/>
      <c r="E488" s="32">
        <v>50294</v>
      </c>
      <c r="G488" s="8">
        <f t="shared" si="66"/>
        <v>0</v>
      </c>
      <c r="M488" s="8">
        <f t="shared" si="67"/>
        <v>0</v>
      </c>
      <c r="W488" s="8">
        <f t="shared" si="68"/>
        <v>0</v>
      </c>
      <c r="AD488" s="8">
        <f t="shared" si="69"/>
        <v>0</v>
      </c>
      <c r="AF488" s="35">
        <f t="shared" si="70"/>
        <v>0</v>
      </c>
    </row>
    <row r="489" spans="1:32">
      <c r="A489" s="13" t="s">
        <v>602</v>
      </c>
      <c r="B489" s="13"/>
      <c r="C489" s="13" t="s">
        <v>56</v>
      </c>
      <c r="D489" s="13"/>
      <c r="E489" s="13">
        <v>49239</v>
      </c>
      <c r="F489" s="11"/>
      <c r="G489" s="8">
        <f t="shared" si="66"/>
        <v>16866592</v>
      </c>
      <c r="I489" s="8">
        <f>1635135+15026132</f>
        <v>16661267</v>
      </c>
      <c r="K489" s="8">
        <v>33527859</v>
      </c>
      <c r="M489" s="8">
        <f t="shared" si="67"/>
        <v>16001138</v>
      </c>
      <c r="O489" s="8">
        <v>1465967</v>
      </c>
      <c r="Q489" s="8">
        <v>14886403</v>
      </c>
      <c r="S489" s="8">
        <v>32353508</v>
      </c>
      <c r="U489" s="8">
        <v>2931319</v>
      </c>
      <c r="W489" s="8">
        <f t="shared" si="68"/>
        <v>-4509849</v>
      </c>
      <c r="Y489" s="8">
        <v>2752881</v>
      </c>
      <c r="AA489" s="8">
        <v>1174351</v>
      </c>
      <c r="AD489" s="8">
        <f t="shared" si="69"/>
        <v>0</v>
      </c>
      <c r="AF489" s="8">
        <f t="shared" si="70"/>
        <v>0</v>
      </c>
    </row>
    <row r="490" spans="1:32">
      <c r="A490" s="12" t="s">
        <v>327</v>
      </c>
      <c r="B490" s="12"/>
      <c r="C490" s="12" t="s">
        <v>20</v>
      </c>
      <c r="D490" s="12"/>
      <c r="E490" s="32">
        <v>44842</v>
      </c>
      <c r="G490" s="8">
        <f t="shared" si="66"/>
        <v>62277574</v>
      </c>
      <c r="I490" s="8">
        <f>2611204+42655984</f>
        <v>45267188</v>
      </c>
      <c r="K490" s="8">
        <v>107544762</v>
      </c>
      <c r="M490" s="8">
        <f t="shared" si="67"/>
        <v>52822414</v>
      </c>
      <c r="O490" s="8">
        <v>3020018</v>
      </c>
      <c r="Q490" s="8">
        <v>25326981</v>
      </c>
      <c r="S490" s="8">
        <v>81169413</v>
      </c>
      <c r="U490" s="8">
        <v>23432917</v>
      </c>
      <c r="W490" s="8">
        <f t="shared" si="68"/>
        <v>10041644</v>
      </c>
      <c r="Y490" s="8">
        <v>-7099212</v>
      </c>
      <c r="AA490" s="8">
        <v>26375349</v>
      </c>
      <c r="AD490" s="8">
        <f t="shared" si="69"/>
        <v>0</v>
      </c>
      <c r="AF490" s="35">
        <f t="shared" si="70"/>
        <v>0</v>
      </c>
    </row>
    <row r="491" spans="1:32">
      <c r="A491" s="13" t="s">
        <v>523</v>
      </c>
      <c r="B491" s="13"/>
      <c r="C491" s="13" t="s">
        <v>45</v>
      </c>
      <c r="D491" s="13"/>
      <c r="E491" s="13">
        <v>44859</v>
      </c>
      <c r="G491" s="8">
        <f t="shared" ref="G491:G498" si="71">+K491-I491</f>
        <v>11325237</v>
      </c>
      <c r="I491" s="8">
        <v>26352156</v>
      </c>
      <c r="K491" s="8">
        <v>37677393</v>
      </c>
      <c r="M491" s="8">
        <f t="shared" ref="M491:M498" si="72">+S491-O491-Q491</f>
        <v>7979279</v>
      </c>
      <c r="O491" s="8">
        <v>581358</v>
      </c>
      <c r="Q491" s="8">
        <v>6108105</v>
      </c>
      <c r="S491" s="8">
        <v>14668742</v>
      </c>
      <c r="U491" s="8">
        <v>21693095</v>
      </c>
      <c r="W491" s="8">
        <f t="shared" ref="W491:W498" si="73">AA491-Y491-U491</f>
        <v>2285567</v>
      </c>
      <c r="Y491" s="8">
        <v>-970011</v>
      </c>
      <c r="AA491" s="8">
        <v>23008651</v>
      </c>
      <c r="AD491" s="8">
        <f t="shared" ref="AD491:AD534" si="74">+K491-S491-AA491</f>
        <v>0</v>
      </c>
      <c r="AF491" s="8">
        <f t="shared" ref="AF491:AF534" si="75">+G491+I491+-M491-O491-U491-W491-Y491-Q491</f>
        <v>0</v>
      </c>
    </row>
    <row r="492" spans="1:32">
      <c r="A492" s="12" t="s">
        <v>738</v>
      </c>
      <c r="B492" s="12"/>
      <c r="C492" s="12" t="s">
        <v>733</v>
      </c>
      <c r="D492" s="12"/>
      <c r="E492" s="32">
        <v>50658</v>
      </c>
      <c r="G492" s="8">
        <f t="shared" si="71"/>
        <v>11916445</v>
      </c>
      <c r="I492" s="8">
        <f>342860+2309033</f>
        <v>2651893</v>
      </c>
      <c r="K492" s="8">
        <v>14568338</v>
      </c>
      <c r="M492" s="8">
        <f t="shared" si="72"/>
        <v>1697533</v>
      </c>
      <c r="O492" s="8">
        <v>145393</v>
      </c>
      <c r="Q492" s="8">
        <v>6375173</v>
      </c>
      <c r="S492" s="8">
        <v>8218099</v>
      </c>
      <c r="U492" s="8">
        <v>-3481789</v>
      </c>
      <c r="W492" s="8">
        <f t="shared" si="73"/>
        <v>9367084</v>
      </c>
      <c r="Y492" s="8">
        <v>464944</v>
      </c>
      <c r="AA492" s="8">
        <v>6350239</v>
      </c>
      <c r="AD492" s="8">
        <f t="shared" si="74"/>
        <v>0</v>
      </c>
      <c r="AF492" s="35">
        <f t="shared" si="75"/>
        <v>0</v>
      </c>
    </row>
    <row r="493" spans="1:32">
      <c r="A493" s="12" t="s">
        <v>391</v>
      </c>
      <c r="B493" s="12"/>
      <c r="C493" s="12" t="s">
        <v>117</v>
      </c>
      <c r="D493" s="12"/>
      <c r="E493" s="32">
        <v>47274</v>
      </c>
      <c r="G493" s="8">
        <f t="shared" si="71"/>
        <v>21890190</v>
      </c>
      <c r="I493" s="8">
        <f>4862732+52360570</f>
        <v>57223302</v>
      </c>
      <c r="K493" s="8">
        <v>79113492</v>
      </c>
      <c r="M493" s="8">
        <f t="shared" si="72"/>
        <v>19580404</v>
      </c>
      <c r="O493" s="8">
        <v>2305408</v>
      </c>
      <c r="Q493" s="8">
        <v>51285467</v>
      </c>
      <c r="S493" s="8">
        <v>73171279</v>
      </c>
      <c r="U493" s="8">
        <v>7784164</v>
      </c>
      <c r="W493" s="8">
        <f t="shared" si="73"/>
        <v>1911586</v>
      </c>
      <c r="Y493" s="8">
        <v>-3753537</v>
      </c>
      <c r="AA493" s="8">
        <v>5942213</v>
      </c>
      <c r="AD493" s="8">
        <f t="shared" si="74"/>
        <v>0</v>
      </c>
      <c r="AF493" s="35">
        <f t="shared" si="75"/>
        <v>0</v>
      </c>
    </row>
    <row r="494" spans="1:32">
      <c r="A494" s="12" t="s">
        <v>377</v>
      </c>
      <c r="B494" s="12"/>
      <c r="C494" s="12" t="s">
        <v>28</v>
      </c>
      <c r="D494" s="12"/>
      <c r="E494" s="32">
        <v>47092</v>
      </c>
      <c r="G494" s="8">
        <f t="shared" si="71"/>
        <v>21599746</v>
      </c>
      <c r="I494" s="8">
        <f>563666+17401715</f>
        <v>17965381</v>
      </c>
      <c r="K494" s="8">
        <v>39565127</v>
      </c>
      <c r="M494" s="8">
        <f t="shared" si="72"/>
        <v>10190926</v>
      </c>
      <c r="O494" s="8">
        <v>1046509</v>
      </c>
      <c r="Q494" s="8">
        <v>13531441</v>
      </c>
      <c r="S494" s="8">
        <v>24768876</v>
      </c>
      <c r="U494" s="8">
        <v>4938965</v>
      </c>
      <c r="W494" s="8">
        <f t="shared" si="73"/>
        <v>2285345</v>
      </c>
      <c r="Y494" s="8">
        <v>7571941</v>
      </c>
      <c r="AA494" s="8">
        <v>14796251</v>
      </c>
      <c r="AD494" s="8">
        <f t="shared" si="74"/>
        <v>0</v>
      </c>
      <c r="AF494" s="35">
        <f t="shared" si="75"/>
        <v>0</v>
      </c>
    </row>
    <row r="495" spans="1:32">
      <c r="A495" s="12" t="s">
        <v>897</v>
      </c>
      <c r="B495" s="12"/>
      <c r="C495" s="12" t="s">
        <v>49</v>
      </c>
      <c r="D495" s="12"/>
      <c r="E495" s="32">
        <v>48652</v>
      </c>
      <c r="G495" s="8">
        <f t="shared" si="71"/>
        <v>9318454</v>
      </c>
      <c r="I495" s="8">
        <f>891371+8000198</f>
        <v>8891569</v>
      </c>
      <c r="K495" s="8">
        <v>18210023</v>
      </c>
      <c r="M495" s="8">
        <f t="shared" si="72"/>
        <v>9257090</v>
      </c>
      <c r="O495" s="8">
        <v>132830</v>
      </c>
      <c r="Q495" s="8">
        <v>1691339</v>
      </c>
      <c r="S495" s="8">
        <v>11081259</v>
      </c>
      <c r="U495" s="8">
        <v>8891569</v>
      </c>
      <c r="W495" s="8">
        <f t="shared" si="73"/>
        <v>984397</v>
      </c>
      <c r="Y495" s="8">
        <v>-2747202</v>
      </c>
      <c r="AA495" s="8">
        <v>7128764</v>
      </c>
      <c r="AD495" s="8">
        <f t="shared" si="74"/>
        <v>0</v>
      </c>
      <c r="AF495" s="35">
        <f t="shared" si="75"/>
        <v>0</v>
      </c>
    </row>
    <row r="496" spans="1:32">
      <c r="A496" s="12" t="s">
        <v>414</v>
      </c>
      <c r="B496" s="12"/>
      <c r="C496" s="12" t="s">
        <v>32</v>
      </c>
      <c r="D496" s="12"/>
      <c r="E496" s="32">
        <v>44867</v>
      </c>
      <c r="G496" s="8">
        <f t="shared" si="71"/>
        <v>105627189</v>
      </c>
      <c r="I496" s="8">
        <f>1602371+61639165</f>
        <v>63241536</v>
      </c>
      <c r="K496" s="8">
        <v>168868725</v>
      </c>
      <c r="M496" s="8">
        <f t="shared" si="72"/>
        <v>44880322</v>
      </c>
      <c r="O496" s="8">
        <v>3399930</v>
      </c>
      <c r="Q496" s="8">
        <v>51134522</v>
      </c>
      <c r="S496" s="8">
        <v>99414774</v>
      </c>
      <c r="U496" s="8">
        <v>17465004</v>
      </c>
      <c r="W496" s="8">
        <f t="shared" si="73"/>
        <v>9258251</v>
      </c>
      <c r="Y496" s="8">
        <v>42730696</v>
      </c>
      <c r="AA496" s="8">
        <v>69453951</v>
      </c>
      <c r="AD496" s="8">
        <f t="shared" si="74"/>
        <v>0</v>
      </c>
      <c r="AF496" s="35">
        <f t="shared" si="75"/>
        <v>0</v>
      </c>
    </row>
    <row r="497" spans="1:32">
      <c r="A497" s="12" t="s">
        <v>507</v>
      </c>
      <c r="B497" s="12"/>
      <c r="C497" s="12" t="s">
        <v>118</v>
      </c>
      <c r="D497" s="12"/>
      <c r="E497" s="32">
        <v>44875</v>
      </c>
      <c r="G497" s="8">
        <f t="shared" si="71"/>
        <v>79339625</v>
      </c>
      <c r="I497" s="8">
        <f>45463820</f>
        <v>45463820</v>
      </c>
      <c r="K497" s="8">
        <v>124803445</v>
      </c>
      <c r="M497" s="8">
        <f t="shared" si="72"/>
        <v>63936614</v>
      </c>
      <c r="O497" s="8">
        <v>3957427</v>
      </c>
      <c r="Q497" s="8">
        <v>35104892</v>
      </c>
      <c r="S497" s="8">
        <v>102998933</v>
      </c>
      <c r="U497" s="8">
        <v>18620573</v>
      </c>
      <c r="W497" s="8">
        <f t="shared" si="73"/>
        <v>2735297</v>
      </c>
      <c r="Y497" s="8">
        <v>448642</v>
      </c>
      <c r="AA497" s="8">
        <v>21804512</v>
      </c>
      <c r="AD497" s="8">
        <f t="shared" si="74"/>
        <v>0</v>
      </c>
      <c r="AF497" s="35">
        <f t="shared" si="75"/>
        <v>0</v>
      </c>
    </row>
    <row r="498" spans="1:32">
      <c r="A498" s="12" t="s">
        <v>477</v>
      </c>
      <c r="B498" s="12"/>
      <c r="C498" s="12" t="s">
        <v>471</v>
      </c>
      <c r="D498" s="12"/>
      <c r="E498" s="32">
        <v>47969</v>
      </c>
      <c r="G498" s="8">
        <f t="shared" si="71"/>
        <v>8086461</v>
      </c>
      <c r="I498" s="8">
        <f>111779+9818261</f>
        <v>9930040</v>
      </c>
      <c r="K498" s="8">
        <v>18016501</v>
      </c>
      <c r="M498" s="8">
        <f t="shared" si="72"/>
        <v>1838279</v>
      </c>
      <c r="O498" s="8">
        <v>172074</v>
      </c>
      <c r="Q498" s="8">
        <v>1234103</v>
      </c>
      <c r="S498" s="8">
        <v>3244456</v>
      </c>
      <c r="U498" s="8">
        <v>9586140</v>
      </c>
      <c r="W498" s="8">
        <f t="shared" si="73"/>
        <v>1711638</v>
      </c>
      <c r="Y498" s="8">
        <v>3474267</v>
      </c>
      <c r="AA498" s="8">
        <v>14772045</v>
      </c>
      <c r="AD498" s="8">
        <f t="shared" si="74"/>
        <v>0</v>
      </c>
      <c r="AF498" s="35">
        <f t="shared" si="75"/>
        <v>0</v>
      </c>
    </row>
    <row r="499" spans="1:32">
      <c r="A499" s="12" t="s">
        <v>255</v>
      </c>
      <c r="B499" s="12"/>
      <c r="C499" s="12" t="s">
        <v>246</v>
      </c>
      <c r="D499" s="12"/>
      <c r="E499" s="32">
        <v>46151</v>
      </c>
      <c r="G499" s="8">
        <f t="shared" ref="G499:G553" si="76">+K499-I499</f>
        <v>34222340</v>
      </c>
      <c r="I499" s="8">
        <f>1251619+19227677</f>
        <v>20479296</v>
      </c>
      <c r="K499" s="8">
        <f>54701636</f>
        <v>54701636</v>
      </c>
      <c r="M499" s="8">
        <f t="shared" ref="M499:M553" si="77">+S499-O499-Q499</f>
        <v>20130108</v>
      </c>
      <c r="O499" s="8">
        <v>512222</v>
      </c>
      <c r="Q499" s="8">
        <v>12748118</v>
      </c>
      <c r="S499" s="8">
        <v>33390448</v>
      </c>
      <c r="U499" s="8">
        <v>9256296</v>
      </c>
      <c r="W499" s="8">
        <f t="shared" ref="W499:W553" si="78">AA499-Y499-U499</f>
        <v>1132424</v>
      </c>
      <c r="Y499" s="8">
        <v>10922468</v>
      </c>
      <c r="AA499" s="8">
        <v>21311188</v>
      </c>
      <c r="AD499" s="8">
        <f t="shared" si="74"/>
        <v>0</v>
      </c>
      <c r="AF499" s="35">
        <f t="shared" si="75"/>
        <v>0</v>
      </c>
    </row>
    <row r="500" spans="1:32">
      <c r="A500" s="12" t="s">
        <v>677</v>
      </c>
      <c r="B500" s="12"/>
      <c r="C500" s="12" t="s">
        <v>63</v>
      </c>
      <c r="D500" s="12"/>
      <c r="E500" s="32">
        <v>44883</v>
      </c>
      <c r="G500" s="8">
        <f t="shared" si="76"/>
        <v>27871791</v>
      </c>
      <c r="I500" s="8">
        <f>31527833+4380670</f>
        <v>35908503</v>
      </c>
      <c r="K500" s="8">
        <v>63780294</v>
      </c>
      <c r="M500" s="8">
        <f t="shared" si="77"/>
        <v>18024178</v>
      </c>
      <c r="O500" s="8">
        <v>979269</v>
      </c>
      <c r="Q500" s="8">
        <v>30480520</v>
      </c>
      <c r="S500" s="8">
        <v>49483967</v>
      </c>
      <c r="U500" s="8">
        <v>7784788</v>
      </c>
      <c r="W500" s="8">
        <f t="shared" si="78"/>
        <v>7366813</v>
      </c>
      <c r="Y500" s="8">
        <v>-855274</v>
      </c>
      <c r="AA500" s="8">
        <v>14296327</v>
      </c>
      <c r="AD500" s="8">
        <f t="shared" si="74"/>
        <v>0</v>
      </c>
      <c r="AF500" s="35">
        <f t="shared" si="75"/>
        <v>0</v>
      </c>
    </row>
    <row r="501" spans="1:32">
      <c r="A501" s="12" t="s">
        <v>590</v>
      </c>
      <c r="B501" s="12"/>
      <c r="C501" s="12" t="s">
        <v>54</v>
      </c>
      <c r="D501" s="12"/>
      <c r="E501" s="32">
        <v>49098</v>
      </c>
      <c r="G501" s="8">
        <f t="shared" si="76"/>
        <v>97570336</v>
      </c>
      <c r="I501" s="8">
        <f>8474654+41086322</f>
        <v>49560976</v>
      </c>
      <c r="K501" s="8">
        <v>147131312</v>
      </c>
      <c r="M501" s="8">
        <f t="shared" si="77"/>
        <v>18341513</v>
      </c>
      <c r="O501" s="8">
        <v>1314591</v>
      </c>
      <c r="Q501" s="8">
        <v>41788795</v>
      </c>
      <c r="S501" s="8">
        <v>61444899</v>
      </c>
      <c r="U501" s="8">
        <v>27813223</v>
      </c>
      <c r="W501" s="8">
        <f t="shared" si="78"/>
        <v>52306361</v>
      </c>
      <c r="Y501" s="8">
        <v>5566829</v>
      </c>
      <c r="AA501" s="8">
        <v>85686413</v>
      </c>
      <c r="AD501" s="8">
        <f t="shared" si="74"/>
        <v>0</v>
      </c>
      <c r="AF501" s="35">
        <f t="shared" si="75"/>
        <v>0</v>
      </c>
    </row>
    <row r="502" spans="1:32">
      <c r="A502" s="12" t="s">
        <v>269</v>
      </c>
      <c r="B502" s="12"/>
      <c r="C502" s="12" t="s">
        <v>17</v>
      </c>
      <c r="D502" s="12"/>
      <c r="E502" s="32">
        <v>46243</v>
      </c>
      <c r="G502" s="8">
        <f t="shared" si="76"/>
        <v>20916569</v>
      </c>
      <c r="I502" s="8">
        <f>83548072+520022</f>
        <v>84068094</v>
      </c>
      <c r="K502" s="8">
        <v>104984663</v>
      </c>
      <c r="M502" s="8">
        <f t="shared" si="77"/>
        <v>13621586</v>
      </c>
      <c r="O502" s="8">
        <v>558518</v>
      </c>
      <c r="Q502" s="8">
        <v>20392094</v>
      </c>
      <c r="S502" s="8">
        <v>34572198</v>
      </c>
      <c r="U502" s="8">
        <v>64831950</v>
      </c>
      <c r="W502" s="8">
        <f t="shared" si="78"/>
        <v>5145284</v>
      </c>
      <c r="Y502" s="8">
        <v>435231</v>
      </c>
      <c r="AA502" s="8">
        <v>70412465</v>
      </c>
      <c r="AD502" s="8">
        <f t="shared" si="74"/>
        <v>0</v>
      </c>
      <c r="AF502" s="35">
        <f t="shared" si="75"/>
        <v>0</v>
      </c>
    </row>
    <row r="503" spans="1:32">
      <c r="A503" s="12" t="s">
        <v>415</v>
      </c>
      <c r="B503" s="12"/>
      <c r="C503" s="12" t="s">
        <v>32</v>
      </c>
      <c r="D503" s="12"/>
      <c r="E503" s="32">
        <v>47399</v>
      </c>
      <c r="G503" s="8">
        <f t="shared" si="76"/>
        <v>18710455</v>
      </c>
      <c r="I503" s="8">
        <f>267092+2062428</f>
        <v>2329520</v>
      </c>
      <c r="K503" s="8">
        <v>21039975</v>
      </c>
      <c r="M503" s="8">
        <f t="shared" si="77"/>
        <v>9021904</v>
      </c>
      <c r="O503" s="8">
        <v>320514</v>
      </c>
      <c r="Q503" s="8">
        <v>1507645</v>
      </c>
      <c r="S503" s="8">
        <v>10850063</v>
      </c>
      <c r="U503" s="8">
        <v>2329520</v>
      </c>
      <c r="W503" s="8">
        <f t="shared" si="78"/>
        <v>483229</v>
      </c>
      <c r="Y503" s="8">
        <v>7377163</v>
      </c>
      <c r="AA503" s="8">
        <v>10189912</v>
      </c>
      <c r="AD503" s="8">
        <f t="shared" si="74"/>
        <v>0</v>
      </c>
      <c r="AF503" s="35">
        <f t="shared" si="75"/>
        <v>0</v>
      </c>
    </row>
    <row r="504" spans="1:32">
      <c r="A504" s="12" t="s">
        <v>645</v>
      </c>
      <c r="B504" s="12"/>
      <c r="C504" s="12" t="s">
        <v>60</v>
      </c>
      <c r="D504" s="12"/>
      <c r="E504" s="32">
        <v>45617</v>
      </c>
      <c r="G504" s="8">
        <f>+K504-I504</f>
        <v>16640839</v>
      </c>
      <c r="I504" s="8">
        <f>1946021+17048809</f>
        <v>18994830</v>
      </c>
      <c r="K504" s="8">
        <v>35635669</v>
      </c>
      <c r="M504" s="8">
        <f>+S504-O504-Q504</f>
        <v>11230546</v>
      </c>
      <c r="O504" s="8">
        <v>937553</v>
      </c>
      <c r="Q504" s="8">
        <v>10914755</v>
      </c>
      <c r="S504" s="8">
        <v>23082854</v>
      </c>
      <c r="U504" s="8">
        <v>8905901</v>
      </c>
      <c r="W504" s="8">
        <f>AA504-Y504-U504</f>
        <v>2295332</v>
      </c>
      <c r="Y504" s="8">
        <v>1351582</v>
      </c>
      <c r="AA504" s="8">
        <v>12552815</v>
      </c>
      <c r="AD504" s="8">
        <f>+K504-S504-AA504</f>
        <v>0</v>
      </c>
      <c r="AF504" s="35">
        <f>+G504+I504+-M504-O504-U504-W504-Y504-Q504</f>
        <v>0</v>
      </c>
    </row>
    <row r="505" spans="1:32">
      <c r="A505" s="12" t="s">
        <v>549</v>
      </c>
      <c r="B505" s="12"/>
      <c r="C505" s="12" t="s">
        <v>48</v>
      </c>
      <c r="D505" s="12"/>
      <c r="E505" s="32">
        <v>45617</v>
      </c>
      <c r="G505" s="8">
        <f t="shared" si="76"/>
        <v>15069193</v>
      </c>
      <c r="I505" s="8">
        <f>1928313+23535765</f>
        <v>25464078</v>
      </c>
      <c r="K505" s="8">
        <v>40533271</v>
      </c>
      <c r="M505" s="8">
        <f t="shared" si="77"/>
        <v>13379452</v>
      </c>
      <c r="O505" s="8">
        <v>1089272</v>
      </c>
      <c r="Q505" s="8">
        <v>21419039</v>
      </c>
      <c r="S505" s="8">
        <v>35887763</v>
      </c>
      <c r="U505" s="8">
        <v>6709812</v>
      </c>
      <c r="W505" s="8">
        <f t="shared" si="78"/>
        <v>1433195</v>
      </c>
      <c r="Y505" s="8">
        <v>-3497499</v>
      </c>
      <c r="AA505" s="8">
        <v>4645508</v>
      </c>
      <c r="AD505" s="8">
        <f t="shared" si="74"/>
        <v>0</v>
      </c>
      <c r="AF505" s="35">
        <f t="shared" si="75"/>
        <v>0</v>
      </c>
    </row>
    <row r="506" spans="1:32">
      <c r="A506" s="12" t="s">
        <v>508</v>
      </c>
      <c r="B506" s="12"/>
      <c r="C506" s="12" t="s">
        <v>118</v>
      </c>
      <c r="D506" s="12"/>
      <c r="E506" s="32">
        <v>44909</v>
      </c>
      <c r="G506" s="8">
        <f t="shared" si="76"/>
        <v>701131837</v>
      </c>
      <c r="I506" s="8">
        <f>232877915+170109577</f>
        <v>402987492</v>
      </c>
      <c r="K506" s="8">
        <v>1104119329</v>
      </c>
      <c r="M506" s="8">
        <f t="shared" si="77"/>
        <v>254141334</v>
      </c>
      <c r="O506" s="8">
        <v>3675659</v>
      </c>
      <c r="Q506" s="8">
        <v>190649110</v>
      </c>
      <c r="S506" s="8">
        <v>448466103</v>
      </c>
      <c r="U506" s="8">
        <v>370386779</v>
      </c>
      <c r="W506" s="8">
        <f t="shared" si="78"/>
        <v>293471859</v>
      </c>
      <c r="Y506" s="8">
        <v>-8205412</v>
      </c>
      <c r="AA506" s="8">
        <v>655653226</v>
      </c>
      <c r="AD506" s="8">
        <f t="shared" si="74"/>
        <v>0</v>
      </c>
      <c r="AF506" s="35">
        <f t="shared" si="75"/>
        <v>0</v>
      </c>
    </row>
    <row r="507" spans="1:32">
      <c r="A507" s="12" t="s">
        <v>458</v>
      </c>
      <c r="B507" s="12"/>
      <c r="C507" s="12" t="s">
        <v>39</v>
      </c>
      <c r="D507" s="12"/>
      <c r="E507" s="32">
        <v>44917</v>
      </c>
      <c r="G507" s="8">
        <f t="shared" si="76"/>
        <v>7145714</v>
      </c>
      <c r="I507" s="8">
        <f>215638+1436602</f>
        <v>1652240</v>
      </c>
      <c r="K507" s="8">
        <v>8797954</v>
      </c>
      <c r="M507" s="8">
        <f t="shared" si="77"/>
        <v>2996770</v>
      </c>
      <c r="O507" s="8">
        <v>80963</v>
      </c>
      <c r="Q507" s="8">
        <v>361812</v>
      </c>
      <c r="S507" s="8">
        <v>3439545</v>
      </c>
      <c r="U507" s="8">
        <v>1652240</v>
      </c>
      <c r="W507" s="8">
        <f t="shared" si="78"/>
        <v>213295</v>
      </c>
      <c r="Y507" s="8">
        <v>3492874</v>
      </c>
      <c r="AA507" s="8">
        <v>5358409</v>
      </c>
      <c r="AD507" s="8">
        <f t="shared" si="74"/>
        <v>0</v>
      </c>
      <c r="AF507" s="35">
        <f t="shared" si="75"/>
        <v>0</v>
      </c>
    </row>
    <row r="508" spans="1:32">
      <c r="A508" s="12" t="s">
        <v>261</v>
      </c>
      <c r="B508" s="12"/>
      <c r="C508" s="12" t="s">
        <v>259</v>
      </c>
      <c r="D508" s="12"/>
      <c r="E508" s="32">
        <v>46201</v>
      </c>
      <c r="G508" s="8">
        <f t="shared" si="76"/>
        <v>4643011</v>
      </c>
      <c r="I508" s="8">
        <f>414157+17581519</f>
        <v>17995676</v>
      </c>
      <c r="K508" s="8">
        <v>22638687</v>
      </c>
      <c r="M508" s="8">
        <f t="shared" si="77"/>
        <v>2438490</v>
      </c>
      <c r="O508" s="8">
        <v>222781</v>
      </c>
      <c r="Q508" s="8">
        <v>4932456</v>
      </c>
      <c r="S508" s="8">
        <v>7593727</v>
      </c>
      <c r="U508" s="8">
        <v>13460346</v>
      </c>
      <c r="W508" s="8">
        <f t="shared" si="78"/>
        <v>311073</v>
      </c>
      <c r="Y508" s="8">
        <v>1273541</v>
      </c>
      <c r="AA508" s="8">
        <v>15044960</v>
      </c>
      <c r="AD508" s="8">
        <f t="shared" si="74"/>
        <v>0</v>
      </c>
      <c r="AF508" s="35">
        <f t="shared" si="75"/>
        <v>0</v>
      </c>
    </row>
    <row r="509" spans="1:32">
      <c r="A509" s="12" t="s">
        <v>606</v>
      </c>
      <c r="B509" s="12"/>
      <c r="C509" s="12" t="s">
        <v>57</v>
      </c>
      <c r="D509" s="12"/>
      <c r="E509" s="32">
        <v>91397</v>
      </c>
      <c r="G509" s="8">
        <f t="shared" si="76"/>
        <v>10868884</v>
      </c>
      <c r="I509" s="8">
        <f>459890+10146166</f>
        <v>10606056</v>
      </c>
      <c r="K509" s="8">
        <v>21474940</v>
      </c>
      <c r="M509" s="8">
        <f t="shared" si="77"/>
        <v>5770527</v>
      </c>
      <c r="O509" s="8">
        <v>324695</v>
      </c>
      <c r="Q509" s="8">
        <v>739327</v>
      </c>
      <c r="S509" s="8">
        <v>6834549</v>
      </c>
      <c r="U509" s="8">
        <v>9976056</v>
      </c>
      <c r="W509" s="8">
        <f t="shared" si="78"/>
        <v>1126627</v>
      </c>
      <c r="Y509" s="8">
        <v>3537708</v>
      </c>
      <c r="AA509" s="8">
        <v>14640391</v>
      </c>
      <c r="AD509" s="8">
        <f t="shared" si="74"/>
        <v>0</v>
      </c>
      <c r="AF509" s="35">
        <f t="shared" si="75"/>
        <v>0</v>
      </c>
    </row>
    <row r="510" spans="1:32">
      <c r="A510" s="12" t="s">
        <v>228</v>
      </c>
      <c r="B510" s="12"/>
      <c r="C510" s="12" t="s">
        <v>13</v>
      </c>
      <c r="D510" s="12"/>
      <c r="E510" s="32">
        <v>45922</v>
      </c>
      <c r="G510" s="8">
        <f t="shared" si="76"/>
        <v>2389530</v>
      </c>
      <c r="I510" s="8">
        <f>55370+15164312</f>
        <v>15219682</v>
      </c>
      <c r="K510" s="8">
        <v>17609212</v>
      </c>
      <c r="M510" s="8">
        <f t="shared" si="77"/>
        <v>2263267</v>
      </c>
      <c r="O510" s="8">
        <v>143483</v>
      </c>
      <c r="Q510" s="8">
        <v>1374792</v>
      </c>
      <c r="S510" s="8">
        <v>3781542</v>
      </c>
      <c r="U510" s="8">
        <v>14344690</v>
      </c>
      <c r="W510" s="8">
        <f t="shared" si="78"/>
        <v>398049</v>
      </c>
      <c r="Y510" s="8">
        <v>-915069</v>
      </c>
      <c r="AA510" s="8">
        <v>13827670</v>
      </c>
      <c r="AD510" s="8">
        <f t="shared" si="74"/>
        <v>0</v>
      </c>
      <c r="AF510" s="35">
        <f t="shared" si="75"/>
        <v>0</v>
      </c>
    </row>
    <row r="511" spans="1:32">
      <c r="A511" s="12" t="s">
        <v>574</v>
      </c>
      <c r="B511" s="12"/>
      <c r="C511" s="12" t="s">
        <v>51</v>
      </c>
      <c r="D511" s="12"/>
      <c r="E511" s="32">
        <v>48876</v>
      </c>
      <c r="G511" s="8">
        <f t="shared" si="76"/>
        <v>26587337</v>
      </c>
      <c r="I511" s="8">
        <f>4012697+64866646</f>
        <v>68879343</v>
      </c>
      <c r="K511" s="8">
        <v>95466680</v>
      </c>
      <c r="M511" s="8">
        <f t="shared" si="77"/>
        <v>12816678</v>
      </c>
      <c r="O511" s="8">
        <v>492695</v>
      </c>
      <c r="Q511" s="8">
        <v>17899989</v>
      </c>
      <c r="S511" s="8">
        <v>31209362</v>
      </c>
      <c r="U511" s="8">
        <v>52482813</v>
      </c>
      <c r="W511" s="8">
        <f t="shared" si="78"/>
        <v>12519138</v>
      </c>
      <c r="Y511" s="8">
        <v>-744633</v>
      </c>
      <c r="AA511" s="8">
        <v>64257318</v>
      </c>
      <c r="AD511" s="8">
        <f t="shared" si="74"/>
        <v>0</v>
      </c>
      <c r="AF511" s="35">
        <f t="shared" si="75"/>
        <v>0</v>
      </c>
    </row>
    <row r="512" spans="1:32" hidden="1">
      <c r="A512" s="12" t="s">
        <v>952</v>
      </c>
      <c r="B512" s="12"/>
      <c r="C512" s="12" t="s">
        <v>21</v>
      </c>
      <c r="D512" s="12"/>
      <c r="E512" s="32">
        <v>46680</v>
      </c>
      <c r="G512" s="8">
        <f t="shared" si="76"/>
        <v>0</v>
      </c>
      <c r="M512" s="8">
        <f t="shared" si="77"/>
        <v>0</v>
      </c>
      <c r="W512" s="8">
        <f t="shared" si="78"/>
        <v>0</v>
      </c>
      <c r="AD512" s="8">
        <f>+K512-S512-AA512</f>
        <v>0</v>
      </c>
      <c r="AF512" s="35">
        <f t="shared" si="75"/>
        <v>0</v>
      </c>
    </row>
    <row r="513" spans="1:32">
      <c r="A513" s="12" t="s">
        <v>731</v>
      </c>
      <c r="B513" s="12"/>
      <c r="C513" s="12" t="s">
        <v>71</v>
      </c>
      <c r="D513" s="12"/>
      <c r="E513" s="32">
        <v>50591</v>
      </c>
      <c r="G513" s="8">
        <f t="shared" si="76"/>
        <v>9675220</v>
      </c>
      <c r="I513" s="8">
        <f>125127+3404584</f>
        <v>3529711</v>
      </c>
      <c r="K513" s="8">
        <v>13204931</v>
      </c>
      <c r="M513" s="8">
        <f t="shared" si="77"/>
        <v>7498757</v>
      </c>
      <c r="O513" s="8">
        <v>461169</v>
      </c>
      <c r="Q513" s="8">
        <v>1944606</v>
      </c>
      <c r="S513" s="8">
        <v>9904532</v>
      </c>
      <c r="U513" s="8">
        <v>2396831</v>
      </c>
      <c r="W513" s="8">
        <f t="shared" si="78"/>
        <v>750984</v>
      </c>
      <c r="Y513" s="8">
        <v>152584</v>
      </c>
      <c r="AA513" s="8">
        <v>3300399</v>
      </c>
      <c r="AD513" s="8">
        <f t="shared" si="74"/>
        <v>0</v>
      </c>
      <c r="AF513" s="35">
        <f t="shared" si="75"/>
        <v>0</v>
      </c>
    </row>
    <row r="514" spans="1:32">
      <c r="A514" s="12" t="s">
        <v>563</v>
      </c>
      <c r="B514" s="12"/>
      <c r="C514" s="12" t="s">
        <v>50</v>
      </c>
      <c r="D514" s="12"/>
      <c r="E514" s="32">
        <v>48694</v>
      </c>
      <c r="G514" s="8">
        <f t="shared" si="76"/>
        <v>43024794</v>
      </c>
      <c r="I514" s="8">
        <f>43941647+33938913</f>
        <v>77880560</v>
      </c>
      <c r="K514" s="8">
        <v>120905354</v>
      </c>
      <c r="M514" s="8">
        <f t="shared" si="77"/>
        <v>16337519</v>
      </c>
      <c r="O514" s="8">
        <v>921953</v>
      </c>
      <c r="Q514" s="8">
        <v>43291094</v>
      </c>
      <c r="S514" s="8">
        <v>60550566</v>
      </c>
      <c r="U514" s="8">
        <v>35274560</v>
      </c>
      <c r="W514" s="8">
        <f t="shared" si="78"/>
        <v>19550170</v>
      </c>
      <c r="Y514" s="8">
        <v>5530058</v>
      </c>
      <c r="AA514" s="8">
        <v>60354788</v>
      </c>
      <c r="AD514" s="8">
        <f t="shared" si="74"/>
        <v>0</v>
      </c>
      <c r="AF514" s="35">
        <f t="shared" si="75"/>
        <v>0</v>
      </c>
    </row>
    <row r="515" spans="1:32">
      <c r="A515" s="12" t="s">
        <v>550</v>
      </c>
      <c r="B515" s="12"/>
      <c r="C515" s="12" t="s">
        <v>48</v>
      </c>
      <c r="D515" s="12"/>
      <c r="E515" s="32">
        <v>44925</v>
      </c>
      <c r="G515" s="8">
        <f t="shared" si="76"/>
        <v>34133388</v>
      </c>
      <c r="I515" s="8">
        <f>530131+28967479</f>
        <v>29497610</v>
      </c>
      <c r="K515" s="8">
        <v>63630998</v>
      </c>
      <c r="M515" s="8">
        <f t="shared" si="77"/>
        <v>21576867</v>
      </c>
      <c r="O515" s="8">
        <v>972164</v>
      </c>
      <c r="Q515" s="8">
        <v>22964525</v>
      </c>
      <c r="S515" s="8">
        <v>45513556</v>
      </c>
      <c r="U515" s="8">
        <v>9075089</v>
      </c>
      <c r="W515" s="8">
        <f t="shared" si="78"/>
        <v>1356653</v>
      </c>
      <c r="Y515" s="8">
        <v>7685700</v>
      </c>
      <c r="AA515" s="8">
        <v>18117442</v>
      </c>
      <c r="AD515" s="8">
        <f t="shared" si="74"/>
        <v>0</v>
      </c>
      <c r="AF515" s="35">
        <f>+G515+I515+-M515-O515-U515-W515-Y515-Q515</f>
        <v>0</v>
      </c>
    </row>
    <row r="516" spans="1:32">
      <c r="A516" s="12" t="s">
        <v>706</v>
      </c>
      <c r="B516" s="12"/>
      <c r="C516" s="12" t="s">
        <v>65</v>
      </c>
      <c r="D516" s="12"/>
      <c r="E516" s="32">
        <v>50302</v>
      </c>
      <c r="G516" s="8">
        <f t="shared" si="76"/>
        <v>12082923</v>
      </c>
      <c r="I516" s="8">
        <f>46031+6862834</f>
        <v>6908865</v>
      </c>
      <c r="K516" s="8">
        <v>18991788</v>
      </c>
      <c r="M516" s="8">
        <f t="shared" si="77"/>
        <v>7661452</v>
      </c>
      <c r="O516" s="8">
        <v>661777</v>
      </c>
      <c r="Q516" s="8">
        <v>5381141</v>
      </c>
      <c r="S516" s="8">
        <v>13704370</v>
      </c>
      <c r="U516" s="8">
        <v>3208758</v>
      </c>
      <c r="W516" s="8">
        <f t="shared" si="78"/>
        <v>977786</v>
      </c>
      <c r="Y516" s="8">
        <v>1100874</v>
      </c>
      <c r="AA516" s="8">
        <v>5287418</v>
      </c>
      <c r="AD516" s="8">
        <f t="shared" si="74"/>
        <v>0</v>
      </c>
      <c r="AF516" s="35">
        <f t="shared" si="75"/>
        <v>0</v>
      </c>
    </row>
    <row r="517" spans="1:32">
      <c r="A517" s="12" t="s">
        <v>666</v>
      </c>
      <c r="B517" s="12"/>
      <c r="C517" s="12" t="s">
        <v>62</v>
      </c>
      <c r="D517" s="12"/>
      <c r="E517" s="32">
        <v>49957</v>
      </c>
      <c r="F517" s="11"/>
      <c r="G517" s="8">
        <f t="shared" si="76"/>
        <v>8032502</v>
      </c>
      <c r="I517" s="8">
        <f>463538+15445967</f>
        <v>15909505</v>
      </c>
      <c r="K517" s="8">
        <v>23942007</v>
      </c>
      <c r="M517" s="8">
        <f t="shared" si="77"/>
        <v>5895591</v>
      </c>
      <c r="O517" s="8">
        <v>509267</v>
      </c>
      <c r="Q517" s="8">
        <v>13712154</v>
      </c>
      <c r="S517" s="8">
        <v>20117012</v>
      </c>
      <c r="U517" s="8">
        <v>2747661</v>
      </c>
      <c r="W517" s="8">
        <f t="shared" si="78"/>
        <v>1626504</v>
      </c>
      <c r="Y517" s="8">
        <v>-549170</v>
      </c>
      <c r="AA517" s="8">
        <v>3824995</v>
      </c>
      <c r="AD517" s="8">
        <f t="shared" si="74"/>
        <v>0</v>
      </c>
      <c r="AF517" s="35">
        <f t="shared" si="75"/>
        <v>0</v>
      </c>
    </row>
    <row r="518" spans="1:32" hidden="1">
      <c r="A518" s="12" t="s">
        <v>951</v>
      </c>
      <c r="B518" s="12"/>
      <c r="C518" s="12" t="s">
        <v>57</v>
      </c>
      <c r="D518" s="12"/>
      <c r="E518" s="32">
        <v>49296</v>
      </c>
      <c r="G518" s="8">
        <f t="shared" si="76"/>
        <v>0</v>
      </c>
      <c r="M518" s="8">
        <f t="shared" si="77"/>
        <v>0</v>
      </c>
      <c r="W518" s="8">
        <f t="shared" si="78"/>
        <v>0</v>
      </c>
      <c r="AD518" s="8">
        <f t="shared" si="74"/>
        <v>0</v>
      </c>
      <c r="AF518" s="35">
        <f t="shared" si="75"/>
        <v>0</v>
      </c>
    </row>
    <row r="519" spans="1:32">
      <c r="A519" s="12" t="s">
        <v>678</v>
      </c>
      <c r="B519" s="12"/>
      <c r="C519" s="12" t="s">
        <v>63</v>
      </c>
      <c r="D519" s="12"/>
      <c r="E519" s="32">
        <v>50070</v>
      </c>
      <c r="G519" s="8">
        <f t="shared" si="76"/>
        <v>57638274</v>
      </c>
      <c r="I519" s="8">
        <f>1147310+41952714</f>
        <v>43100024</v>
      </c>
      <c r="K519" s="8">
        <v>100738298</v>
      </c>
      <c r="M519" s="8">
        <f t="shared" si="77"/>
        <v>31493891</v>
      </c>
      <c r="O519" s="8">
        <v>3646951</v>
      </c>
      <c r="Q519" s="8">
        <v>30175957</v>
      </c>
      <c r="S519" s="8">
        <v>65316799</v>
      </c>
      <c r="U519" s="8">
        <v>11581201</v>
      </c>
      <c r="W519" s="8">
        <f t="shared" si="78"/>
        <v>4954656</v>
      </c>
      <c r="Y519" s="8">
        <v>18885642</v>
      </c>
      <c r="AA519" s="8">
        <v>35421499</v>
      </c>
      <c r="AD519" s="8">
        <f t="shared" si="74"/>
        <v>0</v>
      </c>
      <c r="AF519" s="35">
        <f t="shared" si="75"/>
        <v>0</v>
      </c>
    </row>
    <row r="520" spans="1:32">
      <c r="A520" s="12" t="s">
        <v>239</v>
      </c>
      <c r="B520" s="12"/>
      <c r="C520" s="12" t="s">
        <v>15</v>
      </c>
      <c r="D520" s="12"/>
      <c r="E520" s="32">
        <v>46011</v>
      </c>
      <c r="G520" s="8">
        <f t="shared" si="76"/>
        <v>4394999</v>
      </c>
      <c r="I520" s="8">
        <f>1842760+10929713</f>
        <v>12772473</v>
      </c>
      <c r="K520" s="8">
        <v>17167472</v>
      </c>
      <c r="M520" s="8">
        <f t="shared" si="77"/>
        <v>3750982</v>
      </c>
      <c r="O520" s="8">
        <v>245180</v>
      </c>
      <c r="Q520" s="8">
        <v>3464088</v>
      </c>
      <c r="S520" s="8">
        <v>7460250</v>
      </c>
      <c r="U520" s="8">
        <v>10271094</v>
      </c>
      <c r="W520" s="8">
        <f t="shared" si="78"/>
        <v>1172543</v>
      </c>
      <c r="Y520" s="8">
        <v>-1736415</v>
      </c>
      <c r="AA520" s="8">
        <v>9707222</v>
      </c>
      <c r="AD520" s="8">
        <f t="shared" si="74"/>
        <v>0</v>
      </c>
      <c r="AF520" s="35">
        <f t="shared" si="75"/>
        <v>0</v>
      </c>
    </row>
    <row r="521" spans="1:32">
      <c r="A521" s="12" t="s">
        <v>625</v>
      </c>
      <c r="B521" s="12"/>
      <c r="C521" s="12" t="s">
        <v>58</v>
      </c>
      <c r="D521" s="12"/>
      <c r="E521" s="32">
        <v>49536</v>
      </c>
      <c r="G521" s="8">
        <f t="shared" si="76"/>
        <v>14655000</v>
      </c>
      <c r="I521" s="8">
        <f>444360+25551774</f>
        <v>25996134</v>
      </c>
      <c r="K521" s="8">
        <v>40651134</v>
      </c>
      <c r="M521" s="8">
        <f t="shared" si="77"/>
        <v>4955759</v>
      </c>
      <c r="O521" s="8">
        <v>366270</v>
      </c>
      <c r="Q521" s="8">
        <v>5042747</v>
      </c>
      <c r="S521" s="8">
        <v>10364776</v>
      </c>
      <c r="U521" s="8">
        <v>22672059</v>
      </c>
      <c r="W521" s="8">
        <f t="shared" si="78"/>
        <v>1965119</v>
      </c>
      <c r="Y521" s="8">
        <v>5649180</v>
      </c>
      <c r="AA521" s="8">
        <v>30286358</v>
      </c>
      <c r="AD521" s="8">
        <f t="shared" si="74"/>
        <v>0</v>
      </c>
      <c r="AF521" s="35">
        <f t="shared" si="75"/>
        <v>0</v>
      </c>
    </row>
    <row r="522" spans="1:32" hidden="1">
      <c r="A522" s="12" t="s">
        <v>950</v>
      </c>
      <c r="B522" s="12"/>
      <c r="C522" s="12" t="s">
        <v>115</v>
      </c>
      <c r="D522" s="12"/>
      <c r="E522" s="32">
        <v>46458</v>
      </c>
      <c r="G522" s="8">
        <f t="shared" si="76"/>
        <v>0</v>
      </c>
      <c r="M522" s="8">
        <f t="shared" si="77"/>
        <v>0</v>
      </c>
      <c r="W522" s="8">
        <f t="shared" si="78"/>
        <v>0</v>
      </c>
      <c r="AD522" s="8">
        <f t="shared" si="74"/>
        <v>0</v>
      </c>
      <c r="AF522" s="35">
        <f t="shared" si="75"/>
        <v>0</v>
      </c>
    </row>
    <row r="523" spans="1:32">
      <c r="A523" s="12" t="s">
        <v>368</v>
      </c>
      <c r="B523" s="12"/>
      <c r="C523" s="12" t="s">
        <v>27</v>
      </c>
      <c r="D523" s="12"/>
      <c r="E523" s="32">
        <v>44933</v>
      </c>
      <c r="G523" s="8">
        <f t="shared" si="76"/>
        <v>105426517</v>
      </c>
      <c r="I523" s="8">
        <f>458879+48326932</f>
        <v>48785811</v>
      </c>
      <c r="K523" s="8">
        <v>154212328</v>
      </c>
      <c r="M523" s="8">
        <f t="shared" si="77"/>
        <v>55034800</v>
      </c>
      <c r="O523" s="8">
        <v>2255371</v>
      </c>
      <c r="Q523" s="8">
        <v>36670376</v>
      </c>
      <c r="S523" s="8">
        <v>93960547</v>
      </c>
      <c r="U523" s="8">
        <v>17462386</v>
      </c>
      <c r="W523" s="8">
        <f t="shared" si="78"/>
        <v>7795875</v>
      </c>
      <c r="Y523" s="8">
        <v>34993520</v>
      </c>
      <c r="AA523" s="8">
        <v>60251781</v>
      </c>
      <c r="AD523" s="8">
        <f t="shared" si="74"/>
        <v>0</v>
      </c>
      <c r="AF523" s="35">
        <f t="shared" si="75"/>
        <v>0</v>
      </c>
    </row>
    <row r="524" spans="1:32" hidden="1">
      <c r="A524" s="12" t="s">
        <v>949</v>
      </c>
      <c r="B524" s="12"/>
      <c r="C524" s="12" t="s">
        <v>747</v>
      </c>
      <c r="D524" s="12"/>
      <c r="E524" s="32">
        <v>45625</v>
      </c>
      <c r="F524" s="11"/>
      <c r="G524" s="8">
        <f t="shared" si="76"/>
        <v>0</v>
      </c>
      <c r="M524" s="8">
        <f t="shared" si="77"/>
        <v>0</v>
      </c>
      <c r="W524" s="8">
        <f t="shared" si="78"/>
        <v>0</v>
      </c>
      <c r="AD524" s="8">
        <f t="shared" si="74"/>
        <v>0</v>
      </c>
      <c r="AF524" s="35">
        <f t="shared" si="75"/>
        <v>0</v>
      </c>
    </row>
    <row r="525" spans="1:32" hidden="1">
      <c r="A525" s="12" t="s">
        <v>948</v>
      </c>
      <c r="B525" s="12"/>
      <c r="C525" s="12" t="s">
        <v>426</v>
      </c>
      <c r="D525" s="12"/>
      <c r="E525" s="32">
        <v>47522</v>
      </c>
      <c r="G525" s="8">
        <f t="shared" si="76"/>
        <v>0</v>
      </c>
      <c r="M525" s="8">
        <f t="shared" si="77"/>
        <v>0</v>
      </c>
      <c r="W525" s="8">
        <f t="shared" si="78"/>
        <v>0</v>
      </c>
      <c r="AD525" s="8">
        <f t="shared" si="74"/>
        <v>0</v>
      </c>
      <c r="AF525" s="35">
        <f t="shared" si="75"/>
        <v>0</v>
      </c>
    </row>
    <row r="526" spans="1:32">
      <c r="A526" s="12" t="s">
        <v>262</v>
      </c>
      <c r="B526" s="12"/>
      <c r="C526" s="12" t="s">
        <v>259</v>
      </c>
      <c r="D526" s="12"/>
      <c r="E526" s="32">
        <v>44941</v>
      </c>
      <c r="G526" s="8">
        <f t="shared" si="76"/>
        <v>16700435</v>
      </c>
      <c r="I526" s="8">
        <f>1127575+2377748</f>
        <v>3505323</v>
      </c>
      <c r="K526" s="8">
        <v>20205758</v>
      </c>
      <c r="M526" s="8">
        <f t="shared" si="77"/>
        <v>9277481</v>
      </c>
      <c r="O526" s="8">
        <v>541741</v>
      </c>
      <c r="Q526" s="8">
        <v>3036104</v>
      </c>
      <c r="S526" s="8">
        <v>12855326</v>
      </c>
      <c r="U526" s="8">
        <v>2926927</v>
      </c>
      <c r="W526" s="8">
        <f t="shared" si="78"/>
        <v>1746536</v>
      </c>
      <c r="Y526" s="8">
        <v>2676969</v>
      </c>
      <c r="AA526" s="8">
        <v>7350432</v>
      </c>
      <c r="AD526" s="8">
        <f t="shared" si="74"/>
        <v>0</v>
      </c>
      <c r="AF526" s="35">
        <f t="shared" si="75"/>
        <v>0</v>
      </c>
    </row>
    <row r="527" spans="1:32" hidden="1">
      <c r="A527" s="12" t="s">
        <v>947</v>
      </c>
      <c r="B527" s="12"/>
      <c r="C527" s="12" t="s">
        <v>59</v>
      </c>
      <c r="D527" s="12"/>
      <c r="E527" s="32">
        <v>49643</v>
      </c>
      <c r="F527" s="11"/>
      <c r="G527" s="8">
        <f t="shared" si="76"/>
        <v>0</v>
      </c>
      <c r="M527" s="8">
        <f t="shared" si="77"/>
        <v>0</v>
      </c>
      <c r="W527" s="8">
        <f t="shared" si="78"/>
        <v>0</v>
      </c>
      <c r="AD527" s="8">
        <f t="shared" si="74"/>
        <v>0</v>
      </c>
      <c r="AF527" s="35">
        <f t="shared" si="75"/>
        <v>0</v>
      </c>
    </row>
    <row r="528" spans="1:32">
      <c r="A528" s="12" t="s">
        <v>564</v>
      </c>
      <c r="B528" s="12"/>
      <c r="C528" s="12" t="s">
        <v>50</v>
      </c>
      <c r="D528" s="12"/>
      <c r="E528" s="32">
        <v>48744</v>
      </c>
      <c r="G528" s="8">
        <f t="shared" si="76"/>
        <v>14946770</v>
      </c>
      <c r="I528" s="8">
        <f>436936+4434475</f>
        <v>4871411</v>
      </c>
      <c r="K528" s="8">
        <v>19818181</v>
      </c>
      <c r="M528" s="8">
        <f t="shared" si="77"/>
        <v>6929994</v>
      </c>
      <c r="O528" s="8">
        <v>300401</v>
      </c>
      <c r="Q528" s="8">
        <v>1632399</v>
      </c>
      <c r="S528" s="8">
        <v>8862794</v>
      </c>
      <c r="U528" s="8">
        <v>3987211</v>
      </c>
      <c r="W528" s="8">
        <f t="shared" si="78"/>
        <v>1232448</v>
      </c>
      <c r="Y528" s="8">
        <v>5735728</v>
      </c>
      <c r="AA528" s="8">
        <v>10955387</v>
      </c>
      <c r="AD528" s="8">
        <f t="shared" si="74"/>
        <v>0</v>
      </c>
      <c r="AF528" s="35">
        <f t="shared" si="75"/>
        <v>0</v>
      </c>
    </row>
    <row r="529" spans="1:32">
      <c r="A529" s="12" t="s">
        <v>424</v>
      </c>
      <c r="B529" s="12"/>
      <c r="C529" s="12" t="s">
        <v>33</v>
      </c>
      <c r="D529" s="12"/>
      <c r="E529" s="32">
        <v>47464</v>
      </c>
      <c r="G529" s="8">
        <f t="shared" si="76"/>
        <v>16143905</v>
      </c>
      <c r="I529" s="8">
        <f>175927+14206681</f>
        <v>14382608</v>
      </c>
      <c r="K529" s="8">
        <v>30526513</v>
      </c>
      <c r="M529" s="8">
        <f t="shared" si="77"/>
        <v>7422746</v>
      </c>
      <c r="O529" s="8">
        <v>613819</v>
      </c>
      <c r="Q529" s="8">
        <v>9009337</v>
      </c>
      <c r="S529" s="8">
        <v>17045902</v>
      </c>
      <c r="U529" s="8">
        <v>5487608</v>
      </c>
      <c r="W529" s="8">
        <f t="shared" si="78"/>
        <v>1331294</v>
      </c>
      <c r="Y529" s="8">
        <v>6661709</v>
      </c>
      <c r="AA529" s="8">
        <v>13480611</v>
      </c>
      <c r="AD529" s="8">
        <f t="shared" si="74"/>
        <v>0</v>
      </c>
      <c r="AF529" s="35">
        <f t="shared" si="75"/>
        <v>0</v>
      </c>
    </row>
    <row r="530" spans="1:32">
      <c r="A530" s="12" t="s">
        <v>711</v>
      </c>
      <c r="B530" s="12"/>
      <c r="C530" s="12" t="s">
        <v>67</v>
      </c>
      <c r="D530" s="12"/>
      <c r="E530" s="32">
        <v>44966</v>
      </c>
      <c r="G530" s="8">
        <f t="shared" si="76"/>
        <v>17220040</v>
      </c>
      <c r="I530" s="8">
        <f>541339+44503820</f>
        <v>45045159</v>
      </c>
      <c r="K530" s="8">
        <v>62265199</v>
      </c>
      <c r="M530" s="8">
        <f t="shared" si="77"/>
        <v>8825871</v>
      </c>
      <c r="O530" s="8">
        <v>488511</v>
      </c>
      <c r="Q530" s="8">
        <v>28059195</v>
      </c>
      <c r="S530" s="8">
        <v>37373577</v>
      </c>
      <c r="U530" s="8">
        <v>19953158</v>
      </c>
      <c r="W530" s="8">
        <f t="shared" si="78"/>
        <v>1157518</v>
      </c>
      <c r="Y530" s="8">
        <v>3780946</v>
      </c>
      <c r="AA530" s="8">
        <v>24891622</v>
      </c>
      <c r="AD530" s="8">
        <f t="shared" si="74"/>
        <v>0</v>
      </c>
      <c r="AF530" s="35">
        <f t="shared" si="75"/>
        <v>0</v>
      </c>
    </row>
    <row r="531" spans="1:32">
      <c r="A531" s="12" t="s">
        <v>565</v>
      </c>
      <c r="B531" s="12"/>
      <c r="C531" s="12" t="s">
        <v>50</v>
      </c>
      <c r="D531" s="12"/>
      <c r="E531" s="32">
        <v>44958</v>
      </c>
      <c r="G531" s="8">
        <f t="shared" si="76"/>
        <v>39846925</v>
      </c>
      <c r="I531" s="8">
        <f>623099+5777567</f>
        <v>6400666</v>
      </c>
      <c r="K531" s="8">
        <v>46247591</v>
      </c>
      <c r="M531" s="8">
        <f t="shared" si="77"/>
        <v>24937781</v>
      </c>
      <c r="O531" s="8">
        <v>170674</v>
      </c>
      <c r="Q531" s="8">
        <v>2006848</v>
      </c>
      <c r="S531" s="8">
        <v>27115303</v>
      </c>
      <c r="U531" s="8">
        <v>6349688</v>
      </c>
      <c r="W531" s="8">
        <f t="shared" si="78"/>
        <v>966939</v>
      </c>
      <c r="Y531" s="8">
        <v>11815661</v>
      </c>
      <c r="AA531" s="8">
        <v>19132288</v>
      </c>
      <c r="AD531" s="8">
        <f t="shared" si="74"/>
        <v>0</v>
      </c>
      <c r="AF531" s="35">
        <f t="shared" si="75"/>
        <v>0</v>
      </c>
    </row>
    <row r="532" spans="1:32" hidden="1">
      <c r="A532" s="12" t="s">
        <v>946</v>
      </c>
      <c r="B532" s="12"/>
      <c r="C532" s="12" t="s">
        <v>33</v>
      </c>
      <c r="D532" s="12"/>
      <c r="E532" s="32">
        <v>47472</v>
      </c>
      <c r="G532" s="8">
        <f t="shared" si="76"/>
        <v>0</v>
      </c>
      <c r="M532" s="8">
        <f t="shared" si="77"/>
        <v>0</v>
      </c>
      <c r="W532" s="8">
        <f t="shared" si="78"/>
        <v>0</v>
      </c>
      <c r="AD532" s="8">
        <f t="shared" si="74"/>
        <v>0</v>
      </c>
      <c r="AF532" s="35">
        <f t="shared" si="75"/>
        <v>0</v>
      </c>
    </row>
    <row r="533" spans="1:32">
      <c r="A533" s="12" t="s">
        <v>346</v>
      </c>
      <c r="B533" s="12"/>
      <c r="C533" s="12" t="s">
        <v>24</v>
      </c>
      <c r="D533" s="12"/>
      <c r="E533" s="32">
        <v>46821</v>
      </c>
      <c r="G533" s="8">
        <f t="shared" si="76"/>
        <v>27777646</v>
      </c>
      <c r="I533" s="8">
        <f>699837+7456083</f>
        <v>8155920</v>
      </c>
      <c r="K533" s="8">
        <v>35933566</v>
      </c>
      <c r="M533" s="8">
        <f t="shared" si="77"/>
        <v>8623977</v>
      </c>
      <c r="O533" s="8">
        <v>4472561</v>
      </c>
      <c r="Q533" s="8">
        <v>5096265</v>
      </c>
      <c r="S533" s="8">
        <v>18192803</v>
      </c>
      <c r="U533" s="8">
        <v>4802139</v>
      </c>
      <c r="W533" s="8">
        <f t="shared" si="78"/>
        <v>1597802</v>
      </c>
      <c r="Y533" s="8">
        <v>11340822</v>
      </c>
      <c r="AA533" s="8">
        <v>17740763</v>
      </c>
      <c r="AD533" s="8">
        <f t="shared" si="74"/>
        <v>0</v>
      </c>
      <c r="AF533" s="35">
        <f t="shared" si="75"/>
        <v>0</v>
      </c>
    </row>
    <row r="534" spans="1:32">
      <c r="A534" s="12" t="s">
        <v>712</v>
      </c>
      <c r="B534" s="12"/>
      <c r="C534" s="12" t="s">
        <v>68</v>
      </c>
      <c r="D534" s="12"/>
      <c r="E534" s="32">
        <v>50393</v>
      </c>
      <c r="G534" s="8">
        <f t="shared" si="76"/>
        <v>25333279</v>
      </c>
      <c r="I534" s="8">
        <f>9783265+55652750</f>
        <v>65436015</v>
      </c>
      <c r="K534" s="8">
        <v>90769294</v>
      </c>
      <c r="M534" s="8">
        <f t="shared" si="77"/>
        <v>7850302</v>
      </c>
      <c r="O534" s="8">
        <v>512536</v>
      </c>
      <c r="Q534" s="8">
        <v>7941723</v>
      </c>
      <c r="S534" s="8">
        <v>16304561</v>
      </c>
      <c r="U534" s="8">
        <v>57870423</v>
      </c>
      <c r="W534" s="8">
        <f t="shared" si="78"/>
        <v>6800405</v>
      </c>
      <c r="Y534" s="8">
        <v>9793905</v>
      </c>
      <c r="AA534" s="8">
        <v>74464733</v>
      </c>
      <c r="AD534" s="8">
        <f t="shared" si="74"/>
        <v>0</v>
      </c>
      <c r="AF534" s="35">
        <f t="shared" si="75"/>
        <v>0</v>
      </c>
    </row>
    <row r="535" spans="1:32">
      <c r="A535" s="12" t="s">
        <v>536</v>
      </c>
      <c r="B535" s="12"/>
      <c r="C535" s="12" t="s">
        <v>47</v>
      </c>
      <c r="D535" s="12"/>
      <c r="E535" s="32">
        <v>44974</v>
      </c>
      <c r="G535" s="8">
        <f t="shared" si="76"/>
        <v>35339547</v>
      </c>
      <c r="I535" s="8">
        <f>1313557+41862690</f>
        <v>43176247</v>
      </c>
      <c r="K535" s="8">
        <v>78515794</v>
      </c>
      <c r="M535" s="8">
        <f t="shared" si="77"/>
        <v>22923591</v>
      </c>
      <c r="O535" s="8">
        <v>1854515</v>
      </c>
      <c r="Q535" s="8">
        <v>32150710</v>
      </c>
      <c r="S535" s="8">
        <v>56928816</v>
      </c>
      <c r="U535" s="8">
        <v>19269614</v>
      </c>
      <c r="W535" s="8">
        <f t="shared" si="78"/>
        <v>2910705</v>
      </c>
      <c r="Y535" s="8">
        <v>-593341</v>
      </c>
      <c r="AA535" s="8">
        <v>21586978</v>
      </c>
      <c r="AD535" s="8">
        <f t="shared" ref="AD535:AD553" si="79">+K535-S535-AA535</f>
        <v>0</v>
      </c>
      <c r="AF535" s="35">
        <f t="shared" ref="AF535:AF553" si="80">+G535+I535+-M535-O535-U535-W535-Y535-Q535</f>
        <v>0</v>
      </c>
    </row>
    <row r="536" spans="1:32" hidden="1">
      <c r="A536" s="12" t="s">
        <v>982</v>
      </c>
      <c r="B536" s="12"/>
      <c r="C536" s="12" t="s">
        <v>14</v>
      </c>
      <c r="D536" s="12"/>
      <c r="E536" s="32">
        <v>44974</v>
      </c>
      <c r="G536" s="8">
        <f>+K536-I536</f>
        <v>0</v>
      </c>
      <c r="I536" s="8">
        <v>0</v>
      </c>
      <c r="K536" s="8">
        <v>0</v>
      </c>
      <c r="M536" s="8">
        <f>+S536-O536-Q536</f>
        <v>0</v>
      </c>
      <c r="O536" s="8">
        <v>0</v>
      </c>
      <c r="Q536" s="8">
        <v>0</v>
      </c>
      <c r="S536" s="8">
        <v>0</v>
      </c>
      <c r="U536" s="8">
        <v>0</v>
      </c>
      <c r="W536" s="8">
        <f>AA536-Y536-U536</f>
        <v>0</v>
      </c>
      <c r="Y536" s="8">
        <v>0</v>
      </c>
      <c r="AA536" s="8">
        <v>0</v>
      </c>
      <c r="AD536" s="8">
        <f>+K536-S536-AA536</f>
        <v>0</v>
      </c>
      <c r="AF536" s="35">
        <f>+G536+I536+-M536-O536-U536-W536-Y536-Q536</f>
        <v>0</v>
      </c>
    </row>
    <row r="537" spans="1:32">
      <c r="A537" s="12" t="s">
        <v>697</v>
      </c>
      <c r="B537" s="12"/>
      <c r="C537" s="12" t="s">
        <v>64</v>
      </c>
      <c r="D537" s="12"/>
      <c r="E537" s="32">
        <v>44990</v>
      </c>
      <c r="G537" s="8">
        <f t="shared" si="76"/>
        <v>140620181</v>
      </c>
      <c r="I537" s="8">
        <f>1645757+75749006+21917837</f>
        <v>99312600</v>
      </c>
      <c r="K537" s="8">
        <v>239932781</v>
      </c>
      <c r="M537" s="8">
        <f t="shared" si="77"/>
        <v>33186986</v>
      </c>
      <c r="O537" s="8">
        <v>1122950</v>
      </c>
      <c r="Q537" s="8">
        <v>38956339</v>
      </c>
      <c r="S537" s="8">
        <v>73266275</v>
      </c>
      <c r="U537" s="8">
        <v>84225077</v>
      </c>
      <c r="W537" s="8">
        <f t="shared" si="78"/>
        <v>61991763</v>
      </c>
      <c r="Y537" s="8">
        <v>20449666</v>
      </c>
      <c r="AA537" s="8">
        <v>166666506</v>
      </c>
      <c r="AD537" s="8">
        <f t="shared" si="79"/>
        <v>0</v>
      </c>
      <c r="AF537" s="35">
        <f t="shared" si="80"/>
        <v>0</v>
      </c>
    </row>
    <row r="538" spans="1:32">
      <c r="A538" s="12" t="s">
        <v>975</v>
      </c>
      <c r="B538" s="12"/>
      <c r="C538" s="12" t="s">
        <v>70</v>
      </c>
      <c r="D538" s="12"/>
      <c r="E538" s="32">
        <v>50500</v>
      </c>
      <c r="F538" s="11"/>
      <c r="G538" s="8">
        <f t="shared" si="76"/>
        <v>10431157</v>
      </c>
      <c r="I538" s="8">
        <f>355101+5146616</f>
        <v>5501717</v>
      </c>
      <c r="K538" s="8">
        <v>15932874</v>
      </c>
      <c r="M538" s="8">
        <f t="shared" si="77"/>
        <v>9058954</v>
      </c>
      <c r="O538" s="8">
        <v>44246</v>
      </c>
      <c r="Q538" s="8">
        <v>2407548</v>
      </c>
      <c r="S538" s="8">
        <v>11510748</v>
      </c>
      <c r="U538" s="8">
        <v>5501717</v>
      </c>
      <c r="W538" s="8">
        <f t="shared" si="78"/>
        <v>359278</v>
      </c>
      <c r="Y538" s="8">
        <v>-1438869</v>
      </c>
      <c r="AA538" s="8">
        <v>4422126</v>
      </c>
      <c r="AD538" s="8">
        <f t="shared" si="79"/>
        <v>0</v>
      </c>
      <c r="AF538" s="35">
        <f t="shared" si="80"/>
        <v>0</v>
      </c>
    </row>
    <row r="539" spans="1:32">
      <c r="A539" s="12" t="s">
        <v>328</v>
      </c>
      <c r="B539" s="12"/>
      <c r="C539" s="12" t="s">
        <v>20</v>
      </c>
      <c r="D539" s="12"/>
      <c r="E539" s="32">
        <v>45005</v>
      </c>
      <c r="G539" s="8">
        <f t="shared" si="76"/>
        <v>33647376</v>
      </c>
      <c r="I539" s="8">
        <f>414153+27027596</f>
        <v>27441749</v>
      </c>
      <c r="K539" s="8">
        <v>61089125</v>
      </c>
      <c r="M539" s="8">
        <f t="shared" si="77"/>
        <v>22265782</v>
      </c>
      <c r="O539" s="8">
        <v>2198343</v>
      </c>
      <c r="Q539" s="8">
        <v>24883887</v>
      </c>
      <c r="S539" s="8">
        <v>49348012</v>
      </c>
      <c r="U539" s="8">
        <v>4814934</v>
      </c>
      <c r="W539" s="8">
        <f t="shared" si="78"/>
        <v>4133084</v>
      </c>
      <c r="Y539" s="8">
        <v>2793095</v>
      </c>
      <c r="AA539" s="8">
        <v>11741113</v>
      </c>
      <c r="AD539" s="8">
        <f t="shared" si="79"/>
        <v>0</v>
      </c>
      <c r="AF539" s="35">
        <f t="shared" si="80"/>
        <v>0</v>
      </c>
    </row>
    <row r="540" spans="1:32">
      <c r="A540" s="12" t="s">
        <v>355</v>
      </c>
      <c r="B540" s="12"/>
      <c r="C540" s="12" t="s">
        <v>26</v>
      </c>
      <c r="D540" s="12"/>
      <c r="E540" s="32">
        <v>45013</v>
      </c>
      <c r="G540" s="8">
        <f t="shared" si="76"/>
        <v>48734526</v>
      </c>
      <c r="I540" s="8">
        <f>44141626+2949303</f>
        <v>47090929</v>
      </c>
      <c r="K540" s="8">
        <v>95825455</v>
      </c>
      <c r="M540" s="8">
        <f t="shared" si="77"/>
        <v>17088313</v>
      </c>
      <c r="O540" s="8">
        <v>537919</v>
      </c>
      <c r="Q540" s="8">
        <v>21824677</v>
      </c>
      <c r="S540" s="8">
        <v>39450909</v>
      </c>
      <c r="U540" s="8">
        <v>47501345</v>
      </c>
      <c r="W540" s="8">
        <f>459484+9169374+884109</f>
        <v>10512967</v>
      </c>
      <c r="Y540" s="8">
        <v>-1639766</v>
      </c>
      <c r="AA540" s="8">
        <v>56374546</v>
      </c>
      <c r="AD540" s="8">
        <f t="shared" si="79"/>
        <v>0</v>
      </c>
      <c r="AF540" s="35">
        <f t="shared" si="80"/>
        <v>0</v>
      </c>
    </row>
    <row r="541" spans="1:32">
      <c r="A541" s="12" t="s">
        <v>509</v>
      </c>
      <c r="B541" s="12"/>
      <c r="C541" s="12" t="s">
        <v>118</v>
      </c>
      <c r="D541" s="12"/>
      <c r="E541" s="32">
        <v>48231</v>
      </c>
      <c r="G541" s="8">
        <f t="shared" si="76"/>
        <v>85597762</v>
      </c>
      <c r="I541" s="8">
        <f>1388025+23011533</f>
        <v>24399558</v>
      </c>
      <c r="K541" s="8">
        <v>109997320</v>
      </c>
      <c r="M541" s="8">
        <f t="shared" si="77"/>
        <v>46143674</v>
      </c>
      <c r="O541" s="8">
        <v>1417578</v>
      </c>
      <c r="Q541" s="8">
        <v>5663259</v>
      </c>
      <c r="S541" s="8">
        <v>53224511</v>
      </c>
      <c r="U541" s="8">
        <v>21521558</v>
      </c>
      <c r="W541" s="8">
        <f t="shared" si="78"/>
        <v>2899752</v>
      </c>
      <c r="Y541" s="8">
        <v>32351499</v>
      </c>
      <c r="AA541" s="8">
        <v>56772809</v>
      </c>
      <c r="AD541" s="8">
        <f t="shared" si="79"/>
        <v>0</v>
      </c>
      <c r="AF541" s="35">
        <f t="shared" si="80"/>
        <v>0</v>
      </c>
    </row>
    <row r="542" spans="1:32">
      <c r="A542" s="12" t="s">
        <v>638</v>
      </c>
      <c r="B542" s="12"/>
      <c r="C542" s="12" t="s">
        <v>59</v>
      </c>
      <c r="D542" s="12"/>
      <c r="E542" s="32">
        <v>49650</v>
      </c>
      <c r="G542" s="8">
        <f t="shared" si="76"/>
        <v>7172298</v>
      </c>
      <c r="I542" s="8">
        <f>1853109+24540009</f>
        <v>26393118</v>
      </c>
      <c r="K542" s="8">
        <v>33565416</v>
      </c>
      <c r="M542" s="8">
        <f t="shared" si="77"/>
        <v>3090342</v>
      </c>
      <c r="O542" s="8">
        <v>432229</v>
      </c>
      <c r="Q542" s="8">
        <v>1533998</v>
      </c>
      <c r="S542" s="8">
        <v>5056569</v>
      </c>
      <c r="U542" s="8">
        <v>25063068</v>
      </c>
      <c r="W542" s="8">
        <f t="shared" si="78"/>
        <v>1349926</v>
      </c>
      <c r="Y542" s="8">
        <v>2095853</v>
      </c>
      <c r="AA542" s="8">
        <v>28508847</v>
      </c>
      <c r="AD542" s="8">
        <f t="shared" si="79"/>
        <v>0</v>
      </c>
      <c r="AF542" s="35">
        <f t="shared" si="80"/>
        <v>0</v>
      </c>
    </row>
    <row r="543" spans="1:32">
      <c r="A543" s="12" t="s">
        <v>603</v>
      </c>
      <c r="B543" s="12"/>
      <c r="C543" s="12" t="s">
        <v>56</v>
      </c>
      <c r="D543" s="12"/>
      <c r="E543" s="32">
        <v>49247</v>
      </c>
      <c r="G543" s="8">
        <f t="shared" si="76"/>
        <v>9310398</v>
      </c>
      <c r="I543" s="8">
        <f>299298+17302758</f>
        <v>17602056</v>
      </c>
      <c r="K543" s="8">
        <v>26912454</v>
      </c>
      <c r="M543" s="8">
        <f t="shared" si="77"/>
        <v>5509023</v>
      </c>
      <c r="O543" s="8">
        <v>630132</v>
      </c>
      <c r="Q543" s="8">
        <v>9246908</v>
      </c>
      <c r="S543" s="8">
        <v>15386063</v>
      </c>
      <c r="U543" s="8">
        <v>8752104</v>
      </c>
      <c r="W543" s="8">
        <f t="shared" si="78"/>
        <v>2548332</v>
      </c>
      <c r="Y543" s="8">
        <v>225955</v>
      </c>
      <c r="AA543" s="8">
        <v>11526391</v>
      </c>
      <c r="AD543" s="8">
        <f t="shared" si="79"/>
        <v>0</v>
      </c>
      <c r="AF543" s="35">
        <f t="shared" si="80"/>
        <v>0</v>
      </c>
    </row>
    <row r="544" spans="1:32">
      <c r="A544" s="12" t="s">
        <v>378</v>
      </c>
      <c r="B544" s="12"/>
      <c r="C544" s="12" t="s">
        <v>28</v>
      </c>
      <c r="D544" s="12"/>
      <c r="E544" s="32">
        <v>45641</v>
      </c>
      <c r="G544" s="8">
        <f t="shared" si="76"/>
        <v>56944806</v>
      </c>
      <c r="I544" s="8">
        <f>908233+6258880+10941848</f>
        <v>18108961</v>
      </c>
      <c r="K544" s="8">
        <v>75053767</v>
      </c>
      <c r="M544" s="8">
        <f t="shared" si="77"/>
        <v>11394675</v>
      </c>
      <c r="O544" s="8">
        <v>1180589</v>
      </c>
      <c r="Q544" s="8">
        <v>28377157</v>
      </c>
      <c r="S544" s="8">
        <v>40952421</v>
      </c>
      <c r="U544" s="8">
        <v>8482067</v>
      </c>
      <c r="W544" s="8">
        <f t="shared" si="78"/>
        <v>22404355</v>
      </c>
      <c r="Y544" s="8">
        <v>3214924</v>
      </c>
      <c r="AA544" s="8">
        <v>34101346</v>
      </c>
      <c r="AD544" s="8">
        <f t="shared" si="79"/>
        <v>0</v>
      </c>
      <c r="AF544" s="35">
        <f t="shared" si="80"/>
        <v>0</v>
      </c>
    </row>
    <row r="545" spans="1:32">
      <c r="A545" s="12" t="s">
        <v>593</v>
      </c>
      <c r="B545" s="12"/>
      <c r="C545" s="12" t="s">
        <v>55</v>
      </c>
      <c r="D545" s="12"/>
      <c r="E545" s="32">
        <v>49148</v>
      </c>
      <c r="G545" s="8">
        <f t="shared" si="76"/>
        <v>10729828</v>
      </c>
      <c r="I545" s="8">
        <f>763100+44306101</f>
        <v>45069201</v>
      </c>
      <c r="K545" s="8">
        <v>55799029</v>
      </c>
      <c r="M545" s="8">
        <f t="shared" si="77"/>
        <v>6081964</v>
      </c>
      <c r="O545" s="8">
        <v>556496</v>
      </c>
      <c r="Q545" s="8">
        <v>9421799</v>
      </c>
      <c r="S545" s="8">
        <v>16060259</v>
      </c>
      <c r="U545" s="8">
        <v>36384781</v>
      </c>
      <c r="W545" s="8">
        <f t="shared" si="78"/>
        <v>2159492</v>
      </c>
      <c r="Y545" s="8">
        <v>1194497</v>
      </c>
      <c r="AA545" s="8">
        <v>39738770</v>
      </c>
      <c r="AD545" s="8">
        <f t="shared" si="79"/>
        <v>0</v>
      </c>
      <c r="AF545" s="35">
        <f t="shared" si="80"/>
        <v>0</v>
      </c>
    </row>
    <row r="546" spans="1:32" hidden="1">
      <c r="A546" s="12" t="s">
        <v>872</v>
      </c>
      <c r="B546" s="12"/>
      <c r="C546" s="12" t="s">
        <v>69</v>
      </c>
      <c r="D546" s="12"/>
      <c r="E546" s="32">
        <v>50468</v>
      </c>
      <c r="G546" s="8">
        <f t="shared" si="76"/>
        <v>0</v>
      </c>
      <c r="M546" s="8">
        <f t="shared" si="77"/>
        <v>0</v>
      </c>
      <c r="W546" s="8">
        <f t="shared" si="78"/>
        <v>0</v>
      </c>
      <c r="AD546" s="8">
        <f t="shared" si="79"/>
        <v>0</v>
      </c>
      <c r="AF546" s="35">
        <f t="shared" si="80"/>
        <v>0</v>
      </c>
    </row>
    <row r="547" spans="1:32" hidden="1">
      <c r="A547" s="12" t="s">
        <v>875</v>
      </c>
      <c r="B547" s="12"/>
      <c r="C547" s="12" t="s">
        <v>583</v>
      </c>
      <c r="D547" s="12"/>
      <c r="E547" s="32">
        <v>49031</v>
      </c>
      <c r="G547" s="8">
        <f t="shared" si="76"/>
        <v>0</v>
      </c>
      <c r="M547" s="8">
        <f t="shared" si="77"/>
        <v>0</v>
      </c>
      <c r="W547" s="8">
        <f t="shared" si="78"/>
        <v>0</v>
      </c>
      <c r="AD547" s="8">
        <f t="shared" si="79"/>
        <v>0</v>
      </c>
      <c r="AF547" s="35">
        <f t="shared" si="80"/>
        <v>0</v>
      </c>
    </row>
    <row r="548" spans="1:32" hidden="1">
      <c r="A548" s="12" t="s">
        <v>941</v>
      </c>
      <c r="B548" s="12"/>
      <c r="C548" s="12" t="s">
        <v>14</v>
      </c>
      <c r="D548" s="12"/>
      <c r="E548" s="32">
        <v>45971</v>
      </c>
      <c r="G548" s="8">
        <f t="shared" si="76"/>
        <v>0</v>
      </c>
      <c r="I548" s="8">
        <v>0</v>
      </c>
      <c r="K548" s="8">
        <v>0</v>
      </c>
      <c r="M548" s="8">
        <f t="shared" si="77"/>
        <v>0</v>
      </c>
      <c r="O548" s="8">
        <v>0</v>
      </c>
      <c r="Q548" s="8">
        <v>0</v>
      </c>
      <c r="S548" s="8">
        <v>0</v>
      </c>
      <c r="U548" s="8">
        <v>0</v>
      </c>
      <c r="W548" s="8">
        <f t="shared" si="78"/>
        <v>0</v>
      </c>
      <c r="Y548" s="8">
        <v>0</v>
      </c>
      <c r="AA548" s="8">
        <v>0</v>
      </c>
      <c r="AD548" s="8">
        <f t="shared" si="79"/>
        <v>0</v>
      </c>
      <c r="AF548" s="35">
        <f t="shared" si="80"/>
        <v>0</v>
      </c>
    </row>
    <row r="549" spans="1:32">
      <c r="A549" s="12" t="s">
        <v>698</v>
      </c>
      <c r="B549" s="12"/>
      <c r="C549" s="12" t="s">
        <v>64</v>
      </c>
      <c r="D549" s="12"/>
      <c r="E549" s="32">
        <v>50252</v>
      </c>
      <c r="G549" s="8">
        <f t="shared" si="76"/>
        <v>6890956</v>
      </c>
      <c r="I549" s="8">
        <f>60088+4532657</f>
        <v>4592745</v>
      </c>
      <c r="K549" s="8">
        <v>11483701</v>
      </c>
      <c r="M549" s="8">
        <f t="shared" si="77"/>
        <v>4671801</v>
      </c>
      <c r="O549" s="8">
        <v>378321</v>
      </c>
      <c r="Q549" s="8">
        <v>3253588</v>
      </c>
      <c r="S549" s="8">
        <v>8303710</v>
      </c>
      <c r="U549" s="8">
        <v>1802407</v>
      </c>
      <c r="W549" s="8">
        <f t="shared" si="78"/>
        <v>508646</v>
      </c>
      <c r="Y549" s="8">
        <v>868938</v>
      </c>
      <c r="AA549" s="8">
        <v>3179991</v>
      </c>
      <c r="AD549" s="8">
        <f t="shared" si="79"/>
        <v>0</v>
      </c>
      <c r="AF549" s="35">
        <f t="shared" si="80"/>
        <v>0</v>
      </c>
    </row>
    <row r="550" spans="1:32">
      <c r="A550" s="12" t="s">
        <v>501</v>
      </c>
      <c r="B550" s="12"/>
      <c r="C550" s="12" t="s">
        <v>44</v>
      </c>
      <c r="D550" s="12"/>
      <c r="E550" s="32">
        <v>45658</v>
      </c>
      <c r="G550" s="8">
        <f t="shared" si="76"/>
        <v>10064784</v>
      </c>
      <c r="I550" s="8">
        <f>1430520+3029267</f>
        <v>4459787</v>
      </c>
      <c r="K550" s="8">
        <v>14524571</v>
      </c>
      <c r="M550" s="8">
        <f t="shared" si="77"/>
        <v>5364866</v>
      </c>
      <c r="O550" s="8">
        <v>34311</v>
      </c>
      <c r="Q550" s="8">
        <v>1055169</v>
      </c>
      <c r="S550" s="8">
        <v>6454346</v>
      </c>
      <c r="U550" s="8">
        <v>4459787</v>
      </c>
      <c r="W550" s="8">
        <f t="shared" si="78"/>
        <v>819963</v>
      </c>
      <c r="Y550" s="8">
        <v>2790475</v>
      </c>
      <c r="AA550" s="8">
        <v>8070225</v>
      </c>
      <c r="AD550" s="8">
        <f t="shared" si="79"/>
        <v>0</v>
      </c>
      <c r="AF550" s="35">
        <f t="shared" si="80"/>
        <v>0</v>
      </c>
    </row>
    <row r="551" spans="1:32">
      <c r="A551" s="12" t="s">
        <v>454</v>
      </c>
      <c r="B551" s="12"/>
      <c r="C551" s="12" t="s">
        <v>38</v>
      </c>
      <c r="D551" s="12"/>
      <c r="E551" s="32">
        <v>45021</v>
      </c>
      <c r="G551" s="8">
        <f t="shared" si="76"/>
        <v>13841532</v>
      </c>
      <c r="I551" s="8">
        <f>153935+33333742</f>
        <v>33487677</v>
      </c>
      <c r="K551" s="8">
        <v>47329209</v>
      </c>
      <c r="M551" s="8">
        <f t="shared" si="77"/>
        <v>5041072</v>
      </c>
      <c r="O551" s="8">
        <v>175081</v>
      </c>
      <c r="Q551" s="8">
        <v>3218667</v>
      </c>
      <c r="S551" s="8">
        <v>8434820</v>
      </c>
      <c r="U551" s="8">
        <v>30727677</v>
      </c>
      <c r="W551" s="8">
        <f t="shared" si="78"/>
        <v>3169293</v>
      </c>
      <c r="Y551" s="8">
        <v>4997419</v>
      </c>
      <c r="AA551" s="8">
        <v>38894389</v>
      </c>
      <c r="AD551" s="8">
        <f t="shared" si="79"/>
        <v>0</v>
      </c>
      <c r="AF551" s="35">
        <f t="shared" si="80"/>
        <v>0</v>
      </c>
    </row>
    <row r="552" spans="1:32">
      <c r="A552" s="12" t="s">
        <v>290</v>
      </c>
      <c r="B552" s="12"/>
      <c r="C552" s="12" t="s">
        <v>115</v>
      </c>
      <c r="D552" s="12"/>
      <c r="E552" s="32">
        <v>45039</v>
      </c>
      <c r="G552" s="8">
        <f t="shared" si="76"/>
        <v>3810961</v>
      </c>
      <c r="I552" s="8">
        <f>291078+7410525</f>
        <v>7701603</v>
      </c>
      <c r="K552" s="8">
        <v>11512564</v>
      </c>
      <c r="M552" s="8">
        <f t="shared" si="77"/>
        <v>1726945</v>
      </c>
      <c r="O552" s="8">
        <v>100619</v>
      </c>
      <c r="Q552" s="8">
        <v>2033383</v>
      </c>
      <c r="S552" s="8">
        <v>3860947</v>
      </c>
      <c r="U552" s="8">
        <v>6094755</v>
      </c>
      <c r="W552" s="8">
        <f t="shared" si="78"/>
        <v>1421923</v>
      </c>
      <c r="Y552" s="8">
        <v>134939</v>
      </c>
      <c r="AA552" s="8">
        <v>7651617</v>
      </c>
      <c r="AD552" s="8">
        <f t="shared" si="79"/>
        <v>0</v>
      </c>
      <c r="AF552" s="35">
        <f t="shared" si="80"/>
        <v>0</v>
      </c>
    </row>
    <row r="553" spans="1:32">
      <c r="A553" s="12" t="s">
        <v>524</v>
      </c>
      <c r="B553" s="12"/>
      <c r="C553" s="12" t="s">
        <v>45</v>
      </c>
      <c r="D553" s="12"/>
      <c r="E553" s="32">
        <v>48389</v>
      </c>
      <c r="G553" s="8">
        <f t="shared" si="76"/>
        <v>11197424</v>
      </c>
      <c r="I553" s="8">
        <f>643930+45692076</f>
        <v>46336006</v>
      </c>
      <c r="K553" s="8">
        <v>57533430</v>
      </c>
      <c r="M553" s="8">
        <f t="shared" si="77"/>
        <v>7335996</v>
      </c>
      <c r="O553" s="8">
        <v>535067</v>
      </c>
      <c r="Q553" s="8">
        <v>7843556</v>
      </c>
      <c r="S553" s="8">
        <v>15714619</v>
      </c>
      <c r="U553" s="8">
        <v>39422412</v>
      </c>
      <c r="W553" s="8">
        <f t="shared" si="78"/>
        <v>1863010</v>
      </c>
      <c r="Y553" s="8">
        <v>533389</v>
      </c>
      <c r="AA553" s="8">
        <v>41818811</v>
      </c>
      <c r="AD553" s="8">
        <f t="shared" si="79"/>
        <v>0</v>
      </c>
      <c r="AF553" s="35">
        <f t="shared" si="80"/>
        <v>0</v>
      </c>
    </row>
    <row r="554" spans="1:32">
      <c r="A554" s="13" t="s">
        <v>276</v>
      </c>
      <c r="B554" s="13"/>
      <c r="C554" s="13" t="s">
        <v>116</v>
      </c>
      <c r="D554" s="13"/>
      <c r="E554" s="13">
        <v>46359</v>
      </c>
      <c r="G554" s="8">
        <f t="shared" ref="G554:G563" si="81">+K554-I554</f>
        <v>117565047</v>
      </c>
      <c r="I554" s="8">
        <f>5162232+17389370</f>
        <v>22551602</v>
      </c>
      <c r="K554" s="8">
        <v>140116649</v>
      </c>
      <c r="M554" s="8">
        <f t="shared" ref="M554:M563" si="82">+S554-O554-Q554</f>
        <v>76672626</v>
      </c>
      <c r="O554" s="8">
        <v>2998944</v>
      </c>
      <c r="Q554" s="8">
        <v>44896174</v>
      </c>
      <c r="S554" s="8">
        <v>124567744</v>
      </c>
      <c r="U554" s="8">
        <v>7552696</v>
      </c>
      <c r="W554" s="8">
        <f t="shared" ref="W554:W563" si="83">AA554-Y554-U554</f>
        <v>37508778</v>
      </c>
      <c r="Y554" s="8">
        <v>-29512569</v>
      </c>
      <c r="AA554" s="8">
        <v>15548905</v>
      </c>
      <c r="AD554" s="8">
        <f t="shared" ref="AD554:AD563" si="84">+K554-S554-AA554</f>
        <v>0</v>
      </c>
      <c r="AF554" s="8">
        <f t="shared" ref="AF554:AF563" si="85">+G554+I554+-M554-O554-U554-W554-Y554-Q554</f>
        <v>0</v>
      </c>
    </row>
    <row r="555" spans="1:32" s="35" customFormat="1">
      <c r="A555" s="34"/>
      <c r="B555" s="34"/>
      <c r="C555" s="34"/>
      <c r="D555" s="34"/>
      <c r="E555" s="34"/>
    </row>
    <row r="556" spans="1:32" s="35" customFormat="1">
      <c r="A556" s="34"/>
      <c r="B556" s="34"/>
      <c r="C556" s="34"/>
      <c r="D556" s="34"/>
      <c r="E556" s="34"/>
      <c r="AA556" s="35" t="s">
        <v>819</v>
      </c>
    </row>
    <row r="557" spans="1:32" s="35" customFormat="1">
      <c r="A557" s="34" t="s">
        <v>387</v>
      </c>
      <c r="B557" s="34"/>
      <c r="C557" s="34" t="s">
        <v>30</v>
      </c>
      <c r="D557" s="34"/>
      <c r="E557" s="34">
        <v>47225</v>
      </c>
      <c r="G557" s="35">
        <f t="shared" si="81"/>
        <v>27571717</v>
      </c>
      <c r="I557" s="35">
        <f>368630+14744133</f>
        <v>15112763</v>
      </c>
      <c r="K557" s="35">
        <v>42684480</v>
      </c>
      <c r="M557" s="35">
        <f t="shared" si="82"/>
        <v>20030381</v>
      </c>
      <c r="O557" s="35">
        <v>2757354</v>
      </c>
      <c r="Q557" s="35">
        <v>11477990</v>
      </c>
      <c r="S557" s="35">
        <v>34265725</v>
      </c>
      <c r="U557" s="35">
        <v>3745774</v>
      </c>
      <c r="W557" s="35">
        <f t="shared" si="83"/>
        <v>2555702</v>
      </c>
      <c r="Y557" s="35">
        <v>2117279</v>
      </c>
      <c r="AA557" s="35">
        <v>8418755</v>
      </c>
      <c r="AD557" s="35">
        <f t="shared" si="84"/>
        <v>0</v>
      </c>
      <c r="AF557" s="35">
        <f t="shared" si="85"/>
        <v>0</v>
      </c>
    </row>
    <row r="558" spans="1:32">
      <c r="A558" s="12" t="s">
        <v>447</v>
      </c>
      <c r="B558" s="12"/>
      <c r="C558" s="12" t="s">
        <v>36</v>
      </c>
      <c r="D558" s="12"/>
      <c r="E558" s="32">
        <v>47696</v>
      </c>
      <c r="G558" s="8">
        <f t="shared" si="81"/>
        <v>20986733</v>
      </c>
      <c r="I558" s="8">
        <f>643088+22842497</f>
        <v>23485585</v>
      </c>
      <c r="K558" s="8">
        <v>44472318</v>
      </c>
      <c r="M558" s="8">
        <f t="shared" si="82"/>
        <v>10537489</v>
      </c>
      <c r="O558" s="8">
        <v>723512</v>
      </c>
      <c r="Q558" s="8">
        <v>14371272</v>
      </c>
      <c r="S558" s="8">
        <v>25632273</v>
      </c>
      <c r="U558" s="8">
        <v>11333347</v>
      </c>
      <c r="W558" s="8">
        <f t="shared" si="83"/>
        <v>2048224</v>
      </c>
      <c r="Y558" s="8">
        <v>5458474</v>
      </c>
      <c r="AA558" s="8">
        <v>18840045</v>
      </c>
      <c r="AD558" s="8">
        <f t="shared" si="84"/>
        <v>0</v>
      </c>
      <c r="AF558" s="35">
        <f t="shared" si="85"/>
        <v>0</v>
      </c>
    </row>
    <row r="559" spans="1:32">
      <c r="A559" s="12" t="s">
        <v>263</v>
      </c>
      <c r="B559" s="12"/>
      <c r="C559" s="12" t="s">
        <v>259</v>
      </c>
      <c r="D559" s="12"/>
      <c r="E559" s="32">
        <v>46219</v>
      </c>
      <c r="G559" s="8">
        <f t="shared" si="81"/>
        <v>7156161</v>
      </c>
      <c r="I559" s="8">
        <v>4875550</v>
      </c>
      <c r="K559" s="8">
        <v>12031711</v>
      </c>
      <c r="M559" s="8">
        <f t="shared" si="82"/>
        <v>3729463</v>
      </c>
      <c r="O559" s="8">
        <v>342073</v>
      </c>
      <c r="Q559" s="8">
        <v>924889</v>
      </c>
      <c r="S559" s="8">
        <v>4996425</v>
      </c>
      <c r="U559" s="8">
        <v>4360939</v>
      </c>
      <c r="W559" s="8">
        <f t="shared" si="83"/>
        <v>836069</v>
      </c>
      <c r="Y559" s="8">
        <v>1838278</v>
      </c>
      <c r="AA559" s="8">
        <v>7035286</v>
      </c>
      <c r="AD559" s="8">
        <f t="shared" si="84"/>
        <v>0</v>
      </c>
      <c r="AF559" s="35">
        <f t="shared" si="85"/>
        <v>0</v>
      </c>
    </row>
    <row r="560" spans="1:32">
      <c r="A560" s="12" t="s">
        <v>575</v>
      </c>
      <c r="B560" s="12"/>
      <c r="C560" s="12" t="s">
        <v>51</v>
      </c>
      <c r="D560" s="12"/>
      <c r="E560" s="32">
        <v>48884</v>
      </c>
      <c r="G560" s="8">
        <f t="shared" si="81"/>
        <v>25731508</v>
      </c>
      <c r="I560" s="8">
        <f>674756+24730702</f>
        <v>25405458</v>
      </c>
      <c r="K560" s="8">
        <v>51136966</v>
      </c>
      <c r="M560" s="8">
        <f t="shared" si="82"/>
        <v>8722385</v>
      </c>
      <c r="O560" s="8">
        <v>699655</v>
      </c>
      <c r="Q560" s="8">
        <v>23835781</v>
      </c>
      <c r="S560" s="8">
        <v>33257821</v>
      </c>
      <c r="U560" s="8">
        <v>2210664</v>
      </c>
      <c r="W560" s="8">
        <f t="shared" si="83"/>
        <v>14507375</v>
      </c>
      <c r="Y560" s="8">
        <v>1161106</v>
      </c>
      <c r="AA560" s="8">
        <v>17879145</v>
      </c>
      <c r="AD560" s="8">
        <f t="shared" si="84"/>
        <v>0</v>
      </c>
      <c r="AF560" s="35">
        <f t="shared" si="85"/>
        <v>0</v>
      </c>
    </row>
    <row r="561" spans="1:32">
      <c r="A561" s="13" t="s">
        <v>244</v>
      </c>
      <c r="B561" s="13"/>
      <c r="C561" s="13" t="s">
        <v>77</v>
      </c>
      <c r="D561" s="13"/>
      <c r="E561" s="13">
        <v>46060</v>
      </c>
      <c r="G561" s="8">
        <f t="shared" si="81"/>
        <v>12397396</v>
      </c>
      <c r="I561" s="8">
        <f>2515954+48817586</f>
        <v>51333540</v>
      </c>
      <c r="K561" s="8">
        <v>63730936</v>
      </c>
      <c r="M561" s="8">
        <f t="shared" si="82"/>
        <v>6957230</v>
      </c>
      <c r="O561" s="8">
        <v>442745</v>
      </c>
      <c r="Q561" s="8">
        <v>6752619</v>
      </c>
      <c r="S561" s="8">
        <v>14152594</v>
      </c>
      <c r="U561" s="8">
        <v>45577012</v>
      </c>
      <c r="W561" s="8">
        <f t="shared" si="83"/>
        <v>4797894</v>
      </c>
      <c r="Y561" s="8">
        <v>-796564</v>
      </c>
      <c r="AA561" s="8">
        <v>49578342</v>
      </c>
      <c r="AD561" s="8">
        <f t="shared" si="84"/>
        <v>0</v>
      </c>
      <c r="AF561" s="35">
        <f t="shared" si="85"/>
        <v>0</v>
      </c>
    </row>
    <row r="562" spans="1:32">
      <c r="A562" s="12" t="s">
        <v>594</v>
      </c>
      <c r="B562" s="12"/>
      <c r="C562" s="12" t="s">
        <v>55</v>
      </c>
      <c r="D562" s="12"/>
      <c r="E562" s="32">
        <v>49155</v>
      </c>
      <c r="G562" s="8">
        <f t="shared" si="81"/>
        <v>20368022</v>
      </c>
      <c r="I562" s="8">
        <v>6720646</v>
      </c>
      <c r="K562" s="8">
        <v>27088668</v>
      </c>
      <c r="M562" s="8">
        <f t="shared" si="82"/>
        <v>1777733</v>
      </c>
      <c r="O562" s="8">
        <v>135281</v>
      </c>
      <c r="Q562" s="8">
        <v>879860</v>
      </c>
      <c r="S562" s="8">
        <v>2792874</v>
      </c>
      <c r="U562" s="8">
        <v>18013039</v>
      </c>
      <c r="W562" s="8">
        <f t="shared" si="83"/>
        <v>1293458</v>
      </c>
      <c r="Y562" s="8">
        <v>4989297</v>
      </c>
      <c r="AA562" s="8">
        <v>24295794</v>
      </c>
      <c r="AD562" s="8">
        <f t="shared" si="84"/>
        <v>0</v>
      </c>
      <c r="AF562" s="35">
        <f t="shared" si="85"/>
        <v>0</v>
      </c>
    </row>
    <row r="563" spans="1:32">
      <c r="A563" s="12" t="s">
        <v>452</v>
      </c>
      <c r="B563" s="12"/>
      <c r="C563" s="12" t="s">
        <v>37</v>
      </c>
      <c r="D563" s="12"/>
      <c r="E563" s="32">
        <v>47746</v>
      </c>
      <c r="G563" s="8">
        <f t="shared" si="81"/>
        <v>4668573</v>
      </c>
      <c r="I563" s="8">
        <v>18055714</v>
      </c>
      <c r="K563" s="8">
        <v>22724287</v>
      </c>
      <c r="M563" s="8">
        <f t="shared" si="82"/>
        <v>3439856</v>
      </c>
      <c r="O563" s="8">
        <v>190560</v>
      </c>
      <c r="Q563" s="8">
        <v>3403883</v>
      </c>
      <c r="S563" s="8">
        <v>7034299</v>
      </c>
      <c r="U563" s="8">
        <v>15182313</v>
      </c>
      <c r="W563" s="8">
        <f t="shared" si="83"/>
        <v>880289</v>
      </c>
      <c r="Y563" s="8">
        <v>-372614</v>
      </c>
      <c r="AA563" s="8">
        <v>15689988</v>
      </c>
      <c r="AD563" s="8">
        <f t="shared" si="84"/>
        <v>0</v>
      </c>
      <c r="AF563" s="35">
        <f t="shared" si="85"/>
        <v>0</v>
      </c>
    </row>
    <row r="564" spans="1:32">
      <c r="A564" s="13" t="s">
        <v>452</v>
      </c>
      <c r="B564" s="13"/>
      <c r="C564" s="13" t="s">
        <v>45</v>
      </c>
      <c r="D564" s="13"/>
      <c r="E564" s="13">
        <v>48397</v>
      </c>
      <c r="G564" s="8">
        <f t="shared" ref="G564:G587" si="86">+K564-I564</f>
        <v>5385383</v>
      </c>
      <c r="I564" s="8">
        <f>28935+2595749</f>
        <v>2624684</v>
      </c>
      <c r="K564" s="8">
        <v>8010067</v>
      </c>
      <c r="M564" s="8">
        <f t="shared" ref="M564:M587" si="87">+S564-O564-Q564</f>
        <v>3744022</v>
      </c>
      <c r="O564" s="8">
        <v>32273</v>
      </c>
      <c r="Q564" s="8">
        <v>554018</v>
      </c>
      <c r="S564" s="8">
        <v>4330313</v>
      </c>
      <c r="U564" s="8">
        <v>2624684</v>
      </c>
      <c r="W564" s="8">
        <f t="shared" ref="W564:W587" si="88">AA564-Y564-U564</f>
        <v>498849</v>
      </c>
      <c r="Y564" s="8">
        <v>556221</v>
      </c>
      <c r="AA564" s="8">
        <v>3679754</v>
      </c>
      <c r="AD564" s="8">
        <f t="shared" ref="AD564:AD587" si="89">+K564-S564-AA564</f>
        <v>0</v>
      </c>
      <c r="AF564" s="8">
        <f t="shared" ref="AF564:AF584" si="90">+G564+I564+-M564-O564-U564-W564-Y564-Q564</f>
        <v>0</v>
      </c>
    </row>
    <row r="565" spans="1:32">
      <c r="A565" s="12" t="s">
        <v>369</v>
      </c>
      <c r="B565" s="12"/>
      <c r="C565" s="12" t="s">
        <v>27</v>
      </c>
      <c r="D565" s="12"/>
      <c r="E565" s="32">
        <v>45047</v>
      </c>
      <c r="G565" s="8">
        <f t="shared" si="86"/>
        <v>133993597</v>
      </c>
      <c r="I565" s="8">
        <f>5813922+144624108</f>
        <v>150438030</v>
      </c>
      <c r="K565" s="8">
        <v>284431627</v>
      </c>
      <c r="M565" s="8">
        <f t="shared" si="87"/>
        <v>93098151</v>
      </c>
      <c r="O565" s="8">
        <v>6329932</v>
      </c>
      <c r="Q565" s="8">
        <v>114054493</v>
      </c>
      <c r="S565" s="8">
        <v>213482576</v>
      </c>
      <c r="U565" s="8">
        <v>44673445</v>
      </c>
      <c r="W565" s="8">
        <f t="shared" si="88"/>
        <v>15870373</v>
      </c>
      <c r="Y565" s="8">
        <v>10405233</v>
      </c>
      <c r="AA565" s="8">
        <v>70949051</v>
      </c>
      <c r="AD565" s="8">
        <f t="shared" si="89"/>
        <v>0</v>
      </c>
      <c r="AF565" s="35">
        <f t="shared" si="90"/>
        <v>0</v>
      </c>
    </row>
    <row r="566" spans="1:32">
      <c r="A566" s="12" t="s">
        <v>591</v>
      </c>
      <c r="B566" s="12"/>
      <c r="C566" s="12" t="s">
        <v>54</v>
      </c>
      <c r="D566" s="12"/>
      <c r="E566" s="32">
        <v>49106</v>
      </c>
      <c r="G566" s="8">
        <f t="shared" si="86"/>
        <v>7820167</v>
      </c>
      <c r="I566" s="8">
        <f>105604+11690127</f>
        <v>11795731</v>
      </c>
      <c r="K566" s="8">
        <v>19615898</v>
      </c>
      <c r="M566" s="8">
        <f t="shared" si="87"/>
        <v>5749908</v>
      </c>
      <c r="O566" s="8">
        <v>457748</v>
      </c>
      <c r="Q566" s="8">
        <v>6771069</v>
      </c>
      <c r="S566" s="8">
        <v>12978725</v>
      </c>
      <c r="U566" s="8">
        <v>5989294</v>
      </c>
      <c r="W566" s="8">
        <f t="shared" si="88"/>
        <v>2237857</v>
      </c>
      <c r="Y566" s="8">
        <v>-1589978</v>
      </c>
      <c r="AA566" s="8">
        <v>6637173</v>
      </c>
      <c r="AD566" s="8">
        <f t="shared" si="89"/>
        <v>0</v>
      </c>
      <c r="AF566" s="35">
        <f t="shared" si="90"/>
        <v>0</v>
      </c>
    </row>
    <row r="567" spans="1:32">
      <c r="A567" s="12" t="s">
        <v>329</v>
      </c>
      <c r="B567" s="12"/>
      <c r="C567" s="12" t="s">
        <v>20</v>
      </c>
      <c r="D567" s="12"/>
      <c r="E567" s="32">
        <v>45062</v>
      </c>
      <c r="G567" s="8">
        <f t="shared" si="86"/>
        <v>66095141</v>
      </c>
      <c r="I567" s="8">
        <v>44329072</v>
      </c>
      <c r="K567" s="8">
        <v>110424213</v>
      </c>
      <c r="M567" s="8">
        <f t="shared" si="87"/>
        <v>42073111</v>
      </c>
      <c r="O567" s="8">
        <v>2470049</v>
      </c>
      <c r="Q567" s="8">
        <v>26484222</v>
      </c>
      <c r="S567" s="8">
        <v>71027382</v>
      </c>
      <c r="U567" s="8">
        <v>24506211</v>
      </c>
      <c r="W567" s="8">
        <f t="shared" si="88"/>
        <v>4862901</v>
      </c>
      <c r="Y567" s="8">
        <v>10027719</v>
      </c>
      <c r="AA567" s="8">
        <v>39396831</v>
      </c>
      <c r="AD567" s="8">
        <f t="shared" si="89"/>
        <v>0</v>
      </c>
      <c r="AF567" s="35">
        <f t="shared" si="90"/>
        <v>0</v>
      </c>
    </row>
    <row r="568" spans="1:32">
      <c r="A568" s="13" t="s">
        <v>639</v>
      </c>
      <c r="B568" s="13"/>
      <c r="C568" s="13" t="s">
        <v>59</v>
      </c>
      <c r="D568" s="13"/>
      <c r="E568" s="13">
        <v>49668</v>
      </c>
      <c r="G568" s="8">
        <f t="shared" si="86"/>
        <v>14199167</v>
      </c>
      <c r="I568" s="8">
        <f>931568+33823580+2788934</f>
        <v>37544082</v>
      </c>
      <c r="K568" s="8">
        <v>51743249</v>
      </c>
      <c r="M568" s="8">
        <f t="shared" si="87"/>
        <v>7026996</v>
      </c>
      <c r="O568" s="8">
        <v>359331</v>
      </c>
      <c r="Q568" s="8">
        <v>10480294</v>
      </c>
      <c r="S568" s="8">
        <v>17866621</v>
      </c>
      <c r="U568" s="8">
        <v>30229932</v>
      </c>
      <c r="W568" s="8">
        <f t="shared" si="88"/>
        <v>3045290</v>
      </c>
      <c r="Y568" s="8">
        <v>601406</v>
      </c>
      <c r="AA568" s="8">
        <v>33876628</v>
      </c>
      <c r="AD568" s="8">
        <f>+K568-S568-AA568</f>
        <v>0</v>
      </c>
      <c r="AF568" s="8">
        <f t="shared" si="90"/>
        <v>0</v>
      </c>
    </row>
    <row r="569" spans="1:32">
      <c r="A569" s="12" t="s">
        <v>370</v>
      </c>
      <c r="B569" s="12"/>
      <c r="C569" s="12" t="s">
        <v>27</v>
      </c>
      <c r="D569" s="12"/>
      <c r="E569" s="32">
        <v>45070</v>
      </c>
      <c r="G569" s="8">
        <f t="shared" si="86"/>
        <v>30513326</v>
      </c>
      <c r="I569" s="8">
        <f>420406+7461110</f>
        <v>7881516</v>
      </c>
      <c r="K569" s="8">
        <v>38394842</v>
      </c>
      <c r="M569" s="8">
        <f t="shared" si="87"/>
        <v>13268419</v>
      </c>
      <c r="O569" s="8">
        <v>1585000</v>
      </c>
      <c r="Q569" s="8">
        <v>1610827</v>
      </c>
      <c r="S569" s="8">
        <v>16464246</v>
      </c>
      <c r="U569" s="8">
        <v>5921213</v>
      </c>
      <c r="W569" s="8">
        <f t="shared" si="88"/>
        <v>1011679</v>
      </c>
      <c r="Y569" s="8">
        <v>14997704</v>
      </c>
      <c r="AA569" s="8">
        <v>21930596</v>
      </c>
      <c r="AD569" s="8">
        <f>+K569-S569-AA569</f>
        <v>0</v>
      </c>
      <c r="AF569" s="35">
        <f t="shared" si="90"/>
        <v>0</v>
      </c>
    </row>
    <row r="570" spans="1:32" hidden="1">
      <c r="A570" s="12" t="s">
        <v>873</v>
      </c>
      <c r="B570" s="12"/>
      <c r="C570" s="12" t="s">
        <v>41</v>
      </c>
      <c r="D570" s="12"/>
      <c r="E570" s="32">
        <v>45088</v>
      </c>
      <c r="G570" s="8">
        <f t="shared" si="86"/>
        <v>0</v>
      </c>
      <c r="I570" s="8">
        <v>0</v>
      </c>
      <c r="K570" s="8">
        <v>0</v>
      </c>
      <c r="M570" s="8">
        <f t="shared" si="87"/>
        <v>0</v>
      </c>
      <c r="O570" s="8">
        <v>0</v>
      </c>
      <c r="Q570" s="8">
        <v>0</v>
      </c>
      <c r="S570" s="8">
        <v>0</v>
      </c>
      <c r="U570" s="8">
        <v>0</v>
      </c>
      <c r="W570" s="8">
        <f t="shared" si="88"/>
        <v>0</v>
      </c>
      <c r="Y570" s="8">
        <v>0</v>
      </c>
      <c r="AA570" s="8">
        <v>0</v>
      </c>
      <c r="AD570" s="8">
        <f t="shared" si="89"/>
        <v>0</v>
      </c>
      <c r="AF570" s="35">
        <f t="shared" si="90"/>
        <v>0</v>
      </c>
    </row>
    <row r="571" spans="1:32">
      <c r="A571" s="12" t="s">
        <v>453</v>
      </c>
      <c r="B571" s="12"/>
      <c r="C571" s="12" t="s">
        <v>37</v>
      </c>
      <c r="D571" s="12"/>
      <c r="E571" s="32">
        <v>45096</v>
      </c>
      <c r="G571" s="8">
        <f t="shared" si="86"/>
        <v>11978649</v>
      </c>
      <c r="I571" s="8">
        <f>107448+5362882</f>
        <v>5470330</v>
      </c>
      <c r="K571" s="8">
        <v>17448979</v>
      </c>
      <c r="M571" s="8">
        <f t="shared" si="87"/>
        <v>6483960</v>
      </c>
      <c r="O571" s="8">
        <v>443593</v>
      </c>
      <c r="Q571" s="8">
        <v>3960752</v>
      </c>
      <c r="S571" s="8">
        <v>10888305</v>
      </c>
      <c r="U571" s="8">
        <v>2307700</v>
      </c>
      <c r="W571" s="8">
        <f t="shared" si="88"/>
        <v>1921436</v>
      </c>
      <c r="Y571" s="8">
        <v>2331538</v>
      </c>
      <c r="AA571" s="8">
        <v>6560674</v>
      </c>
      <c r="AD571" s="8">
        <f t="shared" si="89"/>
        <v>0</v>
      </c>
      <c r="AF571" s="35">
        <f t="shared" si="90"/>
        <v>0</v>
      </c>
    </row>
    <row r="572" spans="1:32">
      <c r="A572" s="12" t="s">
        <v>277</v>
      </c>
      <c r="B572" s="12"/>
      <c r="C572" s="12" t="s">
        <v>116</v>
      </c>
      <c r="D572" s="12"/>
      <c r="E572" s="32">
        <v>46367</v>
      </c>
      <c r="G572" s="8">
        <f t="shared" si="86"/>
        <v>8100182</v>
      </c>
      <c r="I572" s="8">
        <f>99200+9301035</f>
        <v>9400235</v>
      </c>
      <c r="K572" s="8">
        <v>17500417</v>
      </c>
      <c r="M572" s="8">
        <f t="shared" si="87"/>
        <v>4126582</v>
      </c>
      <c r="O572" s="8">
        <v>332936</v>
      </c>
      <c r="Q572" s="8">
        <v>3582186</v>
      </c>
      <c r="S572" s="8">
        <v>8041704</v>
      </c>
      <c r="U572" s="8">
        <v>6194300</v>
      </c>
      <c r="W572" s="8">
        <f t="shared" si="88"/>
        <v>969965</v>
      </c>
      <c r="Y572" s="8">
        <v>2294448</v>
      </c>
      <c r="AA572" s="8">
        <v>9458713</v>
      </c>
      <c r="AD572" s="8">
        <f t="shared" si="89"/>
        <v>0</v>
      </c>
      <c r="AF572" s="35">
        <f t="shared" si="90"/>
        <v>0</v>
      </c>
    </row>
    <row r="573" spans="1:32">
      <c r="A573" s="12" t="s">
        <v>469</v>
      </c>
      <c r="B573" s="12"/>
      <c r="C573" s="12" t="s">
        <v>41</v>
      </c>
      <c r="D573" s="12"/>
      <c r="E573" s="32">
        <v>45104</v>
      </c>
      <c r="G573" s="8">
        <f t="shared" si="86"/>
        <v>87014704</v>
      </c>
      <c r="I573" s="8">
        <f>560374+15824451</f>
        <v>16384825</v>
      </c>
      <c r="K573" s="8">
        <v>103399529</v>
      </c>
      <c r="M573" s="8">
        <f t="shared" si="87"/>
        <v>61909899</v>
      </c>
      <c r="O573" s="8">
        <v>2491943</v>
      </c>
      <c r="Q573" s="8">
        <v>9370440</v>
      </c>
      <c r="S573" s="8">
        <v>73772282</v>
      </c>
      <c r="U573" s="8">
        <v>16384825</v>
      </c>
      <c r="W573" s="8">
        <f t="shared" si="88"/>
        <v>5756109</v>
      </c>
      <c r="Y573" s="8">
        <v>7486313</v>
      </c>
      <c r="AA573" s="8">
        <v>29627247</v>
      </c>
      <c r="AD573" s="8">
        <f t="shared" si="89"/>
        <v>0</v>
      </c>
      <c r="AF573" s="35">
        <f t="shared" si="90"/>
        <v>0</v>
      </c>
    </row>
    <row r="574" spans="1:32">
      <c r="A574" s="12" t="s">
        <v>281</v>
      </c>
      <c r="B574" s="12"/>
      <c r="C574" s="12" t="s">
        <v>18</v>
      </c>
      <c r="D574" s="12"/>
      <c r="E574" s="32">
        <v>45112</v>
      </c>
      <c r="G574" s="8">
        <f t="shared" si="86"/>
        <v>31033987</v>
      </c>
      <c r="I574" s="8">
        <f>624927+17291663</f>
        <v>17916590</v>
      </c>
      <c r="K574" s="8">
        <v>48950577</v>
      </c>
      <c r="M574" s="8">
        <f t="shared" si="87"/>
        <v>19317346</v>
      </c>
      <c r="O574" s="8">
        <v>1522084</v>
      </c>
      <c r="Q574" s="8">
        <v>10342604</v>
      </c>
      <c r="S574" s="8">
        <v>31182034</v>
      </c>
      <c r="U574" s="8">
        <v>7118173</v>
      </c>
      <c r="W574" s="8">
        <f t="shared" si="88"/>
        <v>4784048</v>
      </c>
      <c r="Y574" s="8">
        <v>5866322</v>
      </c>
      <c r="AA574" s="8">
        <v>17768543</v>
      </c>
      <c r="AD574" s="8">
        <f t="shared" si="89"/>
        <v>0</v>
      </c>
      <c r="AF574" s="35">
        <f t="shared" si="90"/>
        <v>0</v>
      </c>
    </row>
    <row r="575" spans="1:32">
      <c r="A575" s="12" t="s">
        <v>604</v>
      </c>
      <c r="B575" s="12"/>
      <c r="C575" s="12" t="s">
        <v>56</v>
      </c>
      <c r="D575" s="12"/>
      <c r="E575" s="32">
        <v>45666</v>
      </c>
      <c r="G575" s="8">
        <f t="shared" si="86"/>
        <v>2846433</v>
      </c>
      <c r="I575" s="8">
        <f>207375+22394837</f>
        <v>22602212</v>
      </c>
      <c r="K575" s="8">
        <v>25448645</v>
      </c>
      <c r="M575" s="8">
        <f t="shared" si="87"/>
        <v>2502877</v>
      </c>
      <c r="O575" s="8">
        <v>151620</v>
      </c>
      <c r="Q575" s="8">
        <v>1239708</v>
      </c>
      <c r="S575" s="8">
        <v>3894205</v>
      </c>
      <c r="U575" s="8">
        <v>21866494</v>
      </c>
      <c r="W575" s="8">
        <f t="shared" si="88"/>
        <v>388757</v>
      </c>
      <c r="Y575" s="8">
        <v>-700811</v>
      </c>
      <c r="AA575" s="8">
        <v>21554440</v>
      </c>
      <c r="AD575" s="8">
        <f t="shared" si="89"/>
        <v>0</v>
      </c>
      <c r="AF575" s="35">
        <f t="shared" si="90"/>
        <v>0</v>
      </c>
    </row>
    <row r="576" spans="1:32">
      <c r="A576" s="12" t="s">
        <v>416</v>
      </c>
      <c r="B576" s="12"/>
      <c r="C576" s="12" t="s">
        <v>32</v>
      </c>
      <c r="D576" s="12"/>
      <c r="E576" s="32">
        <v>44081</v>
      </c>
      <c r="G576" s="8">
        <f t="shared" si="86"/>
        <v>27320605</v>
      </c>
      <c r="I576" s="8">
        <f>880000+8567865</f>
        <v>9447865</v>
      </c>
      <c r="K576" s="8">
        <v>36768470</v>
      </c>
      <c r="M576" s="8">
        <f t="shared" si="87"/>
        <v>17674624</v>
      </c>
      <c r="O576" s="8">
        <v>1149501</v>
      </c>
      <c r="Q576" s="8">
        <v>7336206</v>
      </c>
      <c r="S576" s="8">
        <v>26160331</v>
      </c>
      <c r="U576" s="8">
        <v>4577151</v>
      </c>
      <c r="W576" s="8">
        <f t="shared" si="88"/>
        <v>1144782</v>
      </c>
      <c r="Y576" s="8">
        <v>4886206</v>
      </c>
      <c r="AA576" s="8">
        <v>10608139</v>
      </c>
      <c r="AD576" s="8">
        <f t="shared" si="89"/>
        <v>0</v>
      </c>
      <c r="AF576" s="35">
        <f t="shared" si="90"/>
        <v>0</v>
      </c>
    </row>
    <row r="577" spans="1:32">
      <c r="A577" s="12" t="s">
        <v>726</v>
      </c>
      <c r="B577" s="12"/>
      <c r="C577" s="12" t="s">
        <v>70</v>
      </c>
      <c r="D577" s="12"/>
      <c r="E577" s="32">
        <v>50518</v>
      </c>
      <c r="G577" s="8">
        <f t="shared" si="86"/>
        <v>10330910</v>
      </c>
      <c r="I577" s="8">
        <f>19171+31007+7671454</f>
        <v>7721632</v>
      </c>
      <c r="K577" s="8">
        <v>18052542</v>
      </c>
      <c r="M577" s="8">
        <f t="shared" si="87"/>
        <v>5574378</v>
      </c>
      <c r="O577" s="8">
        <v>150000</v>
      </c>
      <c r="Q577" s="8">
        <v>6685475</v>
      </c>
      <c r="S577" s="8">
        <v>12409853</v>
      </c>
      <c r="U577" s="8">
        <v>1901686</v>
      </c>
      <c r="W577" s="8">
        <f t="shared" si="88"/>
        <v>886881</v>
      </c>
      <c r="Y577" s="8">
        <v>2854122</v>
      </c>
      <c r="AA577" s="8">
        <v>5642689</v>
      </c>
      <c r="AD577" s="8">
        <f t="shared" si="89"/>
        <v>0</v>
      </c>
      <c r="AF577" s="35">
        <f t="shared" si="90"/>
        <v>0</v>
      </c>
    </row>
    <row r="578" spans="1:32">
      <c r="A578" s="12" t="s">
        <v>630</v>
      </c>
      <c r="B578" s="12"/>
      <c r="C578" s="12" t="s">
        <v>79</v>
      </c>
      <c r="D578" s="12"/>
      <c r="E578" s="32">
        <v>49577</v>
      </c>
      <c r="G578" s="8">
        <f t="shared" si="86"/>
        <v>5925995</v>
      </c>
      <c r="I578" s="8">
        <v>5538657</v>
      </c>
      <c r="K578" s="8">
        <v>11464652</v>
      </c>
      <c r="M578" s="8">
        <f t="shared" si="87"/>
        <v>4581127</v>
      </c>
      <c r="O578" s="8">
        <v>509520</v>
      </c>
      <c r="Q578" s="8">
        <v>808163</v>
      </c>
      <c r="S578" s="8">
        <v>5898810</v>
      </c>
      <c r="U578" s="8">
        <v>5036510</v>
      </c>
      <c r="W578" s="8">
        <f t="shared" si="88"/>
        <v>889349</v>
      </c>
      <c r="Y578" s="8">
        <v>-360017</v>
      </c>
      <c r="AA578" s="8">
        <v>5565842</v>
      </c>
      <c r="AD578" s="8">
        <f t="shared" si="89"/>
        <v>0</v>
      </c>
      <c r="AF578" s="35">
        <f t="shared" si="90"/>
        <v>0</v>
      </c>
    </row>
    <row r="579" spans="1:32">
      <c r="A579" s="12" t="s">
        <v>679</v>
      </c>
      <c r="B579" s="12"/>
      <c r="C579" s="12" t="s">
        <v>63</v>
      </c>
      <c r="D579" s="12"/>
      <c r="E579" s="32">
        <v>49973</v>
      </c>
      <c r="G579" s="8">
        <f t="shared" si="86"/>
        <v>28255759</v>
      </c>
      <c r="I579" s="8">
        <f>839759+13916181</f>
        <v>14755940</v>
      </c>
      <c r="K579" s="8">
        <v>43011699</v>
      </c>
      <c r="M579" s="8">
        <f t="shared" si="87"/>
        <v>17732383</v>
      </c>
      <c r="O579" s="8">
        <v>1221748</v>
      </c>
      <c r="Q579" s="8">
        <v>13903994</v>
      </c>
      <c r="S579" s="8">
        <v>32858125</v>
      </c>
      <c r="U579" s="8">
        <v>617466</v>
      </c>
      <c r="W579" s="8">
        <f t="shared" si="88"/>
        <v>1121181</v>
      </c>
      <c r="Y579" s="8">
        <v>8414927</v>
      </c>
      <c r="AA579" s="8">
        <v>10153574</v>
      </c>
      <c r="AD579" s="8">
        <f t="shared" si="89"/>
        <v>0</v>
      </c>
      <c r="AF579" s="35">
        <f t="shared" si="90"/>
        <v>0</v>
      </c>
    </row>
    <row r="580" spans="1:32">
      <c r="A580" s="12" t="s">
        <v>874</v>
      </c>
      <c r="B580" s="12"/>
      <c r="C580" s="12" t="s">
        <v>71</v>
      </c>
      <c r="D580" s="12"/>
      <c r="E580" s="32">
        <v>45138</v>
      </c>
      <c r="G580" s="8">
        <f t="shared" si="86"/>
        <v>53826700</v>
      </c>
      <c r="I580" s="8">
        <f>2609634+38705517</f>
        <v>41315151</v>
      </c>
      <c r="K580" s="8">
        <v>95141851</v>
      </c>
      <c r="M580" s="8">
        <f t="shared" si="87"/>
        <v>29421140</v>
      </c>
      <c r="O580" s="8">
        <v>3177129</v>
      </c>
      <c r="Q580" s="8">
        <v>25886140</v>
      </c>
      <c r="S580" s="8">
        <v>58484409</v>
      </c>
      <c r="U580" s="8">
        <v>22675246</v>
      </c>
      <c r="W580" s="8">
        <f t="shared" si="88"/>
        <v>4702882</v>
      </c>
      <c r="Y580" s="8">
        <v>9279314</v>
      </c>
      <c r="AA580" s="8">
        <v>36657442</v>
      </c>
      <c r="AD580" s="8">
        <f t="shared" si="89"/>
        <v>0</v>
      </c>
      <c r="AF580" s="35">
        <f t="shared" si="90"/>
        <v>0</v>
      </c>
    </row>
    <row r="581" spans="1:32">
      <c r="A581" s="12" t="s">
        <v>371</v>
      </c>
      <c r="B581" s="12"/>
      <c r="C581" s="12" t="s">
        <v>27</v>
      </c>
      <c r="D581" s="12"/>
      <c r="E581" s="32">
        <v>46524</v>
      </c>
      <c r="G581" s="8">
        <f t="shared" si="86"/>
        <v>136417734</v>
      </c>
      <c r="I581" s="8">
        <f>10550340+59277991</f>
        <v>69828331</v>
      </c>
      <c r="K581" s="8">
        <v>206246065</v>
      </c>
      <c r="M581" s="8">
        <f t="shared" si="87"/>
        <v>67415737</v>
      </c>
      <c r="O581" s="8">
        <v>7683282</v>
      </c>
      <c r="Q581" s="8">
        <v>53879158</v>
      </c>
      <c r="S581" s="8">
        <v>128978177</v>
      </c>
      <c r="U581" s="8">
        <v>26972017</v>
      </c>
      <c r="W581" s="8">
        <f t="shared" si="88"/>
        <v>8616508</v>
      </c>
      <c r="Y581" s="8">
        <v>41679363</v>
      </c>
      <c r="AA581" s="8">
        <v>77267888</v>
      </c>
      <c r="AD581" s="8">
        <f t="shared" si="89"/>
        <v>0</v>
      </c>
      <c r="AF581" s="35">
        <f t="shared" si="90"/>
        <v>0</v>
      </c>
    </row>
    <row r="582" spans="1:32">
      <c r="A582" s="12" t="s">
        <v>299</v>
      </c>
      <c r="B582" s="12"/>
      <c r="C582" s="12" t="s">
        <v>114</v>
      </c>
      <c r="D582" s="12"/>
      <c r="E582" s="32">
        <v>45146</v>
      </c>
      <c r="G582" s="8">
        <f t="shared" si="86"/>
        <v>6667182</v>
      </c>
      <c r="I582" s="8">
        <v>8233649</v>
      </c>
      <c r="K582" s="8">
        <v>14900831</v>
      </c>
      <c r="M582" s="8">
        <f t="shared" si="87"/>
        <v>3548678</v>
      </c>
      <c r="O582" s="8">
        <v>331988</v>
      </c>
      <c r="Q582" s="8">
        <v>6448450</v>
      </c>
      <c r="S582" s="8">
        <v>10329116</v>
      </c>
      <c r="U582" s="8">
        <v>2050585</v>
      </c>
      <c r="W582" s="8">
        <f t="shared" si="88"/>
        <v>761675</v>
      </c>
      <c r="Y582" s="8">
        <v>1759455</v>
      </c>
      <c r="AA582" s="8">
        <v>4571715</v>
      </c>
      <c r="AD582" s="8">
        <f t="shared" si="89"/>
        <v>0</v>
      </c>
      <c r="AF582" s="35">
        <f t="shared" si="90"/>
        <v>0</v>
      </c>
    </row>
    <row r="583" spans="1:32">
      <c r="A583" s="12" t="s">
        <v>945</v>
      </c>
      <c r="B583" s="12"/>
      <c r="C583" s="12" t="s">
        <v>32</v>
      </c>
      <c r="D583" s="12"/>
      <c r="E583" s="32">
        <v>45153</v>
      </c>
      <c r="G583" s="8">
        <f t="shared" si="86"/>
        <v>24191578</v>
      </c>
      <c r="I583" s="8">
        <f>629493+21755958</f>
        <v>22385451</v>
      </c>
      <c r="K583" s="8">
        <v>46577029</v>
      </c>
      <c r="M583" s="8">
        <f t="shared" si="87"/>
        <v>9191127</v>
      </c>
      <c r="O583" s="8">
        <v>1295274</v>
      </c>
      <c r="Q583" s="8">
        <v>24010303</v>
      </c>
      <c r="S583" s="8">
        <v>34496704</v>
      </c>
      <c r="U583" s="8">
        <v>-1176125</v>
      </c>
      <c r="W583" s="8">
        <f t="shared" si="88"/>
        <v>2927425</v>
      </c>
      <c r="Y583" s="8">
        <v>10329025</v>
      </c>
      <c r="AA583" s="8">
        <v>12080325</v>
      </c>
      <c r="AD583" s="8">
        <f t="shared" si="89"/>
        <v>0</v>
      </c>
      <c r="AF583" s="35">
        <f t="shared" si="90"/>
        <v>0</v>
      </c>
    </row>
    <row r="584" spans="1:32">
      <c r="A584" s="12" t="s">
        <v>392</v>
      </c>
      <c r="B584" s="12"/>
      <c r="C584" s="12" t="s">
        <v>117</v>
      </c>
      <c r="D584" s="12"/>
      <c r="E584" s="32">
        <v>45674</v>
      </c>
      <c r="G584" s="8">
        <f t="shared" si="86"/>
        <v>8019000</v>
      </c>
      <c r="I584" s="8">
        <f>174197+5684049</f>
        <v>5858246</v>
      </c>
      <c r="K584" s="8">
        <v>13877246</v>
      </c>
      <c r="M584" s="8">
        <f t="shared" si="87"/>
        <v>4206465</v>
      </c>
      <c r="O584" s="8">
        <v>159000</v>
      </c>
      <c r="Q584" s="8">
        <v>3941192</v>
      </c>
      <c r="S584" s="8">
        <v>8306657</v>
      </c>
      <c r="U584" s="8">
        <v>2019246</v>
      </c>
      <c r="W584" s="8">
        <f t="shared" si="88"/>
        <v>426827</v>
      </c>
      <c r="Y584" s="8">
        <v>3124516</v>
      </c>
      <c r="AA584" s="8">
        <v>5570589</v>
      </c>
      <c r="AD584" s="8">
        <f t="shared" si="89"/>
        <v>0</v>
      </c>
      <c r="AF584" s="35">
        <f t="shared" si="90"/>
        <v>0</v>
      </c>
    </row>
    <row r="585" spans="1:32">
      <c r="A585" s="12" t="s">
        <v>525</v>
      </c>
      <c r="B585" s="12"/>
      <c r="C585" s="12" t="s">
        <v>45</v>
      </c>
      <c r="D585" s="12"/>
      <c r="E585" s="32">
        <v>45161</v>
      </c>
      <c r="G585" s="8">
        <f t="shared" si="86"/>
        <v>99249629</v>
      </c>
      <c r="I585" s="8">
        <f>22216306+118390414</f>
        <v>140606720</v>
      </c>
      <c r="K585" s="8">
        <v>239856349</v>
      </c>
      <c r="M585" s="8">
        <f t="shared" si="87"/>
        <v>54365267</v>
      </c>
      <c r="O585" s="8">
        <v>2901728</v>
      </c>
      <c r="Q585" s="8">
        <v>48605594</v>
      </c>
      <c r="S585" s="8">
        <v>105872589</v>
      </c>
      <c r="U585" s="8">
        <v>135797702</v>
      </c>
      <c r="W585" s="8">
        <f t="shared" si="88"/>
        <v>30785006</v>
      </c>
      <c r="Y585" s="8">
        <v>-32598948</v>
      </c>
      <c r="AA585" s="8">
        <v>133983760</v>
      </c>
      <c r="AD585" s="8">
        <f t="shared" si="89"/>
        <v>0</v>
      </c>
      <c r="AF585" s="35">
        <f>+G585+I585+-M585-O585-U585-W585-Y585-Q585</f>
        <v>0</v>
      </c>
    </row>
    <row r="586" spans="1:32">
      <c r="A586" s="12" t="s">
        <v>626</v>
      </c>
      <c r="B586" s="12"/>
      <c r="C586" s="12" t="s">
        <v>58</v>
      </c>
      <c r="D586" s="12"/>
      <c r="E586" s="32">
        <v>49544</v>
      </c>
      <c r="G586" s="8">
        <f t="shared" si="86"/>
        <v>12601981</v>
      </c>
      <c r="I586" s="8">
        <f>137750+15823583</f>
        <v>15961333</v>
      </c>
      <c r="K586" s="8">
        <v>28563314</v>
      </c>
      <c r="M586" s="8">
        <f t="shared" si="87"/>
        <v>5458568</v>
      </c>
      <c r="O586" s="8">
        <v>371432</v>
      </c>
      <c r="Q586" s="8">
        <v>6815660</v>
      </c>
      <c r="S586" s="8">
        <v>12645660</v>
      </c>
      <c r="U586" s="8">
        <v>9429690</v>
      </c>
      <c r="W586" s="8">
        <f t="shared" si="88"/>
        <v>2052965</v>
      </c>
      <c r="Y586" s="8">
        <v>4434999</v>
      </c>
      <c r="AA586" s="8">
        <v>15917654</v>
      </c>
      <c r="AD586" s="8">
        <f t="shared" si="89"/>
        <v>0</v>
      </c>
      <c r="AF586" s="35">
        <f>+G586+I586+-M586-O586-U586-W586-Y586-Q586</f>
        <v>0</v>
      </c>
    </row>
    <row r="587" spans="1:32">
      <c r="A587" s="12" t="s">
        <v>576</v>
      </c>
      <c r="B587" s="12"/>
      <c r="C587" s="12" t="s">
        <v>51</v>
      </c>
      <c r="D587" s="12"/>
      <c r="E587" s="32">
        <v>45179</v>
      </c>
      <c r="G587" s="8">
        <f t="shared" si="86"/>
        <v>81429267</v>
      </c>
      <c r="I587" s="8">
        <f>4786967+31394072</f>
        <v>36181039</v>
      </c>
      <c r="K587" s="8">
        <v>117610306</v>
      </c>
      <c r="M587" s="8">
        <f t="shared" si="87"/>
        <v>16568547</v>
      </c>
      <c r="O587" s="8">
        <v>1606448</v>
      </c>
      <c r="Q587" s="8">
        <v>34980282</v>
      </c>
      <c r="S587" s="8">
        <v>53155277</v>
      </c>
      <c r="U587" s="8">
        <v>6084887</v>
      </c>
      <c r="W587" s="8">
        <f t="shared" si="88"/>
        <v>63153359</v>
      </c>
      <c r="Y587" s="8">
        <v>-4783217</v>
      </c>
      <c r="AA587" s="8">
        <v>64455029</v>
      </c>
      <c r="AD587" s="8">
        <f t="shared" si="89"/>
        <v>0</v>
      </c>
      <c r="AF587" s="35">
        <f>+G587+I587+-M587-O587-U587-W587-Y587-Q587</f>
        <v>0</v>
      </c>
    </row>
    <row r="589" spans="1:32">
      <c r="A589" s="8" t="s">
        <v>783</v>
      </c>
    </row>
    <row r="590" spans="1:32">
      <c r="A590" s="94" t="s">
        <v>878</v>
      </c>
      <c r="B590" s="94"/>
      <c r="C590" s="94"/>
      <c r="D590" s="94"/>
      <c r="E590" s="94"/>
      <c r="F590" s="94"/>
      <c r="G590" s="94"/>
      <c r="H590" s="94"/>
      <c r="I590" s="94"/>
      <c r="J590" s="94"/>
      <c r="K590" s="94"/>
    </row>
  </sheetData>
  <mergeCells count="5">
    <mergeCell ref="A590:K590"/>
    <mergeCell ref="A1:I1"/>
    <mergeCell ref="M7:O7"/>
    <mergeCell ref="U7:Y7"/>
    <mergeCell ref="G7:J7"/>
  </mergeCells>
  <phoneticPr fontId="3" type="noConversion"/>
  <printOptions horizontalCentered="1"/>
  <pageMargins left="0.75" right="0.75" top="0.5" bottom="0.75" header="0" footer="0.25"/>
  <pageSetup scale="85" firstPageNumber="4" fitToWidth="2" fitToHeight="20" pageOrder="overThenDown" orientation="portrait" useFirstPageNumber="1" r:id="rId1"/>
  <headerFooter alignWithMargins="0">
    <oddFooter>&amp;C&amp;"Times New Roman,Regular"&amp;12&amp;P</oddFooter>
  </headerFooter>
  <colBreaks count="1" manualBreakCount="1">
    <brk id="12" max="590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AH604"/>
  <sheetViews>
    <sheetView view="pageBreakPreview" zoomScale="160" zoomScaleNormal="130" zoomScaleSheetLayoutView="160" workbookViewId="0">
      <pane xSplit="5" ySplit="9" topLeftCell="M510" activePane="bottomRight" state="frozen"/>
      <selection activeCell="A394" sqref="A394"/>
      <selection pane="topRight" activeCell="A394" sqref="A394"/>
      <selection pane="bottomLeft" activeCell="A394" sqref="A394"/>
      <selection pane="bottomRight" activeCell="A516" sqref="A516"/>
    </sheetView>
  </sheetViews>
  <sheetFormatPr defaultColWidth="9.109375" defaultRowHeight="12"/>
  <cols>
    <col min="1" max="1" width="28" style="8" customWidth="1"/>
    <col min="2" max="2" width="1.6640625" style="8" customWidth="1"/>
    <col min="3" max="3" width="11.6640625" style="8" customWidth="1"/>
    <col min="4" max="4" width="1.6640625" style="8" hidden="1" customWidth="1"/>
    <col min="5" max="5" width="11.6640625" style="30" hidden="1" customWidth="1"/>
    <col min="6" max="6" width="1.6640625" style="8" customWidth="1"/>
    <col min="7" max="7" width="11.6640625" style="8" customWidth="1"/>
    <col min="8" max="8" width="1.6640625" style="8" customWidth="1"/>
    <col min="9" max="9" width="11.6640625" style="8" customWidth="1"/>
    <col min="10" max="10" width="1.6640625" style="8" customWidth="1"/>
    <col min="11" max="11" width="11.6640625" style="8" customWidth="1"/>
    <col min="12" max="12" width="1.6640625" style="8" customWidth="1"/>
    <col min="13" max="13" width="11.6640625" style="8" customWidth="1"/>
    <col min="14" max="14" width="1.6640625" style="8" customWidth="1"/>
    <col min="15" max="15" width="11.6640625" style="8" customWidth="1"/>
    <col min="16" max="16" width="1.6640625" style="8" customWidth="1"/>
    <col min="17" max="17" width="11.6640625" style="8" customWidth="1"/>
    <col min="18" max="18" width="1.6640625" style="8" customWidth="1"/>
    <col min="19" max="19" width="12.33203125" style="8" bestFit="1" customWidth="1"/>
    <col min="20" max="20" width="1.6640625" style="8" customWidth="1"/>
    <col min="21" max="21" width="11.6640625" style="8" customWidth="1"/>
    <col min="22" max="22" width="1.6640625" style="8" customWidth="1"/>
    <col min="23" max="23" width="14.88671875" style="8" hidden="1" customWidth="1"/>
    <col min="24" max="24" width="11.6640625" style="8" customWidth="1"/>
    <col min="25" max="25" width="1.6640625" style="8" customWidth="1"/>
    <col min="26" max="26" width="11.6640625" style="8" customWidth="1"/>
    <col min="27" max="16384" width="9.109375" style="8"/>
  </cols>
  <sheetData>
    <row r="1" spans="1:24" s="15" customFormat="1" ht="11.4">
      <c r="A1" s="55" t="s">
        <v>81</v>
      </c>
      <c r="B1" s="55"/>
      <c r="C1" s="55"/>
      <c r="D1" s="55"/>
      <c r="E1" s="56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</row>
    <row r="2" spans="1:24" s="15" customFormat="1" ht="11.4">
      <c r="A2" s="55" t="s">
        <v>911</v>
      </c>
      <c r="B2" s="55"/>
      <c r="C2" s="55"/>
      <c r="D2" s="55"/>
      <c r="E2" s="56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</row>
    <row r="3" spans="1:24" s="15" customFormat="1" ht="11.4">
      <c r="A3" s="27"/>
      <c r="B3" s="27"/>
      <c r="C3" s="27"/>
      <c r="D3" s="27"/>
      <c r="E3" s="5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</row>
    <row r="4" spans="1:24">
      <c r="A4" s="15" t="s">
        <v>177</v>
      </c>
    </row>
    <row r="5" spans="1:24" s="15" customFormat="1">
      <c r="A5" s="27"/>
      <c r="B5" s="11"/>
      <c r="C5" s="11"/>
      <c r="D5" s="11"/>
      <c r="E5" s="31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</row>
    <row r="6" spans="1:24">
      <c r="A6" s="55" t="s">
        <v>819</v>
      </c>
      <c r="B6" s="58"/>
      <c r="C6" s="58"/>
      <c r="D6" s="58"/>
      <c r="E6" s="59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X6" s="16" t="s">
        <v>758</v>
      </c>
    </row>
    <row r="7" spans="1:24">
      <c r="A7" s="5"/>
      <c r="B7" s="5"/>
      <c r="C7" s="5"/>
      <c r="D7" s="5"/>
      <c r="E7" s="60"/>
      <c r="F7" s="5"/>
      <c r="G7" s="5" t="s">
        <v>82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 t="s">
        <v>756</v>
      </c>
      <c r="X7" s="16" t="s">
        <v>759</v>
      </c>
    </row>
    <row r="8" spans="1:24">
      <c r="A8" s="5"/>
      <c r="B8" s="5"/>
      <c r="C8" s="5"/>
      <c r="D8" s="5"/>
      <c r="E8" s="60"/>
      <c r="F8" s="5"/>
      <c r="G8" s="5" t="s">
        <v>84</v>
      </c>
      <c r="H8" s="5"/>
      <c r="I8" s="5"/>
      <c r="J8" s="5"/>
      <c r="K8" s="5" t="s">
        <v>97</v>
      </c>
      <c r="L8" s="5"/>
      <c r="M8" s="5" t="s">
        <v>73</v>
      </c>
      <c r="N8" s="5"/>
      <c r="O8" s="5" t="s">
        <v>96</v>
      </c>
      <c r="P8" s="5"/>
      <c r="Q8" s="5" t="s">
        <v>134</v>
      </c>
      <c r="R8" s="5"/>
      <c r="S8" s="5"/>
      <c r="T8" s="5"/>
      <c r="U8" s="16" t="s">
        <v>757</v>
      </c>
      <c r="W8" s="8" t="s">
        <v>3</v>
      </c>
      <c r="X8" s="16" t="s">
        <v>760</v>
      </c>
    </row>
    <row r="9" spans="1:24">
      <c r="A9" s="1" t="s">
        <v>208</v>
      </c>
      <c r="B9" s="16"/>
      <c r="C9" s="1" t="s">
        <v>4</v>
      </c>
      <c r="D9" s="16"/>
      <c r="E9" s="61" t="s">
        <v>207</v>
      </c>
      <c r="F9" s="5"/>
      <c r="G9" s="1" t="s">
        <v>85</v>
      </c>
      <c r="H9" s="5"/>
      <c r="I9" s="1" t="s">
        <v>86</v>
      </c>
      <c r="J9" s="5"/>
      <c r="K9" s="1" t="s">
        <v>100</v>
      </c>
      <c r="L9" s="5"/>
      <c r="M9" s="1" t="s">
        <v>98</v>
      </c>
      <c r="N9" s="5"/>
      <c r="O9" s="1" t="s">
        <v>99</v>
      </c>
      <c r="P9" s="5"/>
      <c r="Q9" s="1" t="s">
        <v>87</v>
      </c>
      <c r="R9" s="5"/>
      <c r="S9" s="1" t="s">
        <v>3</v>
      </c>
      <c r="T9" s="5"/>
      <c r="U9" s="1" t="s">
        <v>120</v>
      </c>
      <c r="V9" s="11"/>
      <c r="W9" s="11" t="s">
        <v>101</v>
      </c>
      <c r="X9" s="16" t="s">
        <v>103</v>
      </c>
    </row>
    <row r="10" spans="1:24">
      <c r="A10" s="13"/>
      <c r="B10" s="13"/>
      <c r="C10" s="13"/>
      <c r="D10" s="13"/>
      <c r="E10" s="32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62">
        <f>S10+G10+M10+K10</f>
        <v>0</v>
      </c>
    </row>
    <row r="11" spans="1:24">
      <c r="A11" s="13" t="s">
        <v>784</v>
      </c>
      <c r="B11" s="13"/>
      <c r="C11" s="13" t="s">
        <v>44</v>
      </c>
      <c r="D11" s="13"/>
      <c r="E11" s="32">
        <v>45195</v>
      </c>
      <c r="F11" s="35"/>
      <c r="G11" s="35">
        <f>17501747+4355000</f>
        <v>21856747</v>
      </c>
      <c r="H11" s="35"/>
      <c r="I11" s="35">
        <v>0</v>
      </c>
      <c r="J11" s="35"/>
      <c r="K11" s="35">
        <v>900000</v>
      </c>
      <c r="L11" s="35"/>
      <c r="M11" s="35">
        <v>0</v>
      </c>
      <c r="N11" s="35"/>
      <c r="O11" s="35">
        <v>3021684</v>
      </c>
      <c r="P11" s="35"/>
      <c r="Q11" s="35">
        <v>0</v>
      </c>
      <c r="R11" s="35"/>
      <c r="S11" s="44">
        <f>SUM(G11:R11)</f>
        <v>25778431</v>
      </c>
      <c r="T11" s="35"/>
      <c r="U11" s="35">
        <v>1317567</v>
      </c>
      <c r="V11" s="35"/>
      <c r="W11" s="35"/>
      <c r="X11" s="35">
        <f>+'St of Net Assets - GA'!O11-'LT _Lia - GA'!U11</f>
        <v>0</v>
      </c>
    </row>
    <row r="12" spans="1:24" s="35" customFormat="1">
      <c r="A12" s="34" t="s">
        <v>209</v>
      </c>
      <c r="B12" s="34"/>
      <c r="C12" s="34" t="s">
        <v>210</v>
      </c>
      <c r="D12" s="34"/>
      <c r="E12" s="34">
        <v>61903</v>
      </c>
      <c r="G12" s="8">
        <v>36460453</v>
      </c>
      <c r="H12" s="8"/>
      <c r="I12" s="8">
        <v>0</v>
      </c>
      <c r="J12" s="8"/>
      <c r="K12" s="8">
        <v>0</v>
      </c>
      <c r="L12" s="8"/>
      <c r="M12" s="8">
        <v>0</v>
      </c>
      <c r="N12" s="8"/>
      <c r="O12" s="8">
        <v>2302803</v>
      </c>
      <c r="P12" s="8"/>
      <c r="Q12" s="8">
        <v>0</v>
      </c>
      <c r="R12" s="8"/>
      <c r="S12" s="9">
        <f>SUM(G12:R12)</f>
        <v>38763256</v>
      </c>
      <c r="T12" s="8"/>
      <c r="U12" s="8">
        <v>1374690</v>
      </c>
      <c r="X12" s="35">
        <f>+'St of Net Assets - GA'!O12-'LT _Lia - GA'!U12</f>
        <v>0</v>
      </c>
    </row>
    <row r="13" spans="1:24">
      <c r="A13" s="13" t="s">
        <v>621</v>
      </c>
      <c r="B13" s="13"/>
      <c r="C13" s="13" t="s">
        <v>58</v>
      </c>
      <c r="D13" s="13"/>
      <c r="E13" s="32">
        <v>49494</v>
      </c>
      <c r="G13" s="8">
        <f>980000+1085000+33637</f>
        <v>2098637</v>
      </c>
      <c r="I13" s="8">
        <v>0</v>
      </c>
      <c r="K13" s="8">
        <v>0</v>
      </c>
      <c r="M13" s="8">
        <v>83692</v>
      </c>
      <c r="O13" s="8">
        <v>500547</v>
      </c>
      <c r="Q13" s="8">
        <v>0</v>
      </c>
      <c r="S13" s="9">
        <f t="shared" ref="S13:S66" si="0">SUM(G13:R13)</f>
        <v>2682876</v>
      </c>
      <c r="U13" s="8">
        <v>167497</v>
      </c>
      <c r="X13" s="8">
        <f>+'St of Net Assets - GA'!O13-'LT _Lia - GA'!U13</f>
        <v>0</v>
      </c>
    </row>
    <row r="14" spans="1:24">
      <c r="A14" s="13" t="s">
        <v>667</v>
      </c>
      <c r="B14" s="13"/>
      <c r="C14" s="13" t="s">
        <v>63</v>
      </c>
      <c r="D14" s="13"/>
      <c r="E14" s="32">
        <v>43489</v>
      </c>
      <c r="G14" s="8">
        <v>0</v>
      </c>
      <c r="I14" s="8">
        <v>0</v>
      </c>
      <c r="K14" s="8">
        <v>0</v>
      </c>
      <c r="M14" s="8">
        <v>0</v>
      </c>
      <c r="O14" s="8">
        <v>25955405</v>
      </c>
      <c r="Q14" s="8">
        <v>0</v>
      </c>
      <c r="S14" s="9">
        <f t="shared" si="0"/>
        <v>25955405</v>
      </c>
      <c r="U14" s="8">
        <v>1600661</v>
      </c>
      <c r="X14" s="8">
        <f>+'St of Net Assets - GA'!O14-'LT _Lia - GA'!U14</f>
        <v>0</v>
      </c>
    </row>
    <row r="15" spans="1:24" hidden="1">
      <c r="A15" s="13" t="s">
        <v>225</v>
      </c>
      <c r="B15" s="13"/>
      <c r="C15" s="13" t="s">
        <v>13</v>
      </c>
      <c r="D15" s="13"/>
      <c r="E15" s="32">
        <v>45906</v>
      </c>
      <c r="G15" s="8">
        <v>0</v>
      </c>
      <c r="I15" s="8">
        <v>0</v>
      </c>
      <c r="K15" s="8">
        <v>0</v>
      </c>
      <c r="M15" s="8">
        <v>0</v>
      </c>
      <c r="O15" s="8">
        <v>0</v>
      </c>
      <c r="Q15" s="8">
        <v>0</v>
      </c>
      <c r="S15" s="9">
        <f t="shared" si="0"/>
        <v>0</v>
      </c>
      <c r="U15" s="8">
        <v>0</v>
      </c>
      <c r="X15" s="8" t="e">
        <f>+'St of Net Assets - GA'!#REF!-'LT _Lia - GA'!U15</f>
        <v>#REF!</v>
      </c>
    </row>
    <row r="16" spans="1:24">
      <c r="A16" s="13" t="s">
        <v>653</v>
      </c>
      <c r="B16" s="13"/>
      <c r="C16" s="13" t="s">
        <v>62</v>
      </c>
      <c r="D16" s="13"/>
      <c r="E16" s="32">
        <v>43497</v>
      </c>
      <c r="G16" s="8">
        <f>13337178-3995891</f>
        <v>9341287</v>
      </c>
      <c r="I16" s="8">
        <v>0</v>
      </c>
      <c r="K16" s="8">
        <v>0</v>
      </c>
      <c r="M16" s="8">
        <v>0</v>
      </c>
      <c r="O16" s="8">
        <v>3995891</v>
      </c>
      <c r="Q16" s="8">
        <v>0</v>
      </c>
      <c r="S16" s="9">
        <f t="shared" si="0"/>
        <v>13337178</v>
      </c>
      <c r="U16" s="8">
        <v>599382</v>
      </c>
      <c r="X16" s="8">
        <f>+'St of Net Assets - GA'!O15-'LT _Lia - GA'!U16</f>
        <v>0</v>
      </c>
    </row>
    <row r="17" spans="1:28">
      <c r="A17" s="13" t="s">
        <v>347</v>
      </c>
      <c r="B17" s="13"/>
      <c r="C17" s="13" t="s">
        <v>25</v>
      </c>
      <c r="D17" s="13"/>
      <c r="E17" s="32">
        <v>46847</v>
      </c>
      <c r="G17" s="8">
        <f>1265000+2219998+363044</f>
        <v>3848042</v>
      </c>
      <c r="I17" s="8">
        <v>0</v>
      </c>
      <c r="K17" s="8">
        <v>0</v>
      </c>
      <c r="M17" s="8">
        <v>0</v>
      </c>
      <c r="O17" s="8">
        <v>739974</v>
      </c>
      <c r="Q17" s="8">
        <v>0</v>
      </c>
      <c r="S17" s="9">
        <f t="shared" si="0"/>
        <v>4588016</v>
      </c>
      <c r="U17" s="8">
        <v>284349</v>
      </c>
      <c r="X17" s="8">
        <f>+'St of Net Assets - GA'!O16-'LT _Lia - GA'!U17</f>
        <v>0</v>
      </c>
    </row>
    <row r="18" spans="1:28">
      <c r="A18" s="13" t="s">
        <v>646</v>
      </c>
      <c r="B18" s="13"/>
      <c r="C18" s="13" t="s">
        <v>61</v>
      </c>
      <c r="D18" s="13"/>
      <c r="E18" s="32">
        <v>49759</v>
      </c>
      <c r="G18" s="8">
        <v>4521085</v>
      </c>
      <c r="I18" s="8">
        <v>0</v>
      </c>
      <c r="K18" s="8">
        <v>0</v>
      </c>
      <c r="M18" s="8">
        <v>0</v>
      </c>
      <c r="O18" s="8">
        <v>517422</v>
      </c>
      <c r="Q18" s="8">
        <v>0</v>
      </c>
      <c r="S18" s="9">
        <f t="shared" si="0"/>
        <v>5038507</v>
      </c>
      <c r="U18" s="8">
        <v>432765</v>
      </c>
      <c r="X18" s="8">
        <f>+'St of Net Assets - GA'!O17-'LT _Lia - GA'!U18</f>
        <v>0</v>
      </c>
    </row>
    <row r="19" spans="1:28">
      <c r="A19" s="13" t="s">
        <v>502</v>
      </c>
      <c r="B19" s="13"/>
      <c r="C19" s="13" t="s">
        <v>118</v>
      </c>
      <c r="D19" s="13"/>
      <c r="E19" s="32">
        <v>48207</v>
      </c>
      <c r="G19" s="8">
        <f>24719266+567247-439762</f>
        <v>24846751</v>
      </c>
      <c r="I19" s="8">
        <v>0</v>
      </c>
      <c r="K19" s="8">
        <v>1701875</v>
      </c>
      <c r="M19" s="8">
        <f>112843+187000</f>
        <v>299843</v>
      </c>
      <c r="O19" s="8">
        <v>1551123</v>
      </c>
      <c r="Q19" s="8">
        <v>0</v>
      </c>
      <c r="S19" s="9">
        <f t="shared" si="0"/>
        <v>28399592</v>
      </c>
      <c r="U19" s="8">
        <v>3544134</v>
      </c>
      <c r="X19" s="8">
        <f>+'St of Net Assets - GA'!O18-'LT _Lia - GA'!U19</f>
        <v>0</v>
      </c>
    </row>
    <row r="20" spans="1:28">
      <c r="A20" s="13" t="s">
        <v>418</v>
      </c>
      <c r="B20" s="13"/>
      <c r="C20" s="13" t="s">
        <v>33</v>
      </c>
      <c r="D20" s="13"/>
      <c r="E20" s="32">
        <v>47415</v>
      </c>
      <c r="G20" s="8">
        <v>0</v>
      </c>
      <c r="I20" s="8">
        <v>0</v>
      </c>
      <c r="K20" s="8">
        <v>0</v>
      </c>
      <c r="M20" s="8">
        <v>0</v>
      </c>
      <c r="O20" s="8">
        <v>391216</v>
      </c>
      <c r="Q20" s="8">
        <v>0</v>
      </c>
      <c r="S20" s="9">
        <f t="shared" si="0"/>
        <v>391216</v>
      </c>
      <c r="U20" s="8">
        <v>48417</v>
      </c>
      <c r="X20" s="8">
        <f>+'St of Net Assets - GA'!O19-'LT _Lia - GA'!U20</f>
        <v>0</v>
      </c>
    </row>
    <row r="21" spans="1:28" hidden="1">
      <c r="A21" s="13" t="s">
        <v>828</v>
      </c>
      <c r="B21" s="13"/>
      <c r="C21" s="13" t="s">
        <v>829</v>
      </c>
      <c r="D21" s="13"/>
      <c r="E21" s="32">
        <v>46631</v>
      </c>
      <c r="G21" s="8">
        <v>0</v>
      </c>
      <c r="I21" s="8">
        <v>0</v>
      </c>
      <c r="K21" s="8">
        <v>0</v>
      </c>
      <c r="M21" s="8">
        <v>0</v>
      </c>
      <c r="O21" s="8">
        <v>0</v>
      </c>
      <c r="Q21" s="8">
        <v>0</v>
      </c>
      <c r="S21" s="9">
        <f t="shared" si="0"/>
        <v>0</v>
      </c>
      <c r="U21" s="8">
        <v>0</v>
      </c>
      <c r="X21" s="8" t="e">
        <f>+'St of Net Assets - GA'!#REF!-'LT _Lia - GA'!U21</f>
        <v>#REF!</v>
      </c>
    </row>
    <row r="22" spans="1:28">
      <c r="A22" s="13" t="s">
        <v>372</v>
      </c>
      <c r="B22" s="13"/>
      <c r="C22" s="13" t="s">
        <v>28</v>
      </c>
      <c r="D22" s="13"/>
      <c r="E22" s="32">
        <v>47043</v>
      </c>
      <c r="G22" s="8">
        <v>13460956</v>
      </c>
      <c r="I22" s="8">
        <v>0</v>
      </c>
      <c r="K22" s="8">
        <v>0</v>
      </c>
      <c r="M22" s="8">
        <v>0</v>
      </c>
      <c r="O22" s="8">
        <v>870229</v>
      </c>
      <c r="Q22" s="8">
        <v>0</v>
      </c>
      <c r="S22" s="9">
        <f t="shared" si="0"/>
        <v>14331185</v>
      </c>
      <c r="U22" s="8">
        <v>1188372</v>
      </c>
      <c r="X22" s="8">
        <f>+'St of Net Assets - GA'!O20-'LT _Lia - GA'!U22</f>
        <v>0</v>
      </c>
    </row>
    <row r="23" spans="1:28">
      <c r="A23" s="13" t="s">
        <v>419</v>
      </c>
      <c r="B23" s="13"/>
      <c r="C23" s="13" t="s">
        <v>33</v>
      </c>
      <c r="D23" s="13"/>
      <c r="E23" s="32">
        <v>47423</v>
      </c>
      <c r="G23" s="8">
        <v>619429</v>
      </c>
      <c r="I23" s="8">
        <v>0</v>
      </c>
      <c r="K23" s="8">
        <v>0</v>
      </c>
      <c r="M23" s="8">
        <v>0</v>
      </c>
      <c r="O23" s="8">
        <v>519381</v>
      </c>
      <c r="Q23" s="8">
        <v>0</v>
      </c>
      <c r="S23" s="9">
        <f t="shared" si="0"/>
        <v>1138810</v>
      </c>
      <c r="U23" s="8">
        <v>62538</v>
      </c>
      <c r="X23" s="8">
        <f>+'St of Net Assets - GA'!O21-'LT _Lia - GA'!U23</f>
        <v>0</v>
      </c>
    </row>
    <row r="24" spans="1:28">
      <c r="A24" s="13" t="s">
        <v>215</v>
      </c>
      <c r="B24" s="13"/>
      <c r="C24" s="13" t="s">
        <v>11</v>
      </c>
      <c r="D24" s="13"/>
      <c r="E24" s="32">
        <v>43505</v>
      </c>
      <c r="G24" s="8">
        <v>1180000</v>
      </c>
      <c r="I24" s="8">
        <v>0</v>
      </c>
      <c r="K24" s="8">
        <v>0</v>
      </c>
      <c r="M24" s="8">
        <v>0</v>
      </c>
      <c r="O24" s="8">
        <v>2473370</v>
      </c>
      <c r="Q24" s="8">
        <v>0</v>
      </c>
      <c r="S24" s="9">
        <f t="shared" si="0"/>
        <v>3653370</v>
      </c>
      <c r="U24" s="8">
        <v>1144213</v>
      </c>
      <c r="X24" s="8">
        <f>+'St of Net Assets - GA'!O22-'LT _Lia - GA'!U24</f>
        <v>0</v>
      </c>
    </row>
    <row r="25" spans="1:28" hidden="1">
      <c r="A25" s="13" t="s">
        <v>768</v>
      </c>
      <c r="B25" s="13"/>
      <c r="C25" s="13" t="s">
        <v>12</v>
      </c>
      <c r="D25" s="13"/>
      <c r="E25" s="32">
        <v>43513</v>
      </c>
      <c r="G25" s="8">
        <v>0</v>
      </c>
      <c r="I25" s="8">
        <v>0</v>
      </c>
      <c r="K25" s="8">
        <v>0</v>
      </c>
      <c r="M25" s="8">
        <v>0</v>
      </c>
      <c r="O25" s="8">
        <v>0</v>
      </c>
      <c r="Q25" s="8">
        <v>0</v>
      </c>
      <c r="S25" s="9">
        <f t="shared" si="0"/>
        <v>0</v>
      </c>
      <c r="U25" s="8">
        <v>0</v>
      </c>
      <c r="X25" s="8" t="e">
        <f>+'St of Net Assets - GA'!#REF!-'LT _Lia - GA'!U25</f>
        <v>#REF!</v>
      </c>
    </row>
    <row r="26" spans="1:28">
      <c r="A26" s="13" t="s">
        <v>226</v>
      </c>
      <c r="B26" s="13"/>
      <c r="C26" s="13" t="s">
        <v>13</v>
      </c>
      <c r="D26" s="13"/>
      <c r="E26" s="32">
        <v>43521</v>
      </c>
      <c r="G26" s="8">
        <f>16203874-1854022</f>
        <v>14349852</v>
      </c>
      <c r="I26" s="8">
        <v>0</v>
      </c>
      <c r="K26" s="8">
        <v>0</v>
      </c>
      <c r="M26" s="8">
        <v>0</v>
      </c>
      <c r="O26" s="8">
        <v>1854022</v>
      </c>
      <c r="Q26" s="8">
        <v>0</v>
      </c>
      <c r="S26" s="9">
        <f t="shared" si="0"/>
        <v>16203874</v>
      </c>
      <c r="U26" s="8">
        <v>942431</v>
      </c>
      <c r="X26" s="8">
        <f>+'St of Net Assets - GA'!O23-'LT _Lia - GA'!U26</f>
        <v>0</v>
      </c>
    </row>
    <row r="27" spans="1:28">
      <c r="A27" s="13" t="s">
        <v>595</v>
      </c>
      <c r="B27" s="13"/>
      <c r="C27" s="13" t="s">
        <v>56</v>
      </c>
      <c r="D27" s="13"/>
      <c r="E27" s="32">
        <v>49171</v>
      </c>
      <c r="G27" s="8">
        <v>7598929</v>
      </c>
      <c r="I27" s="8">
        <v>10543496</v>
      </c>
      <c r="K27" s="8">
        <v>0</v>
      </c>
      <c r="M27" s="8">
        <v>0</v>
      </c>
      <c r="O27" s="8">
        <v>1757595</v>
      </c>
      <c r="Q27" s="8">
        <v>0</v>
      </c>
      <c r="S27" s="9">
        <f t="shared" si="0"/>
        <v>19900020</v>
      </c>
      <c r="U27" s="8">
        <v>925105</v>
      </c>
      <c r="X27" s="8">
        <f>+'St of Net Assets - GA'!O24-'LT _Lia - GA'!U27</f>
        <v>0</v>
      </c>
    </row>
    <row r="28" spans="1:28">
      <c r="A28" s="13" t="s">
        <v>514</v>
      </c>
      <c r="B28" s="13"/>
      <c r="C28" s="13" t="s">
        <v>45</v>
      </c>
      <c r="D28" s="13"/>
      <c r="E28" s="32">
        <v>48298</v>
      </c>
      <c r="G28" s="8">
        <f>24415507+287742</f>
        <v>24703249</v>
      </c>
      <c r="I28" s="8">
        <v>434159</v>
      </c>
      <c r="K28" s="8">
        <v>0</v>
      </c>
      <c r="M28" s="8">
        <v>0</v>
      </c>
      <c r="O28" s="8">
        <f>264000+3243107</f>
        <v>3507107</v>
      </c>
      <c r="Q28" s="8">
        <v>0</v>
      </c>
      <c r="S28" s="9">
        <f t="shared" si="0"/>
        <v>28644515</v>
      </c>
      <c r="U28" s="8">
        <v>1002755</v>
      </c>
      <c r="X28" s="8">
        <f>+'St of Net Assets - GA'!O25-'LT _Lia - GA'!U28</f>
        <v>0</v>
      </c>
    </row>
    <row r="29" spans="1:28">
      <c r="A29" s="13" t="s">
        <v>489</v>
      </c>
      <c r="B29" s="13"/>
      <c r="C29" s="13" t="s">
        <v>44</v>
      </c>
      <c r="D29" s="13"/>
      <c r="E29" s="32">
        <v>48124</v>
      </c>
      <c r="G29" s="8">
        <v>41122890</v>
      </c>
      <c r="I29" s="8">
        <v>0</v>
      </c>
      <c r="K29" s="8">
        <v>825000</v>
      </c>
      <c r="M29" s="8">
        <v>226336</v>
      </c>
      <c r="O29" s="8">
        <v>1544197</v>
      </c>
      <c r="Q29" s="8">
        <v>0</v>
      </c>
      <c r="S29" s="9">
        <f t="shared" si="0"/>
        <v>43718423</v>
      </c>
      <c r="U29" s="8">
        <v>2449569</v>
      </c>
      <c r="X29" s="8">
        <f>+'St of Net Assets - GA'!O26-'LT _Lia - GA'!U29</f>
        <v>0</v>
      </c>
      <c r="AB29" s="8" t="s">
        <v>136</v>
      </c>
    </row>
    <row r="30" spans="1:28">
      <c r="A30" s="13" t="s">
        <v>490</v>
      </c>
      <c r="B30" s="13"/>
      <c r="C30" s="13" t="s">
        <v>44</v>
      </c>
      <c r="D30" s="13"/>
      <c r="E30" s="32">
        <v>48116</v>
      </c>
      <c r="G30" s="8">
        <f>40170000+1099964+543581</f>
        <v>41813545</v>
      </c>
      <c r="I30" s="8">
        <v>0</v>
      </c>
      <c r="K30" s="8">
        <v>255000</v>
      </c>
      <c r="M30" s="8">
        <v>0</v>
      </c>
      <c r="O30" s="8">
        <v>2264618</v>
      </c>
      <c r="Q30" s="8">
        <v>0</v>
      </c>
      <c r="S30" s="9">
        <f t="shared" si="0"/>
        <v>44333163</v>
      </c>
      <c r="U30" s="8">
        <v>2306908</v>
      </c>
      <c r="X30" s="8">
        <f>+'St of Net Assets - GA'!O27-'LT _Lia - GA'!U30</f>
        <v>0</v>
      </c>
    </row>
    <row r="31" spans="1:28">
      <c r="A31" s="13" t="s">
        <v>334</v>
      </c>
      <c r="B31" s="13"/>
      <c r="C31" s="13" t="s">
        <v>22</v>
      </c>
      <c r="D31" s="13"/>
      <c r="E31" s="32">
        <v>46706</v>
      </c>
      <c r="G31" s="8">
        <v>18000</v>
      </c>
      <c r="I31" s="8">
        <v>0</v>
      </c>
      <c r="K31" s="8">
        <v>0</v>
      </c>
      <c r="M31" s="8">
        <f>108858+40403</f>
        <v>149261</v>
      </c>
      <c r="O31" s="8">
        <v>601495</v>
      </c>
      <c r="Q31" s="8">
        <v>0</v>
      </c>
      <c r="S31" s="9">
        <f t="shared" si="0"/>
        <v>768756</v>
      </c>
      <c r="U31" s="8">
        <v>122885</v>
      </c>
      <c r="X31" s="8">
        <f>+'St of Net Assets - GA'!O28-'LT _Lia - GA'!U31</f>
        <v>0</v>
      </c>
    </row>
    <row r="32" spans="1:28">
      <c r="A32" s="13" t="s">
        <v>668</v>
      </c>
      <c r="B32" s="13"/>
      <c r="C32" s="13" t="s">
        <v>63</v>
      </c>
      <c r="D32" s="13"/>
      <c r="E32" s="32">
        <v>43539</v>
      </c>
      <c r="G32" s="8">
        <v>24227862</v>
      </c>
      <c r="I32" s="8">
        <v>0</v>
      </c>
      <c r="K32" s="8">
        <v>31166199</v>
      </c>
      <c r="M32" s="8">
        <v>0</v>
      </c>
      <c r="O32" s="8">
        <v>1731869</v>
      </c>
      <c r="Q32" s="8">
        <f>1279907-1019089+2205000</f>
        <v>2465818</v>
      </c>
      <c r="S32" s="9">
        <f t="shared" si="0"/>
        <v>59591748</v>
      </c>
      <c r="U32" s="8">
        <v>33436517</v>
      </c>
      <c r="X32" s="8">
        <f>+'St of Net Assets - GA'!O29-'LT _Lia - GA'!U32</f>
        <v>0</v>
      </c>
    </row>
    <row r="33" spans="1:24">
      <c r="A33" s="13" t="s">
        <v>831</v>
      </c>
      <c r="B33" s="13"/>
      <c r="C33" s="13" t="s">
        <v>15</v>
      </c>
      <c r="D33" s="13"/>
      <c r="E33" s="32"/>
      <c r="G33" s="8">
        <f>1070000+1555000+94999+167114+20966-111572</f>
        <v>2796507</v>
      </c>
      <c r="I33" s="8">
        <v>0</v>
      </c>
      <c r="K33" s="8">
        <v>0</v>
      </c>
      <c r="M33" s="8">
        <v>1973</v>
      </c>
      <c r="O33" s="8">
        <v>733433</v>
      </c>
      <c r="Q33" s="8">
        <v>0</v>
      </c>
      <c r="S33" s="9">
        <f t="shared" si="0"/>
        <v>3531913</v>
      </c>
      <c r="U33" s="8">
        <v>181278</v>
      </c>
      <c r="X33" s="8">
        <f>+'St of Net Assets - GA'!O30-'LT _Lia - GA'!U33</f>
        <v>0</v>
      </c>
    </row>
    <row r="34" spans="1:24" hidden="1">
      <c r="A34" s="13" t="s">
        <v>270</v>
      </c>
      <c r="B34" s="13"/>
      <c r="C34" s="13" t="s">
        <v>116</v>
      </c>
      <c r="D34" s="13"/>
      <c r="E34" s="32">
        <v>46300</v>
      </c>
      <c r="G34" s="8">
        <v>0</v>
      </c>
      <c r="I34" s="8">
        <v>0</v>
      </c>
      <c r="K34" s="8">
        <v>0</v>
      </c>
      <c r="M34" s="8">
        <v>0</v>
      </c>
      <c r="O34" s="8">
        <v>0</v>
      </c>
      <c r="Q34" s="8">
        <v>0</v>
      </c>
      <c r="S34" s="9">
        <f t="shared" si="0"/>
        <v>0</v>
      </c>
      <c r="U34" s="8">
        <v>0</v>
      </c>
      <c r="X34" s="8" t="e">
        <f>+'St of Net Assets - GA'!#REF!-'LT _Lia - GA'!U34</f>
        <v>#REF!</v>
      </c>
    </row>
    <row r="35" spans="1:24" hidden="1">
      <c r="A35" s="13" t="s">
        <v>211</v>
      </c>
      <c r="B35" s="13"/>
      <c r="C35" s="13" t="s">
        <v>10</v>
      </c>
      <c r="D35" s="13"/>
      <c r="E35" s="32">
        <v>45765</v>
      </c>
      <c r="G35" s="8">
        <v>0</v>
      </c>
      <c r="I35" s="8">
        <v>0</v>
      </c>
      <c r="K35" s="8">
        <v>0</v>
      </c>
      <c r="M35" s="8">
        <v>0</v>
      </c>
      <c r="O35" s="8">
        <v>0</v>
      </c>
      <c r="Q35" s="8">
        <v>0</v>
      </c>
      <c r="S35" s="9">
        <f t="shared" si="0"/>
        <v>0</v>
      </c>
      <c r="U35" s="8">
        <v>0</v>
      </c>
      <c r="X35" s="8" t="e">
        <f>+'St of Net Assets - GA'!#REF!-'LT _Lia - GA'!U35</f>
        <v>#REF!</v>
      </c>
    </row>
    <row r="36" spans="1:24">
      <c r="A36" s="13" t="s">
        <v>300</v>
      </c>
      <c r="B36" s="13"/>
      <c r="C36" s="13" t="s">
        <v>20</v>
      </c>
      <c r="D36" s="13"/>
      <c r="E36" s="32">
        <v>43547</v>
      </c>
      <c r="G36" s="8">
        <v>16597414</v>
      </c>
      <c r="I36" s="8">
        <v>0</v>
      </c>
      <c r="K36" s="8">
        <v>0</v>
      </c>
      <c r="M36" s="8">
        <v>35113</v>
      </c>
      <c r="O36" s="8">
        <v>3242769</v>
      </c>
      <c r="Q36" s="8">
        <v>2130000</v>
      </c>
      <c r="S36" s="9">
        <f t="shared" si="0"/>
        <v>22005296</v>
      </c>
      <c r="U36" s="8">
        <v>1138914</v>
      </c>
      <c r="X36" s="8">
        <f>+'St of Net Assets - GA'!O31-'LT _Lia - GA'!U36</f>
        <v>0</v>
      </c>
    </row>
    <row r="37" spans="1:24">
      <c r="A37" s="13" t="s">
        <v>301</v>
      </c>
      <c r="B37" s="13"/>
      <c r="C37" s="13" t="s">
        <v>20</v>
      </c>
      <c r="D37" s="13"/>
      <c r="E37" s="32">
        <v>43554</v>
      </c>
      <c r="G37" s="8">
        <v>13694239</v>
      </c>
      <c r="I37" s="8">
        <v>0</v>
      </c>
      <c r="K37" s="8">
        <v>2165000</v>
      </c>
      <c r="M37" s="8">
        <v>137520</v>
      </c>
      <c r="O37" s="8">
        <v>2893203</v>
      </c>
      <c r="Q37" s="8">
        <v>0</v>
      </c>
      <c r="S37" s="9">
        <f t="shared" si="0"/>
        <v>18889962</v>
      </c>
      <c r="U37" s="8">
        <v>1976253</v>
      </c>
      <c r="X37" s="8">
        <f>+'St of Net Assets - GA'!O32-'LT _Lia - GA'!U37</f>
        <v>0</v>
      </c>
    </row>
    <row r="38" spans="1:24">
      <c r="A38" s="13" t="s">
        <v>282</v>
      </c>
      <c r="B38" s="13"/>
      <c r="C38" s="13" t="s">
        <v>115</v>
      </c>
      <c r="D38" s="13"/>
      <c r="E38" s="32">
        <v>46425</v>
      </c>
      <c r="G38" s="8">
        <v>0</v>
      </c>
      <c r="I38" s="8">
        <v>195827</v>
      </c>
      <c r="K38" s="8">
        <v>0</v>
      </c>
      <c r="M38" s="8">
        <v>248032</v>
      </c>
      <c r="O38" s="8">
        <v>1329506</v>
      </c>
      <c r="Q38" s="8">
        <v>0</v>
      </c>
      <c r="S38" s="9">
        <f t="shared" si="0"/>
        <v>1773365</v>
      </c>
      <c r="U38" s="8">
        <v>160561</v>
      </c>
      <c r="X38" s="8">
        <f>+'St of Net Assets - GA'!O33-'LT _Lia - GA'!U38</f>
        <v>0</v>
      </c>
    </row>
    <row r="39" spans="1:24">
      <c r="A39" s="13" t="s">
        <v>388</v>
      </c>
      <c r="B39" s="13"/>
      <c r="C39" s="13" t="s">
        <v>117</v>
      </c>
      <c r="D39" s="13"/>
      <c r="E39" s="32">
        <v>47241</v>
      </c>
      <c r="G39" s="8">
        <f>21245000+7760000</f>
        <v>29005000</v>
      </c>
      <c r="I39" s="8">
        <v>51930</v>
      </c>
      <c r="K39" s="8">
        <v>0</v>
      </c>
      <c r="M39" s="8">
        <v>3844164</v>
      </c>
      <c r="O39" s="8">
        <v>4673559</v>
      </c>
      <c r="Q39" s="8">
        <f>1259670-253741</f>
        <v>1005929</v>
      </c>
      <c r="S39" s="9">
        <f t="shared" si="0"/>
        <v>38580582</v>
      </c>
      <c r="U39" s="8">
        <v>2645966</v>
      </c>
      <c r="X39" s="8">
        <f>+'St of Net Assets - GA'!O34-'LT _Lia - GA'!U39</f>
        <v>0</v>
      </c>
    </row>
    <row r="40" spans="1:24">
      <c r="A40" s="13" t="s">
        <v>302</v>
      </c>
      <c r="B40" s="13"/>
      <c r="C40" s="13" t="s">
        <v>20</v>
      </c>
      <c r="D40" s="13"/>
      <c r="E40" s="32">
        <v>43562</v>
      </c>
      <c r="G40" s="8">
        <v>8930064</v>
      </c>
      <c r="I40" s="8">
        <v>336000</v>
      </c>
      <c r="K40" s="8">
        <v>0</v>
      </c>
      <c r="M40" s="8">
        <f>192000+57604</f>
        <v>249604</v>
      </c>
      <c r="O40" s="8">
        <v>3061209</v>
      </c>
      <c r="Q40" s="8">
        <v>0</v>
      </c>
      <c r="S40" s="9">
        <f t="shared" si="0"/>
        <v>12576877</v>
      </c>
      <c r="U40" s="8">
        <v>2526985</v>
      </c>
      <c r="X40" s="8">
        <f>+'St of Net Assets - GA'!O35-'LT _Lia - GA'!U40</f>
        <v>0</v>
      </c>
    </row>
    <row r="41" spans="1:24">
      <c r="A41" s="13" t="s">
        <v>234</v>
      </c>
      <c r="B41" s="13"/>
      <c r="C41" s="13" t="s">
        <v>15</v>
      </c>
      <c r="D41" s="13"/>
      <c r="E41" s="32">
        <v>43570</v>
      </c>
      <c r="G41" s="8">
        <v>3090000</v>
      </c>
      <c r="I41" s="8">
        <v>0</v>
      </c>
      <c r="K41" s="8">
        <v>0</v>
      </c>
      <c r="M41" s="8">
        <v>87546</v>
      </c>
      <c r="O41" s="8">
        <v>1729778</v>
      </c>
      <c r="Q41" s="8">
        <v>0</v>
      </c>
      <c r="S41" s="9">
        <f t="shared" si="0"/>
        <v>4907324</v>
      </c>
      <c r="U41" s="8">
        <v>309049</v>
      </c>
      <c r="X41" s="8">
        <f>+'St of Net Assets - GA'!O36-'LT _Lia - GA'!U41</f>
        <v>0</v>
      </c>
    </row>
    <row r="42" spans="1:24">
      <c r="A42" s="13" t="s">
        <v>448</v>
      </c>
      <c r="B42" s="13"/>
      <c r="C42" s="13" t="s">
        <v>37</v>
      </c>
      <c r="D42" s="13"/>
      <c r="E42" s="32">
        <v>43596</v>
      </c>
      <c r="G42" s="8">
        <v>0</v>
      </c>
      <c r="I42" s="8">
        <v>0</v>
      </c>
      <c r="K42" s="8">
        <v>0</v>
      </c>
      <c r="M42" s="8">
        <v>443490</v>
      </c>
      <c r="O42" s="8">
        <v>1788652</v>
      </c>
      <c r="Q42" s="8">
        <v>0</v>
      </c>
      <c r="S42" s="9">
        <f t="shared" si="0"/>
        <v>2232142</v>
      </c>
      <c r="U42" s="8">
        <v>482227</v>
      </c>
      <c r="X42" s="8">
        <f>+'St of Net Assets - GA'!O37-'LT _Lia - GA'!U42</f>
        <v>0</v>
      </c>
    </row>
    <row r="43" spans="1:24">
      <c r="A43" s="13" t="s">
        <v>721</v>
      </c>
      <c r="B43" s="13"/>
      <c r="C43" s="13" t="s">
        <v>70</v>
      </c>
      <c r="D43" s="13"/>
      <c r="E43" s="32">
        <v>43604</v>
      </c>
      <c r="G43" s="8">
        <v>0</v>
      </c>
      <c r="I43" s="8">
        <v>103000</v>
      </c>
      <c r="K43" s="8">
        <v>0</v>
      </c>
      <c r="M43" s="8">
        <v>0</v>
      </c>
      <c r="O43" s="8">
        <v>531770</v>
      </c>
      <c r="Q43" s="8">
        <v>0</v>
      </c>
      <c r="S43" s="9">
        <f t="shared" si="0"/>
        <v>634770</v>
      </c>
      <c r="U43" s="8">
        <v>35000</v>
      </c>
      <c r="X43" s="8">
        <f>+'St of Net Assets - GA'!O38-'LT _Lia - GA'!U43</f>
        <v>0</v>
      </c>
    </row>
    <row r="44" spans="1:24">
      <c r="A44" s="13" t="s">
        <v>579</v>
      </c>
      <c r="B44" s="13"/>
      <c r="C44" s="13" t="s">
        <v>53</v>
      </c>
      <c r="D44" s="13"/>
      <c r="E44" s="32">
        <v>48926</v>
      </c>
      <c r="G44" s="8">
        <v>0</v>
      </c>
      <c r="I44" s="8">
        <v>91363</v>
      </c>
      <c r="K44" s="8">
        <v>0</v>
      </c>
      <c r="M44" s="8">
        <v>0</v>
      </c>
      <c r="O44" s="8">
        <v>1469107</v>
      </c>
      <c r="Q44" s="8">
        <v>30000</v>
      </c>
      <c r="S44" s="9">
        <f t="shared" si="0"/>
        <v>1590470</v>
      </c>
      <c r="U44" s="8">
        <v>246531</v>
      </c>
      <c r="X44" s="8">
        <f>+'St of Net Assets - GA'!O39-'LT _Lia - GA'!U44</f>
        <v>0</v>
      </c>
    </row>
    <row r="45" spans="1:24">
      <c r="A45" s="13" t="s">
        <v>303</v>
      </c>
      <c r="B45" s="13"/>
      <c r="C45" s="13" t="s">
        <v>20</v>
      </c>
      <c r="D45" s="13"/>
      <c r="E45" s="32">
        <v>43612</v>
      </c>
      <c r="G45" s="8">
        <v>16035536</v>
      </c>
      <c r="I45" s="8">
        <v>0</v>
      </c>
      <c r="K45" s="8">
        <v>0</v>
      </c>
      <c r="M45" s="8">
        <v>0</v>
      </c>
      <c r="O45" s="8">
        <v>3958531</v>
      </c>
      <c r="Q45" s="8">
        <v>0</v>
      </c>
      <c r="S45" s="9">
        <f t="shared" si="0"/>
        <v>19994067</v>
      </c>
      <c r="U45" s="8">
        <v>1795215</v>
      </c>
      <c r="X45" s="8">
        <f>+'St of Net Assets - GA'!O40-'LT _Lia - GA'!U45</f>
        <v>0</v>
      </c>
    </row>
    <row r="46" spans="1:24">
      <c r="A46" s="13" t="s">
        <v>381</v>
      </c>
      <c r="B46" s="13"/>
      <c r="C46" s="13" t="s">
        <v>30</v>
      </c>
      <c r="D46" s="13"/>
      <c r="E46" s="32">
        <v>47167</v>
      </c>
      <c r="G46" s="8">
        <v>0</v>
      </c>
      <c r="I46" s="8">
        <v>0</v>
      </c>
      <c r="K46" s="8">
        <v>0</v>
      </c>
      <c r="M46" s="8">
        <v>0</v>
      </c>
      <c r="O46" s="8">
        <v>932637</v>
      </c>
      <c r="Q46" s="8">
        <v>0</v>
      </c>
      <c r="S46" s="9">
        <f t="shared" si="0"/>
        <v>932637</v>
      </c>
      <c r="U46" s="8">
        <v>187833</v>
      </c>
      <c r="X46" s="8">
        <f>+'St of Net Assets - GA'!O41-'LT _Lia - GA'!U46</f>
        <v>0</v>
      </c>
    </row>
    <row r="47" spans="1:24">
      <c r="A47" s="13" t="s">
        <v>340</v>
      </c>
      <c r="B47" s="13"/>
      <c r="C47" s="13" t="s">
        <v>24</v>
      </c>
      <c r="D47" s="13"/>
      <c r="E47" s="32">
        <v>46789</v>
      </c>
      <c r="G47" s="8">
        <v>0</v>
      </c>
      <c r="I47" s="8">
        <v>0</v>
      </c>
      <c r="K47" s="8">
        <v>0</v>
      </c>
      <c r="M47" s="8">
        <v>0</v>
      </c>
      <c r="O47" s="8">
        <v>795250</v>
      </c>
      <c r="Q47" s="8">
        <v>0</v>
      </c>
      <c r="S47" s="9">
        <f t="shared" si="0"/>
        <v>795250</v>
      </c>
      <c r="U47" s="8">
        <v>29061</v>
      </c>
      <c r="X47" s="8">
        <f>+'St of Net Assets - GA'!O42-'LT _Lia - GA'!U47</f>
        <v>0</v>
      </c>
    </row>
    <row r="48" spans="1:24">
      <c r="A48" s="13" t="s">
        <v>348</v>
      </c>
      <c r="B48" s="13"/>
      <c r="C48" s="13" t="s">
        <v>25</v>
      </c>
      <c r="D48" s="13"/>
      <c r="E48" s="32">
        <v>46854</v>
      </c>
      <c r="G48" s="8">
        <v>2330000</v>
      </c>
      <c r="I48" s="8">
        <v>1055000</v>
      </c>
      <c r="K48" s="8">
        <v>0</v>
      </c>
      <c r="M48" s="8">
        <v>140290</v>
      </c>
      <c r="O48" s="8">
        <v>394394</v>
      </c>
      <c r="Q48" s="8">
        <v>117943</v>
      </c>
      <c r="S48" s="9">
        <f t="shared" si="0"/>
        <v>4037627</v>
      </c>
      <c r="U48" s="8">
        <v>549674</v>
      </c>
      <c r="X48" s="8">
        <f>+'St of Net Assets - GA'!O43-'LT _Lia - GA'!U48</f>
        <v>0</v>
      </c>
    </row>
    <row r="49" spans="1:34">
      <c r="A49" s="13" t="s">
        <v>543</v>
      </c>
      <c r="B49" s="13"/>
      <c r="C49" s="13" t="s">
        <v>48</v>
      </c>
      <c r="D49" s="13"/>
      <c r="E49" s="32">
        <v>48611</v>
      </c>
      <c r="G49" s="8">
        <v>0</v>
      </c>
      <c r="I49" s="8">
        <v>0</v>
      </c>
      <c r="K49" s="8">
        <v>0</v>
      </c>
      <c r="M49" s="8">
        <v>915000</v>
      </c>
      <c r="O49" s="8">
        <v>310656</v>
      </c>
      <c r="Q49" s="8">
        <v>0</v>
      </c>
      <c r="S49" s="9">
        <f t="shared" si="0"/>
        <v>1225656</v>
      </c>
      <c r="U49" s="8">
        <v>66000</v>
      </c>
      <c r="X49" s="8">
        <f>+'St of Net Assets - GA'!O44-'LT _Lia - GA'!U49</f>
        <v>0</v>
      </c>
    </row>
    <row r="50" spans="1:34">
      <c r="A50" s="13" t="s">
        <v>271</v>
      </c>
      <c r="B50" s="13"/>
      <c r="C50" s="13" t="s">
        <v>116</v>
      </c>
      <c r="D50" s="13"/>
      <c r="E50" s="32">
        <v>46318</v>
      </c>
      <c r="G50" s="8">
        <f>1585000+2920000+311485-206396+178428</f>
        <v>4788517</v>
      </c>
      <c r="I50" s="8">
        <v>0</v>
      </c>
      <c r="K50" s="8">
        <v>0</v>
      </c>
      <c r="M50" s="8">
        <v>226168</v>
      </c>
      <c r="O50" s="8">
        <v>880123</v>
      </c>
      <c r="Q50" s="8">
        <v>2397000</v>
      </c>
      <c r="S50" s="9">
        <f t="shared" si="0"/>
        <v>8291808</v>
      </c>
      <c r="U50" s="8">
        <v>353589</v>
      </c>
      <c r="X50" s="8">
        <f>+'St of Net Assets - GA'!O45-'LT _Lia - GA'!U50</f>
        <v>0</v>
      </c>
    </row>
    <row r="51" spans="1:34" hidden="1">
      <c r="A51" s="13" t="s">
        <v>640</v>
      </c>
      <c r="B51" s="13"/>
      <c r="C51" s="13" t="s">
        <v>60</v>
      </c>
      <c r="D51" s="13"/>
      <c r="E51" s="32">
        <v>49692</v>
      </c>
      <c r="G51" s="8">
        <v>0</v>
      </c>
      <c r="I51" s="8">
        <v>0</v>
      </c>
      <c r="K51" s="8">
        <v>0</v>
      </c>
      <c r="M51" s="8">
        <v>0</v>
      </c>
      <c r="O51" s="8">
        <v>0</v>
      </c>
      <c r="Q51" s="8">
        <v>0</v>
      </c>
      <c r="S51" s="9">
        <f t="shared" si="0"/>
        <v>0</v>
      </c>
      <c r="U51" s="8">
        <v>0</v>
      </c>
      <c r="X51" s="8" t="e">
        <f>+'St of Net Assets - GA'!#REF!-'LT _Lia - GA'!U51</f>
        <v>#REF!</v>
      </c>
    </row>
    <row r="52" spans="1:34">
      <c r="A52" s="13" t="s">
        <v>356</v>
      </c>
      <c r="B52" s="13"/>
      <c r="C52" s="13" t="s">
        <v>27</v>
      </c>
      <c r="D52" s="13"/>
      <c r="E52" s="32">
        <v>43620</v>
      </c>
      <c r="G52" s="8">
        <v>28841423</v>
      </c>
      <c r="I52" s="8">
        <v>0</v>
      </c>
      <c r="K52" s="8">
        <v>0</v>
      </c>
      <c r="M52" s="8">
        <v>0</v>
      </c>
      <c r="O52" s="8">
        <v>2264982</v>
      </c>
      <c r="Q52" s="8">
        <v>0</v>
      </c>
      <c r="S52" s="9">
        <f t="shared" si="0"/>
        <v>31106405</v>
      </c>
      <c r="U52" s="8">
        <v>2055000</v>
      </c>
      <c r="X52" s="8">
        <f>+'St of Net Assets - GA'!O46-'LT _Lia - GA'!U52</f>
        <v>0</v>
      </c>
    </row>
    <row r="53" spans="1:34">
      <c r="A53" s="13" t="s">
        <v>336</v>
      </c>
      <c r="B53" s="13"/>
      <c r="C53" s="13" t="s">
        <v>23</v>
      </c>
      <c r="D53" s="13"/>
      <c r="E53" s="32">
        <v>46748</v>
      </c>
      <c r="G53" s="8">
        <f>1055000+183809+2087667+3660000+434981+276643+170152+9305000+2255000+384993+45822+184592</f>
        <v>20043659</v>
      </c>
      <c r="I53" s="8">
        <v>0</v>
      </c>
      <c r="K53" s="8">
        <v>0</v>
      </c>
      <c r="M53" s="8">
        <v>104718</v>
      </c>
      <c r="O53" s="8">
        <v>1275555</v>
      </c>
      <c r="Q53" s="8">
        <v>0</v>
      </c>
      <c r="S53" s="9">
        <f t="shared" si="0"/>
        <v>21423932</v>
      </c>
      <c r="U53" s="8">
        <v>993880</v>
      </c>
      <c r="X53" s="8">
        <f>+'St of Net Assets - GA'!O47-'LT _Lia - GA'!U53</f>
        <v>0</v>
      </c>
    </row>
    <row r="54" spans="1:34">
      <c r="A54" s="13" t="s">
        <v>531</v>
      </c>
      <c r="B54" s="13"/>
      <c r="C54" s="13" t="s">
        <v>47</v>
      </c>
      <c r="D54" s="13"/>
      <c r="E54" s="32">
        <v>48462</v>
      </c>
      <c r="G54" s="8">
        <f>170626+483037+3130000+130000+506237</f>
        <v>4419900</v>
      </c>
      <c r="I54" s="8">
        <v>0</v>
      </c>
      <c r="K54" s="8">
        <v>0</v>
      </c>
      <c r="M54" s="8">
        <v>51508</v>
      </c>
      <c r="O54" s="8">
        <v>902466</v>
      </c>
      <c r="Q54" s="8">
        <v>0</v>
      </c>
      <c r="S54" s="9">
        <f t="shared" si="0"/>
        <v>5373874</v>
      </c>
      <c r="U54" s="8">
        <v>789257</v>
      </c>
      <c r="X54" s="8">
        <f>+'St of Net Assets - GA'!O48-'LT _Lia - GA'!U54</f>
        <v>0</v>
      </c>
    </row>
    <row r="55" spans="1:34">
      <c r="A55" s="13" t="s">
        <v>278</v>
      </c>
      <c r="B55" s="13"/>
      <c r="C55" s="13" t="s">
        <v>18</v>
      </c>
      <c r="D55" s="13"/>
      <c r="E55" s="32">
        <v>46383</v>
      </c>
      <c r="G55" s="8">
        <f>915000+2429000+85000+37975+207909-142358</f>
        <v>3532526</v>
      </c>
      <c r="I55" s="8">
        <v>0</v>
      </c>
      <c r="K55" s="8">
        <v>0</v>
      </c>
      <c r="M55" s="8">
        <v>0</v>
      </c>
      <c r="O55" s="8">
        <v>530283</v>
      </c>
      <c r="Q55" s="8">
        <v>0</v>
      </c>
      <c r="S55" s="9">
        <f t="shared" si="0"/>
        <v>4062809</v>
      </c>
      <c r="U55" s="8">
        <v>279930</v>
      </c>
      <c r="X55" s="8">
        <f>+'St of Net Assets - GA'!O49-'LT _Lia - GA'!U55</f>
        <v>0</v>
      </c>
    </row>
    <row r="56" spans="1:34">
      <c r="A56" s="13" t="s">
        <v>349</v>
      </c>
      <c r="B56" s="13"/>
      <c r="C56" s="13" t="s">
        <v>25</v>
      </c>
      <c r="D56" s="13"/>
      <c r="E56" s="32">
        <v>46862</v>
      </c>
      <c r="G56" s="8">
        <v>0</v>
      </c>
      <c r="I56" s="8">
        <v>0</v>
      </c>
      <c r="K56" s="8">
        <v>0</v>
      </c>
      <c r="M56" s="8">
        <v>0</v>
      </c>
      <c r="O56" s="8">
        <v>673998</v>
      </c>
      <c r="Q56" s="8">
        <v>0</v>
      </c>
      <c r="S56" s="9">
        <f t="shared" si="0"/>
        <v>673998</v>
      </c>
      <c r="U56" s="8">
        <v>100025</v>
      </c>
      <c r="X56" s="8">
        <f>+'St of Net Assets - GA'!O50-'LT _Lia - GA'!U56</f>
        <v>0</v>
      </c>
    </row>
    <row r="57" spans="1:34">
      <c r="A57" s="13" t="s">
        <v>680</v>
      </c>
      <c r="B57" s="13"/>
      <c r="C57" s="13" t="s">
        <v>64</v>
      </c>
      <c r="D57" s="13"/>
      <c r="E57" s="32">
        <v>50096</v>
      </c>
      <c r="G57" s="8">
        <v>0</v>
      </c>
      <c r="I57" s="8">
        <v>0</v>
      </c>
      <c r="K57" s="8">
        <v>0</v>
      </c>
      <c r="M57" s="8">
        <v>0</v>
      </c>
      <c r="O57" s="8">
        <v>205505</v>
      </c>
      <c r="Q57" s="8">
        <v>0</v>
      </c>
      <c r="S57" s="9">
        <f t="shared" si="0"/>
        <v>205505</v>
      </c>
      <c r="U57" s="8">
        <v>33435</v>
      </c>
      <c r="X57" s="8">
        <f>+'St of Net Assets - GA'!O51-'LT _Lia - GA'!U57</f>
        <v>0</v>
      </c>
    </row>
    <row r="58" spans="1:34">
      <c r="A58" s="13" t="s">
        <v>631</v>
      </c>
      <c r="B58" s="13"/>
      <c r="C58" s="13" t="s">
        <v>59</v>
      </c>
      <c r="D58" s="13"/>
      <c r="E58" s="32">
        <v>49593</v>
      </c>
      <c r="G58" s="8">
        <v>675000</v>
      </c>
      <c r="I58" s="8">
        <v>0</v>
      </c>
      <c r="K58" s="8">
        <v>0</v>
      </c>
      <c r="M58" s="8">
        <v>0</v>
      </c>
      <c r="O58" s="8">
        <v>657306</v>
      </c>
      <c r="Q58" s="8">
        <v>0</v>
      </c>
      <c r="S58" s="9">
        <f>SUM(G58:R58)</f>
        <v>1332306</v>
      </c>
      <c r="U58" s="8">
        <v>189422</v>
      </c>
      <c r="X58" s="8">
        <f>+'St of Net Assets - GA'!O52-'LT _Lia - GA'!U58</f>
        <v>0</v>
      </c>
    </row>
    <row r="59" spans="1:34" hidden="1">
      <c r="A59" s="13" t="s">
        <v>916</v>
      </c>
      <c r="B59" s="13"/>
      <c r="C59" s="13" t="s">
        <v>10</v>
      </c>
      <c r="D59" s="13"/>
      <c r="E59" s="32">
        <v>49593</v>
      </c>
      <c r="G59" s="8">
        <v>0</v>
      </c>
      <c r="I59" s="8">
        <v>0</v>
      </c>
      <c r="K59" s="8">
        <v>0</v>
      </c>
      <c r="M59" s="8">
        <v>0</v>
      </c>
      <c r="S59" s="9">
        <f t="shared" si="0"/>
        <v>0</v>
      </c>
      <c r="X59" s="8" t="e">
        <f>+'St of Net Assets - GA'!#REF!-'LT _Lia - GA'!U59</f>
        <v>#REF!</v>
      </c>
      <c r="Z59" s="8" t="s">
        <v>917</v>
      </c>
    </row>
    <row r="60" spans="1:34">
      <c r="A60" s="13" t="s">
        <v>515</v>
      </c>
      <c r="B60" s="13"/>
      <c r="C60" s="13" t="s">
        <v>45</v>
      </c>
      <c r="D60" s="13"/>
      <c r="E60" s="32">
        <v>48306</v>
      </c>
      <c r="G60" s="8">
        <v>543072</v>
      </c>
      <c r="I60" s="8">
        <v>0</v>
      </c>
      <c r="K60" s="8">
        <v>0</v>
      </c>
      <c r="M60" s="8">
        <v>1534811</v>
      </c>
      <c r="O60" s="8">
        <v>3041924</v>
      </c>
      <c r="Q60" s="8">
        <v>127500</v>
      </c>
      <c r="S60" s="9">
        <f t="shared" si="0"/>
        <v>5247307</v>
      </c>
      <c r="U60" s="8">
        <v>948270</v>
      </c>
      <c r="X60" s="8">
        <f>+'St of Net Assets - GA'!O53-'LT _Lia - GA'!U60</f>
        <v>0</v>
      </c>
    </row>
    <row r="61" spans="1:34">
      <c r="A61" s="13" t="s">
        <v>647</v>
      </c>
      <c r="B61" s="13"/>
      <c r="C61" s="13" t="s">
        <v>61</v>
      </c>
      <c r="D61" s="13"/>
      <c r="E61" s="32">
        <v>49767</v>
      </c>
      <c r="G61" s="8">
        <f>340000+300000</f>
        <v>640000</v>
      </c>
      <c r="I61" s="8">
        <v>0</v>
      </c>
      <c r="K61" s="8">
        <v>0</v>
      </c>
      <c r="M61" s="8">
        <v>0</v>
      </c>
      <c r="O61" s="8">
        <v>155746</v>
      </c>
      <c r="Q61" s="8">
        <v>0</v>
      </c>
      <c r="S61" s="9">
        <f t="shared" si="0"/>
        <v>795746</v>
      </c>
      <c r="U61" s="8">
        <v>195000</v>
      </c>
      <c r="X61" s="8">
        <f>+'St of Net Assets - GA'!O54-'LT _Lia - GA'!U61</f>
        <v>0</v>
      </c>
    </row>
    <row r="62" spans="1:34">
      <c r="A62" s="13" t="s">
        <v>739</v>
      </c>
      <c r="B62" s="13"/>
      <c r="C62" s="13" t="s">
        <v>72</v>
      </c>
      <c r="D62" s="13"/>
      <c r="E62" s="32">
        <v>43638</v>
      </c>
      <c r="G62" s="8">
        <f>28330000+1405978</f>
        <v>29735978</v>
      </c>
      <c r="I62" s="8">
        <v>0</v>
      </c>
      <c r="K62" s="8">
        <v>0</v>
      </c>
      <c r="M62" s="8">
        <v>62882</v>
      </c>
      <c r="O62" s="8">
        <f>2916456+235326</f>
        <v>3151782</v>
      </c>
      <c r="Q62" s="8">
        <v>0</v>
      </c>
      <c r="S62" s="9">
        <f t="shared" si="0"/>
        <v>32950642</v>
      </c>
      <c r="U62" s="8">
        <v>1305754</v>
      </c>
      <c r="X62" s="8">
        <f>+'St of Net Assets - GA'!O55-'LT _Lia - GA'!U62</f>
        <v>0</v>
      </c>
    </row>
    <row r="63" spans="1:34" hidden="1">
      <c r="A63" s="13" t="s">
        <v>922</v>
      </c>
      <c r="B63" s="13"/>
      <c r="C63" s="13" t="s">
        <v>48</v>
      </c>
      <c r="D63" s="13"/>
      <c r="E63" s="32">
        <v>43646</v>
      </c>
      <c r="G63" s="8">
        <v>0</v>
      </c>
      <c r="I63" s="8">
        <v>0</v>
      </c>
      <c r="K63" s="8">
        <v>0</v>
      </c>
      <c r="M63" s="8">
        <v>0</v>
      </c>
      <c r="S63" s="9">
        <f>SUM(G63:R63)</f>
        <v>0</v>
      </c>
      <c r="X63" s="8" t="e">
        <f>+'St of Net Assets - GA'!#REF!-'LT _Lia - GA'!U63</f>
        <v>#REF!</v>
      </c>
      <c r="AH63" s="8" t="s">
        <v>917</v>
      </c>
    </row>
    <row r="64" spans="1:34">
      <c r="A64" s="12" t="s">
        <v>984</v>
      </c>
      <c r="B64" s="13"/>
      <c r="C64" s="13" t="s">
        <v>20</v>
      </c>
      <c r="D64" s="13"/>
      <c r="E64" s="32">
        <v>43646</v>
      </c>
      <c r="G64" s="8">
        <v>16817492</v>
      </c>
      <c r="I64" s="8">
        <v>0</v>
      </c>
      <c r="K64" s="8">
        <v>9317544</v>
      </c>
      <c r="M64" s="8">
        <v>867867</v>
      </c>
      <c r="O64" s="8">
        <v>4513808</v>
      </c>
      <c r="Q64" s="8">
        <v>60000</v>
      </c>
      <c r="S64" s="9">
        <f t="shared" si="0"/>
        <v>31576711</v>
      </c>
      <c r="U64" s="8">
        <v>2240805</v>
      </c>
      <c r="X64" s="8">
        <f>+'St of Net Assets - GA'!O56-'LT _Lia - GA'!U64</f>
        <v>0</v>
      </c>
    </row>
    <row r="65" spans="1:26">
      <c r="A65" s="13" t="s">
        <v>235</v>
      </c>
      <c r="B65" s="13"/>
      <c r="C65" s="13" t="s">
        <v>15</v>
      </c>
      <c r="D65" s="13"/>
      <c r="E65" s="32">
        <v>45237</v>
      </c>
      <c r="G65" s="8">
        <f>875000+3710000+143358</f>
        <v>4728358</v>
      </c>
      <c r="I65" s="8">
        <v>0</v>
      </c>
      <c r="K65" s="8">
        <v>120000</v>
      </c>
      <c r="M65" s="8">
        <v>50307</v>
      </c>
      <c r="O65" s="8">
        <v>414288</v>
      </c>
      <c r="Q65" s="8">
        <v>405853</v>
      </c>
      <c r="S65" s="9">
        <f t="shared" si="0"/>
        <v>5718806</v>
      </c>
      <c r="U65" s="8">
        <v>300358</v>
      </c>
      <c r="X65" s="8">
        <f>+'St of Net Assets - GA'!O57-'LT _Lia - GA'!U65</f>
        <v>0</v>
      </c>
    </row>
    <row r="66" spans="1:26">
      <c r="A66" s="13" t="s">
        <v>439</v>
      </c>
      <c r="B66" s="13"/>
      <c r="C66" s="13" t="s">
        <v>440</v>
      </c>
      <c r="D66" s="13"/>
      <c r="E66" s="32">
        <v>47613</v>
      </c>
      <c r="G66" s="8">
        <v>670000</v>
      </c>
      <c r="I66" s="8">
        <v>0</v>
      </c>
      <c r="K66" s="8">
        <v>0</v>
      </c>
      <c r="M66" s="8">
        <v>0</v>
      </c>
      <c r="O66" s="8">
        <v>213548</v>
      </c>
      <c r="Q66" s="8">
        <v>0</v>
      </c>
      <c r="S66" s="9">
        <f t="shared" si="0"/>
        <v>883548</v>
      </c>
      <c r="U66" s="8">
        <v>147585</v>
      </c>
      <c r="X66" s="8">
        <f>+'St of Net Assets - GA'!O58-'LT _Lia - GA'!U66</f>
        <v>0</v>
      </c>
    </row>
    <row r="67" spans="1:26">
      <c r="A67" s="13" t="s">
        <v>681</v>
      </c>
      <c r="B67" s="13"/>
      <c r="C67" s="13" t="s">
        <v>64</v>
      </c>
      <c r="D67" s="13"/>
      <c r="E67" s="13">
        <v>50112</v>
      </c>
      <c r="G67" s="8">
        <v>1720000</v>
      </c>
      <c r="I67" s="8">
        <v>29786</v>
      </c>
      <c r="K67" s="8">
        <v>0</v>
      </c>
      <c r="M67" s="8">
        <v>0</v>
      </c>
      <c r="O67" s="8">
        <v>643130</v>
      </c>
      <c r="Q67" s="8">
        <v>0</v>
      </c>
      <c r="S67" s="9">
        <f>SUM(G67:R67)</f>
        <v>2392916</v>
      </c>
      <c r="U67" s="8">
        <v>205902</v>
      </c>
      <c r="X67" s="8">
        <f>+'St of Net Assets - GA'!O59-'LT _Lia - GA'!U67</f>
        <v>0</v>
      </c>
    </row>
    <row r="68" spans="1:26">
      <c r="A68" s="13" t="s">
        <v>682</v>
      </c>
      <c r="B68" s="13"/>
      <c r="C68" s="13" t="s">
        <v>64</v>
      </c>
      <c r="D68" s="13"/>
      <c r="E68" s="32">
        <v>50120</v>
      </c>
      <c r="G68" s="8">
        <f>14595000+215729</f>
        <v>14810729</v>
      </c>
      <c r="I68" s="8">
        <v>0</v>
      </c>
      <c r="K68" s="8">
        <v>0</v>
      </c>
      <c r="M68" s="8">
        <v>1189</v>
      </c>
      <c r="O68" s="8">
        <v>754382</v>
      </c>
      <c r="Q68" s="8">
        <v>0</v>
      </c>
      <c r="S68" s="9">
        <f t="shared" ref="S68:S82" si="1">SUM(G68:R68)</f>
        <v>15566300</v>
      </c>
      <c r="U68" s="8">
        <v>417302</v>
      </c>
      <c r="X68" s="8">
        <f>+'St of Net Assets - GA'!O60-'LT _Lia - GA'!U68</f>
        <v>0</v>
      </c>
    </row>
    <row r="69" spans="1:26">
      <c r="A69" s="13"/>
      <c r="B69" s="13"/>
      <c r="C69" s="13"/>
      <c r="D69" s="13"/>
      <c r="E69" s="32"/>
      <c r="S69" s="9"/>
    </row>
    <row r="70" spans="1:26">
      <c r="A70" s="13"/>
      <c r="B70" s="13"/>
      <c r="C70" s="13"/>
      <c r="D70" s="13"/>
      <c r="E70" s="32"/>
      <c r="S70" s="9"/>
      <c r="U70" s="8" t="s">
        <v>819</v>
      </c>
    </row>
    <row r="71" spans="1:26" s="35" customFormat="1">
      <c r="A71" s="34" t="s">
        <v>305</v>
      </c>
      <c r="B71" s="34"/>
      <c r="C71" s="34" t="s">
        <v>20</v>
      </c>
      <c r="D71" s="34"/>
      <c r="E71" s="34">
        <v>43653</v>
      </c>
      <c r="G71" s="35">
        <v>0</v>
      </c>
      <c r="I71" s="35">
        <v>0</v>
      </c>
      <c r="K71" s="35">
        <v>0</v>
      </c>
      <c r="M71" s="35">
        <v>0</v>
      </c>
      <c r="O71" s="35">
        <v>1046496</v>
      </c>
      <c r="Q71" s="35">
        <v>0</v>
      </c>
      <c r="S71" s="44">
        <f t="shared" si="1"/>
        <v>1046496</v>
      </c>
      <c r="U71" s="35">
        <v>80094</v>
      </c>
      <c r="X71" s="35">
        <f>+'St of Net Assets - GA'!O61-'LT _Lia - GA'!U71</f>
        <v>0</v>
      </c>
    </row>
    <row r="72" spans="1:26">
      <c r="A72" s="13" t="s">
        <v>552</v>
      </c>
      <c r="B72" s="13"/>
      <c r="C72" s="13" t="s">
        <v>50</v>
      </c>
      <c r="D72" s="13"/>
      <c r="E72" s="32">
        <v>48678</v>
      </c>
      <c r="G72" s="8">
        <v>22219701</v>
      </c>
      <c r="I72" s="8">
        <v>0</v>
      </c>
      <c r="K72" s="8">
        <v>0</v>
      </c>
      <c r="M72" s="8">
        <v>0</v>
      </c>
      <c r="O72" s="8">
        <v>872705</v>
      </c>
      <c r="Q72" s="8">
        <v>0</v>
      </c>
      <c r="S72" s="9">
        <f t="shared" si="1"/>
        <v>23092406</v>
      </c>
      <c r="U72" s="8">
        <v>675466</v>
      </c>
      <c r="X72" s="8">
        <f>+'St of Net Assets - GA'!O62-'LT _Lia - GA'!U72</f>
        <v>0</v>
      </c>
    </row>
    <row r="73" spans="1:26">
      <c r="A73" s="13" t="s">
        <v>256</v>
      </c>
      <c r="B73" s="13"/>
      <c r="C73" s="13" t="s">
        <v>16</v>
      </c>
      <c r="D73" s="13"/>
      <c r="E73" s="32">
        <v>46177</v>
      </c>
      <c r="G73" s="8">
        <v>0</v>
      </c>
      <c r="I73" s="8">
        <v>0</v>
      </c>
      <c r="K73" s="8">
        <v>0</v>
      </c>
      <c r="M73" s="8">
        <v>9072</v>
      </c>
      <c r="O73" s="8">
        <v>411680</v>
      </c>
      <c r="Q73" s="8">
        <v>0</v>
      </c>
      <c r="S73" s="9">
        <f t="shared" si="1"/>
        <v>420752</v>
      </c>
      <c r="U73" s="8">
        <v>18376</v>
      </c>
      <c r="X73" s="8">
        <f>+'St of Net Assets - GA'!O63-'LT _Lia - GA'!U73</f>
        <v>0</v>
      </c>
    </row>
    <row r="74" spans="1:26">
      <c r="A74" s="13" t="s">
        <v>532</v>
      </c>
      <c r="B74" s="13"/>
      <c r="C74" s="13" t="s">
        <v>47</v>
      </c>
      <c r="D74" s="13"/>
      <c r="E74" s="32">
        <v>43661</v>
      </c>
      <c r="G74" s="8">
        <v>17718651</v>
      </c>
      <c r="I74" s="8">
        <v>0</v>
      </c>
      <c r="K74" s="8">
        <v>2987000</v>
      </c>
      <c r="M74" s="8">
        <v>636000</v>
      </c>
      <c r="O74" s="8">
        <v>5912269</v>
      </c>
      <c r="Q74" s="8">
        <v>0</v>
      </c>
      <c r="S74" s="9">
        <f t="shared" si="1"/>
        <v>27253920</v>
      </c>
      <c r="U74" s="8">
        <v>3413455</v>
      </c>
      <c r="X74" s="8">
        <f>+'St of Net Assets - GA'!O64-'LT _Lia - GA'!U74</f>
        <v>0</v>
      </c>
    </row>
    <row r="75" spans="1:26" hidden="1">
      <c r="A75" s="13" t="s">
        <v>732</v>
      </c>
      <c r="B75" s="13"/>
      <c r="C75" s="13" t="s">
        <v>733</v>
      </c>
      <c r="D75" s="13"/>
      <c r="E75" s="32">
        <v>43679</v>
      </c>
      <c r="G75" s="8">
        <v>0</v>
      </c>
      <c r="I75" s="8">
        <v>0</v>
      </c>
      <c r="K75" s="8">
        <v>0</v>
      </c>
      <c r="M75" s="8">
        <v>0</v>
      </c>
      <c r="O75" s="8">
        <v>0</v>
      </c>
      <c r="Q75" s="8">
        <v>0</v>
      </c>
      <c r="S75" s="9">
        <f t="shared" si="1"/>
        <v>0</v>
      </c>
      <c r="U75" s="8">
        <v>0</v>
      </c>
      <c r="X75" s="8" t="e">
        <f>+'St of Net Assets - GA'!#REF!-'LT _Lia - GA'!U75</f>
        <v>#REF!</v>
      </c>
      <c r="Z75" s="8" t="s">
        <v>917</v>
      </c>
    </row>
    <row r="76" spans="1:26">
      <c r="A76" s="13" t="s">
        <v>294</v>
      </c>
      <c r="B76" s="13"/>
      <c r="C76" s="13" t="s">
        <v>114</v>
      </c>
      <c r="D76" s="13"/>
      <c r="E76" s="32">
        <v>46508</v>
      </c>
      <c r="G76" s="8">
        <v>8465046</v>
      </c>
      <c r="I76" s="8">
        <v>478309</v>
      </c>
      <c r="K76" s="8">
        <v>0</v>
      </c>
      <c r="M76" s="8">
        <v>0</v>
      </c>
      <c r="O76" s="8">
        <v>406015</v>
      </c>
      <c r="Q76" s="8">
        <v>0</v>
      </c>
      <c r="S76" s="9">
        <f t="shared" si="1"/>
        <v>9349370</v>
      </c>
      <c r="U76" s="8">
        <v>71865</v>
      </c>
      <c r="X76" s="8">
        <f>+'St of Net Assets - GA'!O65-'LT _Lia - GA'!U76</f>
        <v>0</v>
      </c>
    </row>
    <row r="77" spans="1:26">
      <c r="A77" s="13" t="s">
        <v>219</v>
      </c>
      <c r="B77" s="13"/>
      <c r="C77" s="13" t="s">
        <v>12</v>
      </c>
      <c r="D77" s="13"/>
      <c r="E77" s="32">
        <v>45856</v>
      </c>
      <c r="G77" s="8">
        <v>210000</v>
      </c>
      <c r="I77" s="8">
        <v>0</v>
      </c>
      <c r="K77" s="8">
        <v>0</v>
      </c>
      <c r="M77" s="8">
        <v>0</v>
      </c>
      <c r="O77" s="8">
        <v>1031862</v>
      </c>
      <c r="Q77" s="8">
        <v>0</v>
      </c>
      <c r="S77" s="9">
        <f t="shared" si="1"/>
        <v>1241862</v>
      </c>
      <c r="U77" s="8">
        <v>89940</v>
      </c>
      <c r="X77" s="8">
        <f>+'St of Net Assets - GA'!O66-'LT _Lia - GA'!U77</f>
        <v>0</v>
      </c>
    </row>
    <row r="78" spans="1:26">
      <c r="A78" s="13" t="s">
        <v>219</v>
      </c>
      <c r="B78" s="13"/>
      <c r="C78" s="13" t="s">
        <v>39</v>
      </c>
      <c r="D78" s="13"/>
      <c r="E78" s="32">
        <v>47787</v>
      </c>
      <c r="G78" s="8">
        <v>3220681</v>
      </c>
      <c r="I78" s="8">
        <v>0</v>
      </c>
      <c r="K78" s="8">
        <v>0</v>
      </c>
      <c r="M78" s="8">
        <v>0</v>
      </c>
      <c r="O78" s="8">
        <v>1336780</v>
      </c>
      <c r="Q78" s="8">
        <v>0</v>
      </c>
      <c r="S78" s="9">
        <f t="shared" si="1"/>
        <v>4557461</v>
      </c>
      <c r="U78" s="8">
        <v>933763</v>
      </c>
      <c r="X78" s="8">
        <f>+'St of Net Assets - GA'!O67-'LT _Lia - GA'!U78</f>
        <v>0</v>
      </c>
    </row>
    <row r="79" spans="1:26" hidden="1">
      <c r="A79" s="13" t="s">
        <v>219</v>
      </c>
      <c r="B79" s="13"/>
      <c r="C79" s="13" t="s">
        <v>47</v>
      </c>
      <c r="D79" s="13"/>
      <c r="E79" s="32">
        <v>48470</v>
      </c>
      <c r="G79" s="8">
        <v>0</v>
      </c>
      <c r="I79" s="8">
        <v>0</v>
      </c>
      <c r="K79" s="8">
        <v>0</v>
      </c>
      <c r="M79" s="8">
        <v>0</v>
      </c>
      <c r="O79" s="8">
        <v>0</v>
      </c>
      <c r="Q79" s="8">
        <v>0</v>
      </c>
      <c r="S79" s="9">
        <f t="shared" si="1"/>
        <v>0</v>
      </c>
      <c r="U79" s="8">
        <v>0</v>
      </c>
      <c r="X79" s="8" t="e">
        <f>+'St of Net Assets - GA'!#REF!-'LT _Lia - GA'!U79</f>
        <v>#REF!</v>
      </c>
    </row>
    <row r="80" spans="1:26" hidden="1">
      <c r="A80" s="13" t="s">
        <v>918</v>
      </c>
      <c r="B80" s="13"/>
      <c r="C80" s="13" t="s">
        <v>115</v>
      </c>
      <c r="D80" s="13"/>
      <c r="E80" s="32">
        <v>46755</v>
      </c>
      <c r="G80" s="8">
        <v>0</v>
      </c>
      <c r="I80" s="8">
        <v>0</v>
      </c>
      <c r="K80" s="8">
        <v>0</v>
      </c>
      <c r="M80" s="8">
        <v>0</v>
      </c>
      <c r="O80" s="8">
        <v>0</v>
      </c>
      <c r="Q80" s="8">
        <v>0</v>
      </c>
      <c r="S80" s="9">
        <f>SUM(G80:R80)</f>
        <v>0</v>
      </c>
      <c r="U80" s="8">
        <v>0</v>
      </c>
      <c r="X80" s="8" t="e">
        <f>+'St of Net Assets - GA'!#REF!-'LT _Lia - GA'!U80</f>
        <v>#REF!</v>
      </c>
      <c r="Z80" s="10" t="s">
        <v>926</v>
      </c>
    </row>
    <row r="81" spans="1:24">
      <c r="A81" s="13" t="s">
        <v>337</v>
      </c>
      <c r="B81" s="13"/>
      <c r="C81" s="13" t="s">
        <v>23</v>
      </c>
      <c r="D81" s="13"/>
      <c r="E81" s="32">
        <v>46755</v>
      </c>
      <c r="G81" s="8">
        <f>5055000+4210008+204992+131236+373130-283993</f>
        <v>9690373</v>
      </c>
      <c r="I81" s="8">
        <v>113000</v>
      </c>
      <c r="K81" s="8">
        <v>0</v>
      </c>
      <c r="M81" s="8">
        <v>171372</v>
      </c>
      <c r="O81" s="8">
        <v>1699072</v>
      </c>
      <c r="Q81" s="8">
        <v>0</v>
      </c>
      <c r="S81" s="9">
        <f t="shared" si="1"/>
        <v>11673817</v>
      </c>
      <c r="U81" s="8">
        <v>999057</v>
      </c>
      <c r="X81" s="8">
        <f>+'St of Net Assets - GA'!O68-'LT _Lia - GA'!U81</f>
        <v>0</v>
      </c>
    </row>
    <row r="82" spans="1:24">
      <c r="A82" s="13" t="s">
        <v>295</v>
      </c>
      <c r="B82" s="13"/>
      <c r="C82" s="13" t="s">
        <v>114</v>
      </c>
      <c r="D82" s="13"/>
      <c r="E82" s="32">
        <v>43687</v>
      </c>
      <c r="G82" s="8">
        <f>12910000+551422</f>
        <v>13461422</v>
      </c>
      <c r="I82" s="8">
        <v>0</v>
      </c>
      <c r="K82" s="8">
        <v>0</v>
      </c>
      <c r="M82" s="8">
        <v>17780</v>
      </c>
      <c r="O82" s="8">
        <v>994048</v>
      </c>
      <c r="Q82" s="8">
        <v>0</v>
      </c>
      <c r="S82" s="9">
        <f t="shared" si="1"/>
        <v>14473250</v>
      </c>
      <c r="U82" s="8">
        <v>412480</v>
      </c>
      <c r="X82" s="8">
        <f>+'St of Net Assets - GA'!O69-'LT _Lia - GA'!U82</f>
        <v>0</v>
      </c>
    </row>
    <row r="83" spans="1:24">
      <c r="A83" s="13" t="s">
        <v>577</v>
      </c>
      <c r="B83" s="13"/>
      <c r="C83" s="13" t="s">
        <v>52</v>
      </c>
      <c r="D83" s="13"/>
      <c r="E83" s="32">
        <v>45252</v>
      </c>
      <c r="G83" s="8">
        <v>0</v>
      </c>
      <c r="I83" s="8">
        <v>0</v>
      </c>
      <c r="K83" s="8">
        <v>0</v>
      </c>
      <c r="M83" s="8">
        <v>0</v>
      </c>
      <c r="O83" s="8">
        <v>357604</v>
      </c>
      <c r="Q83" s="8">
        <v>0</v>
      </c>
      <c r="S83" s="9">
        <f t="shared" ref="S83:S135" si="2">SUM(G83:R83)</f>
        <v>357604</v>
      </c>
      <c r="U83" s="8">
        <v>62809</v>
      </c>
      <c r="X83" s="8">
        <f>+'St of Net Assets - GA'!O72-'LT _Lia - GA'!U83</f>
        <v>0</v>
      </c>
    </row>
    <row r="84" spans="1:24">
      <c r="A84" s="13" t="s">
        <v>393</v>
      </c>
      <c r="B84" s="13"/>
      <c r="C84" s="13" t="s">
        <v>31</v>
      </c>
      <c r="D84" s="13"/>
      <c r="E84" s="32">
        <v>43695</v>
      </c>
      <c r="G84" s="8">
        <v>6541021</v>
      </c>
      <c r="I84" s="8">
        <v>0</v>
      </c>
      <c r="K84" s="8">
        <v>0</v>
      </c>
      <c r="M84" s="8">
        <v>0</v>
      </c>
      <c r="O84" s="8">
        <v>1282230</v>
      </c>
      <c r="Q84" s="8">
        <v>0</v>
      </c>
      <c r="S84" s="9">
        <f t="shared" si="2"/>
        <v>7823251</v>
      </c>
      <c r="U84" s="8">
        <v>419231</v>
      </c>
      <c r="X84" s="8">
        <f>+'St of Net Assets - GA'!O73-'LT _Lia - GA'!U84</f>
        <v>0</v>
      </c>
    </row>
    <row r="85" spans="1:24" hidden="1">
      <c r="A85" s="13" t="s">
        <v>516</v>
      </c>
      <c r="B85" s="13"/>
      <c r="C85" s="13" t="s">
        <v>45</v>
      </c>
      <c r="D85" s="13"/>
      <c r="E85" s="32">
        <v>43703</v>
      </c>
      <c r="I85" s="8">
        <v>0</v>
      </c>
      <c r="K85" s="8">
        <v>0</v>
      </c>
      <c r="M85" s="8">
        <v>0</v>
      </c>
      <c r="O85" s="8">
        <v>0</v>
      </c>
      <c r="Q85" s="8">
        <v>0</v>
      </c>
      <c r="S85" s="9">
        <f t="shared" si="2"/>
        <v>0</v>
      </c>
      <c r="U85" s="8">
        <v>0</v>
      </c>
      <c r="X85" s="8" t="e">
        <f>+'St of Net Assets - GA'!#REF!-'LT _Lia - GA'!U85</f>
        <v>#REF!</v>
      </c>
    </row>
    <row r="86" spans="1:24">
      <c r="A86" s="13" t="s">
        <v>357</v>
      </c>
      <c r="B86" s="13"/>
      <c r="C86" s="13" t="s">
        <v>27</v>
      </c>
      <c r="D86" s="13"/>
      <c r="E86" s="32">
        <v>46946</v>
      </c>
      <c r="G86" s="8">
        <f>61643432+5637806-2078050</f>
        <v>65203188</v>
      </c>
      <c r="I86" s="8">
        <v>0</v>
      </c>
      <c r="K86" s="8">
        <v>3220000</v>
      </c>
      <c r="M86" s="8">
        <f>1203267+151284</f>
        <v>1354551</v>
      </c>
      <c r="O86" s="8">
        <v>569029</v>
      </c>
      <c r="Q86" s="8">
        <v>0</v>
      </c>
      <c r="S86" s="9">
        <f t="shared" si="2"/>
        <v>70346768</v>
      </c>
      <c r="U86" s="8">
        <v>4338153</v>
      </c>
      <c r="X86" s="8">
        <f>+'St of Net Assets - GA'!O74-'LT _Lia - GA'!U86</f>
        <v>0</v>
      </c>
    </row>
    <row r="87" spans="1:24">
      <c r="A87" s="13" t="s">
        <v>517</v>
      </c>
      <c r="B87" s="13"/>
      <c r="C87" s="13" t="s">
        <v>45</v>
      </c>
      <c r="D87" s="13"/>
      <c r="E87" s="32">
        <v>48314</v>
      </c>
      <c r="G87" s="8">
        <f>144000+96600+200000</f>
        <v>440600</v>
      </c>
      <c r="I87" s="8">
        <v>397062</v>
      </c>
      <c r="K87" s="8">
        <v>5860000</v>
      </c>
      <c r="M87" s="8">
        <v>0</v>
      </c>
      <c r="O87" s="8">
        <v>2624702</v>
      </c>
      <c r="Q87" s="8">
        <v>0</v>
      </c>
      <c r="S87" s="9">
        <f t="shared" si="2"/>
        <v>9322364</v>
      </c>
      <c r="U87" s="8">
        <v>268561</v>
      </c>
      <c r="X87" s="8">
        <f>+'St of Net Assets - GA'!O75-'LT _Lia - GA'!U87</f>
        <v>0</v>
      </c>
    </row>
    <row r="88" spans="1:24">
      <c r="A88" s="13" t="s">
        <v>655</v>
      </c>
      <c r="B88" s="13"/>
      <c r="C88" s="13" t="s">
        <v>62</v>
      </c>
      <c r="D88" s="13"/>
      <c r="E88" s="32">
        <v>43711</v>
      </c>
      <c r="G88" s="8">
        <v>0</v>
      </c>
      <c r="I88" s="8">
        <v>0</v>
      </c>
      <c r="K88" s="8">
        <f>850000+90000</f>
        <v>940000</v>
      </c>
      <c r="M88" s="8">
        <v>855079</v>
      </c>
      <c r="O88" s="8">
        <f>2409010+13256</f>
        <v>2422266</v>
      </c>
      <c r="Q88" s="8">
        <v>0</v>
      </c>
      <c r="S88" s="9">
        <f t="shared" si="2"/>
        <v>4217345</v>
      </c>
      <c r="U88" s="8">
        <v>737734</v>
      </c>
      <c r="X88" s="8">
        <f>+'St of Net Assets - GA'!O76-'LT _Lia - GA'!U88</f>
        <v>0</v>
      </c>
    </row>
    <row r="89" spans="1:24">
      <c r="A89" s="13" t="s">
        <v>654</v>
      </c>
      <c r="B89" s="13"/>
      <c r="C89" s="13" t="s">
        <v>62</v>
      </c>
      <c r="D89" s="13"/>
      <c r="E89" s="32">
        <v>49833</v>
      </c>
      <c r="G89" s="8">
        <f>45061+2274-1911</f>
        <v>45424</v>
      </c>
      <c r="I89" s="8">
        <v>0</v>
      </c>
      <c r="K89" s="8">
        <v>4740</v>
      </c>
      <c r="M89" s="8">
        <v>722</v>
      </c>
      <c r="O89" s="8">
        <f>4714</f>
        <v>4714</v>
      </c>
      <c r="Q89" s="8">
        <v>6756</v>
      </c>
      <c r="S89" s="9">
        <f t="shared" si="2"/>
        <v>62356</v>
      </c>
      <c r="U89" s="8">
        <v>3959</v>
      </c>
      <c r="X89" s="8">
        <f>+'St of Net Assets - GA'!O77-'LT _Lia - GA'!U89</f>
        <v>0</v>
      </c>
    </row>
    <row r="90" spans="1:24">
      <c r="A90" s="13" t="s">
        <v>382</v>
      </c>
      <c r="B90" s="13"/>
      <c r="C90" s="13" t="s">
        <v>30</v>
      </c>
      <c r="D90" s="13"/>
      <c r="E90" s="32">
        <v>47175</v>
      </c>
      <c r="G90" s="8">
        <v>10958335</v>
      </c>
      <c r="I90" s="8">
        <v>0</v>
      </c>
      <c r="K90" s="8">
        <v>0</v>
      </c>
      <c r="M90" s="8">
        <v>0</v>
      </c>
      <c r="O90" s="8">
        <v>979910</v>
      </c>
      <c r="Q90" s="8">
        <v>0</v>
      </c>
      <c r="S90" s="9">
        <f t="shared" si="2"/>
        <v>11938245</v>
      </c>
      <c r="U90" s="8">
        <v>835370</v>
      </c>
      <c r="X90" s="8">
        <f>+'St of Net Assets - GA'!O78-'LT _Lia - GA'!U90</f>
        <v>0</v>
      </c>
    </row>
    <row r="91" spans="1:24">
      <c r="A91" s="13" t="s">
        <v>568</v>
      </c>
      <c r="B91" s="13"/>
      <c r="C91" s="13" t="s">
        <v>78</v>
      </c>
      <c r="D91" s="13"/>
      <c r="E91" s="32">
        <v>48793</v>
      </c>
      <c r="G91" s="8">
        <v>5326445</v>
      </c>
      <c r="I91" s="8">
        <v>0</v>
      </c>
      <c r="K91" s="8">
        <v>0</v>
      </c>
      <c r="M91" s="8">
        <v>0</v>
      </c>
      <c r="O91" s="8">
        <v>585943</v>
      </c>
      <c r="Q91" s="8">
        <v>0</v>
      </c>
      <c r="S91" s="9">
        <f>SUM(G91:R91)</f>
        <v>5912388</v>
      </c>
      <c r="U91" s="8">
        <v>350305</v>
      </c>
      <c r="X91" s="8">
        <f>+'St of Net Assets - GA'!O79-'LT _Lia - GA'!U91</f>
        <v>0</v>
      </c>
    </row>
    <row r="92" spans="1:24" hidden="1"/>
    <row r="93" spans="1:24" hidden="1">
      <c r="A93" s="13" t="s">
        <v>746</v>
      </c>
      <c r="B93" s="13"/>
      <c r="C93" s="13" t="s">
        <v>747</v>
      </c>
      <c r="D93" s="13"/>
      <c r="E93" s="32">
        <v>45260</v>
      </c>
      <c r="G93" s="8">
        <v>0</v>
      </c>
      <c r="I93" s="8">
        <v>0</v>
      </c>
      <c r="K93" s="8">
        <v>0</v>
      </c>
      <c r="M93" s="8">
        <v>0</v>
      </c>
      <c r="O93" s="8">
        <v>0</v>
      </c>
      <c r="Q93" s="8">
        <v>0</v>
      </c>
      <c r="S93" s="9">
        <f t="shared" si="2"/>
        <v>0</v>
      </c>
      <c r="U93" s="8">
        <v>0</v>
      </c>
      <c r="X93" s="8" t="e">
        <f>+'St of Net Assets - GA'!#REF!-'LT _Lia - GA'!U93</f>
        <v>#REF!</v>
      </c>
    </row>
    <row r="94" spans="1:24">
      <c r="A94" s="13" t="s">
        <v>713</v>
      </c>
      <c r="B94" s="13"/>
      <c r="C94" s="13" t="s">
        <v>69</v>
      </c>
      <c r="D94" s="13"/>
      <c r="E94" s="32">
        <v>50419</v>
      </c>
      <c r="G94" s="8">
        <v>388547</v>
      </c>
      <c r="I94" s="8">
        <v>0</v>
      </c>
      <c r="K94" s="8">
        <v>0</v>
      </c>
      <c r="M94" s="8">
        <v>206984</v>
      </c>
      <c r="O94" s="8">
        <v>783363</v>
      </c>
      <c r="Q94" s="8">
        <v>0</v>
      </c>
      <c r="S94" s="9">
        <f t="shared" si="2"/>
        <v>1378894</v>
      </c>
      <c r="U94" s="8">
        <v>282666</v>
      </c>
      <c r="X94" s="8">
        <f>+'St of Net Assets - GA'!O80-'LT _Lia - GA'!U94</f>
        <v>0</v>
      </c>
    </row>
    <row r="95" spans="1:24">
      <c r="A95" s="13" t="s">
        <v>257</v>
      </c>
      <c r="B95" s="13"/>
      <c r="C95" s="13" t="s">
        <v>16</v>
      </c>
      <c r="D95" s="13"/>
      <c r="E95" s="13">
        <v>45278</v>
      </c>
      <c r="G95" s="8">
        <v>0</v>
      </c>
      <c r="I95" s="8">
        <v>0</v>
      </c>
      <c r="K95" s="8">
        <v>0</v>
      </c>
      <c r="M95" s="8">
        <v>87528</v>
      </c>
      <c r="O95" s="8">
        <v>1530387</v>
      </c>
      <c r="Q95" s="8">
        <v>0</v>
      </c>
      <c r="S95" s="9">
        <f t="shared" si="2"/>
        <v>1617915</v>
      </c>
      <c r="U95" s="8">
        <v>197342</v>
      </c>
      <c r="X95" s="8">
        <f>+'St of Net Assets - GA'!O81-'LT _Lia - GA'!U95</f>
        <v>0</v>
      </c>
    </row>
    <row r="96" spans="1:24">
      <c r="A96" s="13" t="s">
        <v>389</v>
      </c>
      <c r="B96" s="13"/>
      <c r="C96" s="13" t="s">
        <v>117</v>
      </c>
      <c r="D96" s="13"/>
      <c r="E96" s="32">
        <v>47258</v>
      </c>
      <c r="G96" s="8">
        <v>0</v>
      </c>
      <c r="I96" s="8">
        <v>0</v>
      </c>
      <c r="K96" s="8">
        <v>0</v>
      </c>
      <c r="M96" s="8">
        <v>0</v>
      </c>
      <c r="O96" s="8">
        <v>356603</v>
      </c>
      <c r="Q96" s="8">
        <v>0</v>
      </c>
      <c r="S96" s="9">
        <f t="shared" si="2"/>
        <v>356603</v>
      </c>
      <c r="U96" s="8">
        <v>28742</v>
      </c>
      <c r="X96" s="8">
        <f>+'St of Net Assets - GA'!O82-'LT _Lia - GA'!U96</f>
        <v>0</v>
      </c>
    </row>
    <row r="97" spans="1:24" hidden="1">
      <c r="A97" s="13" t="s">
        <v>539</v>
      </c>
      <c r="B97" s="13"/>
      <c r="C97" s="13" t="s">
        <v>540</v>
      </c>
      <c r="D97" s="13"/>
      <c r="E97" s="32">
        <v>43729</v>
      </c>
      <c r="G97" s="8">
        <v>0</v>
      </c>
      <c r="I97" s="8">
        <v>0</v>
      </c>
      <c r="K97" s="8">
        <v>0</v>
      </c>
      <c r="M97" s="8">
        <v>0</v>
      </c>
      <c r="O97" s="8">
        <v>0</v>
      </c>
      <c r="Q97" s="8">
        <v>0</v>
      </c>
      <c r="S97" s="9">
        <f t="shared" si="2"/>
        <v>0</v>
      </c>
      <c r="U97" s="8">
        <v>0</v>
      </c>
      <c r="X97" s="8" t="e">
        <f>+'St of Net Assets - GA'!#REF!-'LT _Lia - GA'!U97</f>
        <v>#REF!</v>
      </c>
    </row>
    <row r="98" spans="1:24">
      <c r="A98" s="13" t="s">
        <v>459</v>
      </c>
      <c r="B98" s="13"/>
      <c r="C98" s="13" t="s">
        <v>40</v>
      </c>
      <c r="D98" s="13"/>
      <c r="E98" s="13">
        <v>47829</v>
      </c>
      <c r="G98" s="8">
        <v>5638164</v>
      </c>
      <c r="I98" s="8">
        <v>0</v>
      </c>
      <c r="K98" s="8">
        <v>0</v>
      </c>
      <c r="M98" s="8">
        <v>0</v>
      </c>
      <c r="O98" s="8">
        <v>489892</v>
      </c>
      <c r="Q98" s="8">
        <v>0</v>
      </c>
      <c r="S98" s="9">
        <f t="shared" si="2"/>
        <v>6128056</v>
      </c>
      <c r="U98" s="8">
        <v>279806</v>
      </c>
      <c r="X98" s="8">
        <f>+'St of Net Assets - GA'!O83-'LT _Lia - GA'!U98</f>
        <v>0</v>
      </c>
    </row>
    <row r="99" spans="1:24">
      <c r="A99" s="13" t="s">
        <v>553</v>
      </c>
      <c r="B99" s="13"/>
      <c r="C99" s="13" t="s">
        <v>50</v>
      </c>
      <c r="D99" s="13"/>
      <c r="E99" s="32">
        <v>43737</v>
      </c>
      <c r="G99" s="8">
        <v>73344412</v>
      </c>
      <c r="I99" s="8">
        <v>0</v>
      </c>
      <c r="K99" s="8">
        <v>0</v>
      </c>
      <c r="M99" s="8">
        <v>0</v>
      </c>
      <c r="O99" s="8">
        <v>3537917</v>
      </c>
      <c r="Q99" s="8">
        <v>0</v>
      </c>
      <c r="S99" s="9">
        <f t="shared" si="2"/>
        <v>76882329</v>
      </c>
      <c r="U99" s="8">
        <v>3682159</v>
      </c>
      <c r="X99" s="8">
        <f>+'St of Net Assets - GA'!O84-'LT _Lia - GA'!U99</f>
        <v>0</v>
      </c>
    </row>
    <row r="100" spans="1:24">
      <c r="A100" s="13" t="s">
        <v>807</v>
      </c>
      <c r="B100" s="13"/>
      <c r="C100" s="13" t="s">
        <v>22</v>
      </c>
      <c r="D100" s="13"/>
      <c r="E100" s="32">
        <v>46714</v>
      </c>
      <c r="G100" s="8">
        <v>3129456</v>
      </c>
      <c r="I100" s="8">
        <v>0</v>
      </c>
      <c r="K100" s="8">
        <v>0</v>
      </c>
      <c r="M100" s="8">
        <v>0</v>
      </c>
      <c r="O100" s="8">
        <v>0</v>
      </c>
      <c r="Q100" s="8">
        <v>0</v>
      </c>
      <c r="S100" s="9">
        <f t="shared" si="2"/>
        <v>3129456</v>
      </c>
      <c r="U100" s="8">
        <v>95000</v>
      </c>
      <c r="X100" s="8">
        <f>+'St of Net Assets - GA'!O85-'LT _Lia - GA'!U100</f>
        <v>0</v>
      </c>
    </row>
    <row r="101" spans="1:24">
      <c r="A101" s="13" t="s">
        <v>306</v>
      </c>
      <c r="B101" s="13"/>
      <c r="C101" s="13" t="s">
        <v>20</v>
      </c>
      <c r="D101" s="13"/>
      <c r="E101" s="32">
        <v>45286</v>
      </c>
      <c r="G101" s="8">
        <v>29400031</v>
      </c>
      <c r="I101" s="8">
        <v>0</v>
      </c>
      <c r="K101" s="8">
        <v>0</v>
      </c>
      <c r="M101" s="8">
        <v>0</v>
      </c>
      <c r="O101" s="8">
        <v>1065621</v>
      </c>
      <c r="Q101" s="8">
        <v>0</v>
      </c>
      <c r="S101" s="9">
        <f t="shared" si="2"/>
        <v>30465652</v>
      </c>
      <c r="U101" s="8">
        <v>1620968</v>
      </c>
      <c r="X101" s="8">
        <f>+'St of Net Assets - GA'!O86-'LT _Lia - GA'!U101</f>
        <v>0</v>
      </c>
    </row>
    <row r="102" spans="1:24">
      <c r="A102" s="13" t="s">
        <v>683</v>
      </c>
      <c r="B102" s="13"/>
      <c r="C102" s="13" t="s">
        <v>64</v>
      </c>
      <c r="D102" s="13"/>
      <c r="E102" s="32">
        <v>50138</v>
      </c>
      <c r="G102" s="8">
        <v>0</v>
      </c>
      <c r="I102" s="8">
        <v>0</v>
      </c>
      <c r="K102" s="8">
        <v>121187</v>
      </c>
      <c r="M102" s="8">
        <v>1228162</v>
      </c>
      <c r="O102" s="8">
        <v>842873</v>
      </c>
      <c r="Q102" s="8">
        <v>0</v>
      </c>
      <c r="S102" s="9">
        <f t="shared" si="2"/>
        <v>2192222</v>
      </c>
      <c r="U102" s="8">
        <v>277660</v>
      </c>
      <c r="X102" s="8">
        <f>+'St of Net Assets - GA'!O87-'LT _Lia - GA'!U102</f>
        <v>0</v>
      </c>
    </row>
    <row r="103" spans="1:24">
      <c r="A103" s="13" t="s">
        <v>383</v>
      </c>
      <c r="B103" s="13"/>
      <c r="C103" s="13" t="s">
        <v>30</v>
      </c>
      <c r="D103" s="13"/>
      <c r="E103" s="32">
        <v>47183</v>
      </c>
      <c r="G103" s="8">
        <v>0</v>
      </c>
      <c r="I103" s="8">
        <v>0</v>
      </c>
      <c r="K103" s="8">
        <v>0</v>
      </c>
      <c r="M103" s="8">
        <v>5678</v>
      </c>
      <c r="O103" s="8">
        <v>1682264</v>
      </c>
      <c r="Q103" s="8">
        <v>0</v>
      </c>
      <c r="S103" s="9">
        <f t="shared" si="2"/>
        <v>1687942</v>
      </c>
      <c r="U103" s="8">
        <v>111360</v>
      </c>
      <c r="X103" s="8">
        <f>+'St of Net Assets - GA'!O88-'LT _Lia - GA'!U103</f>
        <v>0</v>
      </c>
    </row>
    <row r="104" spans="1:24">
      <c r="A104" s="13" t="s">
        <v>470</v>
      </c>
      <c r="B104" s="13"/>
      <c r="C104" s="13" t="s">
        <v>471</v>
      </c>
      <c r="D104" s="13"/>
      <c r="E104" s="32">
        <v>45294</v>
      </c>
      <c r="G104" s="8">
        <v>2373612</v>
      </c>
      <c r="I104" s="8">
        <v>0</v>
      </c>
      <c r="K104" s="8">
        <v>0</v>
      </c>
      <c r="M104" s="8">
        <v>0</v>
      </c>
      <c r="O104" s="8">
        <v>553960</v>
      </c>
      <c r="Q104" s="8">
        <v>0</v>
      </c>
      <c r="S104" s="9">
        <f t="shared" si="2"/>
        <v>2927572</v>
      </c>
      <c r="U104" s="8">
        <v>326159</v>
      </c>
      <c r="X104" s="8">
        <f>+'St of Net Assets - GA'!O89-'LT _Lia - GA'!U104</f>
        <v>0</v>
      </c>
    </row>
    <row r="105" spans="1:24">
      <c r="A105" s="13" t="s">
        <v>622</v>
      </c>
      <c r="B105" s="13"/>
      <c r="C105" s="13" t="s">
        <v>58</v>
      </c>
      <c r="D105" s="13"/>
      <c r="E105" s="32">
        <v>43745</v>
      </c>
      <c r="G105" s="8">
        <v>34458413</v>
      </c>
      <c r="I105" s="8">
        <v>0</v>
      </c>
      <c r="K105" s="8">
        <v>985000</v>
      </c>
      <c r="M105" s="8">
        <v>0</v>
      </c>
      <c r="O105" s="8">
        <v>1689099</v>
      </c>
      <c r="Q105" s="8">
        <v>0</v>
      </c>
      <c r="S105" s="9">
        <f t="shared" si="2"/>
        <v>37132512</v>
      </c>
      <c r="U105" s="8">
        <v>1289942</v>
      </c>
      <c r="X105" s="8">
        <f>+'St of Net Assets - GA'!O90-'LT _Lia - GA'!U105</f>
        <v>0</v>
      </c>
    </row>
    <row r="106" spans="1:24">
      <c r="A106" s="13" t="s">
        <v>727</v>
      </c>
      <c r="B106" s="13"/>
      <c r="C106" s="13" t="s">
        <v>71</v>
      </c>
      <c r="D106" s="13"/>
      <c r="E106" s="32"/>
      <c r="G106" s="8">
        <v>0</v>
      </c>
      <c r="I106" s="8">
        <v>0</v>
      </c>
      <c r="K106" s="8">
        <v>0</v>
      </c>
      <c r="M106" s="8">
        <v>0</v>
      </c>
      <c r="O106" s="8">
        <v>504525</v>
      </c>
      <c r="Q106" s="8">
        <v>0</v>
      </c>
      <c r="S106" s="9">
        <f>SUM(G106:R106)</f>
        <v>504525</v>
      </c>
      <c r="U106" s="8">
        <v>46340</v>
      </c>
      <c r="X106" s="8">
        <f>+'St of Net Assets - GA'!O91-'LT _Lia - GA'!U106</f>
        <v>0</v>
      </c>
    </row>
    <row r="107" spans="1:24">
      <c r="A107" s="13" t="s">
        <v>396</v>
      </c>
      <c r="B107" s="13"/>
      <c r="C107" s="13" t="s">
        <v>32</v>
      </c>
      <c r="D107" s="13"/>
      <c r="E107" s="32"/>
      <c r="G107" s="8">
        <v>651203169</v>
      </c>
      <c r="I107" s="8">
        <v>0</v>
      </c>
      <c r="K107" s="8">
        <v>0</v>
      </c>
      <c r="M107" s="8">
        <v>125367234</v>
      </c>
      <c r="O107" s="8">
        <v>51726099</v>
      </c>
      <c r="Q107" s="8">
        <v>0</v>
      </c>
      <c r="S107" s="9">
        <f t="shared" si="2"/>
        <v>828296502</v>
      </c>
      <c r="U107" s="8">
        <v>30404108</v>
      </c>
      <c r="X107" s="8">
        <f>+'St of Net Assets - GA'!O92-'LT _Lia - GA'!U107</f>
        <v>0</v>
      </c>
    </row>
    <row r="108" spans="1:24">
      <c r="A108" s="13" t="s">
        <v>588</v>
      </c>
      <c r="B108" s="13"/>
      <c r="C108" s="13" t="s">
        <v>54</v>
      </c>
      <c r="D108" s="13"/>
      <c r="E108" s="32">
        <v>43760</v>
      </c>
      <c r="G108" s="8">
        <v>0</v>
      </c>
      <c r="I108" s="8">
        <v>0</v>
      </c>
      <c r="K108" s="8">
        <v>352555</v>
      </c>
      <c r="M108" s="8">
        <v>0</v>
      </c>
      <c r="O108" s="8">
        <f>680043+1486305</f>
        <v>2166348</v>
      </c>
      <c r="Q108" s="8">
        <v>0</v>
      </c>
      <c r="S108" s="9">
        <f t="shared" si="2"/>
        <v>2518903</v>
      </c>
      <c r="U108" s="8">
        <v>578502</v>
      </c>
      <c r="X108" s="8">
        <f>+'St of Net Assets - GA'!O93-'LT _Lia - GA'!U108</f>
        <v>0</v>
      </c>
    </row>
    <row r="109" spans="1:24">
      <c r="A109" s="13" t="s">
        <v>264</v>
      </c>
      <c r="B109" s="13"/>
      <c r="C109" s="13" t="s">
        <v>17</v>
      </c>
      <c r="D109" s="13"/>
      <c r="E109" s="32">
        <v>46284</v>
      </c>
      <c r="G109" s="8">
        <v>0</v>
      </c>
      <c r="I109" s="8">
        <v>0</v>
      </c>
      <c r="K109" s="8">
        <v>0</v>
      </c>
      <c r="M109" s="8">
        <v>93556</v>
      </c>
      <c r="O109" s="8">
        <v>1447950</v>
      </c>
      <c r="Q109" s="8">
        <v>0</v>
      </c>
      <c r="S109" s="9">
        <f t="shared" si="2"/>
        <v>1541506</v>
      </c>
      <c r="U109" s="8">
        <v>115779</v>
      </c>
      <c r="X109" s="8">
        <f>+'St of Net Assets - GA'!O94-'LT _Lia - GA'!U109</f>
        <v>0</v>
      </c>
    </row>
    <row r="110" spans="1:24">
      <c r="A110" s="13" t="s">
        <v>632</v>
      </c>
      <c r="B110" s="13"/>
      <c r="C110" s="13" t="s">
        <v>59</v>
      </c>
      <c r="D110" s="13"/>
      <c r="E110" s="32">
        <v>49601</v>
      </c>
      <c r="G110" s="8">
        <v>0</v>
      </c>
      <c r="I110" s="8">
        <v>0</v>
      </c>
      <c r="K110" s="8">
        <v>105000</v>
      </c>
      <c r="M110" s="8">
        <v>179000</v>
      </c>
      <c r="O110" s="8">
        <v>388382</v>
      </c>
      <c r="Q110" s="8">
        <v>0</v>
      </c>
      <c r="S110" s="9">
        <f t="shared" si="2"/>
        <v>672382</v>
      </c>
      <c r="U110" s="8">
        <v>187418</v>
      </c>
      <c r="X110" s="8">
        <f>+'St of Net Assets - GA'!O95-'LT _Lia - GA'!U110</f>
        <v>0</v>
      </c>
    </row>
    <row r="111" spans="1:24">
      <c r="A111" s="13" t="s">
        <v>699</v>
      </c>
      <c r="B111" s="13"/>
      <c r="C111" s="13" t="s">
        <v>65</v>
      </c>
      <c r="D111" s="13"/>
      <c r="E111" s="32">
        <v>43778</v>
      </c>
      <c r="G111" s="8">
        <f>3863717+530079-361970</f>
        <v>4031826</v>
      </c>
      <c r="I111" s="8">
        <v>0</v>
      </c>
      <c r="K111" s="8">
        <v>0</v>
      </c>
      <c r="M111" s="8">
        <v>134307</v>
      </c>
      <c r="O111" s="8">
        <v>1135779</v>
      </c>
      <c r="Q111" s="8">
        <v>0</v>
      </c>
      <c r="S111" s="9">
        <f t="shared" si="2"/>
        <v>5301912</v>
      </c>
      <c r="U111" s="8">
        <v>517789</v>
      </c>
      <c r="X111" s="8">
        <f>+'St of Net Assets - GA'!O96-'LT _Lia - GA'!U111</f>
        <v>0</v>
      </c>
    </row>
    <row r="112" spans="1:24">
      <c r="A112" s="13" t="s">
        <v>614</v>
      </c>
      <c r="B112" s="13"/>
      <c r="C112" s="13" t="s">
        <v>113</v>
      </c>
      <c r="D112" s="13"/>
      <c r="E112" s="32">
        <v>49411</v>
      </c>
      <c r="G112" s="8">
        <v>7191862</v>
      </c>
      <c r="I112" s="8">
        <v>0</v>
      </c>
      <c r="K112" s="8">
        <v>0</v>
      </c>
      <c r="M112" s="8">
        <v>0</v>
      </c>
      <c r="O112" s="8">
        <v>597743</v>
      </c>
      <c r="Q112" s="8">
        <f>-395600+503052</f>
        <v>107452</v>
      </c>
      <c r="S112" s="9">
        <f t="shared" si="2"/>
        <v>7897057</v>
      </c>
      <c r="U112" s="8">
        <v>358297</v>
      </c>
      <c r="X112" s="8">
        <f>+'St of Net Assets - GA'!O97-'LT _Lia - GA'!U112</f>
        <v>0</v>
      </c>
    </row>
    <row r="113" spans="1:28">
      <c r="A113" s="13" t="s">
        <v>491</v>
      </c>
      <c r="B113" s="13"/>
      <c r="C113" s="13" t="s">
        <v>44</v>
      </c>
      <c r="D113" s="13"/>
      <c r="E113" s="32">
        <v>48132</v>
      </c>
      <c r="G113" s="8">
        <v>4925000</v>
      </c>
      <c r="I113" s="8">
        <v>0</v>
      </c>
      <c r="K113" s="8">
        <v>0</v>
      </c>
      <c r="M113" s="8">
        <v>243103</v>
      </c>
      <c r="O113" s="8">
        <v>1000622</v>
      </c>
      <c r="Q113" s="8">
        <v>0</v>
      </c>
      <c r="S113" s="9">
        <f t="shared" si="2"/>
        <v>6168725</v>
      </c>
      <c r="U113" s="8">
        <v>277224</v>
      </c>
      <c r="X113" s="8">
        <f>+'St of Net Assets - GA'!O98-'LT _Lia - GA'!U113</f>
        <v>0</v>
      </c>
    </row>
    <row r="114" spans="1:28">
      <c r="A114" s="13" t="s">
        <v>973</v>
      </c>
      <c r="B114" s="13"/>
      <c r="C114" s="13" t="s">
        <v>116</v>
      </c>
      <c r="D114" s="13"/>
      <c r="E114" s="32">
        <v>48132</v>
      </c>
      <c r="G114" s="8">
        <v>2130000</v>
      </c>
      <c r="I114" s="8">
        <v>0</v>
      </c>
      <c r="K114" s="8">
        <v>0</v>
      </c>
      <c r="M114" s="8">
        <v>0</v>
      </c>
      <c r="O114" s="8">
        <v>1224895</v>
      </c>
      <c r="Q114" s="8">
        <v>0</v>
      </c>
      <c r="S114" s="9">
        <f>SUM(G114:R114)</f>
        <v>3354895</v>
      </c>
      <c r="U114" s="8">
        <v>796352</v>
      </c>
      <c r="X114" s="8">
        <f>+'St of Net Assets - GA'!O99-'LT _Lia - GA'!U114</f>
        <v>0</v>
      </c>
    </row>
    <row r="115" spans="1:28">
      <c r="A115" s="13" t="s">
        <v>307</v>
      </c>
      <c r="B115" s="13"/>
      <c r="C115" s="13" t="s">
        <v>20</v>
      </c>
      <c r="D115" s="13"/>
      <c r="E115" s="32">
        <v>43794</v>
      </c>
      <c r="G115" s="8">
        <f>140000+3650000+8219871+5500000</f>
        <v>17509871</v>
      </c>
      <c r="I115" s="8">
        <v>0</v>
      </c>
      <c r="K115" s="8">
        <v>0</v>
      </c>
      <c r="M115" s="8">
        <v>750571</v>
      </c>
      <c r="O115" s="8">
        <v>6101097</v>
      </c>
      <c r="Q115" s="8">
        <v>0</v>
      </c>
      <c r="S115" s="9">
        <f t="shared" si="2"/>
        <v>24361539</v>
      </c>
      <c r="U115" s="8">
        <v>1575346</v>
      </c>
      <c r="X115" s="8">
        <f>+'St of Net Assets - GA'!O100-'LT _Lia - GA'!U115</f>
        <v>0</v>
      </c>
    </row>
    <row r="116" spans="1:28">
      <c r="A116" s="13" t="s">
        <v>308</v>
      </c>
      <c r="B116" s="13"/>
      <c r="C116" s="13" t="s">
        <v>20</v>
      </c>
      <c r="D116" s="13"/>
      <c r="E116" s="32">
        <v>43786</v>
      </c>
      <c r="G116" s="8">
        <f>176744775+21250000</f>
        <v>197994775</v>
      </c>
      <c r="I116" s="8">
        <v>0</v>
      </c>
      <c r="K116" s="8">
        <v>0</v>
      </c>
      <c r="M116" s="8">
        <v>2862062</v>
      </c>
      <c r="O116" s="8">
        <v>49332904</v>
      </c>
      <c r="Q116" s="8">
        <v>16435755</v>
      </c>
      <c r="S116" s="9">
        <f t="shared" si="2"/>
        <v>266625496</v>
      </c>
      <c r="U116" s="8">
        <v>21385452</v>
      </c>
      <c r="X116" s="8">
        <f>+'St of Net Assets - GA'!O101-'LT _Lia - GA'!U116</f>
        <v>0</v>
      </c>
    </row>
    <row r="117" spans="1:28">
      <c r="A117" s="13" t="s">
        <v>279</v>
      </c>
      <c r="B117" s="13"/>
      <c r="C117" s="13" t="s">
        <v>18</v>
      </c>
      <c r="D117" s="13"/>
      <c r="E117" s="32">
        <v>46391</v>
      </c>
      <c r="G117" s="8">
        <f>369072+8350000</f>
        <v>8719072</v>
      </c>
      <c r="I117" s="8">
        <v>0</v>
      </c>
      <c r="K117" s="8">
        <v>6539000</v>
      </c>
      <c r="M117" s="8">
        <v>0</v>
      </c>
      <c r="O117" s="8">
        <v>535256</v>
      </c>
      <c r="Q117" s="8">
        <v>0</v>
      </c>
      <c r="S117" s="9">
        <f t="shared" si="2"/>
        <v>15793328</v>
      </c>
      <c r="U117" s="8">
        <v>6981197</v>
      </c>
      <c r="X117" s="8">
        <f>+'St of Net Assets - GA'!O102-'LT _Lia - GA'!U117</f>
        <v>0</v>
      </c>
    </row>
    <row r="118" spans="1:28">
      <c r="A118" s="13" t="s">
        <v>533</v>
      </c>
      <c r="B118" s="13"/>
      <c r="C118" s="13" t="s">
        <v>47</v>
      </c>
      <c r="D118" s="13"/>
      <c r="E118" s="32">
        <v>48488</v>
      </c>
      <c r="G118" s="8">
        <v>0</v>
      </c>
      <c r="I118" s="8">
        <v>0</v>
      </c>
      <c r="K118" s="8">
        <v>0</v>
      </c>
      <c r="M118" s="8">
        <v>0</v>
      </c>
      <c r="O118" s="8">
        <v>2980516</v>
      </c>
      <c r="Q118" s="8">
        <v>0</v>
      </c>
      <c r="S118" s="9">
        <f t="shared" si="2"/>
        <v>2980516</v>
      </c>
      <c r="U118" s="8">
        <v>330672</v>
      </c>
      <c r="X118" s="8">
        <f>+'St of Net Assets - GA'!O103-'LT _Lia - GA'!U118</f>
        <v>0</v>
      </c>
    </row>
    <row r="119" spans="1:28">
      <c r="A119" s="13" t="s">
        <v>627</v>
      </c>
      <c r="B119" s="13"/>
      <c r="C119" s="13" t="s">
        <v>79</v>
      </c>
      <c r="D119" s="13"/>
      <c r="E119" s="32">
        <v>45302</v>
      </c>
      <c r="G119" s="8">
        <f>25697019+1159928-217052</f>
        <v>26639895</v>
      </c>
      <c r="I119" s="8">
        <v>0</v>
      </c>
      <c r="K119" s="8">
        <v>0</v>
      </c>
      <c r="M119" s="8">
        <v>129028</v>
      </c>
      <c r="O119" s="8">
        <v>1830904</v>
      </c>
      <c r="Q119" s="8">
        <v>0</v>
      </c>
      <c r="S119" s="9">
        <f t="shared" si="2"/>
        <v>28599827</v>
      </c>
      <c r="U119" s="8">
        <v>510589</v>
      </c>
      <c r="X119" s="8">
        <f>+'St of Net Assets - GA'!O104-'LT _Lia - GA'!U119</f>
        <v>0</v>
      </c>
    </row>
    <row r="120" spans="1:28">
      <c r="A120" s="13" t="s">
        <v>296</v>
      </c>
      <c r="B120" s="13"/>
      <c r="C120" s="13" t="s">
        <v>114</v>
      </c>
      <c r="D120" s="13"/>
      <c r="E120" s="32">
        <v>46516</v>
      </c>
      <c r="G120" s="8">
        <v>14025713</v>
      </c>
      <c r="I120" s="8">
        <v>0</v>
      </c>
      <c r="K120" s="8">
        <v>0</v>
      </c>
      <c r="M120" s="8">
        <v>0</v>
      </c>
      <c r="O120" s="8">
        <v>0</v>
      </c>
      <c r="Q120" s="8">
        <v>520696</v>
      </c>
      <c r="S120" s="9">
        <f t="shared" si="2"/>
        <v>14546409</v>
      </c>
      <c r="U120" s="8">
        <v>481632</v>
      </c>
      <c r="X120" s="8">
        <f>+'St of Net Assets - GA'!O105-'LT _Lia - GA'!U120</f>
        <v>0</v>
      </c>
      <c r="AB120" s="8" t="s">
        <v>771</v>
      </c>
    </row>
    <row r="121" spans="1:28">
      <c r="A121" s="13" t="s">
        <v>492</v>
      </c>
      <c r="B121" s="13"/>
      <c r="C121" s="13" t="s">
        <v>44</v>
      </c>
      <c r="D121" s="13"/>
      <c r="E121" s="32">
        <v>48140</v>
      </c>
      <c r="G121" s="8">
        <v>0</v>
      </c>
      <c r="I121" s="8">
        <v>0</v>
      </c>
      <c r="K121" s="8">
        <v>0</v>
      </c>
      <c r="M121" s="8">
        <v>0</v>
      </c>
      <c r="O121" s="8">
        <v>710340</v>
      </c>
      <c r="Q121" s="8">
        <v>0</v>
      </c>
      <c r="S121" s="9">
        <f t="shared" si="2"/>
        <v>710340</v>
      </c>
      <c r="U121" s="8">
        <v>390041</v>
      </c>
      <c r="X121" s="8">
        <f>+'St of Net Assets - GA'!O106-'LT _Lia - GA'!U121</f>
        <v>0</v>
      </c>
    </row>
    <row r="122" spans="1:28">
      <c r="A122" s="13" t="s">
        <v>283</v>
      </c>
      <c r="B122" s="13"/>
      <c r="C122" s="13" t="s">
        <v>115</v>
      </c>
      <c r="D122" s="13"/>
      <c r="E122" s="32">
        <v>45328</v>
      </c>
      <c r="G122" s="8">
        <f>9398355+385000</f>
        <v>9783355</v>
      </c>
      <c r="I122" s="8">
        <v>259364</v>
      </c>
      <c r="K122" s="8">
        <v>0</v>
      </c>
      <c r="M122" s="8">
        <v>68970</v>
      </c>
      <c r="O122" s="8">
        <v>784844</v>
      </c>
      <c r="Q122" s="8">
        <v>0</v>
      </c>
      <c r="S122" s="9">
        <f t="shared" si="2"/>
        <v>10896533</v>
      </c>
      <c r="U122" s="8">
        <v>637467</v>
      </c>
      <c r="X122" s="8">
        <f>+'St of Net Assets - GA'!O107-'LT _Lia - GA'!U122</f>
        <v>0</v>
      </c>
    </row>
    <row r="123" spans="1:28">
      <c r="A123" s="13" t="s">
        <v>358</v>
      </c>
      <c r="B123" s="13"/>
      <c r="C123" s="13" t="s">
        <v>27</v>
      </c>
      <c r="D123" s="13"/>
      <c r="E123" s="32">
        <v>43802</v>
      </c>
      <c r="G123" s="8">
        <f>20282975+35180000+1147960+18655000+575268+281385321-9143456+27807298+6895000-372849+85358+5975000</f>
        <v>388472875</v>
      </c>
      <c r="I123" s="8">
        <v>0</v>
      </c>
      <c r="K123" s="8">
        <f>20092599+58067</f>
        <v>20150666</v>
      </c>
      <c r="M123" s="8">
        <v>200931</v>
      </c>
      <c r="O123" s="8">
        <v>50439419</v>
      </c>
      <c r="Q123" s="8">
        <f>5565867+20892970</f>
        <v>26458837</v>
      </c>
      <c r="S123" s="9">
        <f t="shared" si="2"/>
        <v>485722728</v>
      </c>
      <c r="U123" s="8">
        <v>45874350</v>
      </c>
      <c r="X123" s="8">
        <f>+'St of Net Assets - GA'!O108-'LT _Lia - GA'!U123</f>
        <v>0</v>
      </c>
    </row>
    <row r="124" spans="1:28">
      <c r="A124" s="13" t="s">
        <v>220</v>
      </c>
      <c r="B124" s="13"/>
      <c r="C124" s="13" t="s">
        <v>12</v>
      </c>
      <c r="D124" s="13"/>
      <c r="E124" s="32">
        <v>43810</v>
      </c>
      <c r="G124" s="8">
        <v>5321958</v>
      </c>
      <c r="I124" s="8">
        <v>0</v>
      </c>
      <c r="K124" s="8">
        <v>0</v>
      </c>
      <c r="M124" s="8">
        <v>0</v>
      </c>
      <c r="O124" s="8">
        <v>1115480</v>
      </c>
      <c r="Q124" s="8">
        <v>0</v>
      </c>
      <c r="S124" s="9">
        <f t="shared" si="2"/>
        <v>6437438</v>
      </c>
      <c r="U124" s="8">
        <v>416082</v>
      </c>
      <c r="X124" s="8">
        <f>+'St of Net Assets - GA'!O109-'LT _Lia - GA'!U124</f>
        <v>0</v>
      </c>
    </row>
    <row r="125" spans="1:28">
      <c r="A125" s="13" t="s">
        <v>432</v>
      </c>
      <c r="B125" s="13"/>
      <c r="C125" s="13" t="s">
        <v>433</v>
      </c>
      <c r="D125" s="13"/>
      <c r="E125" s="32">
        <v>47548</v>
      </c>
      <c r="G125" s="8">
        <v>0</v>
      </c>
      <c r="I125" s="8">
        <v>0</v>
      </c>
      <c r="K125" s="8">
        <v>0</v>
      </c>
      <c r="M125" s="8">
        <v>44518</v>
      </c>
      <c r="O125" s="8">
        <v>248056</v>
      </c>
      <c r="Q125" s="8">
        <v>0</v>
      </c>
      <c r="S125" s="9">
        <f t="shared" si="2"/>
        <v>292574</v>
      </c>
      <c r="U125" s="8">
        <v>33682</v>
      </c>
      <c r="X125" s="8">
        <f>+'St of Net Assets - GA'!O110-'LT _Lia - GA'!U125</f>
        <v>0</v>
      </c>
    </row>
    <row r="126" spans="1:28">
      <c r="A126" s="13" t="s">
        <v>669</v>
      </c>
      <c r="B126" s="13"/>
      <c r="C126" s="13" t="s">
        <v>63</v>
      </c>
      <c r="D126" s="13"/>
      <c r="E126" s="32">
        <v>49981</v>
      </c>
      <c r="G126" s="8">
        <v>4524055</v>
      </c>
      <c r="I126" s="8">
        <v>0</v>
      </c>
      <c r="K126" s="8">
        <v>4186612</v>
      </c>
      <c r="M126" s="8">
        <v>0</v>
      </c>
      <c r="O126" s="8">
        <v>1844144</v>
      </c>
      <c r="Q126" s="8">
        <v>0</v>
      </c>
      <c r="S126" s="9">
        <f t="shared" si="2"/>
        <v>10554811</v>
      </c>
      <c r="U126" s="8">
        <v>1598279</v>
      </c>
      <c r="X126" s="8">
        <f>+'St of Net Assets - GA'!O111-'LT _Lia - GA'!U126</f>
        <v>0</v>
      </c>
    </row>
    <row r="127" spans="1:28">
      <c r="A127" s="13" t="s">
        <v>420</v>
      </c>
      <c r="B127" s="13"/>
      <c r="C127" s="13" t="s">
        <v>33</v>
      </c>
      <c r="D127" s="13"/>
      <c r="E127" s="32">
        <v>47431</v>
      </c>
      <c r="G127" s="8">
        <v>0</v>
      </c>
      <c r="I127" s="8">
        <v>9294</v>
      </c>
      <c r="K127" s="8">
        <v>0</v>
      </c>
      <c r="M127" s="8">
        <v>0</v>
      </c>
      <c r="O127" s="8">
        <v>466335</v>
      </c>
      <c r="Q127" s="8">
        <v>0</v>
      </c>
      <c r="S127" s="9">
        <f t="shared" si="2"/>
        <v>475629</v>
      </c>
      <c r="U127" s="8">
        <v>130452</v>
      </c>
      <c r="X127" s="8">
        <f>+'St of Net Assets - GA'!O112-'LT _Lia - GA'!U127</f>
        <v>0</v>
      </c>
    </row>
    <row r="128" spans="1:28">
      <c r="A128" s="13" t="s">
        <v>291</v>
      </c>
      <c r="B128" s="13"/>
      <c r="C128" s="13" t="s">
        <v>19</v>
      </c>
      <c r="D128" s="13"/>
      <c r="E128" s="32">
        <v>43828</v>
      </c>
      <c r="G128" s="8">
        <v>0</v>
      </c>
      <c r="I128" s="8">
        <v>0</v>
      </c>
      <c r="K128" s="8">
        <v>0</v>
      </c>
      <c r="M128" s="8">
        <v>119946</v>
      </c>
      <c r="O128" s="8">
        <v>1545033</v>
      </c>
      <c r="Q128" s="8">
        <v>0</v>
      </c>
      <c r="S128" s="9">
        <f t="shared" si="2"/>
        <v>1664979</v>
      </c>
      <c r="U128" s="8">
        <v>83802</v>
      </c>
      <c r="X128" s="8">
        <f>+'St of Net Assets - GA'!O113-'LT _Lia - GA'!U128</f>
        <v>0</v>
      </c>
    </row>
    <row r="129" spans="1:24">
      <c r="A129" s="13"/>
      <c r="B129" s="13"/>
      <c r="C129" s="13"/>
      <c r="D129" s="13"/>
      <c r="E129" s="32"/>
      <c r="S129" s="9"/>
    </row>
    <row r="130" spans="1:24">
      <c r="A130" s="13"/>
      <c r="B130" s="13"/>
      <c r="C130" s="13"/>
      <c r="D130" s="13"/>
      <c r="E130" s="32"/>
      <c r="S130" s="9"/>
      <c r="U130" s="8" t="s">
        <v>819</v>
      </c>
    </row>
    <row r="131" spans="1:24" s="35" customFormat="1">
      <c r="A131" s="34" t="s">
        <v>832</v>
      </c>
      <c r="B131" s="34"/>
      <c r="C131" s="34" t="s">
        <v>63</v>
      </c>
      <c r="D131" s="34"/>
      <c r="E131" s="34"/>
      <c r="G131" s="35">
        <v>1670000</v>
      </c>
      <c r="I131" s="35">
        <v>0</v>
      </c>
      <c r="K131" s="35">
        <v>1601872</v>
      </c>
      <c r="M131" s="35">
        <v>1500000</v>
      </c>
      <c r="O131" s="35">
        <f>1150595+48000</f>
        <v>1198595</v>
      </c>
      <c r="Q131" s="35">
        <v>0</v>
      </c>
      <c r="S131" s="44">
        <f t="shared" si="2"/>
        <v>5970467</v>
      </c>
      <c r="U131" s="35">
        <v>476969</v>
      </c>
      <c r="X131" s="35">
        <f>+'St of Net Assets - GA'!O114-'LT _Lia - GA'!U131</f>
        <v>0</v>
      </c>
    </row>
    <row r="132" spans="1:24">
      <c r="A132" s="13" t="s">
        <v>891</v>
      </c>
      <c r="B132" s="13"/>
      <c r="C132" s="13" t="s">
        <v>48</v>
      </c>
      <c r="D132" s="13"/>
      <c r="E132" s="32">
        <v>45336</v>
      </c>
      <c r="G132" s="8">
        <v>0</v>
      </c>
      <c r="I132" s="8">
        <v>0</v>
      </c>
      <c r="K132" s="8">
        <v>0</v>
      </c>
      <c r="M132" s="8">
        <v>144386</v>
      </c>
      <c r="O132" s="8">
        <v>557122</v>
      </c>
      <c r="Q132" s="8">
        <v>0</v>
      </c>
      <c r="S132" s="9">
        <f t="shared" si="2"/>
        <v>701508</v>
      </c>
      <c r="U132" s="8">
        <v>61504</v>
      </c>
      <c r="X132" s="8">
        <f>+'St of Net Assets - GA'!O115-'LT _Lia - GA'!U132</f>
        <v>0</v>
      </c>
    </row>
    <row r="133" spans="1:24">
      <c r="A133" s="13" t="s">
        <v>297</v>
      </c>
      <c r="B133" s="13"/>
      <c r="C133" s="13" t="s">
        <v>114</v>
      </c>
      <c r="D133" s="13"/>
      <c r="E133" s="32">
        <v>45344</v>
      </c>
      <c r="G133" s="8">
        <v>0</v>
      </c>
      <c r="I133" s="8">
        <v>0</v>
      </c>
      <c r="K133" s="8">
        <v>0</v>
      </c>
      <c r="M133" s="8">
        <v>0</v>
      </c>
      <c r="O133" s="8">
        <v>481452</v>
      </c>
      <c r="Q133" s="8">
        <v>0</v>
      </c>
      <c r="S133" s="9">
        <f t="shared" si="2"/>
        <v>481452</v>
      </c>
      <c r="U133" s="8">
        <v>17144</v>
      </c>
      <c r="X133" s="8">
        <f>+'St of Net Assets - GA'!O116-'LT _Lia - GA'!U133</f>
        <v>0</v>
      </c>
    </row>
    <row r="134" spans="1:24">
      <c r="A134" s="13" t="s">
        <v>284</v>
      </c>
      <c r="B134" s="13"/>
      <c r="C134" s="13" t="s">
        <v>115</v>
      </c>
      <c r="D134" s="13"/>
      <c r="E134" s="32">
        <v>46433</v>
      </c>
      <c r="G134" s="8">
        <v>1583418</v>
      </c>
      <c r="I134" s="8">
        <v>0</v>
      </c>
      <c r="K134" s="8">
        <v>0</v>
      </c>
      <c r="M134" s="8">
        <v>524000</v>
      </c>
      <c r="O134" s="8">
        <v>449645</v>
      </c>
      <c r="Q134" s="8">
        <v>0</v>
      </c>
      <c r="S134" s="9">
        <f t="shared" si="2"/>
        <v>2557063</v>
      </c>
      <c r="U134" s="8">
        <v>369998</v>
      </c>
      <c r="X134" s="8">
        <f>+'St of Net Assets - GA'!O117-'LT _Lia - GA'!U134</f>
        <v>0</v>
      </c>
    </row>
    <row r="135" spans="1:24">
      <c r="A135" s="13" t="s">
        <v>284</v>
      </c>
      <c r="B135" s="13"/>
      <c r="C135" s="13" t="s">
        <v>113</v>
      </c>
      <c r="D135" s="13"/>
      <c r="E135" s="32">
        <v>49429</v>
      </c>
      <c r="G135" s="8">
        <v>4191868</v>
      </c>
      <c r="I135" s="8">
        <v>0</v>
      </c>
      <c r="K135" s="8">
        <v>0</v>
      </c>
      <c r="M135" s="8">
        <v>0</v>
      </c>
      <c r="O135" s="8">
        <v>454578</v>
      </c>
      <c r="Q135" s="8">
        <v>0</v>
      </c>
      <c r="S135" s="9">
        <f t="shared" si="2"/>
        <v>4646446</v>
      </c>
      <c r="U135" s="8">
        <v>329456</v>
      </c>
      <c r="X135" s="8">
        <f>+'St of Net Assets - GA'!O118-'LT _Lia - GA'!U135</f>
        <v>0</v>
      </c>
    </row>
    <row r="136" spans="1:24">
      <c r="A136" s="13" t="s">
        <v>596</v>
      </c>
      <c r="B136" s="13"/>
      <c r="C136" s="13" t="s">
        <v>56</v>
      </c>
      <c r="D136" s="13"/>
      <c r="E136" s="32">
        <v>49189</v>
      </c>
      <c r="G136" s="8">
        <v>7054727</v>
      </c>
      <c r="I136" s="8">
        <v>34508</v>
      </c>
      <c r="K136" s="8">
        <v>0</v>
      </c>
      <c r="M136" s="8">
        <v>0</v>
      </c>
      <c r="O136" s="8">
        <v>1093088</v>
      </c>
      <c r="Q136" s="8">
        <v>0</v>
      </c>
      <c r="S136" s="9">
        <f>SUM(G136:R136)</f>
        <v>8182323</v>
      </c>
      <c r="U136" s="8">
        <v>518133</v>
      </c>
      <c r="X136" s="8">
        <f>+'St of Net Assets - GA'!O119-'LT _Lia - GA'!U136</f>
        <v>0</v>
      </c>
    </row>
    <row r="137" spans="1:24">
      <c r="A137" s="13" t="s">
        <v>833</v>
      </c>
      <c r="B137" s="13"/>
      <c r="C137" s="13" t="s">
        <v>586</v>
      </c>
      <c r="D137" s="13"/>
      <c r="E137" s="32"/>
      <c r="G137" s="8">
        <v>1361000</v>
      </c>
      <c r="I137" s="8">
        <v>0</v>
      </c>
      <c r="K137" s="8">
        <v>0</v>
      </c>
      <c r="M137" s="8">
        <v>0</v>
      </c>
      <c r="O137" s="8">
        <v>485628</v>
      </c>
      <c r="Q137" s="8">
        <v>0</v>
      </c>
      <c r="S137" s="9">
        <f>SUM(G137:R137)</f>
        <v>1846628</v>
      </c>
      <c r="U137" s="8">
        <v>173749</v>
      </c>
      <c r="X137" s="8">
        <f>+'St of Net Assets - GA'!O120-'LT _Lia - GA'!U137</f>
        <v>0</v>
      </c>
    </row>
    <row r="138" spans="1:24">
      <c r="A138" s="13" t="s">
        <v>670</v>
      </c>
      <c r="B138" s="13"/>
      <c r="C138" s="13" t="s">
        <v>63</v>
      </c>
      <c r="D138" s="13"/>
      <c r="E138" s="32">
        <v>43836</v>
      </c>
      <c r="G138" s="8">
        <v>5319000</v>
      </c>
      <c r="I138" s="8">
        <v>222635</v>
      </c>
      <c r="K138" s="8">
        <v>620000</v>
      </c>
      <c r="M138" s="8">
        <v>412496</v>
      </c>
      <c r="O138" s="8">
        <v>2449204</v>
      </c>
      <c r="Q138" s="8">
        <v>0</v>
      </c>
      <c r="S138" s="9">
        <f>SUM(G138:R138)</f>
        <v>9023335</v>
      </c>
      <c r="U138" s="8">
        <v>1733670</v>
      </c>
      <c r="X138" s="8">
        <f>+'St of Net Assets - GA'!O121-'LT _Lia - GA'!U138</f>
        <v>0</v>
      </c>
    </row>
    <row r="139" spans="1:24">
      <c r="A139" s="13" t="s">
        <v>309</v>
      </c>
      <c r="B139" s="13"/>
      <c r="C139" s="13" t="s">
        <v>20</v>
      </c>
      <c r="D139" s="13"/>
      <c r="E139" s="32">
        <v>46557</v>
      </c>
      <c r="G139" s="8">
        <f>1637988+61966</f>
        <v>1699954</v>
      </c>
      <c r="I139" s="8">
        <v>0</v>
      </c>
      <c r="K139" s="8">
        <v>0</v>
      </c>
      <c r="M139" s="8">
        <v>2165670</v>
      </c>
      <c r="O139" s="8">
        <f>1389346+139000</f>
        <v>1528346</v>
      </c>
      <c r="Q139" s="8">
        <v>0</v>
      </c>
      <c r="S139" s="9">
        <f>SUM(G139:R139)</f>
        <v>5393970</v>
      </c>
      <c r="U139" s="8">
        <v>871962</v>
      </c>
      <c r="X139" s="8">
        <f>+'St of Net Assets - GA'!O122-'LT _Lia - GA'!U139</f>
        <v>0</v>
      </c>
    </row>
    <row r="140" spans="1:24">
      <c r="A140" s="13" t="s">
        <v>846</v>
      </c>
      <c r="B140" s="13"/>
      <c r="C140" s="13" t="s">
        <v>71</v>
      </c>
      <c r="D140" s="13"/>
      <c r="E140" s="13">
        <v>48934</v>
      </c>
      <c r="G140" s="8">
        <v>0</v>
      </c>
      <c r="I140" s="8">
        <v>0</v>
      </c>
      <c r="K140" s="8">
        <v>0</v>
      </c>
      <c r="M140" s="8">
        <v>70991</v>
      </c>
      <c r="O140" s="8">
        <v>742717</v>
      </c>
      <c r="Q140" s="8">
        <v>0</v>
      </c>
      <c r="S140" s="9">
        <f>SUM(G140:R140)</f>
        <v>813708</v>
      </c>
      <c r="U140" s="8">
        <v>50032</v>
      </c>
      <c r="X140" s="8">
        <f>+'St of Net Assets - GA'!O123-'LT _Lia - GA'!U140</f>
        <v>0</v>
      </c>
    </row>
    <row r="141" spans="1:24">
      <c r="A141" s="13" t="s">
        <v>460</v>
      </c>
      <c r="B141" s="13"/>
      <c r="C141" s="13" t="s">
        <v>40</v>
      </c>
      <c r="D141" s="13"/>
      <c r="E141" s="32">
        <v>47837</v>
      </c>
      <c r="G141" s="8">
        <f>348915+1198073</f>
        <v>1546988</v>
      </c>
      <c r="I141" s="8">
        <v>0</v>
      </c>
      <c r="K141" s="8">
        <v>0</v>
      </c>
      <c r="M141" s="8">
        <v>0</v>
      </c>
      <c r="O141" s="8">
        <v>132018</v>
      </c>
      <c r="Q141" s="8">
        <v>0</v>
      </c>
      <c r="S141" s="9">
        <f t="shared" ref="S141:S149" si="3">SUM(G141:R141)</f>
        <v>1679006</v>
      </c>
      <c r="U141" s="8">
        <v>106861</v>
      </c>
      <c r="X141" s="8">
        <f>+'St of Net Assets - GA'!O124-'LT _Lia - GA'!U141</f>
        <v>0</v>
      </c>
    </row>
    <row r="142" spans="1:24">
      <c r="A142" s="13" t="s">
        <v>472</v>
      </c>
      <c r="B142" s="13"/>
      <c r="C142" s="13" t="s">
        <v>471</v>
      </c>
      <c r="D142" s="13"/>
      <c r="E142" s="32">
        <v>47928</v>
      </c>
      <c r="G142" s="8">
        <v>1819949</v>
      </c>
      <c r="I142" s="8">
        <v>0</v>
      </c>
      <c r="K142" s="8">
        <v>0</v>
      </c>
      <c r="M142" s="8">
        <v>0</v>
      </c>
      <c r="O142" s="8">
        <v>324753</v>
      </c>
      <c r="Q142" s="8">
        <v>0</v>
      </c>
      <c r="S142" s="9">
        <f t="shared" si="3"/>
        <v>2144702</v>
      </c>
      <c r="U142" s="8">
        <v>232787</v>
      </c>
      <c r="X142" s="8">
        <f>+'St of Net Assets - GA'!O125-'LT _Lia - GA'!U142</f>
        <v>0</v>
      </c>
    </row>
    <row r="143" spans="1:24">
      <c r="A143" s="13" t="s">
        <v>554</v>
      </c>
      <c r="B143" s="13"/>
      <c r="C143" s="13" t="s">
        <v>50</v>
      </c>
      <c r="D143" s="13"/>
      <c r="E143" s="32">
        <v>43844</v>
      </c>
      <c r="G143" s="8">
        <f>234767289+10000000+15600000</f>
        <v>260367289</v>
      </c>
      <c r="I143" s="8">
        <v>0</v>
      </c>
      <c r="K143" s="8">
        <v>2450000</v>
      </c>
      <c r="M143" s="8">
        <v>3892381</v>
      </c>
      <c r="O143" s="8">
        <v>7224087</v>
      </c>
      <c r="Q143" s="8">
        <v>0</v>
      </c>
      <c r="S143" s="9">
        <f t="shared" si="3"/>
        <v>273933757</v>
      </c>
      <c r="U143" s="8">
        <v>7180890</v>
      </c>
      <c r="X143" s="8">
        <f>+'St of Net Assets - GA'!O126-'LT _Lia - GA'!U143</f>
        <v>0</v>
      </c>
    </row>
    <row r="144" spans="1:24">
      <c r="A144" s="13" t="s">
        <v>397</v>
      </c>
      <c r="B144" s="13"/>
      <c r="C144" s="13" t="s">
        <v>32</v>
      </c>
      <c r="D144" s="13"/>
      <c r="E144" s="32">
        <v>43851</v>
      </c>
      <c r="G144" s="8">
        <v>0</v>
      </c>
      <c r="I144" s="8">
        <v>0</v>
      </c>
      <c r="K144" s="8">
        <v>0</v>
      </c>
      <c r="M144" s="8">
        <v>778912</v>
      </c>
      <c r="O144" s="8">
        <v>997341</v>
      </c>
      <c r="Q144" s="8">
        <v>0</v>
      </c>
      <c r="S144" s="9">
        <f t="shared" si="3"/>
        <v>1776253</v>
      </c>
      <c r="U144" s="8">
        <v>368714</v>
      </c>
      <c r="X144" s="8">
        <f>+'St of Net Assets - GA'!O127-'LT _Lia - GA'!U144</f>
        <v>0</v>
      </c>
    </row>
    <row r="145" spans="1:24">
      <c r="A145" s="13" t="s">
        <v>338</v>
      </c>
      <c r="B145" s="13"/>
      <c r="C145" s="13" t="s">
        <v>23</v>
      </c>
      <c r="D145" s="13"/>
      <c r="E145" s="32">
        <v>43877</v>
      </c>
      <c r="G145" s="8">
        <v>37332676</v>
      </c>
      <c r="I145" s="8">
        <v>0</v>
      </c>
      <c r="K145" s="8">
        <v>0</v>
      </c>
      <c r="M145" s="8">
        <v>222242</v>
      </c>
      <c r="O145" s="8">
        <v>1349760</v>
      </c>
      <c r="Q145" s="8">
        <v>0</v>
      </c>
      <c r="S145" s="9">
        <f t="shared" si="3"/>
        <v>38904678</v>
      </c>
      <c r="U145" s="8">
        <v>2531683</v>
      </c>
      <c r="X145" s="8">
        <f>+'St of Net Assets - GA'!O128-'LT _Lia - GA'!U145</f>
        <v>0</v>
      </c>
    </row>
    <row r="146" spans="1:24">
      <c r="A146" s="13" t="s">
        <v>212</v>
      </c>
      <c r="B146" s="13"/>
      <c r="C146" s="13" t="s">
        <v>10</v>
      </c>
      <c r="D146" s="13"/>
      <c r="E146" s="32">
        <v>43885</v>
      </c>
      <c r="G146" s="8">
        <v>0</v>
      </c>
      <c r="I146" s="8">
        <v>0</v>
      </c>
      <c r="K146" s="8">
        <v>0</v>
      </c>
      <c r="M146" s="8">
        <v>0</v>
      </c>
      <c r="O146" s="8">
        <v>616763</v>
      </c>
      <c r="Q146" s="8">
        <v>0</v>
      </c>
      <c r="S146" s="9">
        <f t="shared" si="3"/>
        <v>616763</v>
      </c>
      <c r="U146" s="8">
        <v>8903</v>
      </c>
      <c r="X146" s="8">
        <f>+'St of Net Assets - GA'!O129-'LT _Lia - GA'!U146</f>
        <v>0</v>
      </c>
    </row>
    <row r="147" spans="1:24">
      <c r="A147" s="13" t="s">
        <v>700</v>
      </c>
      <c r="B147" s="13"/>
      <c r="C147" s="13" t="s">
        <v>65</v>
      </c>
      <c r="D147" s="13"/>
      <c r="E147" s="32">
        <v>43893</v>
      </c>
      <c r="G147" s="8">
        <v>5121782</v>
      </c>
      <c r="I147" s="8">
        <v>0</v>
      </c>
      <c r="K147" s="8">
        <v>0</v>
      </c>
      <c r="M147" s="8">
        <v>321857</v>
      </c>
      <c r="O147" s="8">
        <v>1564502</v>
      </c>
      <c r="Q147" s="8">
        <v>0</v>
      </c>
      <c r="S147" s="9">
        <f t="shared" si="3"/>
        <v>7008141</v>
      </c>
      <c r="U147" s="8">
        <v>799838</v>
      </c>
      <c r="X147" s="8">
        <f>+'St of Net Assets - GA'!O130-'LT _Lia - GA'!U147</f>
        <v>0</v>
      </c>
    </row>
    <row r="148" spans="1:24">
      <c r="A148" s="13" t="s">
        <v>359</v>
      </c>
      <c r="B148" s="13"/>
      <c r="C148" s="13" t="s">
        <v>27</v>
      </c>
      <c r="D148" s="13"/>
      <c r="E148" s="32">
        <v>47027</v>
      </c>
      <c r="G148" s="8">
        <v>200328157</v>
      </c>
      <c r="I148" s="8">
        <v>0</v>
      </c>
      <c r="K148" s="8">
        <v>3827623</v>
      </c>
      <c r="M148" s="8">
        <v>0</v>
      </c>
      <c r="O148" s="8">
        <v>10341317</v>
      </c>
      <c r="Q148" s="8">
        <v>0</v>
      </c>
      <c r="S148" s="9">
        <f t="shared" si="3"/>
        <v>214497097</v>
      </c>
      <c r="U148" s="8">
        <f>15186149-327623</f>
        <v>14858526</v>
      </c>
      <c r="X148" s="8">
        <f>+'St of Net Assets - GA'!O133-'LT _Lia - GA'!U148</f>
        <v>0</v>
      </c>
    </row>
    <row r="149" spans="1:24">
      <c r="A149" s="13" t="s">
        <v>280</v>
      </c>
      <c r="B149" s="13"/>
      <c r="C149" s="13" t="s">
        <v>18</v>
      </c>
      <c r="D149" s="13"/>
      <c r="E149" s="32">
        <v>46409</v>
      </c>
      <c r="G149" s="8">
        <f>1840000+144998+217913+232110-194744</f>
        <v>2240277</v>
      </c>
      <c r="I149" s="8">
        <v>0</v>
      </c>
      <c r="K149" s="8">
        <v>0</v>
      </c>
      <c r="M149" s="8">
        <v>0</v>
      </c>
      <c r="O149" s="8">
        <f>314221+339111</f>
        <v>653332</v>
      </c>
      <c r="Q149" s="8">
        <v>0</v>
      </c>
      <c r="S149" s="9">
        <f t="shared" si="3"/>
        <v>2893609</v>
      </c>
      <c r="U149" s="8">
        <v>333237</v>
      </c>
      <c r="X149" s="8">
        <f>+'St of Net Assets - GA'!O134-'LT _Lia - GA'!U149</f>
        <v>0</v>
      </c>
    </row>
    <row r="150" spans="1:24">
      <c r="A150" s="13" t="s">
        <v>394</v>
      </c>
      <c r="B150" s="13"/>
      <c r="C150" s="13" t="s">
        <v>31</v>
      </c>
      <c r="D150" s="13"/>
      <c r="E150" s="32">
        <v>69682</v>
      </c>
      <c r="G150" s="8">
        <v>4285219</v>
      </c>
      <c r="I150" s="8">
        <v>0</v>
      </c>
      <c r="K150" s="8">
        <v>0</v>
      </c>
      <c r="M150" s="8">
        <v>65572</v>
      </c>
      <c r="O150" s="8">
        <v>656562</v>
      </c>
      <c r="Q150" s="8">
        <v>0</v>
      </c>
      <c r="S150" s="9">
        <f t="shared" ref="S150:S203" si="4">SUM(G150:R150)</f>
        <v>5007353</v>
      </c>
      <c r="U150" s="8">
        <v>425062</v>
      </c>
      <c r="X150" s="8">
        <f>+'St of Net Assets - GA'!O135-'LT _Lia - GA'!U150</f>
        <v>0</v>
      </c>
    </row>
    <row r="151" spans="1:24">
      <c r="A151" s="13" t="s">
        <v>446</v>
      </c>
      <c r="B151" s="13"/>
      <c r="C151" s="13" t="s">
        <v>36</v>
      </c>
      <c r="D151" s="13"/>
      <c r="E151" s="32">
        <v>47688</v>
      </c>
      <c r="G151" s="8">
        <f>420000+1820000+65000+20377+225373</f>
        <v>2550750</v>
      </c>
      <c r="I151" s="8">
        <v>0</v>
      </c>
      <c r="K151" s="8">
        <v>28000</v>
      </c>
      <c r="M151" s="8">
        <v>0</v>
      </c>
      <c r="O151" s="8">
        <v>1126711</v>
      </c>
      <c r="Q151" s="8">
        <v>-166385</v>
      </c>
      <c r="S151" s="9">
        <f t="shared" si="4"/>
        <v>3539076</v>
      </c>
      <c r="U151" s="8">
        <v>236264</v>
      </c>
      <c r="X151" s="8">
        <f>+'St of Net Assets - GA'!O136-'LT _Lia - GA'!U151</f>
        <v>0</v>
      </c>
    </row>
    <row r="152" spans="1:24">
      <c r="A152" s="13" t="s">
        <v>285</v>
      </c>
      <c r="B152" s="13"/>
      <c r="C152" s="13" t="s">
        <v>115</v>
      </c>
      <c r="D152" s="13"/>
      <c r="E152" s="32">
        <v>43919</v>
      </c>
      <c r="G152" s="8">
        <v>0</v>
      </c>
      <c r="I152" s="8">
        <v>0</v>
      </c>
      <c r="K152" s="8">
        <v>6064028</v>
      </c>
      <c r="M152" s="8">
        <v>141784</v>
      </c>
      <c r="O152" s="8">
        <v>1577241</v>
      </c>
      <c r="Q152" s="8">
        <v>155000</v>
      </c>
      <c r="S152" s="9">
        <f t="shared" si="4"/>
        <v>7938053</v>
      </c>
      <c r="U152" s="8">
        <v>677522</v>
      </c>
      <c r="X152" s="8">
        <f>+'St of Net Assets - GA'!O137-'LT _Lia - GA'!U152</f>
        <v>0</v>
      </c>
    </row>
    <row r="153" spans="1:24">
      <c r="A153" s="13" t="s">
        <v>571</v>
      </c>
      <c r="B153" s="13"/>
      <c r="C153" s="13" t="s">
        <v>51</v>
      </c>
      <c r="D153" s="13"/>
      <c r="E153" s="32">
        <v>48835</v>
      </c>
      <c r="G153" s="8">
        <v>6522130</v>
      </c>
      <c r="I153" s="8">
        <v>0</v>
      </c>
      <c r="K153" s="8">
        <v>0</v>
      </c>
      <c r="M153" s="8">
        <v>38708</v>
      </c>
      <c r="O153" s="8">
        <v>1144175</v>
      </c>
      <c r="Q153" s="8">
        <v>1802896</v>
      </c>
      <c r="S153" s="9">
        <f t="shared" si="4"/>
        <v>9507909</v>
      </c>
      <c r="U153" s="8">
        <v>507294</v>
      </c>
      <c r="X153" s="8">
        <f>+'St of Net Assets - GA'!O138-'LT _Lia - GA'!U153</f>
        <v>0</v>
      </c>
    </row>
    <row r="154" spans="1:24">
      <c r="A154" s="13" t="s">
        <v>286</v>
      </c>
      <c r="B154" s="13"/>
      <c r="C154" s="13" t="s">
        <v>115</v>
      </c>
      <c r="D154" s="13"/>
      <c r="E154" s="32">
        <v>43927</v>
      </c>
      <c r="G154" s="8">
        <f>303831+740852</f>
        <v>1044683</v>
      </c>
      <c r="I154" s="8">
        <v>0</v>
      </c>
      <c r="K154" s="8">
        <v>0</v>
      </c>
      <c r="M154" s="8">
        <v>2599465</v>
      </c>
      <c r="O154" s="8">
        <v>552670</v>
      </c>
      <c r="Q154" s="8">
        <v>0</v>
      </c>
      <c r="S154" s="9">
        <f t="shared" si="4"/>
        <v>4196818</v>
      </c>
      <c r="U154" s="8">
        <v>1347499</v>
      </c>
      <c r="X154" s="8">
        <f>+'St of Net Assets - GA'!O139-'LT _Lia - GA'!U154</f>
        <v>0</v>
      </c>
    </row>
    <row r="155" spans="1:24">
      <c r="A155" s="13" t="s">
        <v>240</v>
      </c>
      <c r="B155" s="13"/>
      <c r="C155" s="13" t="s">
        <v>77</v>
      </c>
      <c r="D155" s="13"/>
      <c r="E155" s="32">
        <v>46037</v>
      </c>
      <c r="G155" s="8">
        <f>2460000+7165000+181900</f>
        <v>9806900</v>
      </c>
      <c r="I155" s="8">
        <v>0</v>
      </c>
      <c r="K155" s="8">
        <v>0</v>
      </c>
      <c r="M155" s="8">
        <v>0</v>
      </c>
      <c r="O155" s="8">
        <v>695105</v>
      </c>
      <c r="Q155" s="8">
        <v>0</v>
      </c>
      <c r="S155" s="9">
        <f t="shared" si="4"/>
        <v>10502005</v>
      </c>
      <c r="U155" s="8">
        <v>375081</v>
      </c>
      <c r="X155" s="8">
        <f>+'St of Net Assets - GA'!O140-'LT _Lia - GA'!U155</f>
        <v>0</v>
      </c>
    </row>
    <row r="156" spans="1:24">
      <c r="A156" s="13" t="s">
        <v>740</v>
      </c>
      <c r="B156" s="13"/>
      <c r="C156" s="13" t="s">
        <v>72</v>
      </c>
      <c r="D156" s="13"/>
      <c r="E156" s="32">
        <v>50674</v>
      </c>
      <c r="G156" s="8">
        <v>3445402</v>
      </c>
      <c r="I156" s="8">
        <v>0</v>
      </c>
      <c r="K156" s="8">
        <v>0</v>
      </c>
      <c r="M156" s="8">
        <v>73780</v>
      </c>
      <c r="O156" s="8">
        <v>948008</v>
      </c>
      <c r="Q156" s="8">
        <v>0</v>
      </c>
      <c r="S156" s="9">
        <f t="shared" si="4"/>
        <v>4467190</v>
      </c>
      <c r="U156" s="8">
        <v>522330</v>
      </c>
      <c r="X156" s="8">
        <f>+'St of Net Assets - GA'!O141-'LT _Lia - GA'!U156</f>
        <v>0</v>
      </c>
    </row>
    <row r="157" spans="1:24">
      <c r="A157" s="12" t="s">
        <v>974</v>
      </c>
      <c r="B157" s="13"/>
      <c r="C157" s="13" t="s">
        <v>57</v>
      </c>
      <c r="D157" s="13"/>
      <c r="E157" s="32">
        <v>43935</v>
      </c>
      <c r="G157" s="8">
        <v>27975010</v>
      </c>
      <c r="I157" s="8">
        <v>0</v>
      </c>
      <c r="K157" s="8">
        <v>0</v>
      </c>
      <c r="M157" s="8">
        <v>0</v>
      </c>
      <c r="O157" s="8">
        <v>1505341</v>
      </c>
      <c r="Q157" s="8">
        <v>916128</v>
      </c>
      <c r="S157" s="9">
        <f t="shared" si="4"/>
        <v>30396479</v>
      </c>
      <c r="U157" s="8">
        <v>699792</v>
      </c>
      <c r="X157" s="8">
        <f>+'St of Net Assets - GA'!O142-'LT _Lia - GA'!U157</f>
        <v>0</v>
      </c>
    </row>
    <row r="158" spans="1:24" hidden="1">
      <c r="A158" s="13" t="s">
        <v>734</v>
      </c>
      <c r="B158" s="13"/>
      <c r="C158" s="13" t="s">
        <v>733</v>
      </c>
      <c r="D158" s="13"/>
      <c r="E158" s="32">
        <v>50617</v>
      </c>
      <c r="G158" s="8">
        <v>0</v>
      </c>
      <c r="I158" s="8">
        <v>0</v>
      </c>
      <c r="K158" s="8">
        <v>0</v>
      </c>
      <c r="M158" s="8">
        <v>0</v>
      </c>
      <c r="O158" s="8">
        <v>0</v>
      </c>
      <c r="Q158" s="8">
        <v>0</v>
      </c>
      <c r="S158" s="9">
        <f t="shared" si="4"/>
        <v>0</v>
      </c>
      <c r="U158" s="8">
        <v>0</v>
      </c>
      <c r="X158" s="8">
        <f>+'St of Net Assets - GA'!O143-'LT _Lia - GA'!U158</f>
        <v>0</v>
      </c>
    </row>
    <row r="159" spans="1:24" hidden="1">
      <c r="A159" s="13" t="s">
        <v>245</v>
      </c>
      <c r="B159" s="13"/>
      <c r="C159" s="13" t="s">
        <v>246</v>
      </c>
      <c r="D159" s="13"/>
      <c r="E159" s="32">
        <v>46094</v>
      </c>
      <c r="G159" s="8">
        <v>0</v>
      </c>
      <c r="I159" s="8">
        <v>0</v>
      </c>
      <c r="K159" s="8">
        <v>0</v>
      </c>
      <c r="M159" s="8">
        <v>0</v>
      </c>
      <c r="O159" s="8">
        <v>0</v>
      </c>
      <c r="Q159" s="8">
        <v>0</v>
      </c>
      <c r="S159" s="9">
        <f t="shared" si="4"/>
        <v>0</v>
      </c>
      <c r="U159" s="8">
        <v>0</v>
      </c>
      <c r="X159" s="8">
        <f>+'St of Net Assets - GA'!O144-'LT _Lia - GA'!U159</f>
        <v>0</v>
      </c>
    </row>
    <row r="160" spans="1:24">
      <c r="A160" s="12" t="s">
        <v>245</v>
      </c>
      <c r="B160" s="13"/>
      <c r="C160" s="13" t="s">
        <v>246</v>
      </c>
      <c r="D160" s="13"/>
      <c r="E160" s="32">
        <v>43935</v>
      </c>
      <c r="G160" s="8">
        <f>1848576+2085620+2930000+9865000+2199979+363103</f>
        <v>19292278</v>
      </c>
      <c r="I160" s="8">
        <v>0</v>
      </c>
      <c r="K160" s="8">
        <v>0</v>
      </c>
      <c r="M160" s="8">
        <v>134361</v>
      </c>
      <c r="O160" s="8">
        <v>1207563</v>
      </c>
      <c r="Q160" s="8">
        <v>667750</v>
      </c>
      <c r="S160" s="9">
        <f>SUM(G160:R160)</f>
        <v>21301952</v>
      </c>
      <c r="U160" s="8">
        <v>2413189</v>
      </c>
      <c r="X160" s="8">
        <f>+'St of Net Assets - GA'!O145-'LT _Lia - GA'!U160</f>
        <v>0</v>
      </c>
    </row>
    <row r="161" spans="1:24">
      <c r="A161" s="13" t="s">
        <v>455</v>
      </c>
      <c r="B161" s="13"/>
      <c r="C161" s="13" t="s">
        <v>39</v>
      </c>
      <c r="D161" s="13"/>
      <c r="E161" s="32">
        <v>47795</v>
      </c>
      <c r="G161" s="8">
        <v>467506</v>
      </c>
      <c r="I161" s="8">
        <v>0</v>
      </c>
      <c r="K161" s="8">
        <v>0</v>
      </c>
      <c r="M161" s="8">
        <f>35200+508032</f>
        <v>543232</v>
      </c>
      <c r="O161" s="8">
        <v>1382638</v>
      </c>
      <c r="Q161" s="8">
        <v>0</v>
      </c>
      <c r="S161" s="9">
        <f t="shared" si="4"/>
        <v>2393376</v>
      </c>
      <c r="U161" s="8">
        <v>476992</v>
      </c>
      <c r="X161" s="8">
        <f>+'St of Net Assets - GA'!O146-'LT _Lia - GA'!U161</f>
        <v>0</v>
      </c>
    </row>
    <row r="162" spans="1:24">
      <c r="A162" s="13" t="s">
        <v>735</v>
      </c>
      <c r="B162" s="13"/>
      <c r="C162" s="13" t="s">
        <v>733</v>
      </c>
      <c r="D162" s="13"/>
      <c r="E162" s="32">
        <v>50625</v>
      </c>
      <c r="G162" s="8">
        <f>2260042+700000+510000</f>
        <v>3470042</v>
      </c>
      <c r="I162" s="8">
        <v>0</v>
      </c>
      <c r="K162" s="8">
        <v>0</v>
      </c>
      <c r="M162" s="8">
        <v>0</v>
      </c>
      <c r="O162" s="8">
        <v>552380</v>
      </c>
      <c r="Q162" s="8">
        <v>0</v>
      </c>
      <c r="S162" s="9">
        <f t="shared" si="4"/>
        <v>4022422</v>
      </c>
      <c r="U162" s="8">
        <v>279262</v>
      </c>
      <c r="X162" s="8">
        <f>+'St of Net Assets - GA'!O147-'LT _Lia - GA'!U162</f>
        <v>0</v>
      </c>
    </row>
    <row r="163" spans="1:24">
      <c r="A163" s="34" t="s">
        <v>526</v>
      </c>
      <c r="B163" s="34"/>
      <c r="C163" s="34" t="s">
        <v>46</v>
      </c>
      <c r="D163" s="34"/>
      <c r="E163" s="34">
        <v>48413</v>
      </c>
      <c r="F163" s="35"/>
      <c r="G163" s="8">
        <v>0</v>
      </c>
      <c r="H163" s="35"/>
      <c r="I163" s="8">
        <v>0</v>
      </c>
      <c r="J163" s="35"/>
      <c r="K163" s="8">
        <v>0</v>
      </c>
      <c r="L163" s="35"/>
      <c r="M163" s="8">
        <v>0</v>
      </c>
      <c r="N163" s="35"/>
      <c r="O163" s="8">
        <v>950876</v>
      </c>
      <c r="P163" s="35"/>
      <c r="Q163" s="8">
        <v>0</v>
      </c>
      <c r="R163" s="35"/>
      <c r="S163" s="9">
        <f t="shared" si="4"/>
        <v>950876</v>
      </c>
      <c r="U163" s="8">
        <v>38799</v>
      </c>
      <c r="X163" s="8">
        <f>+'St of Net Assets - GA'!O148-'LT _Lia - GA'!U163</f>
        <v>0</v>
      </c>
    </row>
    <row r="164" spans="1:24">
      <c r="A164" s="13" t="s">
        <v>493</v>
      </c>
      <c r="B164" s="13"/>
      <c r="C164" s="13" t="s">
        <v>44</v>
      </c>
      <c r="D164" s="13"/>
      <c r="E164" s="32">
        <v>43943</v>
      </c>
      <c r="G164" s="8">
        <f>44250000+749971+103981+598873</f>
        <v>45702825</v>
      </c>
      <c r="I164" s="8">
        <v>0</v>
      </c>
      <c r="K164" s="8">
        <v>0</v>
      </c>
      <c r="M164" s="8">
        <f>4884153+416415</f>
        <v>5300568</v>
      </c>
      <c r="O164" s="8">
        <v>4403086</v>
      </c>
      <c r="Q164" s="8">
        <v>0</v>
      </c>
      <c r="S164" s="9">
        <f t="shared" si="4"/>
        <v>55406479</v>
      </c>
      <c r="U164" s="8">
        <v>1247635</v>
      </c>
      <c r="X164" s="8">
        <f>+'St of Net Assets - GA'!O149-'LT _Lia - GA'!U164</f>
        <v>0</v>
      </c>
    </row>
    <row r="165" spans="1:24">
      <c r="A165" s="13" t="s">
        <v>310</v>
      </c>
      <c r="B165" s="13"/>
      <c r="C165" s="13" t="s">
        <v>20</v>
      </c>
      <c r="D165" s="13"/>
      <c r="E165" s="32">
        <v>43950</v>
      </c>
      <c r="G165" s="8">
        <v>8899954</v>
      </c>
      <c r="I165" s="8">
        <v>0</v>
      </c>
      <c r="K165" s="8">
        <v>0</v>
      </c>
      <c r="M165" s="8">
        <v>0</v>
      </c>
      <c r="O165" s="8">
        <v>2483830</v>
      </c>
      <c r="Q165" s="8">
        <f>1254689+200913+310986+4850000</f>
        <v>6616588</v>
      </c>
      <c r="S165" s="9">
        <f t="shared" si="4"/>
        <v>18000372</v>
      </c>
      <c r="U165" s="8">
        <v>3859339</v>
      </c>
      <c r="X165" s="8">
        <f>+'St of Net Assets - GA'!O150-'LT _Lia - GA'!U165</f>
        <v>0</v>
      </c>
    </row>
    <row r="166" spans="1:24" hidden="1">
      <c r="A166" s="13" t="s">
        <v>858</v>
      </c>
      <c r="B166" s="13"/>
      <c r="C166" s="13" t="s">
        <v>28</v>
      </c>
      <c r="D166" s="13"/>
      <c r="E166" s="32">
        <v>47050</v>
      </c>
      <c r="I166" s="8">
        <v>0</v>
      </c>
      <c r="K166" s="8">
        <v>0</v>
      </c>
      <c r="M166" s="8">
        <v>0</v>
      </c>
      <c r="O166" s="8">
        <v>0</v>
      </c>
      <c r="Q166" s="8">
        <v>0</v>
      </c>
      <c r="S166" s="9">
        <f t="shared" si="4"/>
        <v>0</v>
      </c>
      <c r="X166" s="8">
        <f>+'St of Net Assets - GA'!O151-'LT _Lia - GA'!U166</f>
        <v>0</v>
      </c>
    </row>
    <row r="167" spans="1:24">
      <c r="A167" s="13" t="s">
        <v>707</v>
      </c>
      <c r="B167" s="13"/>
      <c r="C167" s="13" t="s">
        <v>66</v>
      </c>
      <c r="D167" s="13"/>
      <c r="E167" s="13">
        <v>50328</v>
      </c>
      <c r="G167" s="8">
        <v>11455424</v>
      </c>
      <c r="I167" s="8">
        <v>0</v>
      </c>
      <c r="K167" s="8">
        <v>203000</v>
      </c>
      <c r="M167" s="8">
        <f>79213+1095000</f>
        <v>1174213</v>
      </c>
      <c r="O167" s="8">
        <v>432058</v>
      </c>
      <c r="Q167" s="8">
        <v>353377</v>
      </c>
      <c r="S167" s="9">
        <f t="shared" si="4"/>
        <v>13618072</v>
      </c>
      <c r="U167" s="8">
        <v>707215</v>
      </c>
      <c r="X167" s="8">
        <f>+'St of Net Assets - GA'!O152-'LT _Lia - GA'!U167</f>
        <v>0</v>
      </c>
    </row>
    <row r="168" spans="1:24">
      <c r="A168" s="13" t="s">
        <v>884</v>
      </c>
      <c r="B168" s="13"/>
      <c r="C168" s="13" t="s">
        <v>117</v>
      </c>
      <c r="D168" s="13"/>
      <c r="E168" s="13">
        <v>46102</v>
      </c>
      <c r="G168" s="8">
        <f>1700000+15074987+1427391+965000+120000</f>
        <v>19287378</v>
      </c>
      <c r="I168" s="8">
        <v>0</v>
      </c>
      <c r="K168" s="8">
        <v>0</v>
      </c>
      <c r="M168" s="8">
        <v>27036</v>
      </c>
      <c r="O168" s="8">
        <v>3460254</v>
      </c>
      <c r="Q168" s="8">
        <v>0</v>
      </c>
      <c r="S168" s="9">
        <f>SUM(G168:R168)</f>
        <v>22774668</v>
      </c>
      <c r="U168" s="8">
        <v>1491446</v>
      </c>
      <c r="X168" s="8">
        <f>+'St of Net Assets - GA'!O153-'LT _Lia - GA'!U168</f>
        <v>0</v>
      </c>
    </row>
    <row r="169" spans="1:24">
      <c r="A169" s="13" t="s">
        <v>247</v>
      </c>
      <c r="B169" s="13"/>
      <c r="C169" s="13" t="s">
        <v>246</v>
      </c>
      <c r="D169" s="13"/>
      <c r="E169" s="32">
        <v>46102</v>
      </c>
      <c r="G169" s="8">
        <v>31880655</v>
      </c>
      <c r="I169" s="8">
        <v>0</v>
      </c>
      <c r="K169" s="8">
        <v>0</v>
      </c>
      <c r="M169" s="8">
        <v>395312</v>
      </c>
      <c r="O169" s="8">
        <v>8699792</v>
      </c>
      <c r="Q169" s="8">
        <v>0</v>
      </c>
      <c r="S169" s="9">
        <f t="shared" si="4"/>
        <v>40975759</v>
      </c>
      <c r="U169" s="8">
        <v>3046721</v>
      </c>
      <c r="X169" s="8">
        <f>+'St of Net Assets - GA'!O154-'LT _Lia - GA'!U169</f>
        <v>0</v>
      </c>
    </row>
    <row r="170" spans="1:24">
      <c r="A170" s="13" t="s">
        <v>441</v>
      </c>
      <c r="B170" s="13"/>
      <c r="C170" s="13" t="s">
        <v>440</v>
      </c>
      <c r="D170" s="13"/>
      <c r="E170" s="32">
        <v>47621</v>
      </c>
      <c r="G170" s="8">
        <f>2557925-474177</f>
        <v>2083748</v>
      </c>
      <c r="I170" s="8">
        <v>0</v>
      </c>
      <c r="K170" s="8">
        <v>0</v>
      </c>
      <c r="M170" s="8">
        <v>0</v>
      </c>
      <c r="O170" s="8">
        <v>474177</v>
      </c>
      <c r="Q170" s="8">
        <v>0</v>
      </c>
      <c r="S170" s="9">
        <f t="shared" si="4"/>
        <v>2557925</v>
      </c>
      <c r="U170" s="8">
        <v>143508</v>
      </c>
      <c r="X170" s="8">
        <f>+'St of Net Assets - GA'!O155-'LT _Lia - GA'!U170</f>
        <v>0</v>
      </c>
    </row>
    <row r="171" spans="1:24">
      <c r="A171" s="13" t="s">
        <v>350</v>
      </c>
      <c r="B171" s="13"/>
      <c r="C171" s="13" t="s">
        <v>25</v>
      </c>
      <c r="D171" s="13"/>
      <c r="E171" s="32">
        <v>46870</v>
      </c>
      <c r="G171" s="8">
        <f>7939550+755000+255000+8210000+9959998+365637</f>
        <v>27485185</v>
      </c>
      <c r="I171" s="8">
        <v>0</v>
      </c>
      <c r="K171" s="8">
        <v>290000</v>
      </c>
      <c r="M171" s="8">
        <v>315475</v>
      </c>
      <c r="O171" s="8">
        <v>1200005</v>
      </c>
      <c r="Q171" s="8">
        <v>0</v>
      </c>
      <c r="S171" s="9">
        <f t="shared" si="4"/>
        <v>29290665</v>
      </c>
      <c r="U171" s="8">
        <v>505046</v>
      </c>
      <c r="X171" s="8">
        <f>+'St of Net Assets - GA'!O156-'LT _Lia - GA'!U171</f>
        <v>0</v>
      </c>
    </row>
    <row r="172" spans="1:24">
      <c r="A172" s="13" t="s">
        <v>473</v>
      </c>
      <c r="B172" s="13"/>
      <c r="C172" s="13" t="s">
        <v>471</v>
      </c>
      <c r="D172" s="13"/>
      <c r="E172" s="32">
        <v>47936</v>
      </c>
      <c r="G172" s="8">
        <v>2920000</v>
      </c>
      <c r="I172" s="8">
        <v>0</v>
      </c>
      <c r="K172" s="8">
        <v>0</v>
      </c>
      <c r="M172" s="8">
        <v>0</v>
      </c>
      <c r="O172" s="8">
        <v>754056</v>
      </c>
      <c r="Q172" s="8">
        <v>0</v>
      </c>
      <c r="S172" s="9">
        <f t="shared" si="4"/>
        <v>3674056</v>
      </c>
      <c r="U172" s="8">
        <v>238307</v>
      </c>
      <c r="X172" s="8">
        <f>+'St of Net Assets - GA'!O157-'LT _Lia - GA'!U172</f>
        <v>0</v>
      </c>
    </row>
    <row r="173" spans="1:24" hidden="1">
      <c r="A173" s="13" t="s">
        <v>648</v>
      </c>
      <c r="B173" s="13"/>
      <c r="C173" s="13" t="s">
        <v>61</v>
      </c>
      <c r="D173" s="13"/>
      <c r="E173" s="32">
        <v>49775</v>
      </c>
      <c r="I173" s="8">
        <v>0</v>
      </c>
      <c r="K173" s="8">
        <v>0</v>
      </c>
      <c r="M173" s="8">
        <v>0</v>
      </c>
      <c r="O173" s="8">
        <v>0</v>
      </c>
      <c r="Q173" s="8">
        <v>0</v>
      </c>
      <c r="S173" s="9">
        <f t="shared" si="4"/>
        <v>0</v>
      </c>
      <c r="U173" s="8">
        <v>0</v>
      </c>
      <c r="X173" s="8">
        <f>+'St of Net Assets - GA'!O158-'LT _Lia - GA'!U173</f>
        <v>0</v>
      </c>
    </row>
    <row r="174" spans="1:24">
      <c r="A174" s="13" t="s">
        <v>656</v>
      </c>
      <c r="B174" s="13"/>
      <c r="C174" s="13" t="s">
        <v>62</v>
      </c>
      <c r="D174" s="13"/>
      <c r="E174" s="32">
        <v>49841</v>
      </c>
      <c r="G174" s="8">
        <v>13325000</v>
      </c>
      <c r="I174" s="8">
        <v>0</v>
      </c>
      <c r="K174" s="8">
        <v>0</v>
      </c>
      <c r="M174" s="8">
        <v>0</v>
      </c>
      <c r="O174" s="8">
        <v>686750</v>
      </c>
      <c r="Q174" s="8">
        <v>289076</v>
      </c>
      <c r="S174" s="9">
        <f t="shared" si="4"/>
        <v>14300826</v>
      </c>
      <c r="U174" s="8">
        <v>425815</v>
      </c>
      <c r="X174" s="8">
        <f>+'St of Net Assets - GA'!O159-'LT _Lia - GA'!U174</f>
        <v>0</v>
      </c>
    </row>
    <row r="175" spans="1:24" hidden="1">
      <c r="A175" s="13" t="s">
        <v>463</v>
      </c>
      <c r="B175" s="13"/>
      <c r="C175" s="13" t="s">
        <v>41</v>
      </c>
      <c r="D175" s="13"/>
      <c r="E175" s="32">
        <v>45369</v>
      </c>
      <c r="I175" s="8">
        <v>0</v>
      </c>
      <c r="K175" s="8">
        <v>0</v>
      </c>
      <c r="M175" s="8">
        <v>0</v>
      </c>
      <c r="O175" s="8">
        <v>0</v>
      </c>
      <c r="Q175" s="8">
        <v>0</v>
      </c>
      <c r="S175" s="9">
        <f t="shared" si="4"/>
        <v>0</v>
      </c>
      <c r="U175" s="8">
        <v>0</v>
      </c>
      <c r="X175" s="8">
        <f>+'St of Net Assets - GA'!O160-'LT _Lia - GA'!U175</f>
        <v>0</v>
      </c>
    </row>
    <row r="176" spans="1:24">
      <c r="A176" s="13" t="s">
        <v>311</v>
      </c>
      <c r="B176" s="13"/>
      <c r="C176" s="13" t="s">
        <v>20</v>
      </c>
      <c r="D176" s="13"/>
      <c r="E176" s="32">
        <v>43976</v>
      </c>
      <c r="G176" s="8">
        <v>31388460</v>
      </c>
      <c r="I176" s="8">
        <v>0</v>
      </c>
      <c r="K176" s="8">
        <v>0</v>
      </c>
      <c r="M176" s="8">
        <v>0</v>
      </c>
      <c r="O176" s="8">
        <v>1332744</v>
      </c>
      <c r="Q176" s="8">
        <v>404038</v>
      </c>
      <c r="S176" s="9">
        <f t="shared" si="4"/>
        <v>33125242</v>
      </c>
      <c r="U176" s="8">
        <v>1561476</v>
      </c>
      <c r="X176" s="8">
        <f>+'St of Net Assets - GA'!O161-'LT _Lia - GA'!U176</f>
        <v>0</v>
      </c>
    </row>
    <row r="177" spans="1:24">
      <c r="A177" s="13" t="s">
        <v>241</v>
      </c>
      <c r="B177" s="13"/>
      <c r="C177" s="13" t="s">
        <v>77</v>
      </c>
      <c r="D177" s="13"/>
      <c r="E177" s="32">
        <v>46045</v>
      </c>
      <c r="G177" s="8">
        <f>10952+8690000+119652-96058</f>
        <v>8724546</v>
      </c>
      <c r="I177" s="8">
        <v>0</v>
      </c>
      <c r="K177" s="8">
        <v>0</v>
      </c>
      <c r="M177" s="8">
        <v>0</v>
      </c>
      <c r="O177" s="8">
        <v>337816</v>
      </c>
      <c r="Q177" s="8">
        <v>0</v>
      </c>
      <c r="S177" s="9">
        <f t="shared" si="4"/>
        <v>9062362</v>
      </c>
      <c r="U177" s="8">
        <v>335102</v>
      </c>
      <c r="X177" s="8">
        <f>+'St of Net Assets - GA'!O162-'LT _Lia - GA'!U177</f>
        <v>0</v>
      </c>
    </row>
    <row r="178" spans="1:24">
      <c r="A178" s="13" t="s">
        <v>272</v>
      </c>
      <c r="B178" s="13"/>
      <c r="C178" s="13" t="s">
        <v>116</v>
      </c>
      <c r="D178" s="13"/>
      <c r="E178" s="32">
        <v>46334</v>
      </c>
      <c r="G178" s="8">
        <v>2390000</v>
      </c>
      <c r="I178" s="8">
        <v>0</v>
      </c>
      <c r="K178" s="8">
        <v>0</v>
      </c>
      <c r="M178" s="8">
        <v>89782</v>
      </c>
      <c r="O178" s="8">
        <v>540260</v>
      </c>
      <c r="Q178" s="8">
        <v>0</v>
      </c>
      <c r="S178" s="9">
        <f t="shared" si="4"/>
        <v>3020042</v>
      </c>
      <c r="U178" s="8">
        <v>263541</v>
      </c>
      <c r="X178" s="8">
        <f>+'St of Net Assets - GA'!O163-'LT _Lia - GA'!U178</f>
        <v>0</v>
      </c>
    </row>
    <row r="179" spans="1:24">
      <c r="A179" s="13" t="s">
        <v>597</v>
      </c>
      <c r="B179" s="13"/>
      <c r="C179" s="13" t="s">
        <v>56</v>
      </c>
      <c r="D179" s="13"/>
      <c r="E179" s="32">
        <v>49197</v>
      </c>
      <c r="G179" s="8">
        <f>24145000+424662</f>
        <v>24569662</v>
      </c>
      <c r="I179" s="8">
        <v>51483</v>
      </c>
      <c r="K179" s="8">
        <v>0</v>
      </c>
      <c r="M179" s="8">
        <v>96479</v>
      </c>
      <c r="O179" s="8">
        <v>970385</v>
      </c>
      <c r="Q179" s="8">
        <v>189578</v>
      </c>
      <c r="S179" s="9">
        <f t="shared" si="4"/>
        <v>25877587</v>
      </c>
      <c r="U179" s="8">
        <v>395896</v>
      </c>
      <c r="X179" s="8">
        <f>+'St of Net Assets - GA'!O164-'LT _Lia - GA'!U179</f>
        <v>0</v>
      </c>
    </row>
    <row r="180" spans="1:24">
      <c r="A180" s="13" t="s">
        <v>421</v>
      </c>
      <c r="B180" s="13"/>
      <c r="C180" s="13" t="s">
        <v>33</v>
      </c>
      <c r="D180" s="13"/>
      <c r="E180" s="32">
        <v>43984</v>
      </c>
      <c r="G180" s="8">
        <v>0</v>
      </c>
      <c r="I180" s="8">
        <v>419537</v>
      </c>
      <c r="K180" s="8">
        <v>0</v>
      </c>
      <c r="M180" s="8">
        <v>1899449</v>
      </c>
      <c r="O180" s="8">
        <v>3602365</v>
      </c>
      <c r="Q180" s="8">
        <v>0</v>
      </c>
      <c r="S180" s="9">
        <f t="shared" si="4"/>
        <v>5921351</v>
      </c>
      <c r="U180" s="8">
        <v>1125416</v>
      </c>
      <c r="X180" s="8">
        <f>+'St of Net Assets - GA'!O165-'LT _Lia - GA'!U180</f>
        <v>0</v>
      </c>
    </row>
    <row r="181" spans="1:24">
      <c r="A181" s="13" t="s">
        <v>398</v>
      </c>
      <c r="B181" s="13"/>
      <c r="C181" s="13" t="s">
        <v>32</v>
      </c>
      <c r="D181" s="13"/>
      <c r="E181" s="32">
        <v>47332</v>
      </c>
      <c r="G181" s="8">
        <v>6720000</v>
      </c>
      <c r="I181" s="8">
        <v>0</v>
      </c>
      <c r="K181" s="8">
        <v>0</v>
      </c>
      <c r="M181" s="8">
        <v>594000</v>
      </c>
      <c r="O181" s="8">
        <v>1245761</v>
      </c>
      <c r="Q181" s="8">
        <v>0</v>
      </c>
      <c r="S181" s="9">
        <f t="shared" si="4"/>
        <v>8559761</v>
      </c>
      <c r="U181" s="8">
        <v>414265</v>
      </c>
      <c r="X181" s="8">
        <f>+'St of Net Assets - GA'!O166-'LT _Lia - GA'!U181</f>
        <v>0</v>
      </c>
    </row>
    <row r="182" spans="1:24">
      <c r="A182" s="13" t="s">
        <v>494</v>
      </c>
      <c r="B182" s="13"/>
      <c r="C182" s="13" t="s">
        <v>44</v>
      </c>
      <c r="D182" s="13"/>
      <c r="E182" s="32">
        <v>48157</v>
      </c>
      <c r="G182" s="8">
        <v>0</v>
      </c>
      <c r="I182" s="8">
        <v>0</v>
      </c>
      <c r="K182" s="8">
        <v>0</v>
      </c>
      <c r="M182" s="8">
        <v>60566</v>
      </c>
      <c r="O182" s="8">
        <v>1196482</v>
      </c>
      <c r="Q182" s="8">
        <v>0</v>
      </c>
      <c r="S182" s="9">
        <f t="shared" si="4"/>
        <v>1257048</v>
      </c>
      <c r="U182" s="8">
        <v>390647</v>
      </c>
      <c r="X182" s="8">
        <f>+'St of Net Assets - GA'!O167-'LT _Lia - GA'!U182</f>
        <v>0</v>
      </c>
    </row>
    <row r="183" spans="1:24">
      <c r="A183" s="13" t="s">
        <v>399</v>
      </c>
      <c r="B183" s="13"/>
      <c r="C183" s="13" t="s">
        <v>32</v>
      </c>
      <c r="D183" s="13"/>
      <c r="E183" s="32">
        <v>47340</v>
      </c>
      <c r="G183" s="8">
        <v>16245000</v>
      </c>
      <c r="I183" s="8">
        <v>0</v>
      </c>
      <c r="K183" s="8">
        <v>0</v>
      </c>
      <c r="M183" s="8">
        <v>0</v>
      </c>
      <c r="O183" s="8">
        <v>2446426</v>
      </c>
      <c r="Q183" s="8">
        <v>128483</v>
      </c>
      <c r="S183" s="9">
        <f t="shared" si="4"/>
        <v>18819909</v>
      </c>
      <c r="U183" s="8">
        <v>1953090</v>
      </c>
      <c r="X183" s="8">
        <f>+'St of Net Assets - GA'!O168-'LT _Lia - GA'!U183</f>
        <v>0</v>
      </c>
    </row>
    <row r="184" spans="1:24" hidden="1">
      <c r="A184" s="13" t="s">
        <v>722</v>
      </c>
      <c r="B184" s="13"/>
      <c r="C184" s="13" t="s">
        <v>70</v>
      </c>
      <c r="D184" s="13"/>
      <c r="E184" s="32">
        <v>50484</v>
      </c>
      <c r="G184" s="8">
        <v>0</v>
      </c>
      <c r="I184" s="8">
        <v>0</v>
      </c>
      <c r="K184" s="8">
        <v>0</v>
      </c>
      <c r="M184" s="8">
        <v>0</v>
      </c>
      <c r="O184" s="8">
        <v>0</v>
      </c>
      <c r="Q184" s="8">
        <v>0</v>
      </c>
      <c r="S184" s="9">
        <f t="shared" si="4"/>
        <v>0</v>
      </c>
      <c r="U184" s="8">
        <v>0</v>
      </c>
      <c r="X184" s="8">
        <f>+'St of Net Assets - GA'!O169-'LT _Lia - GA'!U184</f>
        <v>0</v>
      </c>
    </row>
    <row r="185" spans="1:24">
      <c r="A185" s="13" t="s">
        <v>649</v>
      </c>
      <c r="B185" s="13"/>
      <c r="C185" s="13" t="s">
        <v>61</v>
      </c>
      <c r="D185" s="13"/>
      <c r="E185" s="32">
        <v>49783</v>
      </c>
      <c r="G185" s="8">
        <v>10432816</v>
      </c>
      <c r="I185" s="8">
        <v>0</v>
      </c>
      <c r="K185" s="8">
        <v>1615000</v>
      </c>
      <c r="M185" s="8">
        <v>0</v>
      </c>
      <c r="O185" s="8">
        <v>398533</v>
      </c>
      <c r="Q185" s="8">
        <v>0</v>
      </c>
      <c r="S185" s="9">
        <f t="shared" si="4"/>
        <v>12446349</v>
      </c>
      <c r="U185" s="8">
        <v>272316</v>
      </c>
      <c r="X185" s="8">
        <f>+'St of Net Assets - GA'!O170-'LT _Lia - GA'!U185</f>
        <v>0</v>
      </c>
    </row>
    <row r="186" spans="1:24">
      <c r="A186" s="13" t="s">
        <v>641</v>
      </c>
      <c r="B186" s="13"/>
      <c r="C186" s="13" t="s">
        <v>60</v>
      </c>
      <c r="D186" s="13"/>
      <c r="E186" s="32">
        <v>43992</v>
      </c>
      <c r="G186" s="8">
        <v>6467568</v>
      </c>
      <c r="I186" s="8">
        <v>0</v>
      </c>
      <c r="K186" s="8">
        <v>0</v>
      </c>
      <c r="M186" s="8">
        <v>210000</v>
      </c>
      <c r="O186" s="8">
        <v>1195738</v>
      </c>
      <c r="Q186" s="8">
        <v>0</v>
      </c>
      <c r="S186" s="9">
        <f t="shared" si="4"/>
        <v>7873306</v>
      </c>
      <c r="U186" s="8">
        <v>971349</v>
      </c>
      <c r="X186" s="8">
        <f>+'St of Net Assets - GA'!O171-'LT _Lia - GA'!U186</f>
        <v>0</v>
      </c>
    </row>
    <row r="187" spans="1:24">
      <c r="A187" s="13" t="s">
        <v>714</v>
      </c>
      <c r="B187" s="13"/>
      <c r="C187" s="13" t="s">
        <v>69</v>
      </c>
      <c r="D187" s="13"/>
      <c r="E187" s="32">
        <v>44008</v>
      </c>
      <c r="G187" s="8">
        <v>3494085</v>
      </c>
      <c r="I187" s="8">
        <v>0</v>
      </c>
      <c r="K187" s="8">
        <v>0</v>
      </c>
      <c r="M187" s="8">
        <v>0</v>
      </c>
      <c r="O187" s="8">
        <v>1467914</v>
      </c>
      <c r="Q187" s="8">
        <v>0</v>
      </c>
      <c r="S187" s="9">
        <f t="shared" si="4"/>
        <v>4961999</v>
      </c>
      <c r="U187" s="8">
        <v>388580</v>
      </c>
      <c r="X187" s="8">
        <f>+'St of Net Assets - GA'!O172-'LT _Lia - GA'!U187</f>
        <v>0</v>
      </c>
    </row>
    <row r="188" spans="1:24">
      <c r="A188" s="13"/>
      <c r="B188" s="13"/>
      <c r="C188" s="13"/>
      <c r="D188" s="13"/>
      <c r="E188" s="32"/>
      <c r="S188" s="9"/>
    </row>
    <row r="189" spans="1:24">
      <c r="A189" s="13"/>
      <c r="B189" s="13"/>
      <c r="C189" s="13"/>
      <c r="D189" s="13"/>
      <c r="E189" s="32"/>
      <c r="S189" s="9"/>
      <c r="U189" s="8" t="s">
        <v>819</v>
      </c>
    </row>
    <row r="190" spans="1:24" s="35" customFormat="1">
      <c r="A190" s="34" t="s">
        <v>572</v>
      </c>
      <c r="B190" s="34"/>
      <c r="C190" s="34" t="s">
        <v>51</v>
      </c>
      <c r="D190" s="34"/>
      <c r="E190" s="34">
        <v>48843</v>
      </c>
      <c r="G190" s="35">
        <v>6447812</v>
      </c>
      <c r="I190" s="35">
        <v>0</v>
      </c>
      <c r="K190" s="35">
        <v>0</v>
      </c>
      <c r="M190" s="35">
        <v>187253</v>
      </c>
      <c r="O190" s="35">
        <v>0</v>
      </c>
      <c r="Q190" s="35">
        <v>1398044</v>
      </c>
      <c r="S190" s="44">
        <f t="shared" si="4"/>
        <v>8033109</v>
      </c>
      <c r="U190" s="35">
        <v>418743</v>
      </c>
      <c r="X190" s="35">
        <f>+'St of Net Assets - GA'!O173-'LT _Lia - GA'!U190</f>
        <v>0</v>
      </c>
    </row>
    <row r="191" spans="1:24" hidden="1">
      <c r="A191" s="13" t="s">
        <v>330</v>
      </c>
      <c r="B191" s="13"/>
      <c r="C191" s="13" t="s">
        <v>21</v>
      </c>
      <c r="D191" s="13"/>
      <c r="E191" s="32">
        <v>46649</v>
      </c>
      <c r="G191" s="8">
        <v>0</v>
      </c>
      <c r="I191" s="8">
        <v>0</v>
      </c>
      <c r="K191" s="8">
        <v>0</v>
      </c>
      <c r="M191" s="8">
        <v>0</v>
      </c>
      <c r="O191" s="8">
        <v>0</v>
      </c>
      <c r="Q191" s="8">
        <v>0</v>
      </c>
      <c r="S191" s="9">
        <f t="shared" si="4"/>
        <v>0</v>
      </c>
      <c r="U191" s="8">
        <v>0</v>
      </c>
      <c r="X191" s="8">
        <f>+'St of Net Assets - GA'!O174-'LT _Lia - GA'!U191</f>
        <v>0</v>
      </c>
    </row>
    <row r="192" spans="1:24">
      <c r="A192" s="13" t="s">
        <v>461</v>
      </c>
      <c r="B192" s="13"/>
      <c r="C192" s="13" t="s">
        <v>40</v>
      </c>
      <c r="D192" s="13"/>
      <c r="E192" s="32">
        <v>47852</v>
      </c>
      <c r="G192" s="8">
        <v>7184372</v>
      </c>
      <c r="I192" s="8">
        <v>0</v>
      </c>
      <c r="K192" s="8">
        <v>0</v>
      </c>
      <c r="M192" s="8">
        <v>1480000</v>
      </c>
      <c r="O192" s="8">
        <v>681356</v>
      </c>
      <c r="Q192" s="8">
        <v>0</v>
      </c>
      <c r="S192" s="9">
        <f t="shared" si="4"/>
        <v>9345728</v>
      </c>
      <c r="U192" s="8">
        <v>299237</v>
      </c>
      <c r="X192" s="8">
        <f>+'St of Net Assets - GA'!O175-'LT _Lia - GA'!U192</f>
        <v>0</v>
      </c>
    </row>
    <row r="193" spans="1:24">
      <c r="A193" s="13" t="s">
        <v>628</v>
      </c>
      <c r="B193" s="13"/>
      <c r="C193" s="13" t="s">
        <v>79</v>
      </c>
      <c r="D193" s="13"/>
      <c r="E193" s="13">
        <v>44016</v>
      </c>
      <c r="G193" s="8">
        <v>0</v>
      </c>
      <c r="I193" s="8">
        <v>0</v>
      </c>
      <c r="K193" s="8">
        <v>0</v>
      </c>
      <c r="M193" s="8">
        <v>0</v>
      </c>
      <c r="O193" s="8">
        <v>358497</v>
      </c>
      <c r="Q193" s="8">
        <v>0</v>
      </c>
      <c r="S193" s="9">
        <f t="shared" si="4"/>
        <v>358497</v>
      </c>
      <c r="U193" s="8">
        <v>691856</v>
      </c>
      <c r="X193" s="8">
        <f>+'St of Net Assets - GA'!O176-'LT _Lia - GA'!U193</f>
        <v>0</v>
      </c>
    </row>
    <row r="194" spans="1:24" ht="11.4" customHeight="1">
      <c r="A194" s="13" t="s">
        <v>723</v>
      </c>
      <c r="B194" s="13"/>
      <c r="C194" s="13" t="s">
        <v>70</v>
      </c>
      <c r="D194" s="13"/>
      <c r="E194" s="32">
        <v>50492</v>
      </c>
      <c r="G194" s="8">
        <v>1740000</v>
      </c>
      <c r="I194" s="8">
        <v>0</v>
      </c>
      <c r="K194" s="8">
        <v>174000</v>
      </c>
      <c r="M194" s="8">
        <v>93316</v>
      </c>
      <c r="O194" s="8">
        <v>724547</v>
      </c>
      <c r="Q194" s="8">
        <v>0</v>
      </c>
      <c r="S194" s="9">
        <f t="shared" si="4"/>
        <v>2731863</v>
      </c>
      <c r="U194" s="8">
        <v>135266</v>
      </c>
      <c r="X194" s="8">
        <f>+'St of Net Assets - GA'!O177-'LT _Lia - GA'!U194</f>
        <v>0</v>
      </c>
    </row>
    <row r="195" spans="1:24">
      <c r="A195" s="13" t="s">
        <v>360</v>
      </c>
      <c r="B195" s="13"/>
      <c r="C195" s="13" t="s">
        <v>27</v>
      </c>
      <c r="D195" s="13"/>
      <c r="E195" s="32">
        <v>46961</v>
      </c>
      <c r="G195" s="8">
        <v>21961420</v>
      </c>
      <c r="I195" s="8">
        <v>0</v>
      </c>
      <c r="K195" s="8">
        <v>0</v>
      </c>
      <c r="M195" s="8">
        <v>0</v>
      </c>
      <c r="O195" s="8">
        <v>6686682</v>
      </c>
      <c r="Q195" s="8">
        <v>0</v>
      </c>
      <c r="S195" s="9">
        <f t="shared" si="4"/>
        <v>28648102</v>
      </c>
      <c r="U195" s="8">
        <v>2840210</v>
      </c>
      <c r="X195" s="8">
        <f>+'St of Net Assets - GA'!O178-'LT _Lia - GA'!U195</f>
        <v>0</v>
      </c>
    </row>
    <row r="196" spans="1:24">
      <c r="A196" s="13" t="s">
        <v>298</v>
      </c>
      <c r="B196" s="13"/>
      <c r="C196" s="13" t="s">
        <v>114</v>
      </c>
      <c r="D196" s="13"/>
      <c r="E196" s="32">
        <v>44024</v>
      </c>
      <c r="G196" s="8">
        <v>18486538</v>
      </c>
      <c r="I196" s="8">
        <v>0</v>
      </c>
      <c r="K196" s="8">
        <v>0</v>
      </c>
      <c r="M196" s="8">
        <v>70758</v>
      </c>
      <c r="O196" s="8">
        <v>1261531</v>
      </c>
      <c r="Q196" s="8">
        <v>0</v>
      </c>
      <c r="S196" s="9">
        <f t="shared" si="4"/>
        <v>19818827</v>
      </c>
      <c r="U196" s="8">
        <v>392426</v>
      </c>
      <c r="X196" s="8">
        <f>+'St of Net Assets - GA'!O179-'LT _Lia - GA'!U196</f>
        <v>0</v>
      </c>
    </row>
    <row r="197" spans="1:24">
      <c r="A197" s="13" t="s">
        <v>379</v>
      </c>
      <c r="B197" s="13"/>
      <c r="C197" s="13" t="s">
        <v>29</v>
      </c>
      <c r="D197" s="13"/>
      <c r="E197" s="32">
        <v>65680</v>
      </c>
      <c r="G197" s="8">
        <v>43456602</v>
      </c>
      <c r="I197" s="8">
        <v>0</v>
      </c>
      <c r="K197" s="8">
        <v>0</v>
      </c>
      <c r="M197" s="8">
        <v>0</v>
      </c>
      <c r="O197" s="8">
        <v>1632169</v>
      </c>
      <c r="Q197" s="8">
        <v>0</v>
      </c>
      <c r="S197" s="9">
        <f t="shared" si="4"/>
        <v>45088771</v>
      </c>
      <c r="U197" s="8">
        <v>628326</v>
      </c>
      <c r="X197" s="8">
        <f>+'St of Net Assets - GA'!O180-'LT _Lia - GA'!U197</f>
        <v>0</v>
      </c>
    </row>
    <row r="198" spans="1:24">
      <c r="A198" s="13" t="s">
        <v>380</v>
      </c>
      <c r="B198" s="13"/>
      <c r="C198" s="13" t="s">
        <v>29</v>
      </c>
      <c r="D198" s="13"/>
      <c r="E198" s="32">
        <v>44032</v>
      </c>
      <c r="G198" s="8">
        <v>24670000</v>
      </c>
      <c r="I198" s="8">
        <v>0</v>
      </c>
      <c r="K198" s="8">
        <v>0</v>
      </c>
      <c r="M198" s="8">
        <v>0</v>
      </c>
      <c r="O198" s="8">
        <v>1660003</v>
      </c>
      <c r="Q198" s="8">
        <v>0</v>
      </c>
      <c r="S198" s="9">
        <f t="shared" si="4"/>
        <v>26330003</v>
      </c>
      <c r="U198" s="8">
        <v>741310</v>
      </c>
      <c r="X198" s="8">
        <f>+'St of Net Assets - GA'!O181-'LT _Lia - GA'!U198</f>
        <v>0</v>
      </c>
    </row>
    <row r="199" spans="1:24">
      <c r="A199" s="13" t="s">
        <v>701</v>
      </c>
      <c r="B199" s="13"/>
      <c r="C199" s="13" t="s">
        <v>65</v>
      </c>
      <c r="D199" s="13"/>
      <c r="E199" s="32">
        <v>50278</v>
      </c>
      <c r="G199" s="8">
        <v>1020000</v>
      </c>
      <c r="I199" s="8">
        <v>0</v>
      </c>
      <c r="K199" s="8">
        <v>274551</v>
      </c>
      <c r="M199" s="8">
        <v>0</v>
      </c>
      <c r="O199" s="8">
        <v>657536</v>
      </c>
      <c r="Q199" s="8">
        <f>-27344+19729</f>
        <v>-7615</v>
      </c>
      <c r="S199" s="9">
        <f t="shared" si="4"/>
        <v>1944472</v>
      </c>
      <c r="U199" s="8">
        <v>239649</v>
      </c>
      <c r="X199" s="8">
        <f>+'St of Net Assets - GA'!O182-'LT _Lia - GA'!U199</f>
        <v>0</v>
      </c>
    </row>
    <row r="200" spans="1:24" hidden="1">
      <c r="A200" s="13" t="s">
        <v>312</v>
      </c>
      <c r="B200" s="13"/>
      <c r="C200" s="13" t="s">
        <v>20</v>
      </c>
      <c r="D200" s="13"/>
      <c r="E200" s="32">
        <v>44040</v>
      </c>
      <c r="G200" s="8">
        <v>0</v>
      </c>
      <c r="I200" s="8">
        <v>0</v>
      </c>
      <c r="K200" s="8">
        <v>0</v>
      </c>
      <c r="M200" s="8">
        <v>0</v>
      </c>
      <c r="O200" s="8">
        <v>0</v>
      </c>
      <c r="Q200" s="8">
        <v>0</v>
      </c>
      <c r="S200" s="9">
        <f t="shared" si="4"/>
        <v>0</v>
      </c>
      <c r="U200" s="8">
        <v>0</v>
      </c>
      <c r="X200" s="8">
        <f>+'St of Net Assets - GA'!O183-'LT _Lia - GA'!U200</f>
        <v>0</v>
      </c>
    </row>
    <row r="201" spans="1:24">
      <c r="A201" s="12" t="s">
        <v>936</v>
      </c>
      <c r="B201" s="13"/>
      <c r="C201" s="13" t="s">
        <v>12</v>
      </c>
      <c r="D201" s="13"/>
      <c r="E201" s="32">
        <v>44057</v>
      </c>
      <c r="G201" s="8">
        <v>20835702</v>
      </c>
      <c r="I201" s="8">
        <v>0</v>
      </c>
      <c r="K201" s="8">
        <v>0</v>
      </c>
      <c r="M201" s="8">
        <v>0</v>
      </c>
      <c r="O201" s="8">
        <v>1730756</v>
      </c>
      <c r="Q201" s="8">
        <v>0</v>
      </c>
      <c r="S201" s="9">
        <f t="shared" si="4"/>
        <v>22566458</v>
      </c>
      <c r="U201" s="8">
        <v>1190306</v>
      </c>
      <c r="X201" s="8">
        <f>+'St of Net Assets - GA'!O184-'LT _Lia - GA'!U201</f>
        <v>0</v>
      </c>
    </row>
    <row r="202" spans="1:24">
      <c r="A202" s="13" t="s">
        <v>580</v>
      </c>
      <c r="B202" s="13"/>
      <c r="C202" s="13" t="s">
        <v>53</v>
      </c>
      <c r="D202" s="13"/>
      <c r="E202" s="32">
        <v>48942</v>
      </c>
      <c r="G202" s="8">
        <f>2915000+34999+34706+315000</f>
        <v>3299705</v>
      </c>
      <c r="I202" s="8">
        <v>0</v>
      </c>
      <c r="K202" s="8">
        <v>0</v>
      </c>
      <c r="M202" s="8">
        <v>1293089</v>
      </c>
      <c r="O202" s="8">
        <v>975197</v>
      </c>
      <c r="Q202" s="8">
        <v>290433</v>
      </c>
      <c r="S202" s="9">
        <f t="shared" si="4"/>
        <v>5858424</v>
      </c>
      <c r="U202" s="8">
        <v>499610</v>
      </c>
      <c r="X202" s="8">
        <f>+'St of Net Assets - GA'!O185-'LT _Lia - GA'!U202</f>
        <v>0</v>
      </c>
    </row>
    <row r="203" spans="1:24">
      <c r="A203" s="13" t="s">
        <v>242</v>
      </c>
      <c r="B203" s="13"/>
      <c r="C203" s="13" t="s">
        <v>77</v>
      </c>
      <c r="D203" s="13"/>
      <c r="E203" s="32">
        <v>45377</v>
      </c>
      <c r="G203" s="8">
        <f>409000+4396630+132000</f>
        <v>4937630</v>
      </c>
      <c r="I203" s="8">
        <v>0</v>
      </c>
      <c r="K203" s="8">
        <v>0</v>
      </c>
      <c r="M203" s="8">
        <v>0</v>
      </c>
      <c r="O203" s="8">
        <v>634743</v>
      </c>
      <c r="Q203" s="8">
        <v>0</v>
      </c>
      <c r="S203" s="9">
        <f t="shared" si="4"/>
        <v>5572373</v>
      </c>
      <c r="U203" s="8">
        <v>182305</v>
      </c>
      <c r="X203" s="8">
        <f>+'St of Net Assets - GA'!O186-'LT _Lia - GA'!U203</f>
        <v>0</v>
      </c>
    </row>
    <row r="204" spans="1:24">
      <c r="A204" s="13" t="s">
        <v>629</v>
      </c>
      <c r="B204" s="13"/>
      <c r="C204" s="13" t="s">
        <v>79</v>
      </c>
      <c r="D204" s="13"/>
      <c r="E204" s="32">
        <v>45385</v>
      </c>
      <c r="G204" s="8">
        <v>4587077</v>
      </c>
      <c r="I204" s="8">
        <v>0</v>
      </c>
      <c r="K204" s="8">
        <v>0</v>
      </c>
      <c r="M204" s="8">
        <v>327000</v>
      </c>
      <c r="O204" s="8">
        <v>409987</v>
      </c>
      <c r="Q204" s="8">
        <f>285589-211787</f>
        <v>73802</v>
      </c>
      <c r="S204" s="9">
        <f t="shared" ref="S204:S209" si="5">SUM(G204:R204)</f>
        <v>5397866</v>
      </c>
      <c r="U204" s="8">
        <v>342054</v>
      </c>
      <c r="X204" s="8">
        <f>+'St of Net Assets - GA'!O187-'LT _Lia - GA'!U204</f>
        <v>0</v>
      </c>
    </row>
    <row r="205" spans="1:24">
      <c r="A205" s="13" t="s">
        <v>684</v>
      </c>
      <c r="B205" s="13"/>
      <c r="C205" s="13" t="s">
        <v>64</v>
      </c>
      <c r="D205" s="13"/>
      <c r="E205" s="32">
        <v>44065</v>
      </c>
      <c r="G205" s="8">
        <v>12717479</v>
      </c>
      <c r="I205" s="8">
        <v>0</v>
      </c>
      <c r="K205" s="8">
        <v>0</v>
      </c>
      <c r="M205" s="8">
        <v>1000000</v>
      </c>
      <c r="O205" s="8">
        <v>1020317</v>
      </c>
      <c r="Q205" s="8">
        <v>0</v>
      </c>
      <c r="S205" s="9">
        <f t="shared" si="5"/>
        <v>14737796</v>
      </c>
      <c r="U205" s="8">
        <v>618246</v>
      </c>
      <c r="X205" s="8">
        <f>+'St of Net Assets - GA'!O188-'LT _Lia - GA'!U205</f>
        <v>0</v>
      </c>
    </row>
    <row r="206" spans="1:24">
      <c r="A206" s="13" t="s">
        <v>374</v>
      </c>
      <c r="B206" s="13"/>
      <c r="C206" s="13" t="s">
        <v>28</v>
      </c>
      <c r="D206" s="13"/>
      <c r="E206" s="32">
        <v>47068</v>
      </c>
      <c r="G206" s="8">
        <f>5405699-151763</f>
        <v>5253936</v>
      </c>
      <c r="I206" s="8">
        <v>0</v>
      </c>
      <c r="K206" s="8">
        <v>0</v>
      </c>
      <c r="M206" s="8">
        <v>0</v>
      </c>
      <c r="O206" s="8">
        <v>151763</v>
      </c>
      <c r="Q206" s="8">
        <v>0</v>
      </c>
      <c r="S206" s="9">
        <f t="shared" si="5"/>
        <v>5405699</v>
      </c>
      <c r="U206" s="8">
        <v>112310</v>
      </c>
      <c r="X206" s="8">
        <f>+'St of Net Assets - GA'!O189-'LT _Lia - GA'!U206</f>
        <v>0</v>
      </c>
    </row>
    <row r="207" spans="1:24">
      <c r="A207" s="13" t="s">
        <v>273</v>
      </c>
      <c r="B207" s="13"/>
      <c r="C207" s="13" t="s">
        <v>116</v>
      </c>
      <c r="D207" s="13"/>
      <c r="E207" s="32">
        <v>46342</v>
      </c>
      <c r="G207" s="8">
        <f>11889939-593008-1257628</f>
        <v>10039303</v>
      </c>
      <c r="I207" s="8">
        <v>0</v>
      </c>
      <c r="K207" s="8">
        <v>0</v>
      </c>
      <c r="M207" s="8">
        <v>593008</v>
      </c>
      <c r="O207" s="8">
        <v>1257628</v>
      </c>
      <c r="Q207" s="8">
        <v>0</v>
      </c>
      <c r="S207" s="9">
        <f t="shared" si="5"/>
        <v>11889939</v>
      </c>
      <c r="U207" s="8">
        <v>532417</v>
      </c>
      <c r="X207" s="8">
        <f>+'St of Net Assets - GA'!O190-'LT _Lia - GA'!U207</f>
        <v>0</v>
      </c>
    </row>
    <row r="208" spans="1:24">
      <c r="A208" s="13" t="s">
        <v>258</v>
      </c>
      <c r="B208" s="13"/>
      <c r="C208" s="13" t="s">
        <v>259</v>
      </c>
      <c r="D208" s="13"/>
      <c r="E208" s="32">
        <v>46193</v>
      </c>
      <c r="G208" s="8">
        <f>1095000+568664+16870000+405829+590816-93811</f>
        <v>19436498</v>
      </c>
      <c r="I208" s="8">
        <v>13085</v>
      </c>
      <c r="K208" s="8">
        <v>0</v>
      </c>
      <c r="M208" s="8">
        <v>886000</v>
      </c>
      <c r="O208" s="8">
        <v>1166622</v>
      </c>
      <c r="Q208" s="8">
        <v>0</v>
      </c>
      <c r="S208" s="9">
        <f t="shared" si="5"/>
        <v>21502205</v>
      </c>
      <c r="U208" s="8">
        <v>616088</v>
      </c>
      <c r="X208" s="8">
        <f>+'St of Net Assets - GA'!O191-'LT _Lia - GA'!U208</f>
        <v>0</v>
      </c>
    </row>
    <row r="209" spans="1:24">
      <c r="A209" s="13" t="s">
        <v>222</v>
      </c>
      <c r="B209" s="13"/>
      <c r="C209" s="13" t="s">
        <v>12</v>
      </c>
      <c r="D209" s="13"/>
      <c r="E209" s="13">
        <v>45864</v>
      </c>
      <c r="G209" s="8">
        <v>11130184</v>
      </c>
      <c r="I209" s="8">
        <v>0</v>
      </c>
      <c r="K209" s="8">
        <v>0</v>
      </c>
      <c r="M209" s="8">
        <v>1378000</v>
      </c>
      <c r="O209" s="8">
        <v>681997</v>
      </c>
      <c r="Q209" s="8">
        <v>0</v>
      </c>
      <c r="S209" s="9">
        <f t="shared" si="5"/>
        <v>13190181</v>
      </c>
      <c r="U209" s="8">
        <v>570055</v>
      </c>
      <c r="X209" s="8">
        <f>+'St of Net Assets - GA'!O192-'LT _Lia - GA'!U209</f>
        <v>0</v>
      </c>
    </row>
    <row r="210" spans="1:24">
      <c r="A210" s="13" t="s">
        <v>361</v>
      </c>
      <c r="B210" s="13"/>
      <c r="C210" s="13" t="s">
        <v>27</v>
      </c>
      <c r="D210" s="13"/>
      <c r="E210" s="32">
        <v>44073</v>
      </c>
      <c r="G210" s="8">
        <v>7244989</v>
      </c>
      <c r="I210" s="8">
        <v>0</v>
      </c>
      <c r="K210" s="8">
        <v>157000</v>
      </c>
      <c r="M210" s="8">
        <f>29986+36274</f>
        <v>66260</v>
      </c>
      <c r="O210" s="8">
        <v>1239198</v>
      </c>
      <c r="Q210" s="8">
        <v>0</v>
      </c>
      <c r="S210" s="9">
        <f t="shared" ref="S210:S275" si="6">SUM(G210:R210)</f>
        <v>8707447</v>
      </c>
      <c r="U210" s="8">
        <v>912588</v>
      </c>
      <c r="X210" s="8">
        <f>+'St of Net Assets - GA'!O193-'LT _Lia - GA'!U210</f>
        <v>0</v>
      </c>
    </row>
    <row r="211" spans="1:24">
      <c r="A211" s="13" t="s">
        <v>478</v>
      </c>
      <c r="B211" s="13"/>
      <c r="C211" s="13" t="s">
        <v>42</v>
      </c>
      <c r="D211" s="13"/>
      <c r="E211" s="32">
        <v>45393</v>
      </c>
      <c r="G211" s="8">
        <v>35268145</v>
      </c>
      <c r="I211" s="8">
        <v>0</v>
      </c>
      <c r="K211" s="8">
        <v>2000000</v>
      </c>
      <c r="M211" s="8">
        <v>95788</v>
      </c>
      <c r="O211" s="8">
        <v>545697</v>
      </c>
      <c r="Q211" s="8">
        <v>0</v>
      </c>
      <c r="S211" s="9">
        <f t="shared" si="6"/>
        <v>37909630</v>
      </c>
      <c r="U211" s="8">
        <v>1545475</v>
      </c>
      <c r="X211" s="8">
        <f>+'St of Net Assets - GA'!O194-'LT _Lia - GA'!U211</f>
        <v>0</v>
      </c>
    </row>
    <row r="212" spans="1:24">
      <c r="A212" s="13" t="s">
        <v>633</v>
      </c>
      <c r="B212" s="13"/>
      <c r="C212" s="13" t="s">
        <v>59</v>
      </c>
      <c r="D212" s="13"/>
      <c r="E212" s="32">
        <v>49619</v>
      </c>
      <c r="G212" s="8">
        <v>0</v>
      </c>
      <c r="I212" s="8">
        <v>0</v>
      </c>
      <c r="K212" s="8">
        <v>0</v>
      </c>
      <c r="M212" s="8">
        <v>0</v>
      </c>
      <c r="O212" s="8">
        <v>373667</v>
      </c>
      <c r="Q212" s="8">
        <v>0</v>
      </c>
      <c r="S212" s="9">
        <f t="shared" si="6"/>
        <v>373667</v>
      </c>
      <c r="U212" s="8">
        <v>16560</v>
      </c>
      <c r="X212" s="8">
        <f>+'St of Net Assets - GA'!O195-'LT _Lia - GA'!U212</f>
        <v>0</v>
      </c>
    </row>
    <row r="213" spans="1:24">
      <c r="A213" s="13" t="s">
        <v>633</v>
      </c>
      <c r="B213" s="13"/>
      <c r="C213" s="13" t="s">
        <v>63</v>
      </c>
      <c r="D213" s="13"/>
      <c r="E213" s="32">
        <v>50013</v>
      </c>
      <c r="G213" s="8">
        <f>15268771+8931222</f>
        <v>24199993</v>
      </c>
      <c r="I213" s="8">
        <v>0</v>
      </c>
      <c r="K213" s="8">
        <v>0</v>
      </c>
      <c r="M213" s="8">
        <v>0</v>
      </c>
      <c r="O213" s="8">
        <v>1683984</v>
      </c>
      <c r="Q213" s="8">
        <v>14528776</v>
      </c>
      <c r="S213" s="9">
        <f t="shared" si="6"/>
        <v>40412753</v>
      </c>
      <c r="U213" s="8">
        <v>1250523</v>
      </c>
      <c r="X213" s="8">
        <f>+'St of Net Assets - GA'!O196-'LT _Lia - GA'!U213</f>
        <v>0</v>
      </c>
    </row>
    <row r="214" spans="1:24">
      <c r="A214" s="13" t="s">
        <v>633</v>
      </c>
      <c r="B214" s="13"/>
      <c r="C214" s="13" t="s">
        <v>71</v>
      </c>
      <c r="D214" s="13"/>
      <c r="E214" s="32">
        <v>50559</v>
      </c>
      <c r="G214" s="8">
        <v>0</v>
      </c>
      <c r="I214" s="8">
        <v>0</v>
      </c>
      <c r="K214" s="8">
        <v>167328</v>
      </c>
      <c r="M214" s="8">
        <v>122983</v>
      </c>
      <c r="O214" s="8">
        <v>718453</v>
      </c>
      <c r="Q214" s="8">
        <v>0</v>
      </c>
      <c r="S214" s="9">
        <f t="shared" si="6"/>
        <v>1008764</v>
      </c>
      <c r="U214" s="8">
        <v>141883</v>
      </c>
      <c r="X214" s="8">
        <f>+'St of Net Assets - GA'!O197-'LT _Lia - GA'!U214</f>
        <v>0</v>
      </c>
    </row>
    <row r="215" spans="1:24">
      <c r="A215" s="13" t="s">
        <v>390</v>
      </c>
      <c r="B215" s="13"/>
      <c r="C215" s="13" t="s">
        <v>117</v>
      </c>
      <c r="D215" s="13"/>
      <c r="E215" s="32">
        <v>47266</v>
      </c>
      <c r="G215" s="8">
        <f>8408182-818182</f>
        <v>7590000</v>
      </c>
      <c r="I215" s="8">
        <v>0</v>
      </c>
      <c r="K215" s="8">
        <v>0</v>
      </c>
      <c r="M215" s="8">
        <v>0</v>
      </c>
      <c r="O215" s="8">
        <v>818182</v>
      </c>
      <c r="Q215" s="8">
        <v>0</v>
      </c>
      <c r="S215" s="9">
        <f t="shared" si="6"/>
        <v>8408182</v>
      </c>
      <c r="U215" s="8">
        <v>433461</v>
      </c>
      <c r="X215" s="8">
        <f>+'St of Net Assets - GA'!O198-'LT _Lia - GA'!U215</f>
        <v>0</v>
      </c>
    </row>
    <row r="216" spans="1:24">
      <c r="A216" s="13" t="s">
        <v>442</v>
      </c>
      <c r="B216" s="13"/>
      <c r="C216" s="13" t="s">
        <v>440</v>
      </c>
      <c r="D216" s="13"/>
      <c r="E216" s="32">
        <v>45401</v>
      </c>
      <c r="G216" s="8">
        <v>2700000</v>
      </c>
      <c r="I216" s="8">
        <v>0</v>
      </c>
      <c r="K216" s="8">
        <v>0</v>
      </c>
      <c r="M216" s="8">
        <v>0</v>
      </c>
      <c r="O216" s="8">
        <v>1541561</v>
      </c>
      <c r="Q216" s="8">
        <v>0</v>
      </c>
      <c r="S216" s="9">
        <f t="shared" si="6"/>
        <v>4241561</v>
      </c>
      <c r="U216" s="8">
        <v>210262</v>
      </c>
      <c r="X216" s="8">
        <f>+'St of Net Assets - GA'!O199-'LT _Lia - GA'!U216</f>
        <v>0</v>
      </c>
    </row>
    <row r="217" spans="1:24">
      <c r="A217" s="13" t="s">
        <v>265</v>
      </c>
      <c r="B217" s="13"/>
      <c r="C217" s="13" t="s">
        <v>17</v>
      </c>
      <c r="D217" s="13"/>
      <c r="E217" s="32">
        <v>46235</v>
      </c>
      <c r="G217" s="8">
        <v>69880</v>
      </c>
      <c r="I217" s="8">
        <v>0</v>
      </c>
      <c r="K217" s="8">
        <v>0</v>
      </c>
      <c r="M217" s="8">
        <v>0</v>
      </c>
      <c r="O217" s="8">
        <v>1021761</v>
      </c>
      <c r="Q217" s="8">
        <v>92758</v>
      </c>
      <c r="S217" s="9">
        <f t="shared" si="6"/>
        <v>1184399</v>
      </c>
      <c r="U217" s="8">
        <v>142838</v>
      </c>
      <c r="X217" s="8">
        <f>+'St of Net Assets - GA'!O202-'LT _Lia - GA'!U217</f>
        <v>0</v>
      </c>
    </row>
    <row r="218" spans="1:24">
      <c r="A218" s="13" t="s">
        <v>331</v>
      </c>
      <c r="B218" s="13"/>
      <c r="C218" s="13" t="s">
        <v>21</v>
      </c>
      <c r="D218" s="13"/>
      <c r="E218" s="32">
        <v>44099</v>
      </c>
      <c r="G218" s="8">
        <v>0</v>
      </c>
      <c r="I218" s="8">
        <v>0</v>
      </c>
      <c r="K218" s="8">
        <v>0</v>
      </c>
      <c r="M218" s="8">
        <v>0</v>
      </c>
      <c r="O218" s="8">
        <v>970176</v>
      </c>
      <c r="Q218" s="8">
        <v>0</v>
      </c>
      <c r="S218" s="9">
        <f t="shared" si="6"/>
        <v>970176</v>
      </c>
      <c r="U218" s="8">
        <v>191942</v>
      </c>
      <c r="X218" s="8">
        <f>+'St of Net Assets - GA'!O203-'LT _Lia - GA'!U218</f>
        <v>0</v>
      </c>
    </row>
    <row r="219" spans="1:24" hidden="1">
      <c r="A219" s="13" t="s">
        <v>362</v>
      </c>
      <c r="B219" s="13"/>
      <c r="C219" s="13" t="s">
        <v>27</v>
      </c>
      <c r="D219" s="13"/>
      <c r="E219" s="32">
        <v>46979</v>
      </c>
      <c r="G219" s="8">
        <v>0</v>
      </c>
      <c r="I219" s="8">
        <v>0</v>
      </c>
      <c r="K219" s="8">
        <v>0</v>
      </c>
      <c r="M219" s="8">
        <v>0</v>
      </c>
      <c r="O219" s="8">
        <v>0</v>
      </c>
      <c r="Q219" s="8">
        <v>0</v>
      </c>
      <c r="S219" s="9">
        <f t="shared" si="6"/>
        <v>0</v>
      </c>
      <c r="U219" s="8">
        <v>0</v>
      </c>
      <c r="X219" s="8">
        <f>+'St of Net Assets - GA'!O204-'LT _Lia - GA'!U219</f>
        <v>0</v>
      </c>
    </row>
    <row r="220" spans="1:24">
      <c r="A220" s="13" t="s">
        <v>248</v>
      </c>
      <c r="B220" s="13"/>
      <c r="C220" s="13" t="s">
        <v>246</v>
      </c>
      <c r="D220" s="13"/>
      <c r="E220" s="32">
        <v>44107</v>
      </c>
      <c r="G220" s="8">
        <f>108185000+4335596</f>
        <v>112520596</v>
      </c>
      <c r="I220" s="8">
        <v>0</v>
      </c>
      <c r="K220" s="8">
        <v>0</v>
      </c>
      <c r="M220" s="8">
        <v>490425</v>
      </c>
      <c r="O220" s="8">
        <v>6019772</v>
      </c>
      <c r="Q220" s="8">
        <v>0</v>
      </c>
      <c r="S220" s="9">
        <f t="shared" si="6"/>
        <v>119030793</v>
      </c>
      <c r="U220" s="8">
        <v>2860763</v>
      </c>
      <c r="X220" s="8">
        <f>+'St of Net Assets - GA'!O205-'LT _Lia - GA'!U220</f>
        <v>0</v>
      </c>
    </row>
    <row r="221" spans="1:24">
      <c r="A221" s="13" t="s">
        <v>363</v>
      </c>
      <c r="B221" s="13"/>
      <c r="C221" s="13" t="s">
        <v>27</v>
      </c>
      <c r="D221" s="13"/>
      <c r="E221" s="32">
        <v>46953</v>
      </c>
      <c r="G221" s="8">
        <v>26954544</v>
      </c>
      <c r="I221" s="8">
        <v>0</v>
      </c>
      <c r="K221" s="8">
        <v>0</v>
      </c>
      <c r="M221" s="8">
        <v>0</v>
      </c>
      <c r="O221" s="8">
        <v>668700</v>
      </c>
      <c r="Q221" s="8">
        <v>0</v>
      </c>
      <c r="S221" s="9">
        <f t="shared" si="6"/>
        <v>27623244</v>
      </c>
      <c r="U221" s="8">
        <v>924006</v>
      </c>
      <c r="X221" s="8">
        <f>+'St of Net Assets - GA'!O206-'LT _Lia - GA'!U221</f>
        <v>0</v>
      </c>
    </row>
    <row r="222" spans="1:24">
      <c r="A222" s="13" t="s">
        <v>427</v>
      </c>
      <c r="B222" s="13"/>
      <c r="C222" s="13" t="s">
        <v>426</v>
      </c>
      <c r="D222" s="13"/>
      <c r="E222" s="32">
        <v>47498</v>
      </c>
      <c r="G222" s="8">
        <v>3545000</v>
      </c>
      <c r="I222" s="8">
        <v>0</v>
      </c>
      <c r="K222" s="8">
        <v>0</v>
      </c>
      <c r="M222" s="8">
        <v>0</v>
      </c>
      <c r="O222" s="8">
        <v>115249</v>
      </c>
      <c r="Q222" s="8">
        <v>0</v>
      </c>
      <c r="S222" s="9">
        <f t="shared" si="6"/>
        <v>3660249</v>
      </c>
      <c r="U222" s="8">
        <v>82362</v>
      </c>
      <c r="X222" s="8">
        <f>+'St of Net Assets - GA'!O207-'LT _Lia - GA'!U222</f>
        <v>0</v>
      </c>
    </row>
    <row r="223" spans="1:24">
      <c r="A223" s="13" t="s">
        <v>650</v>
      </c>
      <c r="B223" s="13"/>
      <c r="C223" s="13" t="s">
        <v>61</v>
      </c>
      <c r="D223" s="13"/>
      <c r="E223" s="32">
        <v>49791</v>
      </c>
      <c r="G223" s="8">
        <f>120000+87528</f>
        <v>207528</v>
      </c>
      <c r="I223" s="8">
        <v>0</v>
      </c>
      <c r="K223" s="8">
        <v>0</v>
      </c>
      <c r="M223" s="8">
        <v>0</v>
      </c>
      <c r="O223" s="8">
        <v>403315</v>
      </c>
      <c r="Q223" s="8">
        <v>0</v>
      </c>
      <c r="S223" s="9">
        <f t="shared" si="6"/>
        <v>610843</v>
      </c>
      <c r="U223" s="8">
        <v>82087</v>
      </c>
      <c r="X223" s="8">
        <f>+'St of Net Assets - GA'!O208-'LT _Lia - GA'!U223</f>
        <v>0</v>
      </c>
    </row>
    <row r="224" spans="1:24">
      <c r="A224" s="13" t="s">
        <v>434</v>
      </c>
      <c r="B224" s="13"/>
      <c r="C224" s="13" t="s">
        <v>433</v>
      </c>
      <c r="D224" s="13"/>
      <c r="E224" s="32">
        <v>45245</v>
      </c>
      <c r="G224" s="8">
        <v>55160</v>
      </c>
      <c r="I224" s="8">
        <v>0</v>
      </c>
      <c r="K224" s="8">
        <v>0</v>
      </c>
      <c r="M224" s="8">
        <v>0</v>
      </c>
      <c r="O224" s="8">
        <v>1266544</v>
      </c>
      <c r="Q224" s="8">
        <v>0</v>
      </c>
      <c r="S224" s="9">
        <f t="shared" si="6"/>
        <v>1321704</v>
      </c>
      <c r="U224" s="8">
        <v>262150</v>
      </c>
      <c r="X224" s="8">
        <f>+'St of Net Assets - GA'!O209-'LT _Lia - GA'!U224</f>
        <v>0</v>
      </c>
    </row>
    <row r="225" spans="1:24">
      <c r="A225" s="13" t="s">
        <v>479</v>
      </c>
      <c r="B225" s="13"/>
      <c r="C225" s="13" t="s">
        <v>42</v>
      </c>
      <c r="D225" s="13"/>
      <c r="E225" s="32">
        <v>44115</v>
      </c>
      <c r="G225" s="8">
        <v>16041800</v>
      </c>
      <c r="I225" s="8">
        <v>0</v>
      </c>
      <c r="K225" s="8">
        <v>69000</v>
      </c>
      <c r="M225" s="8">
        <v>40234</v>
      </c>
      <c r="O225" s="8">
        <v>1224029</v>
      </c>
      <c r="Q225" s="8">
        <v>0</v>
      </c>
      <c r="S225" s="9">
        <f t="shared" si="6"/>
        <v>17375063</v>
      </c>
      <c r="U225" s="8">
        <v>960782</v>
      </c>
      <c r="X225" s="8">
        <f>+'St of Net Assets - GA'!O210-'LT _Lia - GA'!U225</f>
        <v>0</v>
      </c>
    </row>
    <row r="226" spans="1:24" hidden="1">
      <c r="A226" s="13" t="s">
        <v>335</v>
      </c>
      <c r="B226" s="13"/>
      <c r="C226" s="13" t="s">
        <v>22</v>
      </c>
      <c r="D226" s="13"/>
      <c r="E226" s="32">
        <v>45419</v>
      </c>
      <c r="G226" s="8">
        <v>0</v>
      </c>
      <c r="I226" s="8">
        <v>0</v>
      </c>
      <c r="K226" s="8">
        <v>0</v>
      </c>
      <c r="M226" s="8">
        <v>0</v>
      </c>
      <c r="O226" s="8">
        <v>0</v>
      </c>
      <c r="Q226" s="8">
        <v>0</v>
      </c>
      <c r="S226" s="9">
        <f t="shared" si="6"/>
        <v>0</v>
      </c>
      <c r="U226" s="8">
        <v>0</v>
      </c>
      <c r="X226" s="8">
        <f>+'St of Net Assets - GA'!O211-'LT _Lia - GA'!U226</f>
        <v>0</v>
      </c>
    </row>
    <row r="227" spans="1:24">
      <c r="A227" s="13" t="s">
        <v>534</v>
      </c>
      <c r="B227" s="13"/>
      <c r="C227" s="13" t="s">
        <v>47</v>
      </c>
      <c r="D227" s="13"/>
      <c r="E227" s="32">
        <v>48496</v>
      </c>
      <c r="G227" s="8">
        <v>36485940</v>
      </c>
      <c r="I227" s="8">
        <v>0</v>
      </c>
      <c r="K227" s="8">
        <v>0</v>
      </c>
      <c r="M227" s="8">
        <v>166681</v>
      </c>
      <c r="O227" s="8">
        <v>1320909</v>
      </c>
      <c r="Q227" s="8">
        <v>0</v>
      </c>
      <c r="S227" s="9">
        <f t="shared" si="6"/>
        <v>37973530</v>
      </c>
      <c r="U227" s="8">
        <v>1772322</v>
      </c>
      <c r="X227" s="8">
        <f>+'St of Net Assets - GA'!O212-'LT _Lia - GA'!U227</f>
        <v>0</v>
      </c>
    </row>
    <row r="228" spans="1:24">
      <c r="A228" s="13" t="s">
        <v>534</v>
      </c>
      <c r="B228" s="13"/>
      <c r="C228" s="13" t="s">
        <v>78</v>
      </c>
      <c r="D228" s="13"/>
      <c r="E228" s="32">
        <v>48801</v>
      </c>
      <c r="G228" s="8">
        <v>1830000</v>
      </c>
      <c r="I228" s="8">
        <v>0</v>
      </c>
      <c r="K228" s="8">
        <v>0</v>
      </c>
      <c r="M228" s="8">
        <v>14559</v>
      </c>
      <c r="O228" s="8">
        <v>71830</v>
      </c>
      <c r="Q228" s="8">
        <v>0</v>
      </c>
      <c r="S228" s="9">
        <f t="shared" si="6"/>
        <v>1916389</v>
      </c>
      <c r="U228" s="8">
        <v>191389</v>
      </c>
      <c r="X228" s="8">
        <f>+'St of Net Assets - GA'!O213-'LT _Lia - GA'!U228</f>
        <v>0</v>
      </c>
    </row>
    <row r="229" spans="1:24">
      <c r="A229" s="13" t="s">
        <v>364</v>
      </c>
      <c r="B229" s="13"/>
      <c r="C229" s="13" t="s">
        <v>27</v>
      </c>
      <c r="D229" s="13"/>
      <c r="E229" s="32">
        <v>47019</v>
      </c>
      <c r="G229" s="8">
        <v>177434572</v>
      </c>
      <c r="I229" s="8">
        <v>0</v>
      </c>
      <c r="K229" s="8">
        <f>8000000+4617</f>
        <v>8004617</v>
      </c>
      <c r="M229" s="8">
        <v>337148</v>
      </c>
      <c r="O229" s="8">
        <v>8447706</v>
      </c>
      <c r="Q229" s="8">
        <v>960000</v>
      </c>
      <c r="S229" s="9">
        <f t="shared" si="6"/>
        <v>195184043</v>
      </c>
      <c r="U229" s="8">
        <v>11419986</v>
      </c>
      <c r="X229" s="8">
        <f>+'St of Net Assets - GA'!O214-'LT _Lia - GA'!U229</f>
        <v>0</v>
      </c>
    </row>
    <row r="230" spans="1:24">
      <c r="A230" s="13" t="s">
        <v>443</v>
      </c>
      <c r="B230" s="13"/>
      <c r="C230" s="13" t="s">
        <v>440</v>
      </c>
      <c r="D230" s="13"/>
      <c r="E230" s="32">
        <v>44123</v>
      </c>
      <c r="G230" s="8">
        <f>8685000+3115000</f>
        <v>11800000</v>
      </c>
      <c r="I230" s="8">
        <v>0</v>
      </c>
      <c r="K230" s="8">
        <v>0</v>
      </c>
      <c r="M230" s="8">
        <v>872420</v>
      </c>
      <c r="O230" s="8">
        <v>776653</v>
      </c>
      <c r="Q230" s="8">
        <v>0</v>
      </c>
      <c r="S230" s="9">
        <f t="shared" si="6"/>
        <v>13449073</v>
      </c>
      <c r="U230" s="8">
        <v>576504</v>
      </c>
      <c r="X230" s="8">
        <f>+'St of Net Assets - GA'!O215-'LT _Lia - GA'!U230</f>
        <v>0</v>
      </c>
    </row>
    <row r="231" spans="1:24">
      <c r="A231" s="13" t="s">
        <v>216</v>
      </c>
      <c r="B231" s="13"/>
      <c r="C231" s="13" t="s">
        <v>11</v>
      </c>
      <c r="D231" s="13"/>
      <c r="E231" s="32">
        <v>45823</v>
      </c>
      <c r="G231" s="8">
        <v>180350</v>
      </c>
      <c r="I231" s="8">
        <v>0</v>
      </c>
      <c r="K231" s="8">
        <v>0</v>
      </c>
      <c r="M231" s="8">
        <v>0</v>
      </c>
      <c r="O231" s="8">
        <v>918255</v>
      </c>
      <c r="Q231" s="8">
        <v>0</v>
      </c>
      <c r="S231" s="9">
        <f t="shared" si="6"/>
        <v>1098605</v>
      </c>
      <c r="U231" s="8">
        <v>181976</v>
      </c>
      <c r="X231" s="8">
        <f>+'St of Net Assets - GA'!O216-'LT _Lia - GA'!U231</f>
        <v>0</v>
      </c>
    </row>
    <row r="232" spans="1:24">
      <c r="A232" s="13" t="s">
        <v>435</v>
      </c>
      <c r="B232" s="13"/>
      <c r="C232" s="13" t="s">
        <v>34</v>
      </c>
      <c r="D232" s="13"/>
      <c r="E232" s="32">
        <v>47571</v>
      </c>
      <c r="G232" s="8">
        <v>2650000</v>
      </c>
      <c r="I232" s="8">
        <v>1779000</v>
      </c>
      <c r="K232" s="8">
        <v>0</v>
      </c>
      <c r="M232" s="8">
        <v>0</v>
      </c>
      <c r="O232" s="8">
        <v>276139</v>
      </c>
      <c r="Q232" s="8">
        <v>0</v>
      </c>
      <c r="S232" s="9">
        <f t="shared" si="6"/>
        <v>4705139</v>
      </c>
      <c r="U232" s="8">
        <v>167346</v>
      </c>
      <c r="X232" s="8">
        <f>+'St of Net Assets - GA'!O217-'LT _Lia - GA'!U232</f>
        <v>0</v>
      </c>
    </row>
    <row r="233" spans="1:24">
      <c r="A233" s="13" t="s">
        <v>685</v>
      </c>
      <c r="B233" s="13"/>
      <c r="C233" s="13" t="s">
        <v>64</v>
      </c>
      <c r="D233" s="13"/>
      <c r="E233" s="32">
        <v>50161</v>
      </c>
      <c r="G233" s="8">
        <v>0</v>
      </c>
      <c r="I233" s="8">
        <v>0</v>
      </c>
      <c r="K233" s="8">
        <f>56500+480000</f>
        <v>536500</v>
      </c>
      <c r="M233" s="8">
        <v>0</v>
      </c>
      <c r="O233" s="8">
        <v>3176589</v>
      </c>
      <c r="Q233" s="8">
        <v>0</v>
      </c>
      <c r="S233" s="9">
        <f t="shared" si="6"/>
        <v>3713089</v>
      </c>
      <c r="U233" s="8">
        <v>785137</v>
      </c>
      <c r="X233" s="8">
        <f>+'St of Net Assets - GA'!O219-'LT _Lia - GA'!U233</f>
        <v>0</v>
      </c>
    </row>
    <row r="234" spans="1:24">
      <c r="A234" s="13" t="s">
        <v>686</v>
      </c>
      <c r="B234" s="13"/>
      <c r="C234" s="13" t="s">
        <v>64</v>
      </c>
      <c r="D234" s="13"/>
      <c r="E234" s="32">
        <v>45427</v>
      </c>
      <c r="G234" s="8">
        <v>19209880</v>
      </c>
      <c r="I234" s="8">
        <v>232172</v>
      </c>
      <c r="K234" s="8">
        <v>0</v>
      </c>
      <c r="M234" s="8">
        <v>440017</v>
      </c>
      <c r="O234" s="8">
        <v>892132</v>
      </c>
      <c r="Q234" s="8">
        <v>0</v>
      </c>
      <c r="S234" s="9">
        <v>20774201</v>
      </c>
      <c r="U234" s="8">
        <v>1277787</v>
      </c>
      <c r="X234" s="8">
        <f>+'St of Net Assets - GA'!O220-'LT _Lia - GA'!U234</f>
        <v>0</v>
      </c>
    </row>
    <row r="235" spans="1:24">
      <c r="A235" s="13" t="s">
        <v>555</v>
      </c>
      <c r="B235" s="13"/>
      <c r="C235" s="13" t="s">
        <v>50</v>
      </c>
      <c r="D235" s="13"/>
      <c r="E235" s="32">
        <v>48751</v>
      </c>
      <c r="G235" s="8">
        <v>0</v>
      </c>
      <c r="I235" s="8">
        <v>0</v>
      </c>
      <c r="K235" s="8">
        <v>212555</v>
      </c>
      <c r="M235" s="8">
        <v>425109</v>
      </c>
      <c r="O235" s="8">
        <v>1896064</v>
      </c>
      <c r="Q235" s="8">
        <v>0</v>
      </c>
      <c r="S235" s="9">
        <f t="shared" si="6"/>
        <v>2533728</v>
      </c>
      <c r="U235" s="8">
        <v>428434</v>
      </c>
      <c r="X235" s="8">
        <f>+'St of Net Assets - GA'!O221-'LT _Lia - GA'!U235</f>
        <v>0</v>
      </c>
    </row>
    <row r="236" spans="1:24">
      <c r="A236" s="13" t="s">
        <v>671</v>
      </c>
      <c r="B236" s="13"/>
      <c r="C236" s="13" t="s">
        <v>63</v>
      </c>
      <c r="D236" s="13"/>
      <c r="E236" s="32">
        <v>50021</v>
      </c>
      <c r="G236" s="8">
        <v>33096173</v>
      </c>
      <c r="I236" s="8">
        <v>0</v>
      </c>
      <c r="K236" s="8">
        <v>0</v>
      </c>
      <c r="M236" s="8">
        <v>0</v>
      </c>
      <c r="O236" s="8">
        <v>3237202</v>
      </c>
      <c r="Q236" s="8">
        <v>0</v>
      </c>
      <c r="S236" s="9">
        <f t="shared" si="6"/>
        <v>36333375</v>
      </c>
      <c r="U236" s="8">
        <v>3431371</v>
      </c>
      <c r="X236" s="8">
        <f>+'St of Net Assets - GA'!O222-'LT _Lia - GA'!U236</f>
        <v>0</v>
      </c>
    </row>
    <row r="237" spans="1:24">
      <c r="A237" s="13" t="s">
        <v>623</v>
      </c>
      <c r="B237" s="13"/>
      <c r="C237" s="13" t="s">
        <v>58</v>
      </c>
      <c r="D237" s="13"/>
      <c r="E237" s="32">
        <v>49502</v>
      </c>
      <c r="G237" s="8">
        <v>770000</v>
      </c>
      <c r="I237" s="8">
        <v>0</v>
      </c>
      <c r="K237" s="8">
        <v>0</v>
      </c>
      <c r="M237" s="8">
        <v>141620</v>
      </c>
      <c r="O237" s="8">
        <v>607334</v>
      </c>
      <c r="Q237" s="8">
        <v>0</v>
      </c>
      <c r="S237" s="9">
        <f t="shared" si="6"/>
        <v>1518954</v>
      </c>
      <c r="U237" s="8">
        <v>127542</v>
      </c>
      <c r="X237" s="8">
        <f>+'St of Net Assets - GA'!O223-'LT _Lia - GA'!U237</f>
        <v>0</v>
      </c>
    </row>
    <row r="238" spans="1:24">
      <c r="A238" s="13" t="s">
        <v>341</v>
      </c>
      <c r="B238" s="13"/>
      <c r="C238" s="13" t="s">
        <v>24</v>
      </c>
      <c r="D238" s="13"/>
      <c r="E238" s="32">
        <v>44131</v>
      </c>
      <c r="G238" s="8">
        <f>260000+3401501</f>
        <v>3661501</v>
      </c>
      <c r="I238" s="8">
        <v>0</v>
      </c>
      <c r="K238" s="8">
        <v>0</v>
      </c>
      <c r="M238" s="8">
        <v>3307038</v>
      </c>
      <c r="O238" s="8">
        <v>1191906</v>
      </c>
      <c r="Q238" s="8">
        <f>-161918+286848</f>
        <v>124930</v>
      </c>
      <c r="S238" s="9">
        <f t="shared" si="6"/>
        <v>8285375</v>
      </c>
      <c r="U238" s="8">
        <v>755578</v>
      </c>
      <c r="X238" s="8">
        <f>+'St of Net Assets - GA'!O224-'LT _Lia - GA'!U238</f>
        <v>0</v>
      </c>
    </row>
    <row r="239" spans="1:24">
      <c r="A239" s="13" t="s">
        <v>313</v>
      </c>
      <c r="B239" s="13"/>
      <c r="C239" s="13" t="s">
        <v>20</v>
      </c>
      <c r="D239" s="13"/>
      <c r="E239" s="32">
        <v>46565</v>
      </c>
      <c r="G239" s="8">
        <v>15962038</v>
      </c>
      <c r="I239" s="8">
        <v>0</v>
      </c>
      <c r="K239" s="8">
        <v>500000</v>
      </c>
      <c r="M239" s="8">
        <v>0</v>
      </c>
      <c r="O239" s="8">
        <v>1434914</v>
      </c>
      <c r="Q239" s="8">
        <v>0</v>
      </c>
      <c r="S239" s="9">
        <f t="shared" si="6"/>
        <v>17896952</v>
      </c>
      <c r="U239" s="8">
        <v>1022314</v>
      </c>
      <c r="X239" s="8">
        <f>+'[1]St of Net Assets - GA'!O240-'[1]LT _Lia - GA'!U240</f>
        <v>0</v>
      </c>
    </row>
    <row r="240" spans="1:24" ht="12" customHeight="1">
      <c r="A240" s="13" t="s">
        <v>456</v>
      </c>
      <c r="B240" s="13"/>
      <c r="C240" s="13" t="s">
        <v>39</v>
      </c>
      <c r="D240" s="13"/>
      <c r="E240" s="32">
        <v>47803</v>
      </c>
      <c r="G240" s="8">
        <f>659756+91674</f>
        <v>751430</v>
      </c>
      <c r="I240" s="8">
        <v>32629</v>
      </c>
      <c r="K240" s="8">
        <v>0</v>
      </c>
      <c r="M240" s="8">
        <v>17819</v>
      </c>
      <c r="O240" s="8">
        <v>1270339</v>
      </c>
      <c r="Q240" s="8">
        <v>0</v>
      </c>
      <c r="S240" s="9">
        <f t="shared" si="6"/>
        <v>2072217</v>
      </c>
      <c r="U240" s="8">
        <v>202065</v>
      </c>
      <c r="X240" s="8">
        <f>+'[1]St of Net Assets - GA'!O241-'[1]LT _Lia - GA'!U241</f>
        <v>0</v>
      </c>
    </row>
    <row r="241" spans="1:26" ht="12" customHeight="1">
      <c r="A241" s="13" t="s">
        <v>400</v>
      </c>
      <c r="B241" s="13"/>
      <c r="C241" s="13" t="s">
        <v>32</v>
      </c>
      <c r="D241" s="13"/>
      <c r="E241" s="32">
        <v>45435</v>
      </c>
      <c r="G241" s="8">
        <v>1705000</v>
      </c>
      <c r="I241" s="8">
        <v>0</v>
      </c>
      <c r="K241" s="8">
        <v>0</v>
      </c>
      <c r="M241" s="8">
        <v>1289000</v>
      </c>
      <c r="O241" s="8">
        <v>1528811</v>
      </c>
      <c r="Q241" s="8">
        <v>0</v>
      </c>
      <c r="S241" s="9">
        <f t="shared" si="6"/>
        <v>4522811</v>
      </c>
      <c r="U241" s="8">
        <v>2498752</v>
      </c>
      <c r="X241" s="8">
        <f>+'[1]St of Net Assets - GA'!O242-'[1]LT _Lia - GA'!U242</f>
        <v>0</v>
      </c>
    </row>
    <row r="242" spans="1:26" ht="12" customHeight="1">
      <c r="A242" s="13" t="s">
        <v>702</v>
      </c>
      <c r="B242" s="13"/>
      <c r="C242" s="13" t="s">
        <v>65</v>
      </c>
      <c r="D242" s="13"/>
      <c r="E242" s="13">
        <v>50286</v>
      </c>
      <c r="G242" s="8">
        <f>240660+1059989+4000000+252084+80491+87994+7935000</f>
        <v>13656218</v>
      </c>
      <c r="I242" s="8">
        <v>49000</v>
      </c>
      <c r="K242" s="8">
        <v>0</v>
      </c>
      <c r="M242" s="8">
        <v>92287</v>
      </c>
      <c r="O242" s="8">
        <f>1218117+251643-178543</f>
        <v>1291217</v>
      </c>
      <c r="Q242" s="8">
        <v>0</v>
      </c>
      <c r="S242" s="9">
        <f t="shared" si="6"/>
        <v>15088722</v>
      </c>
      <c r="U242" s="8">
        <v>732429</v>
      </c>
      <c r="X242" s="8">
        <f>+'[1]St of Net Assets - GA'!O243-'[1]LT _Lia - GA'!U244</f>
        <v>0</v>
      </c>
      <c r="Z242" s="45"/>
    </row>
    <row r="243" spans="1:26" ht="12" customHeight="1">
      <c r="A243" s="13" t="s">
        <v>474</v>
      </c>
      <c r="B243" s="13"/>
      <c r="C243" s="13" t="s">
        <v>471</v>
      </c>
      <c r="D243" s="13"/>
      <c r="E243" s="32">
        <v>44149</v>
      </c>
      <c r="G243" s="8">
        <v>15271194</v>
      </c>
      <c r="I243" s="8">
        <v>0</v>
      </c>
      <c r="K243" s="8">
        <v>17571</v>
      </c>
      <c r="M243" s="8">
        <v>0</v>
      </c>
      <c r="O243" s="8">
        <v>1044332</v>
      </c>
      <c r="Q243" s="8">
        <v>0</v>
      </c>
      <c r="S243" s="9">
        <f t="shared" si="6"/>
        <v>16333097</v>
      </c>
      <c r="U243" s="8">
        <v>304147</v>
      </c>
      <c r="X243" s="8">
        <f>+'[1]St of Net Assets - GA'!O244-'[1]LT _Lia - GA'!U245</f>
        <v>0</v>
      </c>
    </row>
    <row r="244" spans="1:26" ht="12" hidden="1" customHeight="1">
      <c r="A244" s="12" t="s">
        <v>942</v>
      </c>
      <c r="B244" s="13"/>
      <c r="C244" s="13" t="s">
        <v>61</v>
      </c>
      <c r="D244" s="13"/>
      <c r="E244" s="32">
        <v>49809</v>
      </c>
      <c r="G244" s="8">
        <v>0</v>
      </c>
      <c r="I244" s="8">
        <v>0</v>
      </c>
      <c r="K244" s="8">
        <v>0</v>
      </c>
      <c r="M244" s="8">
        <v>0</v>
      </c>
      <c r="O244" s="8">
        <v>0</v>
      </c>
      <c r="Q244" s="8">
        <v>0</v>
      </c>
      <c r="S244" s="9">
        <f t="shared" si="6"/>
        <v>0</v>
      </c>
      <c r="U244" s="8">
        <v>0</v>
      </c>
      <c r="X244" s="8">
        <f>+'[1]St of Net Assets - GA'!O245-'[1]LT _Lia - GA'!U246</f>
        <v>0</v>
      </c>
    </row>
    <row r="245" spans="1:26" ht="12" hidden="1" customHeight="1">
      <c r="A245" s="12" t="s">
        <v>943</v>
      </c>
      <c r="B245" s="13"/>
      <c r="C245" s="13" t="s">
        <v>38</v>
      </c>
      <c r="D245" s="13"/>
      <c r="E245" s="32"/>
      <c r="G245" s="8">
        <v>0</v>
      </c>
      <c r="I245" s="8">
        <v>0</v>
      </c>
      <c r="K245" s="8">
        <v>0</v>
      </c>
      <c r="M245" s="8">
        <v>0</v>
      </c>
      <c r="O245" s="8">
        <v>0</v>
      </c>
      <c r="Q245" s="8">
        <v>0</v>
      </c>
      <c r="S245" s="9">
        <f t="shared" si="6"/>
        <v>0</v>
      </c>
      <c r="U245" s="8">
        <v>0</v>
      </c>
      <c r="X245" s="8">
        <f>+'[1]St of Net Assets - GA'!O246-'[1]LT _Lia - GA'!U247</f>
        <v>0</v>
      </c>
    </row>
    <row r="246" spans="1:26" ht="12" customHeight="1">
      <c r="A246" s="13" t="s">
        <v>657</v>
      </c>
      <c r="B246" s="13"/>
      <c r="C246" s="13" t="s">
        <v>62</v>
      </c>
      <c r="D246" s="13"/>
      <c r="E246" s="32">
        <v>49858</v>
      </c>
      <c r="G246" s="8">
        <v>74382536</v>
      </c>
      <c r="I246" s="8">
        <v>0</v>
      </c>
      <c r="K246" s="8">
        <v>0</v>
      </c>
      <c r="M246" s="8">
        <v>461513</v>
      </c>
      <c r="O246" s="8">
        <f>1553972+4601837</f>
        <v>6155809</v>
      </c>
      <c r="Q246" s="8">
        <v>0</v>
      </c>
      <c r="S246" s="9">
        <f>SUM(G246:R246)</f>
        <v>80999858</v>
      </c>
      <c r="U246" s="8">
        <v>6192122</v>
      </c>
      <c r="X246" s="8">
        <f>+'[1]St of Net Assets - GA'!O247-'[1]LT _Lia - GA'!U248</f>
        <v>0</v>
      </c>
    </row>
    <row r="248" spans="1:26" ht="12" customHeight="1">
      <c r="A248" s="13"/>
      <c r="B248" s="13"/>
      <c r="C248" s="13"/>
      <c r="D248" s="13"/>
      <c r="E248" s="32"/>
      <c r="S248" s="9"/>
      <c r="U248" s="8" t="s">
        <v>819</v>
      </c>
    </row>
    <row r="249" spans="1:26" s="35" customFormat="1" ht="12" customHeight="1">
      <c r="A249" s="34" t="s">
        <v>518</v>
      </c>
      <c r="B249" s="34"/>
      <c r="C249" s="34" t="s">
        <v>45</v>
      </c>
      <c r="D249" s="34"/>
      <c r="E249" s="34">
        <v>48322</v>
      </c>
      <c r="G249" s="35">
        <v>0</v>
      </c>
      <c r="I249" s="35">
        <v>0</v>
      </c>
      <c r="K249" s="35">
        <v>125004</v>
      </c>
      <c r="M249" s="35">
        <v>15580000</v>
      </c>
      <c r="O249" s="35">
        <v>740006</v>
      </c>
      <c r="Q249" s="35">
        <v>0</v>
      </c>
      <c r="S249" s="44">
        <f>SUM(G249:R249)</f>
        <v>16445010</v>
      </c>
      <c r="U249" s="35">
        <v>397027</v>
      </c>
      <c r="X249" s="35">
        <f>+'[1]St of Net Assets - GA'!O248-'[1]LT _Lia - GA'!U249</f>
        <v>0</v>
      </c>
    </row>
    <row r="250" spans="1:26" ht="12" customHeight="1">
      <c r="A250" s="13" t="s">
        <v>892</v>
      </c>
      <c r="B250" s="13"/>
      <c r="C250" s="13" t="s">
        <v>56</v>
      </c>
      <c r="D250" s="13"/>
      <c r="E250" s="32">
        <v>49205</v>
      </c>
      <c r="G250" s="8">
        <v>5553483</v>
      </c>
      <c r="I250" s="8">
        <v>0</v>
      </c>
      <c r="K250" s="8">
        <v>0</v>
      </c>
      <c r="M250" s="8">
        <v>97188</v>
      </c>
      <c r="O250" s="8">
        <v>612511</v>
      </c>
      <c r="Q250" s="8">
        <v>0</v>
      </c>
      <c r="S250" s="9">
        <f t="shared" si="6"/>
        <v>6263182</v>
      </c>
      <c r="U250" s="8">
        <v>357710</v>
      </c>
      <c r="X250" s="8">
        <f>+'[1]St of Net Assets - GA'!O249-'[1]LT _Lia - GA'!U250</f>
        <v>0</v>
      </c>
    </row>
    <row r="251" spans="1:26" ht="10.8" customHeight="1">
      <c r="A251" s="13" t="s">
        <v>223</v>
      </c>
      <c r="B251" s="13"/>
      <c r="C251" s="13" t="s">
        <v>12</v>
      </c>
      <c r="D251" s="13"/>
      <c r="E251" s="13">
        <v>45872</v>
      </c>
      <c r="G251" s="8">
        <v>22005342</v>
      </c>
      <c r="I251" s="8">
        <v>0</v>
      </c>
      <c r="K251" s="8">
        <f>330000+16919</f>
        <v>346919</v>
      </c>
      <c r="M251" s="8">
        <v>0</v>
      </c>
      <c r="O251" s="8">
        <v>1415225</v>
      </c>
      <c r="Q251" s="8">
        <v>0</v>
      </c>
      <c r="S251" s="9">
        <f t="shared" si="6"/>
        <v>23767486</v>
      </c>
      <c r="U251" s="8">
        <v>979982</v>
      </c>
      <c r="X251" s="8">
        <f>+'[1]St of Net Assets - GA'!O250-'[1]LT _Lia - GA'!U251</f>
        <v>0</v>
      </c>
    </row>
    <row r="252" spans="1:26">
      <c r="A252" s="13" t="s">
        <v>510</v>
      </c>
      <c r="B252" s="13"/>
      <c r="C252" s="13" t="s">
        <v>511</v>
      </c>
      <c r="D252" s="13"/>
      <c r="E252" s="32">
        <v>48256</v>
      </c>
      <c r="G252" s="8">
        <f>102000+13685000</f>
        <v>13787000</v>
      </c>
      <c r="I252" s="8">
        <v>0</v>
      </c>
      <c r="K252" s="8">
        <v>1500000</v>
      </c>
      <c r="M252" s="8">
        <v>31091</v>
      </c>
      <c r="O252" s="8">
        <v>949364</v>
      </c>
      <c r="Q252" s="8">
        <v>0</v>
      </c>
      <c r="S252" s="9">
        <f t="shared" si="6"/>
        <v>16267455</v>
      </c>
      <c r="U252" s="8">
        <v>2039307</v>
      </c>
      <c r="X252" s="8">
        <f>+'[1]St of Net Assets - GA'!O251-'[1]LT _Lia - GA'!U252</f>
        <v>0</v>
      </c>
    </row>
    <row r="253" spans="1:26">
      <c r="A253" s="13" t="s">
        <v>556</v>
      </c>
      <c r="B253" s="13"/>
      <c r="C253" s="13" t="s">
        <v>50</v>
      </c>
      <c r="D253" s="13"/>
      <c r="E253" s="32">
        <v>48686</v>
      </c>
      <c r="G253" s="8">
        <v>0</v>
      </c>
      <c r="I253" s="8">
        <v>0</v>
      </c>
      <c r="K253" s="8">
        <v>0</v>
      </c>
      <c r="M253" s="8">
        <f>152913+645000</f>
        <v>797913</v>
      </c>
      <c r="O253" s="8">
        <v>216414</v>
      </c>
      <c r="Q253" s="8">
        <v>0</v>
      </c>
      <c r="S253" s="9">
        <f t="shared" si="6"/>
        <v>1014327</v>
      </c>
      <c r="U253" s="8">
        <v>77575</v>
      </c>
      <c r="X253" s="8">
        <f>+'[1]St of Net Assets - GA'!O252-'[1]LT _Lia - GA'!U253</f>
        <v>0</v>
      </c>
    </row>
    <row r="254" spans="1:26">
      <c r="A254" s="13" t="s">
        <v>480</v>
      </c>
      <c r="B254" s="13"/>
      <c r="C254" s="13" t="s">
        <v>42</v>
      </c>
      <c r="D254" s="13"/>
      <c r="E254" s="32">
        <v>47985</v>
      </c>
      <c r="G254" s="8">
        <v>0</v>
      </c>
      <c r="I254" s="8">
        <v>0</v>
      </c>
      <c r="K254" s="8">
        <v>758040</v>
      </c>
      <c r="M254" s="8">
        <v>101221</v>
      </c>
      <c r="O254" s="8">
        <v>657691</v>
      </c>
      <c r="Q254" s="8">
        <v>0</v>
      </c>
      <c r="S254" s="9">
        <f t="shared" si="6"/>
        <v>1516952</v>
      </c>
      <c r="U254" s="8">
        <v>276990</v>
      </c>
      <c r="X254" s="8">
        <f>+'St of Net Assets - GA'!O238-'LT _Lia - GA'!U254</f>
        <v>0</v>
      </c>
    </row>
    <row r="255" spans="1:26">
      <c r="A255" s="13" t="s">
        <v>512</v>
      </c>
      <c r="B255" s="13"/>
      <c r="C255" s="13" t="s">
        <v>511</v>
      </c>
      <c r="D255" s="13"/>
      <c r="E255" s="13">
        <v>48264</v>
      </c>
      <c r="G255" s="8">
        <v>23744585</v>
      </c>
      <c r="I255" s="8">
        <v>0</v>
      </c>
      <c r="K255" s="8">
        <v>0</v>
      </c>
      <c r="M255" s="8">
        <v>40829</v>
      </c>
      <c r="O255" s="8">
        <v>834948</v>
      </c>
      <c r="Q255" s="8">
        <v>875777</v>
      </c>
      <c r="S255" s="9">
        <f t="shared" si="6"/>
        <v>25496139</v>
      </c>
      <c r="U255" s="8">
        <v>785265</v>
      </c>
      <c r="X255" s="8">
        <f>+'St of Net Assets - GA'!O239-'LT _Lia - GA'!U255</f>
        <v>0</v>
      </c>
    </row>
    <row r="256" spans="1:26">
      <c r="A256" s="13" t="s">
        <v>687</v>
      </c>
      <c r="B256" s="13"/>
      <c r="C256" s="13" t="s">
        <v>64</v>
      </c>
      <c r="D256" s="13"/>
      <c r="E256" s="32">
        <v>50179</v>
      </c>
      <c r="G256" s="8">
        <v>9208755</v>
      </c>
      <c r="I256" s="8">
        <v>0</v>
      </c>
      <c r="K256" s="8">
        <v>0</v>
      </c>
      <c r="M256" s="8">
        <v>29103</v>
      </c>
      <c r="O256" s="8">
        <v>602051</v>
      </c>
      <c r="Q256" s="8">
        <v>0</v>
      </c>
      <c r="S256" s="9">
        <f t="shared" si="6"/>
        <v>9839909</v>
      </c>
      <c r="U256" s="8">
        <v>643010</v>
      </c>
      <c r="X256" s="8">
        <f>+'St of Net Assets - GA'!O240-'LT _Lia - GA'!U256</f>
        <v>0</v>
      </c>
    </row>
    <row r="257" spans="1:24">
      <c r="A257" s="13" t="s">
        <v>342</v>
      </c>
      <c r="B257" s="13"/>
      <c r="C257" s="13" t="s">
        <v>24</v>
      </c>
      <c r="D257" s="13"/>
      <c r="E257" s="32">
        <v>46797</v>
      </c>
      <c r="G257" s="8">
        <v>120000</v>
      </c>
      <c r="I257" s="8">
        <v>0</v>
      </c>
      <c r="K257" s="8">
        <v>0</v>
      </c>
      <c r="M257" s="8">
        <v>0</v>
      </c>
      <c r="O257" s="8">
        <v>0</v>
      </c>
      <c r="Q257" s="8">
        <v>0</v>
      </c>
      <c r="S257" s="9">
        <f t="shared" si="6"/>
        <v>120000</v>
      </c>
      <c r="U257" s="8">
        <v>120000</v>
      </c>
      <c r="X257" s="8">
        <f>+'St of Net Assets - GA'!O241-'LT _Lia - GA'!U257</f>
        <v>0</v>
      </c>
    </row>
    <row r="258" spans="1:24">
      <c r="A258" s="13" t="s">
        <v>384</v>
      </c>
      <c r="B258" s="13"/>
      <c r="C258" s="13" t="s">
        <v>30</v>
      </c>
      <c r="D258" s="13"/>
      <c r="E258" s="32">
        <v>47191</v>
      </c>
      <c r="G258" s="8">
        <f>47410500+142734</f>
        <v>47553234</v>
      </c>
      <c r="I258" s="8">
        <v>0</v>
      </c>
      <c r="K258" s="8">
        <v>0</v>
      </c>
      <c r="M258" s="8">
        <v>0</v>
      </c>
      <c r="O258" s="8">
        <v>2741913</v>
      </c>
      <c r="Q258" s="8">
        <v>142734</v>
      </c>
      <c r="S258" s="9">
        <f t="shared" si="6"/>
        <v>50437881</v>
      </c>
      <c r="U258" s="8">
        <v>2264830</v>
      </c>
      <c r="X258" s="8">
        <f>+'St of Net Assets - GA'!O242-'LT _Lia - GA'!U258</f>
        <v>0</v>
      </c>
    </row>
    <row r="259" spans="1:24">
      <c r="A259" s="13" t="s">
        <v>599</v>
      </c>
      <c r="B259" s="13"/>
      <c r="C259" s="13" t="s">
        <v>56</v>
      </c>
      <c r="D259" s="13"/>
      <c r="E259" s="32">
        <v>44164</v>
      </c>
      <c r="G259" s="8">
        <v>28297945</v>
      </c>
      <c r="I259" s="8">
        <v>0</v>
      </c>
      <c r="K259" s="8">
        <v>0</v>
      </c>
      <c r="M259" s="8">
        <v>1724456</v>
      </c>
      <c r="O259" s="8">
        <v>2489756</v>
      </c>
      <c r="Q259" s="8">
        <v>0</v>
      </c>
      <c r="S259" s="9">
        <f t="shared" si="6"/>
        <v>32512157</v>
      </c>
      <c r="U259" s="8">
        <v>2184067</v>
      </c>
      <c r="X259" s="8">
        <f>+'St of Net Assets - GA'!O243-'LT _Lia - GA'!U259</f>
        <v>0</v>
      </c>
    </row>
    <row r="260" spans="1:24">
      <c r="A260" s="13" t="s">
        <v>428</v>
      </c>
      <c r="B260" s="13"/>
      <c r="C260" s="13" t="s">
        <v>426</v>
      </c>
      <c r="D260" s="13"/>
      <c r="E260" s="32">
        <v>44172</v>
      </c>
      <c r="G260" s="8">
        <v>0</v>
      </c>
      <c r="I260" s="8">
        <v>0</v>
      </c>
      <c r="K260" s="8">
        <v>0</v>
      </c>
      <c r="M260" s="8">
        <v>0</v>
      </c>
      <c r="O260" s="8">
        <v>1059148</v>
      </c>
      <c r="Q260" s="8">
        <v>0</v>
      </c>
      <c r="S260" s="9">
        <f t="shared" si="6"/>
        <v>1059148</v>
      </c>
      <c r="U260" s="8">
        <v>53118</v>
      </c>
      <c r="X260" s="8">
        <f>+'St of Net Assets - GA'!O244-'LT _Lia - GA'!U260</f>
        <v>0</v>
      </c>
    </row>
    <row r="261" spans="1:24">
      <c r="A261" s="13" t="s">
        <v>557</v>
      </c>
      <c r="B261" s="13"/>
      <c r="C261" s="13" t="s">
        <v>50</v>
      </c>
      <c r="D261" s="13"/>
      <c r="E261" s="32">
        <v>44180</v>
      </c>
      <c r="G261" s="8">
        <v>104506953</v>
      </c>
      <c r="I261" s="8">
        <v>0</v>
      </c>
      <c r="K261" s="8">
        <v>0</v>
      </c>
      <c r="M261" s="8">
        <v>1573354</v>
      </c>
      <c r="O261" s="8">
        <f>414000+7876156</f>
        <v>8290156</v>
      </c>
      <c r="Q261" s="8">
        <v>0</v>
      </c>
      <c r="S261" s="9">
        <f t="shared" si="6"/>
        <v>114370463</v>
      </c>
      <c r="U261" s="8">
        <v>4129610</v>
      </c>
      <c r="X261" s="8">
        <f>+'St of Net Assets - GA'!O245-'LT _Lia - GA'!U261</f>
        <v>0</v>
      </c>
    </row>
    <row r="262" spans="1:24">
      <c r="A262" s="13" t="s">
        <v>495</v>
      </c>
      <c r="B262" s="13"/>
      <c r="C262" s="13" t="s">
        <v>44</v>
      </c>
      <c r="D262" s="13"/>
      <c r="E262" s="32">
        <v>48165</v>
      </c>
      <c r="G262" s="8">
        <f>15350000+275000+69213</f>
        <v>15694213</v>
      </c>
      <c r="I262" s="8">
        <v>0</v>
      </c>
      <c r="K262" s="8">
        <v>0</v>
      </c>
      <c r="M262" s="8">
        <v>0</v>
      </c>
      <c r="O262" s="8">
        <v>1018177</v>
      </c>
      <c r="Q262" s="8">
        <v>0</v>
      </c>
      <c r="S262" s="9">
        <f t="shared" si="6"/>
        <v>16712390</v>
      </c>
      <c r="U262" s="8">
        <v>760136</v>
      </c>
      <c r="X262" s="8">
        <f>+'St of Net Assets - GA'!O246-'LT _Lia - GA'!U262</f>
        <v>0</v>
      </c>
    </row>
    <row r="263" spans="1:24">
      <c r="A263" s="13" t="s">
        <v>715</v>
      </c>
      <c r="B263" s="13"/>
      <c r="C263" s="13" t="s">
        <v>69</v>
      </c>
      <c r="D263" s="13"/>
      <c r="E263" s="32">
        <v>50435</v>
      </c>
      <c r="G263" s="8">
        <v>60103191</v>
      </c>
      <c r="I263" s="8">
        <v>0</v>
      </c>
      <c r="K263" s="8">
        <v>0</v>
      </c>
      <c r="M263" s="8">
        <v>3887420</v>
      </c>
      <c r="O263" s="8">
        <v>2914683</v>
      </c>
      <c r="Q263" s="8">
        <v>0</v>
      </c>
      <c r="S263" s="9">
        <f t="shared" si="6"/>
        <v>66905294</v>
      </c>
      <c r="U263" s="8">
        <v>2306043</v>
      </c>
      <c r="X263" s="8">
        <f>+'St of Net Assets - GA'!O247-'LT _Lia - GA'!U263</f>
        <v>0</v>
      </c>
    </row>
    <row r="264" spans="1:24" hidden="1">
      <c r="A264" s="13" t="s">
        <v>464</v>
      </c>
      <c r="B264" s="13"/>
      <c r="C264" s="13" t="s">
        <v>41</v>
      </c>
      <c r="D264" s="13"/>
      <c r="E264" s="32">
        <v>47878</v>
      </c>
      <c r="S264" s="9">
        <f t="shared" si="6"/>
        <v>0</v>
      </c>
      <c r="U264" s="8">
        <v>0</v>
      </c>
      <c r="X264" s="8">
        <f>+'St of Net Assets - GA'!O248-'LT _Lia - GA'!U264</f>
        <v>0</v>
      </c>
    </row>
    <row r="265" spans="1:24">
      <c r="A265" s="13" t="s">
        <v>688</v>
      </c>
      <c r="B265" s="13"/>
      <c r="C265" s="13" t="s">
        <v>64</v>
      </c>
      <c r="D265" s="13"/>
      <c r="E265" s="32">
        <v>50245</v>
      </c>
      <c r="G265" s="8">
        <v>7220558</v>
      </c>
      <c r="I265" s="8">
        <v>0</v>
      </c>
      <c r="K265" s="8">
        <v>257500</v>
      </c>
      <c r="M265" s="8">
        <v>1913000</v>
      </c>
      <c r="O265" s="8">
        <v>841609</v>
      </c>
      <c r="Q265" s="8">
        <v>0</v>
      </c>
      <c r="S265" s="9">
        <f t="shared" si="6"/>
        <v>10232667</v>
      </c>
      <c r="U265" s="8">
        <v>640681</v>
      </c>
      <c r="X265" s="8">
        <f>+'St of Net Assets - GA'!O249-'LT _Lia - GA'!U265</f>
        <v>0</v>
      </c>
    </row>
    <row r="266" spans="1:24">
      <c r="A266" s="13" t="s">
        <v>658</v>
      </c>
      <c r="B266" s="13"/>
      <c r="C266" s="13" t="s">
        <v>62</v>
      </c>
      <c r="D266" s="13"/>
      <c r="E266" s="32">
        <v>49866</v>
      </c>
      <c r="G266" s="8">
        <v>26135411</v>
      </c>
      <c r="I266" s="8">
        <v>0</v>
      </c>
      <c r="K266" s="8">
        <v>0</v>
      </c>
      <c r="M266" s="8">
        <v>50148</v>
      </c>
      <c r="O266" s="8">
        <v>1134141</v>
      </c>
      <c r="Q266" s="8">
        <v>0</v>
      </c>
      <c r="S266" s="9">
        <f t="shared" si="6"/>
        <v>27319700</v>
      </c>
      <c r="U266" s="8">
        <v>1282539</v>
      </c>
      <c r="X266" s="8">
        <f>+'St of Net Assets - GA'!O250-'LT _Lia - GA'!U266</f>
        <v>0</v>
      </c>
    </row>
    <row r="267" spans="1:24">
      <c r="A267" s="13" t="s">
        <v>658</v>
      </c>
      <c r="B267" s="13"/>
      <c r="C267" s="13" t="s">
        <v>72</v>
      </c>
      <c r="D267" s="13"/>
      <c r="E267" s="32">
        <v>50690</v>
      </c>
      <c r="G267" s="8">
        <f>14432799-850000</f>
        <v>13582799</v>
      </c>
      <c r="I267" s="8">
        <v>0</v>
      </c>
      <c r="K267" s="8">
        <v>850000</v>
      </c>
      <c r="M267" s="8">
        <v>273490</v>
      </c>
      <c r="O267" s="8">
        <v>1066594</v>
      </c>
      <c r="Q267" s="8">
        <v>0</v>
      </c>
      <c r="S267" s="9">
        <f t="shared" si="6"/>
        <v>15772883</v>
      </c>
      <c r="U267" s="8">
        <v>1091018</v>
      </c>
      <c r="X267" s="8">
        <f>+'St of Net Assets - GA'!O251-'LT _Lia - GA'!U267</f>
        <v>0</v>
      </c>
    </row>
    <row r="268" spans="1:24">
      <c r="A268" s="13" t="s">
        <v>689</v>
      </c>
      <c r="B268" s="13"/>
      <c r="C268" s="13" t="s">
        <v>64</v>
      </c>
      <c r="D268" s="13"/>
      <c r="E268" s="32">
        <v>50187</v>
      </c>
      <c r="G268" s="8">
        <v>3976846</v>
      </c>
      <c r="I268" s="8">
        <v>0</v>
      </c>
      <c r="K268" s="8">
        <v>143758</v>
      </c>
      <c r="M268" s="8">
        <v>801000</v>
      </c>
      <c r="O268" s="8">
        <v>1829908</v>
      </c>
      <c r="Q268" s="8">
        <v>0</v>
      </c>
      <c r="S268" s="9">
        <f t="shared" si="6"/>
        <v>6751512</v>
      </c>
      <c r="U268" s="8">
        <v>328436</v>
      </c>
      <c r="X268" s="8">
        <f>+'St of Net Assets - GA'!O252-'LT _Lia - GA'!U268</f>
        <v>0</v>
      </c>
    </row>
    <row r="269" spans="1:24">
      <c r="A269" s="13" t="s">
        <v>314</v>
      </c>
      <c r="B269" s="13"/>
      <c r="C269" s="13" t="s">
        <v>20</v>
      </c>
      <c r="D269" s="13"/>
      <c r="E269" s="32">
        <v>44198</v>
      </c>
      <c r="G269" s="8">
        <f>131672049+6392403-2805418</f>
        <v>135259034</v>
      </c>
      <c r="I269" s="8">
        <v>0</v>
      </c>
      <c r="K269" s="8">
        <v>0</v>
      </c>
      <c r="M269" s="8">
        <v>1041802</v>
      </c>
      <c r="O269" s="8">
        <f>5889512+3188635</f>
        <v>9078147</v>
      </c>
      <c r="Q269" s="8">
        <v>0</v>
      </c>
      <c r="S269" s="9">
        <f t="shared" si="6"/>
        <v>145378983</v>
      </c>
      <c r="U269" s="8">
        <v>4831587</v>
      </c>
      <c r="X269" s="8">
        <f>+'St of Net Assets - GA'!O253-'LT _Lia - GA'!U269</f>
        <v>0</v>
      </c>
    </row>
    <row r="270" spans="1:24">
      <c r="A270" s="13" t="s">
        <v>900</v>
      </c>
      <c r="B270" s="13"/>
      <c r="C270" s="13" t="s">
        <v>42</v>
      </c>
      <c r="D270" s="13"/>
      <c r="E270" s="32">
        <v>47993</v>
      </c>
      <c r="G270" s="8">
        <v>12736531</v>
      </c>
      <c r="I270" s="8">
        <v>0</v>
      </c>
      <c r="K270" s="8">
        <v>1069628</v>
      </c>
      <c r="M270" s="8">
        <v>159736</v>
      </c>
      <c r="O270" s="8">
        <v>809639</v>
      </c>
      <c r="Q270" s="8">
        <v>0</v>
      </c>
      <c r="S270" s="9">
        <f>SUM(G270:R270)</f>
        <v>14775534</v>
      </c>
      <c r="U270" s="8">
        <v>762774</v>
      </c>
      <c r="X270" s="8">
        <f>+'St of Net Assets - GA'!O254-'LT _Lia - GA'!U270</f>
        <v>0</v>
      </c>
    </row>
    <row r="271" spans="1:24">
      <c r="A271" s="13" t="s">
        <v>249</v>
      </c>
      <c r="B271" s="13"/>
      <c r="C271" s="13" t="s">
        <v>246</v>
      </c>
      <c r="D271" s="13"/>
      <c r="E271" s="32">
        <v>46110</v>
      </c>
      <c r="G271" s="8">
        <v>171006195</v>
      </c>
      <c r="I271" s="8">
        <v>0</v>
      </c>
      <c r="K271" s="8">
        <v>0</v>
      </c>
      <c r="M271" s="8">
        <v>0</v>
      </c>
      <c r="O271" s="8">
        <v>7039821</v>
      </c>
      <c r="Q271" s="8">
        <v>0</v>
      </c>
      <c r="S271" s="9">
        <f t="shared" si="6"/>
        <v>178046016</v>
      </c>
      <c r="U271" s="8">
        <v>7715119</v>
      </c>
      <c r="X271" s="8">
        <f>+'St of Net Assets - GA'!O255-'LT _Lia - GA'!U271</f>
        <v>0</v>
      </c>
    </row>
    <row r="272" spans="1:24">
      <c r="A272" s="13" t="s">
        <v>249</v>
      </c>
      <c r="B272" s="13"/>
      <c r="C272" s="13" t="s">
        <v>79</v>
      </c>
      <c r="D272" s="13"/>
      <c r="E272" s="32">
        <v>49569</v>
      </c>
      <c r="G272" s="8">
        <v>19656494</v>
      </c>
      <c r="I272" s="8">
        <v>0</v>
      </c>
      <c r="K272" s="8">
        <v>0</v>
      </c>
      <c r="M272" s="8">
        <v>45910</v>
      </c>
      <c r="O272" s="8">
        <v>635777</v>
      </c>
      <c r="Q272" s="8">
        <v>0</v>
      </c>
      <c r="S272" s="9">
        <f t="shared" si="6"/>
        <v>20338181</v>
      </c>
      <c r="U272" s="8">
        <v>271803</v>
      </c>
      <c r="X272" s="8">
        <f>+'St of Net Assets - GA'!O256-'LT _Lia - GA'!U272</f>
        <v>0</v>
      </c>
    </row>
    <row r="273" spans="1:27">
      <c r="A273" s="13" t="s">
        <v>351</v>
      </c>
      <c r="B273" s="13"/>
      <c r="C273" s="13" t="s">
        <v>25</v>
      </c>
      <c r="D273" s="13"/>
      <c r="E273" s="32">
        <v>44206</v>
      </c>
      <c r="G273" s="8">
        <v>0</v>
      </c>
      <c r="I273" s="8">
        <v>0</v>
      </c>
      <c r="K273" s="8">
        <v>0</v>
      </c>
      <c r="M273" s="8">
        <v>0</v>
      </c>
      <c r="O273" s="8">
        <v>3409675</v>
      </c>
      <c r="Q273" s="8">
        <v>2563</v>
      </c>
      <c r="S273" s="9">
        <f t="shared" si="6"/>
        <v>3412238</v>
      </c>
      <c r="U273" s="8">
        <v>494372</v>
      </c>
      <c r="X273" s="8">
        <f>+'St of Net Assets - GA'!O257-'LT _Lia - GA'!U273</f>
        <v>0</v>
      </c>
    </row>
    <row r="274" spans="1:27" hidden="1">
      <c r="A274" s="13" t="s">
        <v>716</v>
      </c>
      <c r="B274" s="13"/>
      <c r="C274" s="13" t="s">
        <v>69</v>
      </c>
      <c r="D274" s="13"/>
      <c r="E274" s="32">
        <v>44214</v>
      </c>
      <c r="S274" s="9">
        <f t="shared" si="6"/>
        <v>0</v>
      </c>
      <c r="X274" s="8">
        <f>+'St of Net Assets - GA'!O258-'LT _Lia - GA'!U274</f>
        <v>0</v>
      </c>
    </row>
    <row r="275" spans="1:27">
      <c r="A275" s="13" t="s">
        <v>385</v>
      </c>
      <c r="B275" s="13"/>
      <c r="C275" s="13" t="s">
        <v>30</v>
      </c>
      <c r="D275" s="13"/>
      <c r="E275" s="32">
        <v>47209</v>
      </c>
      <c r="G275" s="8">
        <v>0</v>
      </c>
      <c r="I275" s="8">
        <v>0</v>
      </c>
      <c r="K275" s="8">
        <v>0</v>
      </c>
      <c r="M275" s="8">
        <v>0</v>
      </c>
      <c r="O275" s="8">
        <v>392712</v>
      </c>
      <c r="Q275" s="8">
        <v>0</v>
      </c>
      <c r="S275" s="9">
        <f t="shared" si="6"/>
        <v>392712</v>
      </c>
      <c r="U275" s="8">
        <v>51888</v>
      </c>
      <c r="X275" s="8">
        <f>+'St of Net Assets - GA'!O259-'LT _Lia - GA'!U275</f>
        <v>0</v>
      </c>
    </row>
    <row r="276" spans="1:27" hidden="1">
      <c r="A276" s="13" t="s">
        <v>609</v>
      </c>
      <c r="B276" s="13"/>
      <c r="C276" s="13" t="s">
        <v>608</v>
      </c>
      <c r="D276" s="13"/>
      <c r="E276" s="32">
        <v>49353</v>
      </c>
      <c r="S276" s="9">
        <f>SUM(G276:R276)</f>
        <v>0</v>
      </c>
      <c r="X276" s="8">
        <f>+'St of Net Assets - GA'!O260-'LT _Lia - GA'!U276</f>
        <v>0</v>
      </c>
    </row>
    <row r="277" spans="1:27">
      <c r="A277" s="13" t="s">
        <v>615</v>
      </c>
      <c r="B277" s="13"/>
      <c r="C277" s="13" t="s">
        <v>113</v>
      </c>
      <c r="D277" s="13"/>
      <c r="E277" s="32">
        <v>49437</v>
      </c>
      <c r="G277" s="8">
        <v>0</v>
      </c>
      <c r="I277" s="8">
        <v>0</v>
      </c>
      <c r="K277" s="8">
        <v>0</v>
      </c>
      <c r="M277" s="8">
        <v>344746</v>
      </c>
      <c r="O277" s="8">
        <v>1943581</v>
      </c>
      <c r="Q277" s="8">
        <v>0</v>
      </c>
      <c r="S277" s="9">
        <f>SUM(G277:R277)</f>
        <v>2288327</v>
      </c>
      <c r="U277" s="8">
        <v>377733</v>
      </c>
      <c r="X277" s="8">
        <f>+'St of Net Assets - GA'!O261-'LT _Lia - GA'!U277</f>
        <v>0</v>
      </c>
    </row>
    <row r="278" spans="1:27">
      <c r="A278" s="13" t="s">
        <v>436</v>
      </c>
      <c r="B278" s="13"/>
      <c r="C278" s="13" t="s">
        <v>34</v>
      </c>
      <c r="D278" s="13"/>
      <c r="E278" s="32">
        <v>47589</v>
      </c>
      <c r="G278" s="8">
        <f>2130002+302399+216760-107967</f>
        <v>2541194</v>
      </c>
      <c r="I278" s="8">
        <v>0</v>
      </c>
      <c r="K278" s="8">
        <v>0</v>
      </c>
      <c r="M278" s="8">
        <v>0</v>
      </c>
      <c r="O278" s="8">
        <v>547663</v>
      </c>
      <c r="Q278" s="8">
        <v>0</v>
      </c>
      <c r="S278" s="9">
        <f>SUM(G278:R278)</f>
        <v>3088857</v>
      </c>
      <c r="U278" s="8">
        <v>329749</v>
      </c>
      <c r="X278" s="8">
        <f>+'St of Net Assets - GA'!O262-'LT _Lia - GA'!U278</f>
        <v>0</v>
      </c>
      <c r="AA278" s="8" t="s">
        <v>136</v>
      </c>
    </row>
    <row r="279" spans="1:27">
      <c r="A279" s="13" t="s">
        <v>690</v>
      </c>
      <c r="B279" s="13"/>
      <c r="C279" s="13" t="s">
        <v>64</v>
      </c>
      <c r="D279" s="13"/>
      <c r="E279" s="32">
        <v>50195</v>
      </c>
      <c r="G279" s="8">
        <v>8762852</v>
      </c>
      <c r="I279" s="8">
        <v>0</v>
      </c>
      <c r="K279" s="8">
        <v>0</v>
      </c>
      <c r="M279" s="8">
        <v>0</v>
      </c>
      <c r="O279" s="8">
        <v>1445546</v>
      </c>
      <c r="Q279" s="8">
        <v>0</v>
      </c>
      <c r="S279" s="9">
        <f t="shared" ref="S279:S343" si="7">SUM(G279:R279)</f>
        <v>10208398</v>
      </c>
      <c r="U279" s="8">
        <v>804035</v>
      </c>
      <c r="X279" s="8">
        <f>+'St of Net Assets - GA'!O263-'LT _Lia - GA'!U279</f>
        <v>0</v>
      </c>
    </row>
    <row r="280" spans="1:27">
      <c r="A280" s="13" t="s">
        <v>906</v>
      </c>
      <c r="B280" s="13"/>
      <c r="C280" s="13" t="s">
        <v>25</v>
      </c>
      <c r="D280" s="13"/>
      <c r="E280" s="13">
        <v>46888</v>
      </c>
      <c r="G280" s="8">
        <v>12925000</v>
      </c>
      <c r="I280" s="8">
        <v>0</v>
      </c>
      <c r="K280" s="8">
        <v>0</v>
      </c>
      <c r="M280" s="8">
        <v>90222</v>
      </c>
      <c r="O280" s="8">
        <v>1019636</v>
      </c>
      <c r="Q280" s="8">
        <v>0</v>
      </c>
      <c r="S280" s="9">
        <f>SUM(G280:R280)</f>
        <v>14034858</v>
      </c>
      <c r="U280" s="8">
        <v>580782</v>
      </c>
      <c r="X280" s="8">
        <f>+'St of Net Assets - GA'!O264-'LT _Lia - GA'!U280</f>
        <v>0</v>
      </c>
    </row>
    <row r="281" spans="1:27">
      <c r="A281" s="13" t="s">
        <v>422</v>
      </c>
      <c r="B281" s="13"/>
      <c r="C281" s="13" t="s">
        <v>33</v>
      </c>
      <c r="D281" s="13"/>
      <c r="E281" s="32">
        <v>47449</v>
      </c>
      <c r="G281" s="8">
        <v>4340197</v>
      </c>
      <c r="I281" s="8">
        <v>0</v>
      </c>
      <c r="K281" s="8">
        <v>0</v>
      </c>
      <c r="M281" s="8">
        <v>0</v>
      </c>
      <c r="O281" s="8">
        <v>635682</v>
      </c>
      <c r="Q281" s="8">
        <v>0</v>
      </c>
      <c r="S281" s="9">
        <f t="shared" ref="S281:S298" si="8">SUM(G281:R281)</f>
        <v>4975879</v>
      </c>
      <c r="U281" s="8">
        <v>596246</v>
      </c>
      <c r="X281" s="8">
        <f>+'St of Net Assets - GA'!O265-'LT _Lia - GA'!U281</f>
        <v>0</v>
      </c>
    </row>
    <row r="282" spans="1:27">
      <c r="A282" s="13" t="s">
        <v>482</v>
      </c>
      <c r="B282" s="13"/>
      <c r="C282" s="13" t="s">
        <v>42</v>
      </c>
      <c r="D282" s="13"/>
      <c r="E282" s="32">
        <v>48009</v>
      </c>
      <c r="G282" s="8">
        <f>63177771-33329-947486</f>
        <v>62196956</v>
      </c>
      <c r="I282" s="8">
        <v>0</v>
      </c>
      <c r="K282" s="8">
        <v>0</v>
      </c>
      <c r="M282" s="8">
        <v>19023</v>
      </c>
      <c r="O282" s="8">
        <v>947486</v>
      </c>
      <c r="Q282" s="8">
        <v>0</v>
      </c>
      <c r="S282" s="9">
        <f t="shared" si="8"/>
        <v>63163465</v>
      </c>
      <c r="U282" s="8">
        <v>1790940</v>
      </c>
      <c r="X282" s="8">
        <f>+'St of Net Assets - GA'!O266-'LT _Lia - GA'!U282</f>
        <v>0</v>
      </c>
    </row>
    <row r="283" spans="1:27">
      <c r="A283" s="13" t="s">
        <v>483</v>
      </c>
      <c r="B283" s="13"/>
      <c r="C283" s="13" t="s">
        <v>42</v>
      </c>
      <c r="D283" s="13"/>
      <c r="E283" s="32">
        <v>48017</v>
      </c>
      <c r="G283" s="8">
        <f>3915000+2195000+8765000+560182+612846</f>
        <v>16048028</v>
      </c>
      <c r="I283" s="8">
        <v>0</v>
      </c>
      <c r="K283" s="8">
        <v>20981</v>
      </c>
      <c r="M283" s="8">
        <v>88968</v>
      </c>
      <c r="O283" s="8">
        <v>776565</v>
      </c>
      <c r="Q283" s="8">
        <v>0</v>
      </c>
      <c r="S283" s="9">
        <f t="shared" si="8"/>
        <v>16934542</v>
      </c>
      <c r="U283" s="8">
        <v>902384</v>
      </c>
      <c r="X283" s="8">
        <f>+'St of Net Assets - GA'!O267-'LT _Lia - GA'!U283</f>
        <v>0</v>
      </c>
    </row>
    <row r="284" spans="1:27">
      <c r="A284" s="13" t="s">
        <v>710</v>
      </c>
      <c r="B284" s="13"/>
      <c r="C284" s="13" t="s">
        <v>67</v>
      </c>
      <c r="D284" s="13"/>
      <c r="E284" s="32">
        <v>50369</v>
      </c>
      <c r="G284" s="8">
        <f>12475906+614370-453438</f>
        <v>12636838</v>
      </c>
      <c r="I284" s="8">
        <v>0</v>
      </c>
      <c r="K284" s="8">
        <v>0</v>
      </c>
      <c r="M284" s="8">
        <v>0</v>
      </c>
      <c r="O284" s="8">
        <v>367528</v>
      </c>
      <c r="Q284" s="8">
        <v>0</v>
      </c>
      <c r="S284" s="9">
        <f t="shared" si="8"/>
        <v>13004366</v>
      </c>
      <c r="U284" s="8">
        <v>380141</v>
      </c>
      <c r="X284" s="8">
        <f>+'St of Net Assets - GA'!O269-'LT _Lia - GA'!U284</f>
        <v>0</v>
      </c>
    </row>
    <row r="285" spans="1:27">
      <c r="A285" s="13" t="s">
        <v>287</v>
      </c>
      <c r="B285" s="13"/>
      <c r="C285" s="13" t="s">
        <v>115</v>
      </c>
      <c r="D285" s="13"/>
      <c r="E285" s="32">
        <v>45450</v>
      </c>
      <c r="G285" s="8">
        <f>1670000+163794</f>
        <v>1833794</v>
      </c>
      <c r="I285" s="8">
        <v>0</v>
      </c>
      <c r="K285" s="8">
        <v>0</v>
      </c>
      <c r="M285" s="8">
        <v>3860999</v>
      </c>
      <c r="O285" s="8">
        <v>509341</v>
      </c>
      <c r="Q285" s="8">
        <v>0</v>
      </c>
      <c r="S285" s="9">
        <f t="shared" si="8"/>
        <v>6204134</v>
      </c>
      <c r="U285" s="8">
        <v>226598</v>
      </c>
      <c r="X285" s="8">
        <f>+'St of Net Assets - GA'!O273-'LT _Lia - GA'!U285</f>
        <v>0</v>
      </c>
    </row>
    <row r="286" spans="1:27">
      <c r="A286" s="13" t="s">
        <v>717</v>
      </c>
      <c r="B286" s="13"/>
      <c r="C286" s="13" t="s">
        <v>69</v>
      </c>
      <c r="D286" s="13"/>
      <c r="E286" s="32">
        <v>50443</v>
      </c>
      <c r="G286" s="8">
        <v>75083116</v>
      </c>
      <c r="I286" s="8">
        <v>0</v>
      </c>
      <c r="K286" s="8">
        <v>0</v>
      </c>
      <c r="M286" s="8">
        <f>859395+471096+805000</f>
        <v>2135491</v>
      </c>
      <c r="O286" s="8">
        <v>1557900</v>
      </c>
      <c r="Q286" s="8">
        <v>0</v>
      </c>
      <c r="S286" s="9">
        <f t="shared" si="8"/>
        <v>78776507</v>
      </c>
      <c r="U286" s="8">
        <v>2881213</v>
      </c>
      <c r="X286" s="8">
        <f>+'St of Net Assets - GA'!O274-'LT _Lia - GA'!U286</f>
        <v>0</v>
      </c>
    </row>
    <row r="287" spans="1:27" hidden="1">
      <c r="A287" s="13" t="s">
        <v>401</v>
      </c>
      <c r="B287" s="13"/>
      <c r="C287" s="13" t="s">
        <v>32</v>
      </c>
      <c r="D287" s="13"/>
      <c r="E287" s="32">
        <v>44230</v>
      </c>
      <c r="S287" s="9">
        <f t="shared" si="8"/>
        <v>0</v>
      </c>
      <c r="X287" s="8">
        <f>+'St of Net Assets - GA'!O272-'LT _Lia - GA'!U287</f>
        <v>0</v>
      </c>
    </row>
    <row r="288" spans="1:27">
      <c r="A288" s="13" t="s">
        <v>589</v>
      </c>
      <c r="B288" s="13"/>
      <c r="C288" s="13" t="s">
        <v>54</v>
      </c>
      <c r="D288" s="13"/>
      <c r="E288" s="32">
        <v>49080</v>
      </c>
      <c r="G288" s="8">
        <v>0</v>
      </c>
      <c r="I288" s="8">
        <v>0</v>
      </c>
      <c r="K288" s="8">
        <v>0</v>
      </c>
      <c r="M288" s="8">
        <v>0</v>
      </c>
      <c r="O288" s="8">
        <v>1214111</v>
      </c>
      <c r="Q288" s="8">
        <v>0</v>
      </c>
      <c r="S288" s="9">
        <f t="shared" si="8"/>
        <v>1214111</v>
      </c>
      <c r="U288" s="8">
        <v>108812</v>
      </c>
      <c r="X288" s="8">
        <f>+'St of Net Assets - GA'!O275-'LT _Lia - GA'!U288</f>
        <v>0</v>
      </c>
    </row>
    <row r="289" spans="1:24">
      <c r="A289" s="13" t="s">
        <v>445</v>
      </c>
      <c r="B289" s="13"/>
      <c r="C289" s="13" t="s">
        <v>35</v>
      </c>
      <c r="D289" s="13"/>
      <c r="E289" s="32">
        <v>44248</v>
      </c>
      <c r="G289" s="8">
        <v>25735089</v>
      </c>
      <c r="I289" s="8">
        <v>0</v>
      </c>
      <c r="K289" s="8">
        <v>0</v>
      </c>
      <c r="M289" s="8">
        <v>4172698</v>
      </c>
      <c r="O289" s="8">
        <v>1904493</v>
      </c>
      <c r="Q289" s="8">
        <v>0</v>
      </c>
      <c r="S289" s="9">
        <f t="shared" si="8"/>
        <v>31812280</v>
      </c>
      <c r="U289" s="8">
        <v>2514879</v>
      </c>
      <c r="X289" s="8">
        <f>+'St of Net Assets - GA'!O276-'LT _Lia - GA'!U289</f>
        <v>0</v>
      </c>
    </row>
    <row r="290" spans="1:24">
      <c r="A290" s="13" t="s">
        <v>513</v>
      </c>
      <c r="B290" s="13"/>
      <c r="C290" s="13" t="s">
        <v>511</v>
      </c>
      <c r="D290" s="13"/>
      <c r="E290" s="32">
        <v>44255</v>
      </c>
      <c r="G290" s="8">
        <f>28241163-269612-927816</f>
        <v>27043735</v>
      </c>
      <c r="I290" s="8">
        <v>0</v>
      </c>
      <c r="K290" s="8">
        <v>0</v>
      </c>
      <c r="M290" s="8">
        <v>269612</v>
      </c>
      <c r="O290" s="8">
        <v>927816</v>
      </c>
      <c r="Q290" s="8">
        <v>0</v>
      </c>
      <c r="S290" s="9">
        <f t="shared" si="8"/>
        <v>28241163</v>
      </c>
      <c r="U290" s="8">
        <f>1616926-1</f>
        <v>1616925</v>
      </c>
      <c r="X290" s="8">
        <f>+'St of Net Assets - GA'!O277-'LT _Lia - GA'!U290</f>
        <v>0</v>
      </c>
    </row>
    <row r="291" spans="1:24">
      <c r="A291" s="13" t="s">
        <v>496</v>
      </c>
      <c r="B291" s="13"/>
      <c r="C291" s="13" t="s">
        <v>44</v>
      </c>
      <c r="D291" s="13"/>
      <c r="E291" s="32">
        <v>44263</v>
      </c>
      <c r="G291" s="8">
        <f>37068843+5400000</f>
        <v>42468843</v>
      </c>
      <c r="I291" s="8">
        <v>0</v>
      </c>
      <c r="K291" s="8">
        <v>4320000</v>
      </c>
      <c r="M291" s="8">
        <v>0</v>
      </c>
      <c r="O291" s="8">
        <v>7607775</v>
      </c>
      <c r="Q291" s="8">
        <v>0</v>
      </c>
      <c r="S291" s="9">
        <f t="shared" si="8"/>
        <v>54396618</v>
      </c>
      <c r="U291" s="8">
        <v>3679116</v>
      </c>
      <c r="X291" s="8">
        <f>+'St of Net Assets - GA'!O278-'LT _Lia - GA'!U291</f>
        <v>0</v>
      </c>
    </row>
    <row r="292" spans="1:24">
      <c r="A292" s="13" t="s">
        <v>691</v>
      </c>
      <c r="B292" s="13"/>
      <c r="C292" s="13" t="s">
        <v>64</v>
      </c>
      <c r="D292" s="13"/>
      <c r="E292" s="32">
        <v>50203</v>
      </c>
      <c r="G292" s="8">
        <v>0</v>
      </c>
      <c r="I292" s="8">
        <v>0</v>
      </c>
      <c r="K292" s="8">
        <v>899032</v>
      </c>
      <c r="M292" s="8">
        <v>2156085</v>
      </c>
      <c r="O292" s="8">
        <v>469295</v>
      </c>
      <c r="Q292" s="8">
        <v>0</v>
      </c>
      <c r="S292" s="9">
        <f t="shared" si="8"/>
        <v>3524412</v>
      </c>
      <c r="U292" s="8">
        <v>514173</v>
      </c>
      <c r="X292" s="8">
        <f>+'St of Net Assets - GA'!O279-'LT _Lia - GA'!U292</f>
        <v>0</v>
      </c>
    </row>
    <row r="293" spans="1:24">
      <c r="A293" s="12" t="s">
        <v>907</v>
      </c>
      <c r="B293" s="13"/>
      <c r="C293" s="13" t="s">
        <v>11</v>
      </c>
      <c r="D293" s="13"/>
      <c r="E293" s="32">
        <v>45468</v>
      </c>
      <c r="G293" s="8">
        <v>0</v>
      </c>
      <c r="I293" s="8">
        <v>0</v>
      </c>
      <c r="K293" s="8">
        <v>0</v>
      </c>
      <c r="M293" s="8">
        <v>37230</v>
      </c>
      <c r="O293" s="8">
        <v>1210552</v>
      </c>
      <c r="Q293" s="8">
        <v>0</v>
      </c>
      <c r="S293" s="9">
        <f t="shared" si="8"/>
        <v>1247782</v>
      </c>
      <c r="U293" s="8">
        <v>128288</v>
      </c>
      <c r="X293" s="8">
        <f>+'St of Net Assets - GA'!O280-'LT _Lia - GA'!U293</f>
        <v>0</v>
      </c>
    </row>
    <row r="294" spans="1:24">
      <c r="A294" s="13" t="s">
        <v>659</v>
      </c>
      <c r="B294" s="13"/>
      <c r="C294" s="13" t="s">
        <v>62</v>
      </c>
      <c r="D294" s="13"/>
      <c r="E294" s="32">
        <v>49874</v>
      </c>
      <c r="G294" s="8">
        <f>23105000+320000</f>
        <v>23425000</v>
      </c>
      <c r="I294" s="8">
        <v>0</v>
      </c>
      <c r="K294" s="8">
        <v>0</v>
      </c>
      <c r="M294" s="8">
        <v>0</v>
      </c>
      <c r="O294" s="8">
        <f>1183274+73355</f>
        <v>1256629</v>
      </c>
      <c r="Q294" s="8">
        <v>0</v>
      </c>
      <c r="S294" s="9">
        <f t="shared" si="8"/>
        <v>24681629</v>
      </c>
      <c r="U294" s="8">
        <v>360062</v>
      </c>
      <c r="X294" s="8">
        <f>+'St of Net Assets - GA'!O281-'LT _Lia - GA'!U294</f>
        <v>0</v>
      </c>
    </row>
    <row r="295" spans="1:24">
      <c r="A295" s="13" t="s">
        <v>402</v>
      </c>
      <c r="B295" s="13"/>
      <c r="C295" s="13" t="s">
        <v>32</v>
      </c>
      <c r="D295" s="13"/>
      <c r="E295" s="32">
        <v>44271</v>
      </c>
      <c r="G295" s="8">
        <v>24474648</v>
      </c>
      <c r="I295" s="8">
        <v>0</v>
      </c>
      <c r="K295" s="8">
        <v>0</v>
      </c>
      <c r="M295" s="8">
        <v>0</v>
      </c>
      <c r="O295" s="8">
        <v>2042935</v>
      </c>
      <c r="Q295" s="8">
        <v>0</v>
      </c>
      <c r="S295" s="9">
        <f t="shared" si="8"/>
        <v>26517583</v>
      </c>
      <c r="U295" s="8">
        <v>3769936</v>
      </c>
      <c r="X295" s="8">
        <f>+'St of Net Assets - GA'!O282-'LT _Lia - GA'!U295</f>
        <v>0</v>
      </c>
    </row>
    <row r="296" spans="1:24">
      <c r="A296" s="13" t="s">
        <v>519</v>
      </c>
      <c r="B296" s="13"/>
      <c r="C296" s="13" t="s">
        <v>45</v>
      </c>
      <c r="D296" s="13"/>
      <c r="E296" s="32">
        <v>48330</v>
      </c>
      <c r="G296" s="8">
        <f>845000+955000</f>
        <v>1800000</v>
      </c>
      <c r="I296" s="8">
        <v>0</v>
      </c>
      <c r="K296" s="8">
        <v>0</v>
      </c>
      <c r="M296" s="8">
        <v>0</v>
      </c>
      <c r="O296" s="8">
        <v>250072</v>
      </c>
      <c r="Q296" s="8">
        <v>0</v>
      </c>
      <c r="S296" s="9">
        <f t="shared" si="8"/>
        <v>2050072</v>
      </c>
      <c r="U296" s="8">
        <v>93133</v>
      </c>
      <c r="X296" s="8">
        <f>+'St of Net Assets - GA'!O283-'LT _Lia - GA'!U296</f>
        <v>0</v>
      </c>
    </row>
    <row r="297" spans="1:24">
      <c r="A297" s="13" t="s">
        <v>893</v>
      </c>
      <c r="B297" s="13"/>
      <c r="C297" s="13" t="s">
        <v>113</v>
      </c>
      <c r="D297" s="13"/>
      <c r="E297" s="32">
        <v>49445</v>
      </c>
      <c r="G297" s="8">
        <v>0</v>
      </c>
      <c r="I297" s="8">
        <v>0</v>
      </c>
      <c r="K297" s="8">
        <v>0</v>
      </c>
      <c r="M297" s="8">
        <v>0</v>
      </c>
      <c r="O297" s="8">
        <v>190873</v>
      </c>
      <c r="Q297" s="8">
        <v>0</v>
      </c>
      <c r="S297" s="9">
        <f t="shared" si="8"/>
        <v>190873</v>
      </c>
      <c r="U297" s="8">
        <v>26219</v>
      </c>
      <c r="X297" s="8">
        <f>+'St of Net Assets - GA'!O284-'LT _Lia - GA'!U297</f>
        <v>0</v>
      </c>
    </row>
    <row r="298" spans="1:24">
      <c r="A298" s="13" t="s">
        <v>444</v>
      </c>
      <c r="B298" s="13"/>
      <c r="C298" s="13" t="s">
        <v>440</v>
      </c>
      <c r="D298" s="13"/>
      <c r="E298" s="32">
        <v>47639</v>
      </c>
      <c r="G298" s="8">
        <v>1630000</v>
      </c>
      <c r="I298" s="8">
        <v>0</v>
      </c>
      <c r="K298" s="8">
        <v>0</v>
      </c>
      <c r="M298" s="8">
        <v>564</v>
      </c>
      <c r="O298" s="8">
        <v>420304</v>
      </c>
      <c r="Q298" s="8">
        <v>0</v>
      </c>
      <c r="S298" s="9">
        <f t="shared" si="8"/>
        <v>2050868</v>
      </c>
      <c r="U298" s="8">
        <v>135400</v>
      </c>
      <c r="X298" s="8">
        <f>+'St of Net Assets - GA'!O285-'LT _Lia - GA'!U298</f>
        <v>0</v>
      </c>
    </row>
    <row r="299" spans="1:24">
      <c r="A299" s="13" t="s">
        <v>558</v>
      </c>
      <c r="B299" s="13"/>
      <c r="C299" s="13" t="s">
        <v>50</v>
      </c>
      <c r="D299" s="13"/>
      <c r="E299" s="32">
        <v>48702</v>
      </c>
      <c r="G299" s="8">
        <v>14699716</v>
      </c>
      <c r="I299" s="8">
        <v>0</v>
      </c>
      <c r="K299" s="8">
        <v>0</v>
      </c>
      <c r="M299" s="8">
        <v>1861000</v>
      </c>
      <c r="O299" s="8">
        <v>2025398</v>
      </c>
      <c r="Q299" s="8">
        <v>0</v>
      </c>
      <c r="S299" s="9">
        <f t="shared" si="7"/>
        <v>18586114</v>
      </c>
      <c r="U299" s="8">
        <v>1296416</v>
      </c>
      <c r="X299" s="8">
        <f>+'St of Net Assets - GA'!O286-'LT _Lia - GA'!U299</f>
        <v>0</v>
      </c>
    </row>
    <row r="300" spans="1:24">
      <c r="A300" s="13" t="s">
        <v>403</v>
      </c>
      <c r="B300" s="13"/>
      <c r="C300" s="13" t="s">
        <v>32</v>
      </c>
      <c r="D300" s="13"/>
      <c r="E300" s="32">
        <v>44289</v>
      </c>
      <c r="G300" s="8">
        <f>30984198-52292</f>
        <v>30931906</v>
      </c>
      <c r="I300" s="8">
        <v>0</v>
      </c>
      <c r="K300" s="8">
        <v>52292</v>
      </c>
      <c r="M300" s="8">
        <v>272252</v>
      </c>
      <c r="O300" s="8">
        <v>737274</v>
      </c>
      <c r="Q300" s="8">
        <v>0</v>
      </c>
      <c r="S300" s="9">
        <f t="shared" si="7"/>
        <v>31993724</v>
      </c>
      <c r="U300" s="8">
        <v>1254135</v>
      </c>
      <c r="X300" s="8">
        <f>+'St of Net Assets - GA'!O287-'LT _Lia - GA'!U300</f>
        <v>0</v>
      </c>
    </row>
    <row r="301" spans="1:24">
      <c r="A301" s="13" t="s">
        <v>250</v>
      </c>
      <c r="B301" s="13"/>
      <c r="C301" s="13" t="s">
        <v>246</v>
      </c>
      <c r="D301" s="13"/>
      <c r="E301" s="32">
        <v>46128</v>
      </c>
      <c r="G301" s="8">
        <v>11935756</v>
      </c>
      <c r="I301" s="8">
        <v>0</v>
      </c>
      <c r="K301" s="8">
        <v>0</v>
      </c>
      <c r="M301" s="8">
        <v>3426745</v>
      </c>
      <c r="O301" s="8">
        <v>163391</v>
      </c>
      <c r="Q301" s="8">
        <v>0</v>
      </c>
      <c r="S301" s="9">
        <f t="shared" si="7"/>
        <v>15525892</v>
      </c>
      <c r="U301" s="8">
        <v>542532</v>
      </c>
      <c r="X301" s="8">
        <f>+'St of Net Assets - GA'!O288-'LT _Lia - GA'!U301</f>
        <v>0</v>
      </c>
    </row>
    <row r="302" spans="1:24">
      <c r="A302" s="13" t="s">
        <v>250</v>
      </c>
      <c r="B302" s="13"/>
      <c r="C302" s="13" t="s">
        <v>113</v>
      </c>
      <c r="D302" s="13"/>
      <c r="E302" s="32">
        <v>49452</v>
      </c>
      <c r="G302" s="8">
        <v>0</v>
      </c>
      <c r="I302" s="8">
        <v>0</v>
      </c>
      <c r="K302" s="8">
        <v>345000</v>
      </c>
      <c r="M302" s="8">
        <v>0</v>
      </c>
      <c r="O302" s="8">
        <v>2188811</v>
      </c>
      <c r="Q302" s="8">
        <v>0</v>
      </c>
      <c r="S302" s="9">
        <f t="shared" si="7"/>
        <v>2533811</v>
      </c>
      <c r="U302" s="8">
        <v>435012</v>
      </c>
      <c r="X302" s="8">
        <f>+'St of Net Assets - GA'!O289-'LT _Lia - GA'!U302</f>
        <v>0</v>
      </c>
    </row>
    <row r="303" spans="1:24">
      <c r="A303" s="13" t="s">
        <v>835</v>
      </c>
      <c r="B303" s="13"/>
      <c r="C303" s="13" t="s">
        <v>210</v>
      </c>
      <c r="D303" s="13"/>
      <c r="E303" s="32"/>
      <c r="G303" s="8">
        <f>14741160+248084</f>
        <v>14989244</v>
      </c>
      <c r="I303" s="8">
        <v>0</v>
      </c>
      <c r="K303" s="8">
        <v>0</v>
      </c>
      <c r="M303" s="8">
        <f>6652000+95465</f>
        <v>6747465</v>
      </c>
      <c r="O303" s="8">
        <v>649113</v>
      </c>
      <c r="Q303" s="8">
        <v>0</v>
      </c>
      <c r="S303" s="9">
        <f t="shared" si="7"/>
        <v>22385822</v>
      </c>
      <c r="U303" s="8">
        <v>2905311</v>
      </c>
      <c r="X303" s="8">
        <f>+'St of Net Assets - GA'!O290-'LT _Lia - GA'!U303</f>
        <v>0</v>
      </c>
    </row>
    <row r="304" spans="1:24">
      <c r="A304" s="13" t="s">
        <v>617</v>
      </c>
      <c r="B304" s="13"/>
      <c r="C304" s="13" t="s">
        <v>113</v>
      </c>
      <c r="D304" s="13"/>
      <c r="E304" s="32">
        <v>44297</v>
      </c>
      <c r="G304" s="8">
        <f>159802+2000000+13882270</f>
        <v>16042072</v>
      </c>
      <c r="I304" s="8">
        <v>0</v>
      </c>
      <c r="K304" s="8">
        <v>0</v>
      </c>
      <c r="M304" s="8">
        <v>0</v>
      </c>
      <c r="O304" s="8">
        <v>3039543</v>
      </c>
      <c r="Q304" s="8">
        <v>0</v>
      </c>
      <c r="S304" s="9">
        <f t="shared" si="7"/>
        <v>19081615</v>
      </c>
      <c r="U304" s="8">
        <v>1633661</v>
      </c>
      <c r="X304" s="8">
        <f>+'St of Net Assets - GA'!O291-'LT _Lia - GA'!U304</f>
        <v>0</v>
      </c>
    </row>
    <row r="306" spans="1:24">
      <c r="A306" s="13"/>
      <c r="B306" s="13"/>
      <c r="C306" s="13"/>
      <c r="D306" s="13"/>
      <c r="E306" s="32"/>
      <c r="S306" s="9"/>
      <c r="U306" s="8" t="s">
        <v>819</v>
      </c>
    </row>
    <row r="307" spans="1:24" s="35" customFormat="1">
      <c r="A307" s="34" t="s">
        <v>315</v>
      </c>
      <c r="B307" s="34"/>
      <c r="C307" s="34" t="s">
        <v>20</v>
      </c>
      <c r="D307" s="34"/>
      <c r="E307" s="34">
        <v>44305</v>
      </c>
      <c r="G307" s="35">
        <v>3396671</v>
      </c>
      <c r="I307" s="35">
        <v>0</v>
      </c>
      <c r="K307" s="35">
        <v>262172</v>
      </c>
      <c r="M307" s="35">
        <v>107034</v>
      </c>
      <c r="O307" s="35">
        <v>1739574</v>
      </c>
      <c r="Q307" s="35">
        <v>0</v>
      </c>
      <c r="S307" s="44">
        <f>SUM(G307:R307)</f>
        <v>5505451</v>
      </c>
      <c r="U307" s="35">
        <v>482137</v>
      </c>
      <c r="X307" s="35">
        <f>+'St of Net Assets - GA'!O292-'LT _Lia - GA'!U307</f>
        <v>0</v>
      </c>
    </row>
    <row r="308" spans="1:24">
      <c r="A308" s="13" t="s">
        <v>218</v>
      </c>
      <c r="B308" s="13"/>
      <c r="C308" s="13" t="s">
        <v>11</v>
      </c>
      <c r="D308" s="13"/>
      <c r="E308" s="13">
        <v>45831</v>
      </c>
      <c r="G308" s="8">
        <v>3345000</v>
      </c>
      <c r="I308" s="8">
        <v>0</v>
      </c>
      <c r="K308" s="8">
        <v>0</v>
      </c>
      <c r="M308" s="8">
        <v>34965</v>
      </c>
      <c r="O308" s="8">
        <v>353508</v>
      </c>
      <c r="Q308" s="8">
        <v>0</v>
      </c>
      <c r="S308" s="9">
        <f t="shared" si="7"/>
        <v>3733473</v>
      </c>
      <c r="U308" s="8">
        <v>237733</v>
      </c>
      <c r="X308" s="8">
        <f>+'St of Net Assets - GA'!O293-'LT _Lia - GA'!U308</f>
        <v>0</v>
      </c>
    </row>
    <row r="309" spans="1:24">
      <c r="A309" s="13" t="s">
        <v>692</v>
      </c>
      <c r="B309" s="13"/>
      <c r="C309" s="13" t="s">
        <v>64</v>
      </c>
      <c r="D309" s="13"/>
      <c r="E309" s="32">
        <v>50211</v>
      </c>
      <c r="G309" s="8">
        <f>375000+188935+171236+1545000</f>
        <v>2280171</v>
      </c>
      <c r="I309" s="8">
        <v>8985</v>
      </c>
      <c r="K309" s="8">
        <v>400000</v>
      </c>
      <c r="M309" s="8">
        <v>0</v>
      </c>
      <c r="O309" s="8">
        <v>756746</v>
      </c>
      <c r="Q309" s="8">
        <v>0</v>
      </c>
      <c r="S309" s="9">
        <f t="shared" si="7"/>
        <v>3445902</v>
      </c>
      <c r="U309" s="8">
        <v>325868</v>
      </c>
      <c r="X309" s="8">
        <f>+'St of Net Assets - GA'!O294-'LT _Lia - GA'!U309</f>
        <v>0</v>
      </c>
    </row>
    <row r="310" spans="1:24">
      <c r="A310" s="13" t="s">
        <v>343</v>
      </c>
      <c r="B310" s="13"/>
      <c r="C310" s="13" t="s">
        <v>24</v>
      </c>
      <c r="D310" s="13"/>
      <c r="E310" s="32">
        <v>46805</v>
      </c>
      <c r="G310" s="8">
        <v>0</v>
      </c>
      <c r="I310" s="8">
        <v>0</v>
      </c>
      <c r="K310" s="8">
        <v>0</v>
      </c>
      <c r="M310" s="8">
        <v>2667000</v>
      </c>
      <c r="O310" s="8">
        <v>1032083</v>
      </c>
      <c r="Q310" s="8">
        <v>0</v>
      </c>
      <c r="S310" s="9">
        <f t="shared" si="7"/>
        <v>3699083</v>
      </c>
      <c r="U310" s="8">
        <v>423102</v>
      </c>
      <c r="X310" s="8">
        <f>+'St of Net Assets - GA'!O295-'LT _Lia - GA'!U310</f>
        <v>0</v>
      </c>
    </row>
    <row r="311" spans="1:24">
      <c r="A311" s="13" t="s">
        <v>404</v>
      </c>
      <c r="B311" s="13"/>
      <c r="C311" s="13" t="s">
        <v>32</v>
      </c>
      <c r="D311" s="13"/>
      <c r="E311" s="32">
        <v>44313</v>
      </c>
      <c r="G311" s="8">
        <v>6698644</v>
      </c>
      <c r="I311" s="8">
        <v>0</v>
      </c>
      <c r="K311" s="8">
        <v>0</v>
      </c>
      <c r="M311" s="8">
        <v>1157229</v>
      </c>
      <c r="O311" s="8">
        <v>1402069</v>
      </c>
      <c r="Q311" s="8">
        <f>-1134239+534348</f>
        <v>-599891</v>
      </c>
      <c r="S311" s="9">
        <f t="shared" si="7"/>
        <v>8658051</v>
      </c>
      <c r="U311" s="8">
        <v>549725</v>
      </c>
      <c r="X311" s="8">
        <f>+'St of Net Assets - GA'!O296-'LT _Lia - GA'!U311</f>
        <v>0</v>
      </c>
    </row>
    <row r="312" spans="1:24" hidden="1">
      <c r="A312" s="13" t="s">
        <v>724</v>
      </c>
      <c r="B312" s="13"/>
      <c r="C312" s="13" t="s">
        <v>70</v>
      </c>
      <c r="D312" s="13"/>
      <c r="E312" s="32">
        <v>44321</v>
      </c>
      <c r="S312" s="9">
        <f t="shared" si="7"/>
        <v>0</v>
      </c>
      <c r="X312" s="8">
        <f>+'St of Net Assets - GA'!O297-'LT _Lia - GA'!U312</f>
        <v>0</v>
      </c>
    </row>
    <row r="313" spans="1:24">
      <c r="A313" s="13" t="s">
        <v>527</v>
      </c>
      <c r="B313" s="13"/>
      <c r="C313" s="13" t="s">
        <v>46</v>
      </c>
      <c r="D313" s="13"/>
      <c r="E313" s="32">
        <v>44339</v>
      </c>
      <c r="G313" s="8">
        <v>12932308</v>
      </c>
      <c r="I313" s="8">
        <v>0</v>
      </c>
      <c r="K313" s="8">
        <v>0</v>
      </c>
      <c r="M313" s="8">
        <v>166269</v>
      </c>
      <c r="O313" s="8">
        <v>3238864</v>
      </c>
      <c r="Q313" s="8">
        <v>0</v>
      </c>
      <c r="S313" s="9">
        <f t="shared" si="7"/>
        <v>16337441</v>
      </c>
      <c r="U313" s="8">
        <v>795541</v>
      </c>
      <c r="X313" s="8">
        <f>+'St of Net Assets - GA'!O298-'LT _Lia - GA'!U313</f>
        <v>0</v>
      </c>
    </row>
    <row r="314" spans="1:24">
      <c r="A314" s="13" t="s">
        <v>660</v>
      </c>
      <c r="B314" s="13"/>
      <c r="C314" s="13" t="s">
        <v>62</v>
      </c>
      <c r="D314" s="13"/>
      <c r="E314" s="32">
        <v>49882</v>
      </c>
      <c r="G314" s="8">
        <v>0</v>
      </c>
      <c r="I314" s="8">
        <v>0</v>
      </c>
      <c r="K314" s="8">
        <v>0</v>
      </c>
      <c r="M314" s="8">
        <v>461166</v>
      </c>
      <c r="O314" s="8">
        <v>1594769</v>
      </c>
      <c r="Q314" s="8">
        <v>0</v>
      </c>
      <c r="S314" s="9">
        <f t="shared" si="7"/>
        <v>2055935</v>
      </c>
      <c r="U314" s="8">
        <v>519212</v>
      </c>
      <c r="X314" s="8">
        <f>+'St of Net Assets - GA'!O299-'LT _Lia - GA'!U314</f>
        <v>0</v>
      </c>
    </row>
    <row r="315" spans="1:24">
      <c r="A315" s="13" t="s">
        <v>236</v>
      </c>
      <c r="B315" s="13"/>
      <c r="C315" s="13" t="s">
        <v>15</v>
      </c>
      <c r="D315" s="13"/>
      <c r="E315" s="32">
        <v>44347</v>
      </c>
      <c r="G315" s="8">
        <v>10404037</v>
      </c>
      <c r="I315" s="8">
        <v>0</v>
      </c>
      <c r="K315" s="8">
        <v>0</v>
      </c>
      <c r="M315" s="8">
        <v>4281917</v>
      </c>
      <c r="O315" s="8">
        <v>1090669</v>
      </c>
      <c r="Q315" s="8">
        <v>0</v>
      </c>
      <c r="S315" s="9">
        <f t="shared" si="7"/>
        <v>15776623</v>
      </c>
      <c r="U315" s="8">
        <v>349423</v>
      </c>
      <c r="X315" s="8">
        <f>+'St of Net Assets - GA'!O300-'LT _Lia - GA'!U315</f>
        <v>0</v>
      </c>
    </row>
    <row r="316" spans="1:24">
      <c r="A316" s="13" t="s">
        <v>708</v>
      </c>
      <c r="B316" s="13"/>
      <c r="C316" s="13" t="s">
        <v>66</v>
      </c>
      <c r="D316" s="13"/>
      <c r="E316" s="32">
        <v>45476</v>
      </c>
      <c r="G316" s="8">
        <v>105689415</v>
      </c>
      <c r="I316" s="8">
        <v>0</v>
      </c>
      <c r="K316" s="8">
        <v>0</v>
      </c>
      <c r="M316" s="8">
        <v>1675000</v>
      </c>
      <c r="O316" s="8">
        <f>270000+2901816</f>
        <v>3171816</v>
      </c>
      <c r="Q316" s="8">
        <v>615000</v>
      </c>
      <c r="S316" s="9">
        <f t="shared" si="7"/>
        <v>111151231</v>
      </c>
      <c r="U316" s="8">
        <v>4601360</v>
      </c>
      <c r="X316" s="8">
        <f>+'St of Net Assets - GA'!O301-'LT _Lia - GA'!U316</f>
        <v>0</v>
      </c>
    </row>
    <row r="317" spans="1:24">
      <c r="A317" s="13" t="s">
        <v>718</v>
      </c>
      <c r="B317" s="13"/>
      <c r="C317" s="13" t="s">
        <v>69</v>
      </c>
      <c r="D317" s="13"/>
      <c r="E317" s="32">
        <v>50450</v>
      </c>
      <c r="G317" s="8">
        <v>152283855</v>
      </c>
      <c r="I317" s="8">
        <v>0</v>
      </c>
      <c r="K317" s="8">
        <v>0</v>
      </c>
      <c r="M317" s="8">
        <v>0</v>
      </c>
      <c r="O317" s="8">
        <v>3704669</v>
      </c>
      <c r="Q317" s="8">
        <v>0</v>
      </c>
      <c r="S317" s="9">
        <f t="shared" si="7"/>
        <v>155988524</v>
      </c>
      <c r="U317" s="8">
        <v>6969030</v>
      </c>
      <c r="X317" s="8">
        <f>+'St of Net Assets - GA'!O302-'LT _Lia - GA'!U317</f>
        <v>0</v>
      </c>
    </row>
    <row r="318" spans="1:24">
      <c r="A318" s="13" t="s">
        <v>661</v>
      </c>
      <c r="B318" s="13"/>
      <c r="C318" s="13" t="s">
        <v>62</v>
      </c>
      <c r="D318" s="13"/>
      <c r="E318" s="32">
        <v>44354</v>
      </c>
      <c r="G318" s="8">
        <v>15791857</v>
      </c>
      <c r="I318" s="8">
        <v>0</v>
      </c>
      <c r="K318" s="8">
        <v>2000000</v>
      </c>
      <c r="M318" s="8">
        <v>258278</v>
      </c>
      <c r="O318" s="8">
        <v>2720448</v>
      </c>
      <c r="Q318" s="8">
        <v>0</v>
      </c>
      <c r="S318" s="9">
        <f t="shared" si="7"/>
        <v>20770583</v>
      </c>
      <c r="U318" s="8">
        <v>4092833</v>
      </c>
      <c r="X318" s="8">
        <f>+'St of Net Assets - GA'!O303-'LT _Lia - GA'!U318</f>
        <v>0</v>
      </c>
    </row>
    <row r="319" spans="1:24">
      <c r="A319" s="13" t="s">
        <v>693</v>
      </c>
      <c r="B319" s="13"/>
      <c r="C319" s="13" t="s">
        <v>64</v>
      </c>
      <c r="D319" s="13"/>
      <c r="E319" s="32">
        <v>50153</v>
      </c>
      <c r="G319" s="8">
        <v>0</v>
      </c>
      <c r="I319" s="8">
        <v>52566</v>
      </c>
      <c r="K319" s="8">
        <v>0</v>
      </c>
      <c r="M319" s="8">
        <v>0</v>
      </c>
      <c r="O319" s="8">
        <v>1474284</v>
      </c>
      <c r="Q319" s="8">
        <v>0</v>
      </c>
      <c r="S319" s="9">
        <f t="shared" si="7"/>
        <v>1526850</v>
      </c>
      <c r="U319" s="8">
        <v>236236</v>
      </c>
      <c r="X319" s="8">
        <f>+'St of Net Assets - GA'!O304-'LT _Lia - GA'!U319</f>
        <v>0</v>
      </c>
    </row>
    <row r="320" spans="1:24">
      <c r="A320" s="13" t="s">
        <v>503</v>
      </c>
      <c r="B320" s="13"/>
      <c r="C320" s="13" t="s">
        <v>118</v>
      </c>
      <c r="D320" s="13"/>
      <c r="E320" s="32">
        <v>44362</v>
      </c>
      <c r="G320" s="8">
        <v>37405000</v>
      </c>
      <c r="I320" s="8">
        <v>0</v>
      </c>
      <c r="K320" s="8">
        <v>0</v>
      </c>
      <c r="M320" s="8">
        <v>0</v>
      </c>
      <c r="O320" s="8">
        <v>2878211</v>
      </c>
      <c r="Q320" s="8">
        <v>0</v>
      </c>
      <c r="S320" s="9">
        <f t="shared" si="7"/>
        <v>40283211</v>
      </c>
      <c r="U320" s="8">
        <v>1795453</v>
      </c>
      <c r="X320" s="8">
        <f>+'St of Net Assets - GA'!O305-'LT _Lia - GA'!U320</f>
        <v>0</v>
      </c>
    </row>
    <row r="321" spans="1:24">
      <c r="A321" s="13" t="s">
        <v>316</v>
      </c>
      <c r="B321" s="13"/>
      <c r="C321" s="13" t="s">
        <v>20</v>
      </c>
      <c r="D321" s="13"/>
      <c r="E321" s="32">
        <v>44370</v>
      </c>
      <c r="G321" s="8">
        <v>4605000</v>
      </c>
      <c r="I321" s="8">
        <v>900001</v>
      </c>
      <c r="K321" s="8">
        <v>0</v>
      </c>
      <c r="M321" s="8">
        <v>110779</v>
      </c>
      <c r="O321" s="8">
        <v>3170856</v>
      </c>
      <c r="Q321" s="8">
        <f>440594+14483388</f>
        <v>14923982</v>
      </c>
      <c r="S321" s="9">
        <f t="shared" si="7"/>
        <v>23710618</v>
      </c>
      <c r="U321" s="8">
        <v>1466068</v>
      </c>
      <c r="X321" s="8">
        <f>+'St of Net Assets - GA'!O306-'LT _Lia - GA'!U321</f>
        <v>0</v>
      </c>
    </row>
    <row r="322" spans="1:24" ht="11.4" customHeight="1">
      <c r="A322" s="13" t="s">
        <v>573</v>
      </c>
      <c r="B322" s="13"/>
      <c r="C322" s="13" t="s">
        <v>51</v>
      </c>
      <c r="D322" s="13"/>
      <c r="E322" s="32">
        <v>48850</v>
      </c>
      <c r="G322" s="8">
        <v>3502784</v>
      </c>
      <c r="I322" s="8">
        <v>0</v>
      </c>
      <c r="K322" s="8">
        <v>0</v>
      </c>
      <c r="M322" s="8">
        <v>184177</v>
      </c>
      <c r="O322" s="8">
        <v>1037565</v>
      </c>
      <c r="Q322" s="8">
        <v>0</v>
      </c>
      <c r="S322" s="9">
        <f t="shared" si="7"/>
        <v>4724526</v>
      </c>
      <c r="U322" s="8">
        <v>282010</v>
      </c>
      <c r="X322" s="8">
        <f>+'St of Net Assets - GA'!O307-'LT _Lia - GA'!U322</f>
        <v>0</v>
      </c>
    </row>
    <row r="323" spans="1:24" hidden="1">
      <c r="A323" s="13" t="s">
        <v>935</v>
      </c>
      <c r="B323" s="13"/>
      <c r="C323" s="13" t="s">
        <v>33</v>
      </c>
      <c r="D323" s="13"/>
      <c r="E323" s="32">
        <v>47456</v>
      </c>
      <c r="S323" s="9">
        <f t="shared" si="7"/>
        <v>0</v>
      </c>
      <c r="X323" s="8">
        <f>+'St of Net Assets - GA'!O308-'LT _Lia - GA'!U323</f>
        <v>0</v>
      </c>
    </row>
    <row r="324" spans="1:24">
      <c r="A324" s="13" t="s">
        <v>928</v>
      </c>
      <c r="B324" s="13"/>
      <c r="C324" s="13" t="s">
        <v>64</v>
      </c>
      <c r="D324" s="13"/>
      <c r="E324" s="32">
        <v>50229</v>
      </c>
      <c r="G324" s="8">
        <v>1501213</v>
      </c>
      <c r="I324" s="8">
        <v>0</v>
      </c>
      <c r="K324" s="8">
        <v>0</v>
      </c>
      <c r="M324" s="8">
        <v>8847</v>
      </c>
      <c r="O324" s="8">
        <v>376256</v>
      </c>
      <c r="Q324" s="8">
        <v>10000</v>
      </c>
      <c r="S324" s="9">
        <f t="shared" si="7"/>
        <v>1896316</v>
      </c>
      <c r="U324" s="8">
        <v>147871</v>
      </c>
      <c r="X324" s="8">
        <f>+'St of Net Assets - GA'!O309-'LT _Lia - GA'!U324</f>
        <v>0</v>
      </c>
    </row>
    <row r="325" spans="1:24">
      <c r="A325" s="13" t="s">
        <v>260</v>
      </c>
      <c r="B325" s="13"/>
      <c r="C325" s="13" t="s">
        <v>259</v>
      </c>
      <c r="D325" s="13"/>
      <c r="E325" s="13">
        <v>45484</v>
      </c>
      <c r="G325" s="8">
        <f>6980000+195265+99308</f>
        <v>7274573</v>
      </c>
      <c r="I325" s="8">
        <v>0</v>
      </c>
      <c r="K325" s="8">
        <v>0</v>
      </c>
      <c r="M325" s="8">
        <v>158805</v>
      </c>
      <c r="O325" s="8">
        <v>422916</v>
      </c>
      <c r="Q325" s="8">
        <v>0</v>
      </c>
      <c r="S325" s="9">
        <f t="shared" si="7"/>
        <v>7856294</v>
      </c>
      <c r="U325" s="8">
        <v>297216</v>
      </c>
      <c r="X325" s="8">
        <f>+'St of Net Assets - GA'!O310-'LT _Lia - GA'!U325</f>
        <v>0</v>
      </c>
    </row>
    <row r="326" spans="1:24">
      <c r="A326" s="13" t="s">
        <v>535</v>
      </c>
      <c r="B326" s="13"/>
      <c r="C326" s="13" t="s">
        <v>47</v>
      </c>
      <c r="D326" s="13"/>
      <c r="E326" s="32">
        <v>44388</v>
      </c>
      <c r="G326" s="8">
        <f>81578473+25379043</f>
        <v>106957516</v>
      </c>
      <c r="I326" s="8">
        <v>0</v>
      </c>
      <c r="K326" s="8">
        <v>3170000</v>
      </c>
      <c r="M326" s="8">
        <v>275828</v>
      </c>
      <c r="O326" s="8">
        <v>7790836</v>
      </c>
      <c r="Q326" s="8">
        <v>0</v>
      </c>
      <c r="S326" s="9">
        <f t="shared" si="7"/>
        <v>118194180</v>
      </c>
      <c r="U326" s="8">
        <v>4894944</v>
      </c>
      <c r="X326" s="8">
        <f>+'St of Net Assets - GA'!O311-'LT _Lia - GA'!U326</f>
        <v>0</v>
      </c>
    </row>
    <row r="327" spans="1:24">
      <c r="A327" s="13" t="s">
        <v>538</v>
      </c>
      <c r="B327" s="13"/>
      <c r="C327" s="13" t="s">
        <v>537</v>
      </c>
      <c r="D327" s="13"/>
      <c r="E327" s="32">
        <v>48520</v>
      </c>
      <c r="G327" s="8">
        <f>207500+825593+1655000+3335000+254996+86902+327045-256740</f>
        <v>6435296</v>
      </c>
      <c r="I327" s="8">
        <v>0</v>
      </c>
      <c r="K327" s="8">
        <v>0</v>
      </c>
      <c r="M327" s="8">
        <v>0</v>
      </c>
      <c r="O327" s="8">
        <v>868672</v>
      </c>
      <c r="Q327" s="8">
        <v>0</v>
      </c>
      <c r="S327" s="9">
        <f t="shared" si="7"/>
        <v>7303968</v>
      </c>
      <c r="U327" s="8">
        <v>422586</v>
      </c>
      <c r="X327" s="8">
        <f>+'St of Net Assets - GA'!O312-'LT _Lia - GA'!U327</f>
        <v>0</v>
      </c>
    </row>
    <row r="328" spans="1:24">
      <c r="A328" s="13" t="s">
        <v>465</v>
      </c>
      <c r="B328" s="13"/>
      <c r="C328" s="13" t="s">
        <v>41</v>
      </c>
      <c r="D328" s="13"/>
      <c r="E328" s="32">
        <v>45492</v>
      </c>
      <c r="G328" s="8">
        <f>2615007+4104989</f>
        <v>6719996</v>
      </c>
      <c r="I328" s="8">
        <v>0</v>
      </c>
      <c r="K328" s="8">
        <f>496000+773335+2800000</f>
        <v>4069335</v>
      </c>
      <c r="M328" s="8">
        <v>104744</v>
      </c>
      <c r="O328" s="8">
        <v>6116500</v>
      </c>
      <c r="Q328" s="8">
        <v>3138750</v>
      </c>
      <c r="S328" s="9">
        <f t="shared" si="7"/>
        <v>20149325</v>
      </c>
      <c r="U328" s="8">
        <v>5476873</v>
      </c>
      <c r="X328" s="8">
        <f>+'St of Net Assets - GA'!O313-'LT _Lia - GA'!U328</f>
        <v>0</v>
      </c>
    </row>
    <row r="329" spans="1:24">
      <c r="A329" s="13" t="s">
        <v>545</v>
      </c>
      <c r="B329" s="13"/>
      <c r="C329" s="13" t="s">
        <v>48</v>
      </c>
      <c r="D329" s="13"/>
      <c r="E329" s="32">
        <v>48629</v>
      </c>
      <c r="G329" s="8">
        <v>11412754</v>
      </c>
      <c r="I329" s="8">
        <v>0</v>
      </c>
      <c r="K329" s="8">
        <v>0</v>
      </c>
      <c r="M329" s="8">
        <v>0</v>
      </c>
      <c r="O329" s="8">
        <v>1048887</v>
      </c>
      <c r="Q329" s="8">
        <v>0</v>
      </c>
      <c r="S329" s="9">
        <f t="shared" si="7"/>
        <v>12461641</v>
      </c>
      <c r="U329" s="8">
        <v>619127</v>
      </c>
      <c r="X329" s="8">
        <f>+'St of Net Assets - GA'!O314-'LT _Lia - GA'!U329</f>
        <v>0</v>
      </c>
    </row>
    <row r="330" spans="1:24">
      <c r="A330" s="13" t="s">
        <v>354</v>
      </c>
      <c r="B330" s="13"/>
      <c r="C330" s="13" t="s">
        <v>26</v>
      </c>
      <c r="D330" s="13"/>
      <c r="E330" s="32">
        <v>46920</v>
      </c>
      <c r="G330" s="8">
        <v>16730000</v>
      </c>
      <c r="I330" s="8">
        <v>0</v>
      </c>
      <c r="K330" s="8">
        <v>0</v>
      </c>
      <c r="M330" s="8">
        <v>0</v>
      </c>
      <c r="O330" s="8">
        <v>1068320</v>
      </c>
      <c r="Q330" s="8">
        <v>0</v>
      </c>
      <c r="S330" s="9">
        <f t="shared" si="7"/>
        <v>17798320</v>
      </c>
      <c r="U330" s="8">
        <v>402499</v>
      </c>
      <c r="X330" s="8">
        <f>+'St of Net Assets - GA'!O315-'LT _Lia - GA'!U330</f>
        <v>0</v>
      </c>
    </row>
    <row r="331" spans="1:24">
      <c r="A331" s="13" t="s">
        <v>559</v>
      </c>
      <c r="B331" s="13"/>
      <c r="C331" s="13" t="s">
        <v>50</v>
      </c>
      <c r="D331" s="13"/>
      <c r="E331" s="32">
        <v>44396</v>
      </c>
      <c r="G331" s="8">
        <f>1680000+5670000+78500000+548167</f>
        <v>86398167</v>
      </c>
      <c r="I331" s="8">
        <v>0</v>
      </c>
      <c r="K331" s="8">
        <v>0</v>
      </c>
      <c r="M331" s="8">
        <v>0</v>
      </c>
      <c r="O331" s="8">
        <v>3601743</v>
      </c>
      <c r="Q331" s="8">
        <v>0</v>
      </c>
      <c r="S331" s="9">
        <f t="shared" si="7"/>
        <v>89999910</v>
      </c>
      <c r="U331" s="8">
        <v>79580889</v>
      </c>
      <c r="X331" s="8">
        <f>+'St of Net Assets - GA'!O316-'LT _Lia - GA'!U331</f>
        <v>0</v>
      </c>
    </row>
    <row r="332" spans="1:24">
      <c r="A332" s="13" t="s">
        <v>251</v>
      </c>
      <c r="B332" s="13"/>
      <c r="C332" s="13" t="s">
        <v>246</v>
      </c>
      <c r="D332" s="13"/>
      <c r="E332" s="32">
        <v>44404</v>
      </c>
      <c r="G332" s="8">
        <v>67011003</v>
      </c>
      <c r="I332" s="8">
        <v>0</v>
      </c>
      <c r="K332" s="8">
        <v>0</v>
      </c>
      <c r="M332" s="8">
        <v>1105268</v>
      </c>
      <c r="O332" s="8">
        <v>2115823</v>
      </c>
      <c r="Q332" s="8">
        <v>0</v>
      </c>
      <c r="S332" s="9">
        <f t="shared" si="7"/>
        <v>70232094</v>
      </c>
      <c r="U332" s="8">
        <v>2565640</v>
      </c>
      <c r="X332" s="8">
        <f>+'St of Net Assets - GA'!O317-'LT _Lia - GA'!U332</f>
        <v>0</v>
      </c>
    </row>
    <row r="333" spans="1:24">
      <c r="A333" s="13" t="s">
        <v>497</v>
      </c>
      <c r="B333" s="13"/>
      <c r="C333" s="13" t="s">
        <v>44</v>
      </c>
      <c r="D333" s="13"/>
      <c r="E333" s="13">
        <v>48173</v>
      </c>
      <c r="G333" s="8">
        <f>8470000+18245000+2370000+335000</f>
        <v>29420000</v>
      </c>
      <c r="I333" s="8">
        <v>0</v>
      </c>
      <c r="K333" s="8">
        <v>0</v>
      </c>
      <c r="M333" s="8">
        <v>445466</v>
      </c>
      <c r="O333" s="8">
        <v>1704894</v>
      </c>
      <c r="Q333" s="8">
        <v>0</v>
      </c>
      <c r="S333" s="9">
        <f t="shared" si="7"/>
        <v>31570360</v>
      </c>
      <c r="U333" s="8">
        <v>967452</v>
      </c>
      <c r="X333" s="8">
        <f>+'St of Net Assets - GA'!O318-'LT _Lia - GA'!U333</f>
        <v>0</v>
      </c>
    </row>
    <row r="334" spans="1:24">
      <c r="A334" s="13" t="s">
        <v>274</v>
      </c>
      <c r="B334" s="13"/>
      <c r="C334" s="13" t="s">
        <v>116</v>
      </c>
      <c r="D334" s="13"/>
      <c r="E334" s="32">
        <v>45500</v>
      </c>
      <c r="G334" s="8">
        <f>4525000+8530000+22905000+3970329</f>
        <v>39930329</v>
      </c>
      <c r="I334" s="8">
        <v>825084</v>
      </c>
      <c r="K334" s="8">
        <v>2062000</v>
      </c>
      <c r="M334" s="8">
        <v>166940</v>
      </c>
      <c r="O334" s="8">
        <v>1754742</v>
      </c>
      <c r="Q334" s="8">
        <v>0</v>
      </c>
      <c r="S334" s="9">
        <f t="shared" si="7"/>
        <v>44739095</v>
      </c>
      <c r="U334" s="8">
        <v>2975705</v>
      </c>
      <c r="X334" s="8">
        <f>+'St of Net Assets - GA'!O319-'LT _Lia - GA'!U334</f>
        <v>0</v>
      </c>
    </row>
    <row r="335" spans="1:24" hidden="1">
      <c r="A335" s="13" t="s">
        <v>736</v>
      </c>
      <c r="B335" s="13"/>
      <c r="C335" s="13" t="s">
        <v>733</v>
      </c>
      <c r="D335" s="13"/>
      <c r="E335" s="32">
        <v>50633</v>
      </c>
      <c r="S335" s="9">
        <f t="shared" si="7"/>
        <v>0</v>
      </c>
      <c r="X335" s="8">
        <f>+'St of Net Assets - GA'!O320-'LT _Lia - GA'!U335</f>
        <v>0</v>
      </c>
    </row>
    <row r="336" spans="1:24" hidden="1">
      <c r="A336" s="13" t="s">
        <v>610</v>
      </c>
      <c r="B336" s="13"/>
      <c r="C336" s="13" t="s">
        <v>608</v>
      </c>
      <c r="D336" s="13"/>
      <c r="E336" s="32">
        <v>49361</v>
      </c>
      <c r="S336" s="9">
        <f t="shared" si="7"/>
        <v>0</v>
      </c>
      <c r="X336" s="8">
        <f>+'St of Net Assets - GA'!O321-'LT _Lia - GA'!U336</f>
        <v>0</v>
      </c>
    </row>
    <row r="337" spans="1:24">
      <c r="A337" s="13" t="s">
        <v>546</v>
      </c>
      <c r="B337" s="13"/>
      <c r="C337" s="13" t="s">
        <v>48</v>
      </c>
      <c r="D337" s="13"/>
      <c r="E337" s="32">
        <v>45518</v>
      </c>
      <c r="G337" s="8">
        <v>0</v>
      </c>
      <c r="I337" s="8">
        <v>0</v>
      </c>
      <c r="K337" s="8">
        <v>0</v>
      </c>
      <c r="M337" s="8">
        <v>127287</v>
      </c>
      <c r="O337" s="8">
        <v>1121906</v>
      </c>
      <c r="Q337" s="8">
        <v>0</v>
      </c>
      <c r="S337" s="9">
        <f t="shared" si="7"/>
        <v>1249193</v>
      </c>
      <c r="U337" s="8">
        <v>85522</v>
      </c>
      <c r="X337" s="8">
        <f>+'St of Net Assets - GA'!O322-'LT _Lia - GA'!U337</f>
        <v>0</v>
      </c>
    </row>
    <row r="338" spans="1:24">
      <c r="A338" s="13" t="s">
        <v>662</v>
      </c>
      <c r="B338" s="13"/>
      <c r="C338" s="13" t="s">
        <v>62</v>
      </c>
      <c r="D338" s="13"/>
      <c r="E338" s="32">
        <v>49890</v>
      </c>
      <c r="G338" s="8">
        <v>13134133</v>
      </c>
      <c r="I338" s="8">
        <v>0</v>
      </c>
      <c r="K338" s="8">
        <v>0</v>
      </c>
      <c r="M338" s="8">
        <v>0</v>
      </c>
      <c r="O338" s="8">
        <v>1097335</v>
      </c>
      <c r="Q338" s="8">
        <v>0</v>
      </c>
      <c r="S338" s="9">
        <f t="shared" si="7"/>
        <v>14231468</v>
      </c>
      <c r="U338" s="8">
        <v>396552</v>
      </c>
      <c r="X338" s="8">
        <f>+'St of Net Assets - GA'!O323-'LT _Lia - GA'!U338</f>
        <v>0</v>
      </c>
    </row>
    <row r="339" spans="1:24">
      <c r="A339" s="13" t="s">
        <v>634</v>
      </c>
      <c r="B339" s="13"/>
      <c r="C339" s="13" t="s">
        <v>59</v>
      </c>
      <c r="D339" s="13"/>
      <c r="E339" s="32">
        <v>49627</v>
      </c>
      <c r="G339" s="8">
        <v>1540000</v>
      </c>
      <c r="I339" s="8">
        <v>0</v>
      </c>
      <c r="K339" s="8">
        <v>0</v>
      </c>
      <c r="M339" s="8">
        <v>1826621</v>
      </c>
      <c r="O339" s="8">
        <v>1188185</v>
      </c>
      <c r="Q339" s="8">
        <v>0</v>
      </c>
      <c r="S339" s="9">
        <f t="shared" si="7"/>
        <v>4554806</v>
      </c>
      <c r="U339" s="8">
        <v>343462</v>
      </c>
      <c r="X339" s="8">
        <f>+'St of Net Assets - GA'!O324-'LT _Lia - GA'!U339</f>
        <v>0</v>
      </c>
    </row>
    <row r="340" spans="1:24">
      <c r="A340" s="13" t="s">
        <v>229</v>
      </c>
      <c r="B340" s="13"/>
      <c r="C340" s="13" t="s">
        <v>14</v>
      </c>
      <c r="D340" s="13"/>
      <c r="E340" s="32">
        <v>45948</v>
      </c>
      <c r="G340" s="8">
        <v>12206951</v>
      </c>
      <c r="I340" s="8">
        <v>0</v>
      </c>
      <c r="K340" s="8">
        <v>0</v>
      </c>
      <c r="M340" s="8">
        <v>0</v>
      </c>
      <c r="O340" s="8">
        <v>507168</v>
      </c>
      <c r="Q340" s="8">
        <v>0</v>
      </c>
      <c r="S340" s="9">
        <f t="shared" si="7"/>
        <v>12714119</v>
      </c>
      <c r="U340" s="8">
        <v>600590</v>
      </c>
      <c r="X340" s="8">
        <f>+'St of Net Assets - GA'!O325-'LT _Lia - GA'!U340</f>
        <v>0</v>
      </c>
    </row>
    <row r="341" spans="1:24" hidden="1">
      <c r="A341" s="13" t="s">
        <v>332</v>
      </c>
      <c r="B341" s="13"/>
      <c r="C341" s="13" t="s">
        <v>21</v>
      </c>
      <c r="D341" s="13"/>
      <c r="E341" s="32">
        <v>46672</v>
      </c>
      <c r="S341" s="9">
        <f t="shared" si="7"/>
        <v>0</v>
      </c>
      <c r="X341" s="8">
        <f>+'St of Net Assets - GA'!O326-'LT _Lia - GA'!U341</f>
        <v>0</v>
      </c>
    </row>
    <row r="342" spans="1:24">
      <c r="A342" s="13" t="s">
        <v>672</v>
      </c>
      <c r="B342" s="13"/>
      <c r="C342" s="13" t="s">
        <v>63</v>
      </c>
      <c r="D342" s="13"/>
      <c r="E342" s="32">
        <v>50039</v>
      </c>
      <c r="G342" s="8">
        <f>9610000+284314+2062161</f>
        <v>11956475</v>
      </c>
      <c r="I342" s="8">
        <v>0</v>
      </c>
      <c r="K342" s="8">
        <v>0</v>
      </c>
      <c r="M342" s="8">
        <v>19158</v>
      </c>
      <c r="O342" s="8">
        <v>518981</v>
      </c>
      <c r="Q342" s="8">
        <v>0</v>
      </c>
      <c r="S342" s="9">
        <f t="shared" si="7"/>
        <v>12494614</v>
      </c>
      <c r="U342" s="8">
        <v>465871</v>
      </c>
      <c r="X342" s="8">
        <f>+'St of Net Assets - GA'!O327-'LT _Lia - GA'!U342</f>
        <v>0</v>
      </c>
    </row>
    <row r="343" spans="1:24" hidden="1">
      <c r="A343" s="13" t="s">
        <v>748</v>
      </c>
      <c r="B343" s="13"/>
      <c r="C343" s="13" t="s">
        <v>747</v>
      </c>
      <c r="D343" s="13"/>
      <c r="E343" s="32">
        <v>50740</v>
      </c>
      <c r="S343" s="9">
        <f t="shared" si="7"/>
        <v>0</v>
      </c>
      <c r="X343" s="8">
        <f>+'St of Net Assets - GA'!O328-'LT _Lia - GA'!U343</f>
        <v>0</v>
      </c>
    </row>
    <row r="344" spans="1:24">
      <c r="A344" s="13" t="s">
        <v>252</v>
      </c>
      <c r="B344" s="13"/>
      <c r="C344" s="13" t="s">
        <v>246</v>
      </c>
      <c r="D344" s="13"/>
      <c r="E344" s="32">
        <v>139303</v>
      </c>
      <c r="G344" s="8">
        <f>-52354+6920229+471544+19325000+1407626</f>
        <v>28072045</v>
      </c>
      <c r="I344" s="8">
        <v>0</v>
      </c>
      <c r="K344" s="8">
        <v>4361000</v>
      </c>
      <c r="M344" s="8">
        <v>72753</v>
      </c>
      <c r="O344" s="8">
        <v>705108</v>
      </c>
      <c r="Q344" s="8">
        <v>0</v>
      </c>
      <c r="S344" s="9">
        <f t="shared" ref="S344:S349" si="9">SUM(G344:R344)</f>
        <v>33210906</v>
      </c>
      <c r="U344" s="8">
        <v>1130213</v>
      </c>
      <c r="X344" s="8">
        <f>+'St of Net Assets - GA'!O329-'LT _Lia - GA'!U344</f>
        <v>0</v>
      </c>
    </row>
    <row r="345" spans="1:24">
      <c r="A345" s="13" t="s">
        <v>449</v>
      </c>
      <c r="B345" s="13"/>
      <c r="C345" s="13" t="s">
        <v>37</v>
      </c>
      <c r="D345" s="13"/>
      <c r="E345" s="32">
        <v>47712</v>
      </c>
      <c r="G345" s="8">
        <v>0</v>
      </c>
      <c r="I345" s="8">
        <v>0</v>
      </c>
      <c r="K345" s="8">
        <v>42437</v>
      </c>
      <c r="M345" s="8">
        <v>91927</v>
      </c>
      <c r="O345" s="8">
        <v>281907</v>
      </c>
      <c r="Q345" s="8">
        <v>0</v>
      </c>
      <c r="S345" s="9">
        <f t="shared" si="9"/>
        <v>416271</v>
      </c>
      <c r="U345" s="8">
        <v>89747</v>
      </c>
      <c r="X345" s="8">
        <f>+'St of Net Assets - GA'!O330-'LT _Lia - GA'!U345</f>
        <v>0</v>
      </c>
    </row>
    <row r="346" spans="1:24">
      <c r="A346" s="13" t="s">
        <v>737</v>
      </c>
      <c r="B346" s="13"/>
      <c r="C346" s="13" t="s">
        <v>733</v>
      </c>
      <c r="D346" s="13"/>
      <c r="E346" s="32">
        <v>45526</v>
      </c>
      <c r="G346" s="8">
        <f>4430000+336057</f>
        <v>4766057</v>
      </c>
      <c r="I346" s="8">
        <v>0</v>
      </c>
      <c r="K346" s="8">
        <v>0</v>
      </c>
      <c r="M346" s="8">
        <v>0</v>
      </c>
      <c r="O346" s="8">
        <v>751149</v>
      </c>
      <c r="Q346" s="8">
        <v>0</v>
      </c>
      <c r="S346" s="9">
        <f t="shared" si="9"/>
        <v>5517206</v>
      </c>
      <c r="U346" s="8">
        <v>281708</v>
      </c>
      <c r="X346" s="8">
        <f>+'St of Net Assets - GA'!O331-'LT _Lia - GA'!U346</f>
        <v>0</v>
      </c>
    </row>
    <row r="347" spans="1:24">
      <c r="A347" s="13" t="s">
        <v>566</v>
      </c>
      <c r="B347" s="13"/>
      <c r="C347" s="13" t="s">
        <v>567</v>
      </c>
      <c r="D347" s="13"/>
      <c r="E347" s="32">
        <v>48777</v>
      </c>
      <c r="G347" s="8">
        <f>2271415+4084925+3677717+605000</f>
        <v>10639057</v>
      </c>
      <c r="I347" s="8">
        <v>207960</v>
      </c>
      <c r="K347" s="8">
        <v>453007</v>
      </c>
      <c r="M347" s="8">
        <v>104094</v>
      </c>
      <c r="O347" s="8">
        <v>1052558</v>
      </c>
      <c r="Q347" s="8">
        <v>0</v>
      </c>
      <c r="S347" s="9">
        <f t="shared" si="9"/>
        <v>12456676</v>
      </c>
      <c r="U347" s="8">
        <v>644978</v>
      </c>
      <c r="X347" s="8">
        <f>+'St of Net Assets - GA'!O332-'LT _Lia - GA'!U347</f>
        <v>0</v>
      </c>
    </row>
    <row r="348" spans="1:24">
      <c r="A348" s="13" t="s">
        <v>894</v>
      </c>
      <c r="B348" s="13"/>
      <c r="C348" s="13" t="s">
        <v>78</v>
      </c>
      <c r="D348" s="13"/>
      <c r="E348" s="32">
        <v>45534</v>
      </c>
      <c r="G348" s="8">
        <v>8899582</v>
      </c>
      <c r="I348" s="8">
        <v>0</v>
      </c>
      <c r="K348" s="8">
        <v>0</v>
      </c>
      <c r="M348" s="8">
        <f>1269000+13370</f>
        <v>1282370</v>
      </c>
      <c r="O348" s="8">
        <v>684964</v>
      </c>
      <c r="Q348" s="8">
        <v>0</v>
      </c>
      <c r="S348" s="9">
        <f t="shared" si="9"/>
        <v>10866916</v>
      </c>
      <c r="U348" s="8">
        <v>510745</v>
      </c>
      <c r="X348" s="8">
        <f>+'St of Net Assets - GA'!O333-'LT _Lia - GA'!U348</f>
        <v>0</v>
      </c>
    </row>
    <row r="349" spans="1:24">
      <c r="A349" s="13" t="s">
        <v>462</v>
      </c>
      <c r="B349" s="13"/>
      <c r="C349" s="13" t="s">
        <v>40</v>
      </c>
      <c r="D349" s="13"/>
      <c r="E349" s="32">
        <v>44420</v>
      </c>
      <c r="G349" s="8">
        <f>7100000+88675</f>
        <v>7188675</v>
      </c>
      <c r="I349" s="8">
        <f>767000+161963</f>
        <v>928963</v>
      </c>
      <c r="K349" s="8">
        <v>0</v>
      </c>
      <c r="M349" s="8">
        <v>149553</v>
      </c>
      <c r="O349" s="8">
        <v>1307171</v>
      </c>
      <c r="Q349" s="8">
        <v>0</v>
      </c>
      <c r="S349" s="9">
        <f t="shared" si="9"/>
        <v>9574362</v>
      </c>
      <c r="U349" s="8">
        <v>758713</v>
      </c>
      <c r="X349" s="8">
        <f>+'St of Net Assets - GA'!O334-'LT _Lia - GA'!U349</f>
        <v>0</v>
      </c>
    </row>
    <row r="350" spans="1:24">
      <c r="A350" s="13" t="s">
        <v>898</v>
      </c>
      <c r="B350" s="13"/>
      <c r="C350" s="13" t="s">
        <v>32</v>
      </c>
      <c r="D350" s="13"/>
      <c r="E350" s="13">
        <v>44412</v>
      </c>
      <c r="G350" s="8">
        <f>33000000+2024031</f>
        <v>35024031</v>
      </c>
      <c r="I350" s="8">
        <v>235026</v>
      </c>
      <c r="K350" s="8">
        <v>0</v>
      </c>
      <c r="M350" s="8">
        <f>135140+73672+20779+45084+417462</f>
        <v>692137</v>
      </c>
      <c r="O350" s="8">
        <v>1818760</v>
      </c>
      <c r="Q350" s="8">
        <v>0</v>
      </c>
      <c r="S350" s="9">
        <f>SUM(G350:R350)</f>
        <v>37769954</v>
      </c>
      <c r="U350" s="8">
        <v>1081999</v>
      </c>
      <c r="X350" s="8">
        <f>+'St of Net Assets - GA'!O335-'LT _Lia - GA'!U350</f>
        <v>0</v>
      </c>
    </row>
    <row r="351" spans="1:24">
      <c r="A351" s="13" t="s">
        <v>437</v>
      </c>
      <c r="B351" s="13"/>
      <c r="C351" s="13" t="s">
        <v>34</v>
      </c>
      <c r="D351" s="13"/>
      <c r="E351" s="32">
        <v>44438</v>
      </c>
      <c r="G351" s="8">
        <f>724112+2800000+180728</f>
        <v>3704840</v>
      </c>
      <c r="I351" s="8">
        <f>1863125+593285</f>
        <v>2456410</v>
      </c>
      <c r="K351" s="8">
        <v>438779</v>
      </c>
      <c r="M351" s="8">
        <v>0</v>
      </c>
      <c r="O351" s="8">
        <v>1390580</v>
      </c>
      <c r="Q351" s="8">
        <v>0</v>
      </c>
      <c r="S351" s="9">
        <f t="shared" ref="S351:S416" si="10">SUM(G351:R351)</f>
        <v>7990609</v>
      </c>
      <c r="U351" s="8">
        <v>768549</v>
      </c>
      <c r="X351" s="8">
        <f>+'St of Net Assets - GA'!O336-'LT _Lia - GA'!U351</f>
        <v>0</v>
      </c>
    </row>
    <row r="352" spans="1:24">
      <c r="A352" s="13" t="s">
        <v>227</v>
      </c>
      <c r="B352" s="13"/>
      <c r="C352" s="13" t="s">
        <v>13</v>
      </c>
      <c r="D352" s="13"/>
      <c r="E352" s="32">
        <v>44446</v>
      </c>
      <c r="G352" s="8">
        <v>6652222</v>
      </c>
      <c r="I352" s="8">
        <v>0</v>
      </c>
      <c r="K352" s="8">
        <v>0</v>
      </c>
      <c r="M352" s="8">
        <v>1309484</v>
      </c>
      <c r="O352" s="8">
        <v>629036</v>
      </c>
      <c r="Q352" s="8">
        <v>0</v>
      </c>
      <c r="S352" s="9">
        <f t="shared" si="10"/>
        <v>8590742</v>
      </c>
      <c r="U352" s="8">
        <v>602376</v>
      </c>
      <c r="X352" s="8">
        <f>+'St of Net Assets - GA'!O337-'LT _Lia - GA'!U352</f>
        <v>0</v>
      </c>
    </row>
    <row r="353" spans="1:24">
      <c r="A353" s="13" t="s">
        <v>844</v>
      </c>
      <c r="B353" s="13"/>
      <c r="C353" s="13" t="s">
        <v>27</v>
      </c>
      <c r="D353" s="13"/>
      <c r="E353" s="32">
        <v>44461</v>
      </c>
      <c r="G353" s="8">
        <v>86885867</v>
      </c>
      <c r="I353" s="8">
        <v>176000</v>
      </c>
      <c r="K353" s="8">
        <v>0</v>
      </c>
      <c r="M353" s="8">
        <v>0</v>
      </c>
      <c r="O353" s="8">
        <v>1647332</v>
      </c>
      <c r="Q353" s="8">
        <v>0</v>
      </c>
      <c r="S353" s="9">
        <f t="shared" si="10"/>
        <v>88709199</v>
      </c>
      <c r="U353" s="8">
        <v>2618841</v>
      </c>
      <c r="X353" s="8">
        <f>+'St of Net Assets - GA'!O340-'LT _Lia - GA'!U353</f>
        <v>0</v>
      </c>
    </row>
    <row r="354" spans="1:24">
      <c r="A354" s="13" t="s">
        <v>635</v>
      </c>
      <c r="B354" s="13"/>
      <c r="C354" s="13" t="s">
        <v>59</v>
      </c>
      <c r="D354" s="13"/>
      <c r="E354" s="32">
        <v>44461</v>
      </c>
      <c r="G354" s="8">
        <v>0</v>
      </c>
      <c r="I354" s="8">
        <v>0</v>
      </c>
      <c r="K354" s="8">
        <v>0</v>
      </c>
      <c r="M354" s="8">
        <v>0</v>
      </c>
      <c r="O354" s="8">
        <f>148298+13399</f>
        <v>161697</v>
      </c>
      <c r="Q354" s="8">
        <v>0</v>
      </c>
      <c r="S354" s="9">
        <f t="shared" si="10"/>
        <v>161697</v>
      </c>
      <c r="U354" s="8">
        <v>36439</v>
      </c>
      <c r="X354" s="8">
        <f>+'St of Net Assets - GA'!O341-'LT _Lia - GA'!U354</f>
        <v>0</v>
      </c>
    </row>
    <row r="355" spans="1:24">
      <c r="A355" s="13" t="s">
        <v>230</v>
      </c>
      <c r="B355" s="13"/>
      <c r="C355" s="13" t="s">
        <v>14</v>
      </c>
      <c r="D355" s="13"/>
      <c r="E355" s="32">
        <v>45955</v>
      </c>
      <c r="G355" s="8">
        <v>6159486</v>
      </c>
      <c r="I355" s="8">
        <v>0</v>
      </c>
      <c r="K355" s="8">
        <v>0</v>
      </c>
      <c r="M355" s="8">
        <v>0</v>
      </c>
      <c r="O355" s="8">
        <v>615244</v>
      </c>
      <c r="Q355" s="8">
        <v>0</v>
      </c>
      <c r="S355" s="9">
        <f t="shared" si="10"/>
        <v>6774730</v>
      </c>
      <c r="U355" s="8">
        <v>631443</v>
      </c>
      <c r="X355" s="8">
        <f>+'St of Net Assets - GA'!O342-'LT _Lia - GA'!U355</f>
        <v>0</v>
      </c>
    </row>
    <row r="356" spans="1:24" hidden="1">
      <c r="A356" s="13" t="s">
        <v>231</v>
      </c>
      <c r="B356" s="13"/>
      <c r="C356" s="13" t="s">
        <v>14</v>
      </c>
      <c r="D356" s="13"/>
      <c r="E356" s="32">
        <v>45963</v>
      </c>
      <c r="S356" s="9">
        <f t="shared" si="10"/>
        <v>0</v>
      </c>
      <c r="X356" s="8">
        <f>+'St of Net Assets - GA'!O343-'LT _Lia - GA'!U356</f>
        <v>0</v>
      </c>
    </row>
    <row r="357" spans="1:24">
      <c r="A357" s="13" t="s">
        <v>560</v>
      </c>
      <c r="B357" s="13"/>
      <c r="C357" s="13" t="s">
        <v>50</v>
      </c>
      <c r="D357" s="13"/>
      <c r="E357" s="32">
        <v>48710</v>
      </c>
      <c r="G357" s="8">
        <v>3750000</v>
      </c>
      <c r="I357" s="8">
        <v>221819</v>
      </c>
      <c r="K357" s="8">
        <v>0</v>
      </c>
      <c r="M357" s="8">
        <v>0</v>
      </c>
      <c r="O357" s="8">
        <v>366566</v>
      </c>
      <c r="Q357" s="8">
        <v>0</v>
      </c>
      <c r="S357" s="9">
        <f t="shared" si="10"/>
        <v>4338385</v>
      </c>
      <c r="U357" s="8">
        <v>455631</v>
      </c>
      <c r="X357" s="8">
        <f>+'St of Net Assets - GA'!O344-'LT _Lia - GA'!U357</f>
        <v>0</v>
      </c>
    </row>
    <row r="358" spans="1:24" hidden="1">
      <c r="A358" s="13" t="s">
        <v>587</v>
      </c>
      <c r="B358" s="13"/>
      <c r="C358" s="13" t="s">
        <v>586</v>
      </c>
      <c r="D358" s="13"/>
      <c r="E358" s="32">
        <v>44479</v>
      </c>
      <c r="S358" s="9">
        <f t="shared" si="10"/>
        <v>0</v>
      </c>
      <c r="X358" s="8">
        <f>+'St of Net Assets - GA'!O345-'LT _Lia - GA'!U358</f>
        <v>0</v>
      </c>
    </row>
    <row r="359" spans="1:24">
      <c r="A359" s="13" t="s">
        <v>450</v>
      </c>
      <c r="B359" s="13"/>
      <c r="C359" s="13" t="s">
        <v>37</v>
      </c>
      <c r="D359" s="13"/>
      <c r="E359" s="32">
        <v>47720</v>
      </c>
      <c r="G359" s="8">
        <f>2641916+140165-55208</f>
        <v>2726873</v>
      </c>
      <c r="I359" s="8">
        <v>0</v>
      </c>
      <c r="K359" s="8">
        <v>0</v>
      </c>
      <c r="M359" s="8">
        <v>88809</v>
      </c>
      <c r="O359" s="8">
        <v>703751</v>
      </c>
      <c r="Q359" s="8">
        <v>0</v>
      </c>
      <c r="S359" s="9">
        <f t="shared" si="10"/>
        <v>3519433</v>
      </c>
      <c r="U359" s="8">
        <v>398149</v>
      </c>
      <c r="X359" s="8">
        <f>+'St of Net Assets - GA'!O346-'LT _Lia - GA'!U359</f>
        <v>0</v>
      </c>
    </row>
    <row r="360" spans="1:24">
      <c r="A360" s="13" t="s">
        <v>253</v>
      </c>
      <c r="B360" s="13"/>
      <c r="C360" s="13" t="s">
        <v>246</v>
      </c>
      <c r="D360" s="13"/>
      <c r="E360" s="32">
        <v>46136</v>
      </c>
      <c r="G360" s="8">
        <v>1688000</v>
      </c>
      <c r="I360" s="8">
        <v>0</v>
      </c>
      <c r="K360" s="8">
        <v>0</v>
      </c>
      <c r="M360" s="8">
        <v>244000</v>
      </c>
      <c r="O360" s="8">
        <v>254354</v>
      </c>
      <c r="Q360" s="8">
        <v>0</v>
      </c>
      <c r="S360" s="9">
        <f t="shared" si="10"/>
        <v>2186354</v>
      </c>
      <c r="U360" s="8">
        <v>177767</v>
      </c>
      <c r="X360" s="8">
        <f>+'St of Net Assets - GA'!O347-'LT _Lia - GA'!U360</f>
        <v>0</v>
      </c>
    </row>
    <row r="361" spans="1:24">
      <c r="A361" s="13" t="s">
        <v>703</v>
      </c>
      <c r="B361" s="13"/>
      <c r="C361" s="13" t="s">
        <v>65</v>
      </c>
      <c r="D361" s="13"/>
      <c r="E361" s="32">
        <v>44487</v>
      </c>
      <c r="G361" s="8">
        <f>4270000+538888</f>
        <v>4808888</v>
      </c>
      <c r="I361" s="8">
        <v>0</v>
      </c>
      <c r="K361" s="8">
        <v>0</v>
      </c>
      <c r="M361" s="8">
        <v>1296125</v>
      </c>
      <c r="O361" s="8">
        <v>1580715</v>
      </c>
      <c r="Q361" s="8">
        <v>237961</v>
      </c>
      <c r="S361" s="9">
        <f t="shared" si="10"/>
        <v>7923689</v>
      </c>
      <c r="U361" s="8">
        <v>561921</v>
      </c>
      <c r="X361" s="8">
        <f>+'St of Net Assets - GA'!O348-'LT _Lia - GA'!U361</f>
        <v>0</v>
      </c>
    </row>
    <row r="362" spans="1:24">
      <c r="A362" s="13" t="s">
        <v>275</v>
      </c>
      <c r="B362" s="13"/>
      <c r="C362" s="13" t="s">
        <v>116</v>
      </c>
      <c r="D362" s="13"/>
      <c r="E362" s="32">
        <v>45559</v>
      </c>
      <c r="G362" s="8">
        <v>450000</v>
      </c>
      <c r="I362" s="8">
        <v>0</v>
      </c>
      <c r="K362" s="8">
        <v>0</v>
      </c>
      <c r="M362" s="8">
        <v>0</v>
      </c>
      <c r="O362" s="8">
        <v>2781229</v>
      </c>
      <c r="Q362" s="8">
        <v>0</v>
      </c>
      <c r="S362" s="9">
        <f t="shared" si="10"/>
        <v>3231229</v>
      </c>
      <c r="U362" s="8">
        <v>337059</v>
      </c>
      <c r="X362" s="8">
        <f>+'St of Net Assets - GA'!O349-'LT _Lia - GA'!U362</f>
        <v>0</v>
      </c>
    </row>
    <row r="363" spans="1:24" hidden="1">
      <c r="A363" s="13" t="s">
        <v>642</v>
      </c>
      <c r="B363" s="13"/>
      <c r="C363" s="13" t="s">
        <v>60</v>
      </c>
      <c r="D363" s="13"/>
      <c r="E363" s="32">
        <v>49718</v>
      </c>
      <c r="S363" s="9">
        <f t="shared" si="10"/>
        <v>0</v>
      </c>
      <c r="X363" s="8">
        <f>+'St of Net Assets - GA'!O350-'LT _Lia - GA'!U363</f>
        <v>0</v>
      </c>
    </row>
    <row r="364" spans="1:24">
      <c r="A364" s="13" t="s">
        <v>484</v>
      </c>
      <c r="B364" s="13"/>
      <c r="C364" s="13" t="s">
        <v>42</v>
      </c>
      <c r="D364" s="13"/>
      <c r="E364" s="32">
        <v>44453</v>
      </c>
      <c r="G364" s="8">
        <f>71617734+985568-171809</f>
        <v>72431493</v>
      </c>
      <c r="I364" s="8">
        <v>0</v>
      </c>
      <c r="K364" s="8">
        <v>330000</v>
      </c>
      <c r="M364" s="8">
        <v>119760</v>
      </c>
      <c r="O364" s="8">
        <v>2770983</v>
      </c>
      <c r="Q364" s="8">
        <v>0</v>
      </c>
      <c r="S364" s="9">
        <f t="shared" si="10"/>
        <v>75652236</v>
      </c>
      <c r="U364" s="8">
        <v>2866941</v>
      </c>
      <c r="X364" s="8">
        <f>+'St of Net Assets - GA'!O351-'LT _Lia - GA'!U364</f>
        <v>0</v>
      </c>
    </row>
    <row r="365" spans="1:24">
      <c r="A365" s="13" t="s">
        <v>386</v>
      </c>
      <c r="B365" s="13"/>
      <c r="C365" s="13" t="s">
        <v>30</v>
      </c>
      <c r="D365" s="13"/>
      <c r="E365" s="32">
        <v>47217</v>
      </c>
      <c r="G365" s="8">
        <v>78687</v>
      </c>
      <c r="I365" s="8">
        <v>0</v>
      </c>
      <c r="K365" s="8">
        <v>0</v>
      </c>
      <c r="M365" s="8">
        <v>0</v>
      </c>
      <c r="O365" s="8">
        <v>395091</v>
      </c>
      <c r="Q365" s="8">
        <v>0</v>
      </c>
      <c r="S365" s="9">
        <f t="shared" si="10"/>
        <v>473778</v>
      </c>
      <c r="U365" s="8">
        <v>132604</v>
      </c>
      <c r="X365" s="8">
        <f>+'St of Net Assets - GA'!O352-'LT _Lia - GA'!U365</f>
        <v>0</v>
      </c>
    </row>
    <row r="366" spans="1:24">
      <c r="A366" s="13" t="s">
        <v>704</v>
      </c>
      <c r="B366" s="13"/>
      <c r="C366" s="13" t="s">
        <v>65</v>
      </c>
      <c r="D366" s="13"/>
      <c r="E366" s="32">
        <v>45542</v>
      </c>
      <c r="G366" s="8">
        <v>2585000</v>
      </c>
      <c r="I366" s="8">
        <v>0</v>
      </c>
      <c r="K366" s="8">
        <v>0</v>
      </c>
      <c r="M366" s="8">
        <v>0</v>
      </c>
      <c r="O366" s="8">
        <v>548822</v>
      </c>
      <c r="Q366" s="8">
        <v>595976</v>
      </c>
      <c r="S366" s="9">
        <f t="shared" si="10"/>
        <v>3729798</v>
      </c>
      <c r="U366" s="8">
        <v>277930</v>
      </c>
      <c r="X366" s="8">
        <f>+'St of Net Assets - GA'!O353-'LT _Lia - GA'!U366</f>
        <v>0</v>
      </c>
    </row>
    <row r="368" spans="1:24">
      <c r="A368" s="13"/>
      <c r="B368" s="13"/>
      <c r="C368" s="13"/>
      <c r="D368" s="13"/>
      <c r="E368" s="32"/>
      <c r="S368" s="9"/>
      <c r="U368" s="8" t="s">
        <v>819</v>
      </c>
    </row>
    <row r="369" spans="1:24" s="35" customFormat="1">
      <c r="A369" s="34" t="s">
        <v>695</v>
      </c>
      <c r="B369" s="34"/>
      <c r="C369" s="34" t="s">
        <v>64</v>
      </c>
      <c r="D369" s="34"/>
      <c r="E369" s="34">
        <v>45567</v>
      </c>
      <c r="G369" s="35">
        <v>4879544</v>
      </c>
      <c r="I369" s="35">
        <v>2178692</v>
      </c>
      <c r="K369" s="35">
        <v>0</v>
      </c>
      <c r="M369" s="35">
        <v>0</v>
      </c>
      <c r="O369" s="35">
        <v>518442</v>
      </c>
      <c r="Q369" s="35">
        <v>0</v>
      </c>
      <c r="S369" s="44">
        <f>SUM(G369:R369)</f>
        <v>7576678</v>
      </c>
      <c r="U369" s="35">
        <v>673930</v>
      </c>
      <c r="X369" s="35">
        <f>+'St of Net Assets - GA'!O354-'LT _Lia - GA'!U369</f>
        <v>0</v>
      </c>
    </row>
    <row r="370" spans="1:24">
      <c r="A370" s="13" t="s">
        <v>547</v>
      </c>
      <c r="B370" s="13"/>
      <c r="C370" s="13" t="s">
        <v>48</v>
      </c>
      <c r="D370" s="13"/>
      <c r="E370" s="13">
        <v>48637</v>
      </c>
      <c r="G370" s="8">
        <f>7775911+230410-44381</f>
        <v>7961940</v>
      </c>
      <c r="I370" s="8">
        <v>0</v>
      </c>
      <c r="K370" s="8">
        <v>400000</v>
      </c>
      <c r="M370" s="8">
        <v>0</v>
      </c>
      <c r="O370" s="8">
        <v>385045</v>
      </c>
      <c r="Q370" s="8">
        <v>0</v>
      </c>
      <c r="S370" s="9">
        <f t="shared" si="10"/>
        <v>8746985</v>
      </c>
      <c r="U370" s="8">
        <v>226699</v>
      </c>
      <c r="X370" s="8">
        <f>+'St of Net Assets - GA'!O355-'LT _Lia - GA'!U370</f>
        <v>0</v>
      </c>
    </row>
    <row r="371" spans="1:24">
      <c r="A371" s="13" t="s">
        <v>836</v>
      </c>
      <c r="B371" s="13"/>
      <c r="C371" s="13" t="s">
        <v>64</v>
      </c>
      <c r="D371" s="13"/>
      <c r="E371" s="32"/>
      <c r="G371" s="8">
        <v>4909816</v>
      </c>
      <c r="I371" s="8">
        <v>0</v>
      </c>
      <c r="K371" s="8">
        <v>1583900</v>
      </c>
      <c r="M371" s="8">
        <v>0</v>
      </c>
      <c r="O371" s="8">
        <v>1296269</v>
      </c>
      <c r="Q371" s="8">
        <v>0</v>
      </c>
      <c r="S371" s="9">
        <f t="shared" si="10"/>
        <v>7789985</v>
      </c>
      <c r="U371" s="8">
        <v>475899</v>
      </c>
      <c r="X371" s="8">
        <f>+'St of Net Assets - GA'!O356-'LT _Lia - GA'!U371</f>
        <v>0</v>
      </c>
    </row>
    <row r="372" spans="1:24">
      <c r="A372" s="13" t="s">
        <v>578</v>
      </c>
      <c r="B372" s="13"/>
      <c r="C372" s="13" t="s">
        <v>52</v>
      </c>
      <c r="D372" s="13"/>
      <c r="E372" s="32">
        <v>48900</v>
      </c>
      <c r="G372" s="8">
        <v>0</v>
      </c>
      <c r="I372" s="8">
        <v>0</v>
      </c>
      <c r="K372" s="8">
        <v>0</v>
      </c>
      <c r="M372" s="8">
        <v>438647</v>
      </c>
      <c r="O372" s="8">
        <v>347047</v>
      </c>
      <c r="Q372" s="8">
        <v>0</v>
      </c>
      <c r="S372" s="9">
        <f t="shared" si="10"/>
        <v>785694</v>
      </c>
      <c r="U372" s="8">
        <v>203490</v>
      </c>
      <c r="X372" s="8">
        <f>+'St of Net Assets - GA'!O357-'LT _Lia - GA'!U372</f>
        <v>0</v>
      </c>
    </row>
    <row r="373" spans="1:24">
      <c r="A373" s="13" t="s">
        <v>673</v>
      </c>
      <c r="B373" s="13"/>
      <c r="C373" s="13" t="s">
        <v>63</v>
      </c>
      <c r="D373" s="13"/>
      <c r="E373" s="32">
        <v>50047</v>
      </c>
      <c r="G373" s="8">
        <f>9404929+25277276</f>
        <v>34682205</v>
      </c>
      <c r="I373" s="8">
        <v>0</v>
      </c>
      <c r="K373" s="8">
        <v>0</v>
      </c>
      <c r="M373" s="8">
        <v>9915</v>
      </c>
      <c r="O373" s="8">
        <v>1761728</v>
      </c>
      <c r="Q373" s="8">
        <v>0</v>
      </c>
      <c r="S373" s="9">
        <f t="shared" si="10"/>
        <v>36453848</v>
      </c>
      <c r="U373" s="8">
        <v>1981962</v>
      </c>
      <c r="X373" s="8">
        <f>+'St of Net Assets - GA'!O358-'LT _Lia - GA'!U373</f>
        <v>0</v>
      </c>
    </row>
    <row r="374" spans="1:24">
      <c r="A374" s="13" t="s">
        <v>741</v>
      </c>
      <c r="B374" s="13"/>
      <c r="C374" s="13" t="s">
        <v>72</v>
      </c>
      <c r="D374" s="13"/>
      <c r="E374" s="32">
        <v>50708</v>
      </c>
      <c r="G374" s="8">
        <v>0</v>
      </c>
      <c r="I374" s="8">
        <v>0</v>
      </c>
      <c r="K374" s="8">
        <v>0</v>
      </c>
      <c r="M374" s="8">
        <v>0</v>
      </c>
      <c r="O374" s="8">
        <v>506184</v>
      </c>
      <c r="Q374" s="8">
        <v>0</v>
      </c>
      <c r="S374" s="9">
        <f t="shared" si="10"/>
        <v>506184</v>
      </c>
      <c r="U374" s="8">
        <v>26720</v>
      </c>
      <c r="X374" s="8">
        <f>+'St of Net Assets - GA'!O359-'LT _Lia - GA'!U374</f>
        <v>0</v>
      </c>
    </row>
    <row r="375" spans="1:24" hidden="1">
      <c r="A375" s="13" t="s">
        <v>581</v>
      </c>
      <c r="B375" s="13"/>
      <c r="C375" s="13" t="s">
        <v>53</v>
      </c>
      <c r="D375" s="13"/>
      <c r="E375" s="32">
        <v>48967</v>
      </c>
      <c r="S375" s="9">
        <f t="shared" si="10"/>
        <v>0</v>
      </c>
      <c r="X375" s="8">
        <f>+'St of Net Assets - GA'!O360-'LT _Lia - GA'!U375</f>
        <v>0</v>
      </c>
    </row>
    <row r="376" spans="1:24">
      <c r="A376" s="13" t="s">
        <v>663</v>
      </c>
      <c r="B376" s="13"/>
      <c r="C376" s="13" t="s">
        <v>62</v>
      </c>
      <c r="D376" s="13"/>
      <c r="E376" s="32">
        <v>44503</v>
      </c>
      <c r="G376" s="8">
        <f>13440000+486904+2338165</f>
        <v>16265069</v>
      </c>
      <c r="I376" s="8">
        <v>1590000</v>
      </c>
      <c r="K376" s="8">
        <v>0</v>
      </c>
      <c r="M376" s="8">
        <v>761621</v>
      </c>
      <c r="O376" s="8">
        <f>2619031+240000</f>
        <v>2859031</v>
      </c>
      <c r="Q376" s="8">
        <v>0</v>
      </c>
      <c r="S376" s="9">
        <f t="shared" si="10"/>
        <v>21475721</v>
      </c>
      <c r="U376" s="8">
        <v>1819648</v>
      </c>
      <c r="X376" s="8">
        <f>+'St of Net Assets - GA'!O361-'LT _Lia - GA'!U376</f>
        <v>0</v>
      </c>
    </row>
    <row r="377" spans="1:24" hidden="1">
      <c r="A377" s="13" t="s">
        <v>728</v>
      </c>
      <c r="B377" s="13"/>
      <c r="C377" s="13" t="s">
        <v>733</v>
      </c>
      <c r="D377" s="13"/>
      <c r="E377" s="32">
        <v>50641</v>
      </c>
      <c r="S377" s="9">
        <f t="shared" si="10"/>
        <v>0</v>
      </c>
      <c r="X377" s="8">
        <f>+'St of Net Assets - GA'!O362-'LT _Lia - GA'!U377</f>
        <v>0</v>
      </c>
    </row>
    <row r="378" spans="1:24" hidden="1">
      <c r="A378" s="13" t="s">
        <v>406</v>
      </c>
      <c r="B378" s="13"/>
      <c r="C378" s="13" t="s">
        <v>32</v>
      </c>
      <c r="D378" s="13"/>
      <c r="E378" s="32">
        <v>44511</v>
      </c>
      <c r="S378" s="9">
        <f t="shared" si="10"/>
        <v>0</v>
      </c>
      <c r="X378" s="8">
        <f>+'St of Net Assets - GA'!O363-'LT _Lia - GA'!U378</f>
        <v>0</v>
      </c>
    </row>
    <row r="379" spans="1:24">
      <c r="A379" s="13" t="s">
        <v>485</v>
      </c>
      <c r="B379" s="13"/>
      <c r="C379" s="13" t="s">
        <v>42</v>
      </c>
      <c r="D379" s="13"/>
      <c r="E379" s="32">
        <v>48025</v>
      </c>
      <c r="G379" s="8">
        <f>9562480+647580-498767</f>
        <v>9711293</v>
      </c>
      <c r="I379" s="8">
        <v>0</v>
      </c>
      <c r="K379" s="8">
        <v>0</v>
      </c>
      <c r="M379" s="8">
        <v>0</v>
      </c>
      <c r="O379" s="8">
        <v>1093057</v>
      </c>
      <c r="Q379" s="8">
        <v>0</v>
      </c>
      <c r="S379" s="9">
        <f t="shared" si="10"/>
        <v>10804350</v>
      </c>
      <c r="U379" s="8">
        <v>591826</v>
      </c>
      <c r="X379" s="8">
        <f>+'St of Net Assets - GA'!O364-'LT _Lia - GA'!U379</f>
        <v>0</v>
      </c>
    </row>
    <row r="380" spans="1:24">
      <c r="A380" s="13" t="s">
        <v>317</v>
      </c>
      <c r="B380" s="13"/>
      <c r="C380" s="13" t="s">
        <v>20</v>
      </c>
      <c r="D380" s="13"/>
      <c r="E380" s="32">
        <v>44529</v>
      </c>
      <c r="G380" s="8">
        <v>595000</v>
      </c>
      <c r="I380" s="8">
        <v>0</v>
      </c>
      <c r="K380" s="8">
        <v>0</v>
      </c>
      <c r="M380" s="8">
        <v>0</v>
      </c>
      <c r="O380" s="8">
        <v>3632740</v>
      </c>
      <c r="Q380" s="8">
        <v>0</v>
      </c>
      <c r="S380" s="9">
        <f t="shared" si="10"/>
        <v>4227740</v>
      </c>
      <c r="U380" s="8">
        <v>898178</v>
      </c>
      <c r="X380" s="8">
        <f>+'St of Net Assets - GA'!O365-'LT _Lia - GA'!U380</f>
        <v>0</v>
      </c>
    </row>
    <row r="381" spans="1:24">
      <c r="A381" s="13" t="s">
        <v>498</v>
      </c>
      <c r="B381" s="13"/>
      <c r="C381" s="13" t="s">
        <v>44</v>
      </c>
      <c r="D381" s="13"/>
      <c r="E381" s="32">
        <v>44537</v>
      </c>
      <c r="G381" s="8">
        <f>1910000+284550+27782</f>
        <v>2222332</v>
      </c>
      <c r="I381" s="8">
        <v>0</v>
      </c>
      <c r="K381" s="8">
        <v>0</v>
      </c>
      <c r="M381" s="8">
        <v>0</v>
      </c>
      <c r="O381" s="8">
        <v>2076626</v>
      </c>
      <c r="Q381" s="8">
        <v>0</v>
      </c>
      <c r="S381" s="9">
        <f t="shared" si="10"/>
        <v>4298958</v>
      </c>
      <c r="U381" s="8">
        <v>463774</v>
      </c>
      <c r="X381" s="8">
        <f>+'St of Net Assets - GA'!O366-'LT _Lia - GA'!U381</f>
        <v>0</v>
      </c>
    </row>
    <row r="382" spans="1:24">
      <c r="A382" s="13" t="s">
        <v>318</v>
      </c>
      <c r="B382" s="13"/>
      <c r="C382" s="13" t="s">
        <v>20</v>
      </c>
      <c r="D382" s="13"/>
      <c r="E382" s="32">
        <v>44545</v>
      </c>
      <c r="G382" s="8">
        <v>16916326</v>
      </c>
      <c r="I382" s="8">
        <v>0</v>
      </c>
      <c r="K382" s="8">
        <v>0</v>
      </c>
      <c r="M382" s="8">
        <v>0</v>
      </c>
      <c r="O382" s="8">
        <v>3099892</v>
      </c>
      <c r="Q382" s="8">
        <v>0</v>
      </c>
      <c r="S382" s="9">
        <f t="shared" si="10"/>
        <v>20016218</v>
      </c>
      <c r="U382" s="8">
        <v>1374479</v>
      </c>
      <c r="X382" s="8">
        <f>+'St of Net Assets - GA'!O367-'LT _Lia - GA'!U382</f>
        <v>0</v>
      </c>
    </row>
    <row r="383" spans="1:24">
      <c r="A383" s="13" t="s">
        <v>709</v>
      </c>
      <c r="B383" s="13"/>
      <c r="C383" s="13" t="s">
        <v>66</v>
      </c>
      <c r="D383" s="13"/>
      <c r="E383" s="32">
        <v>50336</v>
      </c>
      <c r="G383" s="8">
        <v>12124929</v>
      </c>
      <c r="I383" s="8">
        <v>0</v>
      </c>
      <c r="K383" s="8">
        <v>0</v>
      </c>
      <c r="M383" s="8">
        <v>0</v>
      </c>
      <c r="O383" s="8">
        <v>589128</v>
      </c>
      <c r="Q383" s="8">
        <v>0</v>
      </c>
      <c r="S383" s="9">
        <f t="shared" si="10"/>
        <v>12714057</v>
      </c>
      <c r="U383" s="8">
        <v>465822</v>
      </c>
      <c r="X383" s="8">
        <f>+'St of Net Assets - GA'!O368-'LT _Lia - GA'!U383</f>
        <v>0</v>
      </c>
    </row>
    <row r="384" spans="1:24">
      <c r="A384" s="13" t="s">
        <v>266</v>
      </c>
      <c r="B384" s="13"/>
      <c r="C384" s="13" t="s">
        <v>17</v>
      </c>
      <c r="D384" s="13"/>
      <c r="E384" s="32">
        <v>46250</v>
      </c>
      <c r="G384" s="8">
        <v>5166997</v>
      </c>
      <c r="I384" s="8">
        <v>0</v>
      </c>
      <c r="K384" s="8">
        <v>0</v>
      </c>
      <c r="M384" s="8">
        <v>99087</v>
      </c>
      <c r="O384" s="8">
        <v>1370610</v>
      </c>
      <c r="Q384" s="8">
        <v>0</v>
      </c>
      <c r="S384" s="9">
        <f t="shared" si="10"/>
        <v>6636694</v>
      </c>
      <c r="U384" s="8">
        <v>744994</v>
      </c>
      <c r="X384" s="8">
        <f>+'St of Net Assets - GA'!O369-'LT _Lia - GA'!U384</f>
        <v>0</v>
      </c>
    </row>
    <row r="385" spans="1:24" hidden="1">
      <c r="A385" s="13" t="s">
        <v>266</v>
      </c>
      <c r="B385" s="13"/>
      <c r="C385" s="13" t="s">
        <v>22</v>
      </c>
      <c r="D385" s="13"/>
      <c r="E385" s="32">
        <v>46722</v>
      </c>
      <c r="S385" s="9">
        <f t="shared" si="10"/>
        <v>0</v>
      </c>
      <c r="X385" s="8">
        <f>+'St of Net Assets - GA'!O370-'LT _Lia - GA'!U385</f>
        <v>0</v>
      </c>
    </row>
    <row r="386" spans="1:24">
      <c r="A386" s="13" t="s">
        <v>561</v>
      </c>
      <c r="B386" s="13"/>
      <c r="C386" s="13" t="s">
        <v>50</v>
      </c>
      <c r="D386" s="13"/>
      <c r="E386" s="32">
        <v>48728</v>
      </c>
      <c r="G386" s="8">
        <v>0</v>
      </c>
      <c r="I386" s="8">
        <v>0</v>
      </c>
      <c r="K386" s="8">
        <v>0</v>
      </c>
      <c r="M386" s="8">
        <v>796250</v>
      </c>
      <c r="O386" s="8">
        <v>2671034</v>
      </c>
      <c r="Q386" s="8">
        <v>0</v>
      </c>
      <c r="S386" s="9">
        <f t="shared" si="10"/>
        <v>3467284</v>
      </c>
      <c r="U386" s="8">
        <v>793463</v>
      </c>
      <c r="X386" s="8">
        <f>+'St of Net Assets - GA'!O371-'LT _Lia - GA'!U386</f>
        <v>0</v>
      </c>
    </row>
    <row r="387" spans="1:24">
      <c r="A387" s="13" t="s">
        <v>570</v>
      </c>
      <c r="B387" s="13"/>
      <c r="C387" s="13" t="s">
        <v>78</v>
      </c>
      <c r="D387" s="13"/>
      <c r="E387" s="32">
        <v>48819</v>
      </c>
      <c r="G387" s="8">
        <v>0</v>
      </c>
      <c r="I387" s="8">
        <v>0</v>
      </c>
      <c r="K387" s="8">
        <v>14500000</v>
      </c>
      <c r="M387" s="8">
        <v>0</v>
      </c>
      <c r="O387" s="8">
        <v>895769</v>
      </c>
      <c r="Q387" s="8">
        <v>0</v>
      </c>
      <c r="S387" s="9">
        <f t="shared" si="10"/>
        <v>15395769</v>
      </c>
      <c r="U387" s="8">
        <v>14591140</v>
      </c>
      <c r="X387" s="8">
        <f>+'St of Net Assets - GA'!O372-'LT _Lia - GA'!U387</f>
        <v>0</v>
      </c>
    </row>
    <row r="388" spans="1:24">
      <c r="A388" s="13" t="s">
        <v>486</v>
      </c>
      <c r="B388" s="13"/>
      <c r="C388" s="12" t="s">
        <v>50</v>
      </c>
      <c r="D388" s="13"/>
      <c r="E388" s="32">
        <v>48033</v>
      </c>
      <c r="G388" s="8">
        <f>7100692-455000</f>
        <v>6645692</v>
      </c>
      <c r="I388" s="8">
        <v>455000</v>
      </c>
      <c r="K388" s="8">
        <v>0</v>
      </c>
      <c r="M388" s="8">
        <v>4500000</v>
      </c>
      <c r="O388" s="8">
        <v>1132559</v>
      </c>
      <c r="Q388" s="8">
        <v>0</v>
      </c>
      <c r="S388" s="9">
        <f t="shared" si="10"/>
        <v>12733251</v>
      </c>
      <c r="U388" s="8">
        <v>488309</v>
      </c>
      <c r="X388" s="8">
        <f>+'St of Net Assets - GA'!O373-'LT _Lia - GA'!U388</f>
        <v>0</v>
      </c>
    </row>
    <row r="389" spans="1:24">
      <c r="A389" s="13" t="s">
        <v>486</v>
      </c>
      <c r="B389" s="13"/>
      <c r="C389" s="13" t="s">
        <v>42</v>
      </c>
      <c r="D389" s="13"/>
      <c r="E389" s="32">
        <v>48736</v>
      </c>
      <c r="G389" s="8">
        <v>6905393</v>
      </c>
      <c r="I389" s="8">
        <v>0</v>
      </c>
      <c r="K389" s="8">
        <v>0</v>
      </c>
      <c r="M389" s="8">
        <v>148835</v>
      </c>
      <c r="O389" s="8">
        <f>760298+250072</f>
        <v>1010370</v>
      </c>
      <c r="Q389" s="8">
        <v>0</v>
      </c>
      <c r="S389" s="9">
        <f t="shared" si="10"/>
        <v>8064598</v>
      </c>
      <c r="U389" s="8">
        <v>684714</v>
      </c>
      <c r="X389" s="8">
        <f>+'St of Net Assets - GA'!O374-'LT _Lia - GA'!U389</f>
        <v>0</v>
      </c>
    </row>
    <row r="390" spans="1:24">
      <c r="A390" s="13" t="s">
        <v>407</v>
      </c>
      <c r="B390" s="13"/>
      <c r="C390" s="13" t="s">
        <v>32</v>
      </c>
      <c r="D390" s="13"/>
      <c r="E390" s="32">
        <v>47365</v>
      </c>
      <c r="G390" s="8">
        <f>21588868-716212</f>
        <v>20872656</v>
      </c>
      <c r="I390" s="8">
        <v>0</v>
      </c>
      <c r="K390" s="8">
        <v>0</v>
      </c>
      <c r="M390" s="8">
        <v>716212</v>
      </c>
      <c r="O390" s="8">
        <v>3576450</v>
      </c>
      <c r="Q390" s="8">
        <v>0</v>
      </c>
      <c r="S390" s="9">
        <f t="shared" si="10"/>
        <v>25165318</v>
      </c>
      <c r="U390" s="8">
        <v>1842553</v>
      </c>
      <c r="X390" s="8">
        <f>+'St of Net Assets - GA'!O375-'LT _Lia - GA'!U390</f>
        <v>0</v>
      </c>
    </row>
    <row r="391" spans="1:24">
      <c r="A391" s="13" t="s">
        <v>407</v>
      </c>
      <c r="B391" s="13"/>
      <c r="C391" s="13" t="s">
        <v>59</v>
      </c>
      <c r="D391" s="13"/>
      <c r="E391" s="32">
        <v>49635</v>
      </c>
      <c r="G391" s="8">
        <v>1595996</v>
      </c>
      <c r="I391" s="8">
        <v>0</v>
      </c>
      <c r="K391" s="8">
        <v>0</v>
      </c>
      <c r="M391" s="8">
        <v>2391000</v>
      </c>
      <c r="O391" s="8">
        <v>1095677</v>
      </c>
      <c r="Q391" s="8">
        <v>0</v>
      </c>
      <c r="S391" s="9">
        <f t="shared" si="10"/>
        <v>5082673</v>
      </c>
      <c r="U391" s="8">
        <v>468520</v>
      </c>
      <c r="X391" s="8">
        <f>+'St of Net Assets - GA'!O376-'LT _Lia - GA'!U391</f>
        <v>0</v>
      </c>
    </row>
    <row r="392" spans="1:24">
      <c r="A392" s="13" t="s">
        <v>407</v>
      </c>
      <c r="B392" s="13"/>
      <c r="C392" s="13" t="s">
        <v>62</v>
      </c>
      <c r="D392" s="13"/>
      <c r="E392" s="32">
        <v>49908</v>
      </c>
      <c r="G392" s="8">
        <f>20896123+414446</f>
        <v>21310569</v>
      </c>
      <c r="I392" s="8">
        <v>0</v>
      </c>
      <c r="K392" s="8">
        <v>0</v>
      </c>
      <c r="M392" s="8">
        <v>1318000</v>
      </c>
      <c r="O392" s="8">
        <f>1683538</f>
        <v>1683538</v>
      </c>
      <c r="Q392" s="8">
        <v>0</v>
      </c>
      <c r="S392" s="9">
        <f t="shared" si="10"/>
        <v>24312107</v>
      </c>
      <c r="U392" s="8">
        <v>845942</v>
      </c>
      <c r="X392" s="8">
        <f>+'St of Net Assets - GA'!O377-'LT _Lia - GA'!U392</f>
        <v>0</v>
      </c>
    </row>
    <row r="393" spans="1:24">
      <c r="A393" s="13" t="s">
        <v>267</v>
      </c>
      <c r="B393" s="13"/>
      <c r="C393" s="13" t="s">
        <v>17</v>
      </c>
      <c r="D393" s="13"/>
      <c r="E393" s="32">
        <v>46268</v>
      </c>
      <c r="G393" s="8">
        <v>0</v>
      </c>
      <c r="I393" s="8">
        <v>0</v>
      </c>
      <c r="K393" s="8">
        <v>0</v>
      </c>
      <c r="M393" s="8">
        <v>725000</v>
      </c>
      <c r="O393" s="8">
        <v>781464</v>
      </c>
      <c r="Q393" s="8">
        <v>0</v>
      </c>
      <c r="S393" s="9">
        <f t="shared" si="10"/>
        <v>1506464</v>
      </c>
      <c r="U393" s="8">
        <v>198268</v>
      </c>
      <c r="X393" s="8">
        <f>+'St of Net Assets - GA'!O378-'LT _Lia - GA'!U393</f>
        <v>0</v>
      </c>
    </row>
    <row r="394" spans="1:24">
      <c r="A394" s="13" t="s">
        <v>742</v>
      </c>
      <c r="B394" s="13"/>
      <c r="C394" s="13" t="s">
        <v>72</v>
      </c>
      <c r="D394" s="13"/>
      <c r="E394" s="32">
        <v>50716</v>
      </c>
      <c r="G394" s="8">
        <v>1499690</v>
      </c>
      <c r="I394" s="8">
        <v>0</v>
      </c>
      <c r="K394" s="8">
        <v>0</v>
      </c>
      <c r="M394" s="8">
        <v>0</v>
      </c>
      <c r="O394" s="8">
        <v>510626</v>
      </c>
      <c r="Q394" s="8">
        <v>0</v>
      </c>
      <c r="S394" s="9">
        <f t="shared" si="10"/>
        <v>2010316</v>
      </c>
      <c r="U394" s="8">
        <v>411715</v>
      </c>
      <c r="X394" s="8">
        <f>+'St of Net Assets - GA'!O379-'LT _Lia - GA'!U394</f>
        <v>0</v>
      </c>
    </row>
    <row r="395" spans="1:24">
      <c r="A395" s="13" t="s">
        <v>674</v>
      </c>
      <c r="B395" s="13"/>
      <c r="C395" s="13" t="s">
        <v>63</v>
      </c>
      <c r="D395" s="13"/>
      <c r="E395" s="32">
        <v>44552</v>
      </c>
      <c r="G395" s="8">
        <v>0</v>
      </c>
      <c r="I395" s="8">
        <v>0</v>
      </c>
      <c r="K395" s="8">
        <v>0</v>
      </c>
      <c r="M395" s="8">
        <v>179083</v>
      </c>
      <c r="O395" s="8">
        <v>824774</v>
      </c>
      <c r="Q395" s="8">
        <v>0</v>
      </c>
      <c r="S395" s="9">
        <f t="shared" si="10"/>
        <v>1003857</v>
      </c>
      <c r="U395" s="8">
        <v>186282</v>
      </c>
      <c r="X395" s="8">
        <f>+'St of Net Assets - GA'!O380-'LT _Lia - GA'!U395</f>
        <v>0</v>
      </c>
    </row>
    <row r="396" spans="1:24">
      <c r="A396" s="13" t="s">
        <v>451</v>
      </c>
      <c r="B396" s="13"/>
      <c r="C396" s="13" t="s">
        <v>37</v>
      </c>
      <c r="D396" s="13"/>
      <c r="E396" s="32">
        <v>44560</v>
      </c>
      <c r="G396" s="8">
        <v>13336016</v>
      </c>
      <c r="I396" s="8">
        <v>0</v>
      </c>
      <c r="K396" s="8">
        <v>0</v>
      </c>
      <c r="M396" s="8">
        <v>0</v>
      </c>
      <c r="O396" s="8">
        <v>1447634</v>
      </c>
      <c r="Q396" s="8">
        <v>0</v>
      </c>
      <c r="S396" s="9">
        <f t="shared" si="10"/>
        <v>14783650</v>
      </c>
      <c r="U396" s="8">
        <v>752476</v>
      </c>
      <c r="X396" s="8">
        <f>+'St of Net Assets - GA'!O381-'LT _Lia - GA'!U396</f>
        <v>0</v>
      </c>
    </row>
    <row r="397" spans="1:24">
      <c r="A397" s="13" t="s">
        <v>902</v>
      </c>
      <c r="B397" s="13"/>
      <c r="C397" s="13" t="s">
        <v>32</v>
      </c>
      <c r="D397" s="13"/>
      <c r="E397" s="32">
        <v>44578</v>
      </c>
      <c r="G397" s="8">
        <v>0</v>
      </c>
      <c r="I397" s="8">
        <v>0</v>
      </c>
      <c r="K397" s="8">
        <v>0</v>
      </c>
      <c r="M397" s="8">
        <v>4828000</v>
      </c>
      <c r="O397" s="8">
        <v>1081892</v>
      </c>
      <c r="Q397" s="8">
        <v>0</v>
      </c>
      <c r="S397" s="9">
        <f t="shared" si="10"/>
        <v>5909892</v>
      </c>
      <c r="U397" s="8">
        <v>256407</v>
      </c>
      <c r="X397" s="8">
        <f>+'St of Net Assets - GA'!O382-'LT _Lia - GA'!U397</f>
        <v>0</v>
      </c>
    </row>
    <row r="398" spans="1:24">
      <c r="A398" s="13" t="s">
        <v>409</v>
      </c>
      <c r="B398" s="13"/>
      <c r="C398" s="13" t="s">
        <v>32</v>
      </c>
      <c r="D398" s="13"/>
      <c r="E398" s="32">
        <v>47373</v>
      </c>
      <c r="G398" s="8">
        <v>44430976</v>
      </c>
      <c r="I398" s="8">
        <v>1385000</v>
      </c>
      <c r="K398" s="8">
        <v>0</v>
      </c>
      <c r="M398" s="8">
        <v>0</v>
      </c>
      <c r="O398" s="8">
        <v>4558359</v>
      </c>
      <c r="Q398" s="8">
        <v>0</v>
      </c>
      <c r="S398" s="9">
        <f t="shared" si="10"/>
        <v>50374335</v>
      </c>
      <c r="U398" s="8">
        <v>3047191</v>
      </c>
      <c r="X398" s="8">
        <f>+'St of Net Assets - GA'!O383-'LT _Lia - GA'!U398</f>
        <v>0</v>
      </c>
    </row>
    <row r="399" spans="1:24">
      <c r="A399" s="13" t="s">
        <v>562</v>
      </c>
      <c r="B399" s="13"/>
      <c r="C399" s="13" t="s">
        <v>50</v>
      </c>
      <c r="D399" s="13"/>
      <c r="E399" s="32">
        <v>44586</v>
      </c>
      <c r="G399" s="8">
        <f>19210275-1168816</f>
        <v>18041459</v>
      </c>
      <c r="I399" s="8">
        <v>0</v>
      </c>
      <c r="K399" s="8">
        <v>0</v>
      </c>
      <c r="M399" s="8">
        <v>0</v>
      </c>
      <c r="O399" s="8">
        <v>1168816</v>
      </c>
      <c r="Q399" s="8">
        <v>0</v>
      </c>
      <c r="S399" s="9">
        <f t="shared" si="10"/>
        <v>19210275</v>
      </c>
      <c r="U399" s="8">
        <v>541956</v>
      </c>
      <c r="X399" s="8">
        <f>+'St of Net Assets - GA'!O384-'LT _Lia - GA'!U399</f>
        <v>0</v>
      </c>
    </row>
    <row r="400" spans="1:24">
      <c r="A400" s="13" t="s">
        <v>499</v>
      </c>
      <c r="B400" s="13"/>
      <c r="C400" s="13" t="s">
        <v>44</v>
      </c>
      <c r="D400" s="13"/>
      <c r="E400" s="13">
        <v>44594</v>
      </c>
      <c r="G400" s="8">
        <v>0</v>
      </c>
      <c r="I400" s="8">
        <v>0</v>
      </c>
      <c r="K400" s="8">
        <v>0</v>
      </c>
      <c r="M400" s="8">
        <v>67827</v>
      </c>
      <c r="O400" s="8">
        <v>138224</v>
      </c>
      <c r="Q400" s="8">
        <v>0</v>
      </c>
      <c r="S400" s="9">
        <f t="shared" si="10"/>
        <v>206051</v>
      </c>
      <c r="U400" s="8">
        <v>206051</v>
      </c>
      <c r="X400" s="8">
        <f>+'St of Net Assets - GA'!O385-'LT _Lia - GA'!U400</f>
        <v>0</v>
      </c>
    </row>
    <row r="401" spans="1:24" hidden="1">
      <c r="A401" s="13" t="s">
        <v>643</v>
      </c>
      <c r="B401" s="13"/>
      <c r="C401" s="13" t="s">
        <v>60</v>
      </c>
      <c r="D401" s="13"/>
      <c r="E401" s="32">
        <v>49726</v>
      </c>
      <c r="S401" s="9">
        <f t="shared" si="10"/>
        <v>0</v>
      </c>
      <c r="X401" s="8">
        <f>+'St of Net Assets - GA'!O386-'LT _Lia - GA'!U401</f>
        <v>0</v>
      </c>
    </row>
    <row r="402" spans="1:24">
      <c r="A402" s="13" t="s">
        <v>339</v>
      </c>
      <c r="B402" s="13"/>
      <c r="C402" s="13" t="s">
        <v>23</v>
      </c>
      <c r="D402" s="13"/>
      <c r="E402" s="32">
        <v>46763</v>
      </c>
      <c r="G402" s="8">
        <v>316041321</v>
      </c>
      <c r="I402" s="8">
        <v>0</v>
      </c>
      <c r="K402" s="8">
        <v>36400000</v>
      </c>
      <c r="M402" s="8">
        <v>335272</v>
      </c>
      <c r="O402" s="8">
        <v>5023393</v>
      </c>
      <c r="Q402" s="8">
        <v>0</v>
      </c>
      <c r="S402" s="9">
        <f t="shared" si="10"/>
        <v>357799986</v>
      </c>
      <c r="U402" s="8">
        <v>8007458</v>
      </c>
      <c r="X402" s="8">
        <f>+'St of Net Assets - GA'!O387-'LT _Lia - GA'!U402</f>
        <v>0</v>
      </c>
    </row>
    <row r="403" spans="1:24">
      <c r="A403" s="13" t="s">
        <v>319</v>
      </c>
      <c r="B403" s="13"/>
      <c r="C403" s="13" t="s">
        <v>20</v>
      </c>
      <c r="D403" s="13"/>
      <c r="E403" s="32">
        <v>46573</v>
      </c>
      <c r="G403" s="8">
        <v>25002588</v>
      </c>
      <c r="I403" s="8">
        <v>0</v>
      </c>
      <c r="K403" s="8">
        <v>3725992</v>
      </c>
      <c r="M403" s="8">
        <f>298452</f>
        <v>298452</v>
      </c>
      <c r="O403" s="8">
        <f>338925+3085985</f>
        <v>3424910</v>
      </c>
      <c r="Q403" s="8">
        <v>0</v>
      </c>
      <c r="S403" s="9">
        <f t="shared" si="10"/>
        <v>32451942</v>
      </c>
      <c r="U403" s="8">
        <v>2406710</v>
      </c>
      <c r="X403" s="8">
        <f>+'St of Net Assets - GA'!O388-'LT _Lia - GA'!U403</f>
        <v>0</v>
      </c>
    </row>
    <row r="404" spans="1:24">
      <c r="A404" s="13" t="s">
        <v>618</v>
      </c>
      <c r="B404" s="13"/>
      <c r="C404" s="13" t="s">
        <v>113</v>
      </c>
      <c r="D404" s="13"/>
      <c r="E404" s="32">
        <v>49478</v>
      </c>
      <c r="G404" s="8">
        <f>18667919-520000-1355595+726415-572070</f>
        <v>16946669</v>
      </c>
      <c r="I404" s="8">
        <v>0</v>
      </c>
      <c r="K404" s="8">
        <v>520000</v>
      </c>
      <c r="M404" s="8">
        <v>0</v>
      </c>
      <c r="O404" s="8">
        <v>1355595</v>
      </c>
      <c r="Q404" s="8">
        <v>0</v>
      </c>
      <c r="S404" s="9">
        <f t="shared" si="10"/>
        <v>18822264</v>
      </c>
      <c r="U404" s="8">
        <v>1187283</v>
      </c>
      <c r="X404" s="8">
        <f>+'St of Net Assets - GA'!O389-'LT _Lia - GA'!U404</f>
        <v>0</v>
      </c>
    </row>
    <row r="405" spans="1:24">
      <c r="A405" s="13" t="s">
        <v>320</v>
      </c>
      <c r="B405" s="13"/>
      <c r="C405" s="13" t="s">
        <v>20</v>
      </c>
      <c r="D405" s="13"/>
      <c r="E405" s="32">
        <v>46581</v>
      </c>
      <c r="G405" s="8">
        <f>26589034+932970-603983</f>
        <v>26918021</v>
      </c>
      <c r="I405" s="8">
        <v>0</v>
      </c>
      <c r="K405" s="8">
        <v>0</v>
      </c>
      <c r="M405" s="8">
        <v>272258</v>
      </c>
      <c r="O405" s="8">
        <v>4142189</v>
      </c>
      <c r="Q405" s="8">
        <v>0</v>
      </c>
      <c r="S405" s="9">
        <f t="shared" si="10"/>
        <v>31332468</v>
      </c>
      <c r="U405" s="8">
        <v>1585162</v>
      </c>
      <c r="X405" s="8">
        <f>+'St of Net Assets - GA'!O390-'LT _Lia - GA'!U405</f>
        <v>0</v>
      </c>
    </row>
    <row r="406" spans="1:24">
      <c r="A406" s="13" t="s">
        <v>504</v>
      </c>
      <c r="B406" s="13"/>
      <c r="C406" s="13" t="s">
        <v>118</v>
      </c>
      <c r="D406" s="13"/>
      <c r="E406" s="32">
        <v>44602</v>
      </c>
      <c r="G406" s="8">
        <f>41722457+3243647+443535</f>
        <v>45409639</v>
      </c>
      <c r="I406" s="8">
        <v>0</v>
      </c>
      <c r="K406" s="8">
        <v>0</v>
      </c>
      <c r="M406" s="8">
        <v>0</v>
      </c>
      <c r="O406" s="8">
        <f>1893974+5716297</f>
        <v>7610271</v>
      </c>
      <c r="Q406" s="8">
        <v>0</v>
      </c>
      <c r="S406" s="9">
        <f t="shared" si="10"/>
        <v>53019910</v>
      </c>
      <c r="U406" s="8">
        <v>2403310</v>
      </c>
      <c r="X406" s="8">
        <f>+'St of Net Assets - GA'!O391-'LT _Lia - GA'!U406</f>
        <v>0</v>
      </c>
    </row>
    <row r="407" spans="1:24">
      <c r="A407" s="13" t="s">
        <v>729</v>
      </c>
      <c r="B407" s="13"/>
      <c r="C407" s="13" t="s">
        <v>71</v>
      </c>
      <c r="D407" s="13"/>
      <c r="E407" s="32">
        <v>44610</v>
      </c>
      <c r="G407" s="8">
        <f>34303453-13045334-1894882</f>
        <v>19363237</v>
      </c>
      <c r="I407" s="8">
        <v>0</v>
      </c>
      <c r="K407" s="8">
        <v>0</v>
      </c>
      <c r="M407" s="8">
        <v>13045334</v>
      </c>
      <c r="O407" s="8">
        <v>1894882</v>
      </c>
      <c r="Q407" s="8">
        <v>0</v>
      </c>
      <c r="S407" s="9">
        <f t="shared" si="10"/>
        <v>34303453</v>
      </c>
      <c r="U407" s="8">
        <v>501136</v>
      </c>
      <c r="X407" s="8">
        <f>+'St of Net Assets - GA'!O392-'LT _Lia - GA'!U407</f>
        <v>0</v>
      </c>
    </row>
    <row r="408" spans="1:24">
      <c r="A408" s="13" t="s">
        <v>664</v>
      </c>
      <c r="B408" s="13"/>
      <c r="C408" s="13" t="s">
        <v>62</v>
      </c>
      <c r="D408" s="13"/>
      <c r="E408" s="32">
        <v>49916</v>
      </c>
      <c r="G408" s="8">
        <f>8739925+299940</f>
        <v>9039865</v>
      </c>
      <c r="I408" s="8">
        <v>0</v>
      </c>
      <c r="K408" s="8">
        <v>0</v>
      </c>
      <c r="M408" s="8">
        <v>0</v>
      </c>
      <c r="O408" s="8">
        <v>491250</v>
      </c>
      <c r="Q408" s="8">
        <v>0</v>
      </c>
      <c r="S408" s="9">
        <f t="shared" si="10"/>
        <v>9531115</v>
      </c>
      <c r="U408" s="8">
        <v>151852</v>
      </c>
      <c r="X408" s="8">
        <f>+'St of Net Assets - GA'!O393-'LT _Lia - GA'!U408</f>
        <v>0</v>
      </c>
    </row>
    <row r="409" spans="1:24">
      <c r="A409" s="13" t="s">
        <v>743</v>
      </c>
      <c r="B409" s="13"/>
      <c r="C409" s="13" t="s">
        <v>72</v>
      </c>
      <c r="D409" s="13"/>
      <c r="E409" s="32">
        <v>50724</v>
      </c>
      <c r="G409" s="8">
        <v>18571524</v>
      </c>
      <c r="I409" s="8">
        <v>0</v>
      </c>
      <c r="K409" s="8">
        <v>0</v>
      </c>
      <c r="M409" s="8">
        <v>0</v>
      </c>
      <c r="O409" s="8">
        <v>843810</v>
      </c>
      <c r="Q409" s="8">
        <v>0</v>
      </c>
      <c r="S409" s="9">
        <f t="shared" si="10"/>
        <v>19415334</v>
      </c>
      <c r="U409" s="8">
        <v>568044</v>
      </c>
      <c r="X409" s="8">
        <f>+'St of Net Assets - GA'!O394-'LT _Lia - GA'!U409</f>
        <v>0</v>
      </c>
    </row>
    <row r="410" spans="1:24">
      <c r="A410" s="13" t="s">
        <v>505</v>
      </c>
      <c r="B410" s="13"/>
      <c r="C410" s="13" t="s">
        <v>118</v>
      </c>
      <c r="D410" s="13"/>
      <c r="E410" s="32">
        <v>48215</v>
      </c>
      <c r="G410" s="8">
        <v>3875000</v>
      </c>
      <c r="I410" s="8">
        <v>0</v>
      </c>
      <c r="K410" s="8">
        <v>0</v>
      </c>
      <c r="M410" s="8">
        <v>0</v>
      </c>
      <c r="O410" s="8">
        <v>1500952</v>
      </c>
      <c r="Q410" s="8">
        <v>0</v>
      </c>
      <c r="S410" s="9">
        <f t="shared" si="10"/>
        <v>5375952</v>
      </c>
      <c r="U410" s="8">
        <v>381217</v>
      </c>
      <c r="X410" s="8">
        <f>+'St of Net Assets - GA'!O395-'LT _Lia - GA'!U410</f>
        <v>0</v>
      </c>
    </row>
    <row r="411" spans="1:24" hidden="1">
      <c r="A411" s="13" t="s">
        <v>611</v>
      </c>
      <c r="B411" s="13"/>
      <c r="C411" s="13" t="s">
        <v>608</v>
      </c>
      <c r="D411" s="13"/>
      <c r="E411" s="32">
        <v>49379</v>
      </c>
      <c r="S411" s="9">
        <f t="shared" si="10"/>
        <v>0</v>
      </c>
      <c r="X411" s="8">
        <f>+'St of Net Assets - GA'!O396-'LT _Lia - GA'!U411</f>
        <v>0</v>
      </c>
    </row>
    <row r="412" spans="1:24" hidden="1">
      <c r="A412" s="13" t="s">
        <v>612</v>
      </c>
      <c r="B412" s="13"/>
      <c r="C412" s="13" t="s">
        <v>608</v>
      </c>
      <c r="D412" s="13"/>
      <c r="E412" s="32">
        <v>49387</v>
      </c>
      <c r="S412" s="9">
        <f t="shared" si="10"/>
        <v>0</v>
      </c>
      <c r="X412" s="8">
        <f>+'St of Net Assets - GA'!O397-'LT _Lia - GA'!U412</f>
        <v>0</v>
      </c>
    </row>
    <row r="413" spans="1:24">
      <c r="A413" s="13" t="s">
        <v>466</v>
      </c>
      <c r="B413" s="13"/>
      <c r="C413" s="13" t="s">
        <v>41</v>
      </c>
      <c r="D413" s="13"/>
      <c r="E413" s="32">
        <v>44628</v>
      </c>
      <c r="G413" s="8">
        <f>18800000+485000+10495007+494088+454993+136066</f>
        <v>30865154</v>
      </c>
      <c r="I413" s="8">
        <v>0</v>
      </c>
      <c r="K413" s="8">
        <v>219200</v>
      </c>
      <c r="M413" s="8">
        <v>30004</v>
      </c>
      <c r="O413" s="8">
        <v>1750646</v>
      </c>
      <c r="Q413" s="8">
        <v>0</v>
      </c>
      <c r="S413" s="9">
        <f t="shared" si="10"/>
        <v>32865004</v>
      </c>
      <c r="U413" s="8">
        <v>1005961</v>
      </c>
      <c r="X413" s="8">
        <f>+'St of Net Assets - GA'!O398-'LT _Lia - GA'!U413</f>
        <v>0</v>
      </c>
    </row>
    <row r="414" spans="1:24" hidden="1">
      <c r="A414" s="13" t="s">
        <v>467</v>
      </c>
      <c r="B414" s="13"/>
      <c r="C414" s="13" t="s">
        <v>41</v>
      </c>
      <c r="D414" s="13"/>
      <c r="E414" s="32">
        <v>47894</v>
      </c>
      <c r="S414" s="9">
        <f t="shared" si="10"/>
        <v>0</v>
      </c>
      <c r="X414" s="8">
        <f>+'St of Net Assets - GA'!O399-'LT _Lia - GA'!U414</f>
        <v>0</v>
      </c>
    </row>
    <row r="415" spans="1:24">
      <c r="A415" s="13" t="s">
        <v>624</v>
      </c>
      <c r="B415" s="13"/>
      <c r="C415" s="13" t="s">
        <v>58</v>
      </c>
      <c r="D415" s="13"/>
      <c r="E415" s="32">
        <v>49510</v>
      </c>
      <c r="G415" s="8">
        <v>1440000</v>
      </c>
      <c r="I415" s="8">
        <v>0</v>
      </c>
      <c r="K415" s="8">
        <v>0</v>
      </c>
      <c r="M415" s="8">
        <v>79982</v>
      </c>
      <c r="O415" s="8">
        <v>383653</v>
      </c>
      <c r="Q415" s="8">
        <v>0</v>
      </c>
      <c r="S415" s="9">
        <f t="shared" si="10"/>
        <v>1903635</v>
      </c>
      <c r="U415" s="8">
        <v>105980</v>
      </c>
      <c r="X415" s="8">
        <f>+'St of Net Assets - GA'!O400-'LT _Lia - GA'!U415</f>
        <v>0</v>
      </c>
    </row>
    <row r="416" spans="1:24" hidden="1">
      <c r="A416" s="13" t="s">
        <v>613</v>
      </c>
      <c r="B416" s="13"/>
      <c r="C416" s="13" t="s">
        <v>608</v>
      </c>
      <c r="D416" s="13"/>
      <c r="E416" s="32">
        <v>49395</v>
      </c>
      <c r="S416" s="9">
        <f t="shared" si="10"/>
        <v>0</v>
      </c>
      <c r="X416" s="8">
        <f>+'St of Net Assets - GA'!O401-'LT _Lia - GA'!U416</f>
        <v>0</v>
      </c>
    </row>
    <row r="417" spans="1:24" hidden="1">
      <c r="A417" s="13" t="s">
        <v>541</v>
      </c>
      <c r="B417" s="13"/>
      <c r="C417" s="13" t="s">
        <v>540</v>
      </c>
      <c r="D417" s="13"/>
      <c r="E417" s="32">
        <v>48579</v>
      </c>
      <c r="S417" s="9">
        <f t="shared" ref="S417:S422" si="11">SUM(G417:R417)</f>
        <v>0</v>
      </c>
      <c r="X417" s="8">
        <f>+'St of Net Assets - GA'!O402-'LT _Lia - GA'!U417</f>
        <v>0</v>
      </c>
    </row>
    <row r="418" spans="1:24">
      <c r="A418" s="13" t="s">
        <v>321</v>
      </c>
      <c r="B418" s="13"/>
      <c r="C418" s="13" t="s">
        <v>20</v>
      </c>
      <c r="D418" s="13"/>
      <c r="E418" s="13">
        <v>44636</v>
      </c>
      <c r="G418" s="8">
        <v>340000</v>
      </c>
      <c r="I418" s="8">
        <f>1591000+4755000+4345914+2123653+3115822+2451004+12415000-84015</f>
        <v>30713378</v>
      </c>
      <c r="K418" s="8">
        <f>11030000+9190000+128258</f>
        <v>20348258</v>
      </c>
      <c r="M418" s="8">
        <v>2392789</v>
      </c>
      <c r="O418" s="8">
        <v>9490193</v>
      </c>
      <c r="Q418" s="8">
        <v>0</v>
      </c>
      <c r="S418" s="9">
        <f t="shared" si="11"/>
        <v>63284618</v>
      </c>
      <c r="U418" s="8">
        <v>6045528</v>
      </c>
      <c r="X418" s="8">
        <f>+'St of Net Assets - GA'!O403-'LT _Lia - GA'!U418</f>
        <v>0</v>
      </c>
    </row>
    <row r="419" spans="1:24">
      <c r="A419" s="13" t="s">
        <v>438</v>
      </c>
      <c r="B419" s="13"/>
      <c r="C419" s="13" t="s">
        <v>34</v>
      </c>
      <c r="D419" s="13"/>
      <c r="E419" s="32">
        <v>47597</v>
      </c>
      <c r="G419" s="8">
        <f>1240000+3075000+396433</f>
        <v>4711433</v>
      </c>
      <c r="I419" s="8">
        <v>634667</v>
      </c>
      <c r="K419" s="8">
        <v>248000</v>
      </c>
      <c r="M419" s="8">
        <v>0</v>
      </c>
      <c r="O419" s="8">
        <v>693381</v>
      </c>
      <c r="Q419" s="8">
        <v>0</v>
      </c>
      <c r="S419" s="9">
        <f t="shared" si="11"/>
        <v>6287481</v>
      </c>
      <c r="U419" s="8">
        <v>221333</v>
      </c>
      <c r="X419" s="8">
        <f>+'St of Net Assets - GA'!O404-'LT _Lia - GA'!U419</f>
        <v>0</v>
      </c>
    </row>
    <row r="420" spans="1:24" hidden="1">
      <c r="A420" s="13" t="s">
        <v>584</v>
      </c>
      <c r="B420" s="13"/>
      <c r="C420" s="13" t="s">
        <v>583</v>
      </c>
      <c r="D420" s="13"/>
      <c r="E420" s="32">
        <v>45575</v>
      </c>
      <c r="I420" s="8">
        <v>0</v>
      </c>
      <c r="S420" s="9">
        <f t="shared" si="11"/>
        <v>0</v>
      </c>
      <c r="X420" s="8">
        <f>+'St of Net Assets - GA'!O405-'LT _Lia - GA'!U420</f>
        <v>0</v>
      </c>
    </row>
    <row r="421" spans="1:24">
      <c r="A421" s="13" t="s">
        <v>344</v>
      </c>
      <c r="B421" s="13"/>
      <c r="C421" s="13" t="s">
        <v>24</v>
      </c>
      <c r="D421" s="13"/>
      <c r="E421" s="32">
        <v>46813</v>
      </c>
      <c r="G421" s="8">
        <v>0</v>
      </c>
      <c r="I421" s="8">
        <v>0</v>
      </c>
      <c r="K421" s="8">
        <f>120000+1900000</f>
        <v>2020000</v>
      </c>
      <c r="M421" s="8">
        <v>0</v>
      </c>
      <c r="O421" s="8">
        <v>1155683</v>
      </c>
      <c r="Q421" s="8">
        <v>0</v>
      </c>
      <c r="S421" s="9">
        <f t="shared" si="11"/>
        <v>3175683</v>
      </c>
      <c r="U421" s="8">
        <v>318581</v>
      </c>
      <c r="X421" s="8">
        <f>+'St of Net Assets - GA'!O406-'LT _Lia - GA'!U421</f>
        <v>0</v>
      </c>
    </row>
    <row r="422" spans="1:24">
      <c r="A422" s="13" t="s">
        <v>213</v>
      </c>
      <c r="B422" s="13"/>
      <c r="C422" s="13" t="s">
        <v>41</v>
      </c>
      <c r="D422" s="13"/>
      <c r="E422" s="32">
        <v>47902</v>
      </c>
      <c r="G422" s="8">
        <v>1789091</v>
      </c>
      <c r="I422" s="8">
        <v>0</v>
      </c>
      <c r="K422" s="8">
        <v>0</v>
      </c>
      <c r="M422" s="8">
        <v>188400</v>
      </c>
      <c r="O422" s="8">
        <f>40000+2640484</f>
        <v>2680484</v>
      </c>
      <c r="Q422" s="8">
        <v>0</v>
      </c>
      <c r="S422" s="9">
        <f t="shared" si="11"/>
        <v>4657975</v>
      </c>
      <c r="U422" s="8">
        <v>868004</v>
      </c>
      <c r="X422" s="8">
        <f>+'St of Net Assets - GA'!O407-'LT _Lia - GA'!U422</f>
        <v>0</v>
      </c>
    </row>
    <row r="423" spans="1:24" s="50" customFormat="1">
      <c r="A423" s="49" t="s">
        <v>213</v>
      </c>
      <c r="B423" s="49"/>
      <c r="C423" s="49" t="s">
        <v>62</v>
      </c>
      <c r="D423" s="49"/>
      <c r="E423" s="49">
        <v>49924</v>
      </c>
      <c r="G423" s="8">
        <v>0</v>
      </c>
      <c r="H423" s="8"/>
      <c r="I423" s="8">
        <v>0</v>
      </c>
      <c r="J423" s="8"/>
      <c r="K423" s="8">
        <v>0</v>
      </c>
      <c r="L423" s="8"/>
      <c r="M423" s="8">
        <v>315000</v>
      </c>
      <c r="N423" s="8"/>
      <c r="O423" s="8">
        <v>4229887</v>
      </c>
      <c r="P423" s="8"/>
      <c r="Q423" s="8">
        <v>0</v>
      </c>
      <c r="R423" s="8"/>
      <c r="S423" s="9">
        <f>SUM(G423:R423)</f>
        <v>4544887</v>
      </c>
      <c r="T423" s="8"/>
      <c r="U423" s="8">
        <v>256679</v>
      </c>
      <c r="X423" s="50">
        <f>+'St of Net Assets - GA'!O408-'LT _Lia - GA'!U423</f>
        <v>0</v>
      </c>
    </row>
    <row r="424" spans="1:24">
      <c r="A424" s="13" t="s">
        <v>744</v>
      </c>
      <c r="B424" s="13"/>
      <c r="C424" s="13" t="s">
        <v>72</v>
      </c>
      <c r="D424" s="13"/>
      <c r="E424" s="32">
        <v>45583</v>
      </c>
      <c r="G424" s="8">
        <f>33615000+245583-171420</f>
        <v>33689163</v>
      </c>
      <c r="I424" s="8">
        <v>0</v>
      </c>
      <c r="K424" s="8">
        <v>0</v>
      </c>
      <c r="M424" s="8">
        <v>215317</v>
      </c>
      <c r="O424" s="8">
        <f>618041+4017884</f>
        <v>4635925</v>
      </c>
      <c r="Q424" s="8">
        <v>0</v>
      </c>
      <c r="S424" s="9">
        <f t="shared" ref="S424:S462" si="12">SUM(G424:R424)</f>
        <v>38540405</v>
      </c>
      <c r="U424" s="8">
        <v>2165069</v>
      </c>
      <c r="X424" s="8">
        <f>+'St of Net Assets - GA'!O409-'LT _Lia - GA'!U424</f>
        <v>0</v>
      </c>
    </row>
    <row r="425" spans="1:24">
      <c r="A425" s="13" t="s">
        <v>375</v>
      </c>
      <c r="B425" s="13"/>
      <c r="C425" s="13" t="s">
        <v>28</v>
      </c>
      <c r="D425" s="13"/>
      <c r="E425" s="32">
        <v>47076</v>
      </c>
      <c r="G425" s="8">
        <v>0</v>
      </c>
      <c r="I425" s="8">
        <v>0</v>
      </c>
      <c r="K425" s="8">
        <v>0</v>
      </c>
      <c r="M425" s="8">
        <v>0</v>
      </c>
      <c r="O425" s="8">
        <v>370547</v>
      </c>
      <c r="Q425" s="8">
        <v>8725</v>
      </c>
      <c r="S425" s="9">
        <f t="shared" si="12"/>
        <v>379272</v>
      </c>
      <c r="U425" s="8">
        <v>1342</v>
      </c>
      <c r="X425" s="8">
        <f>+'St of Net Assets - GA'!O410-'LT _Lia - GA'!U425</f>
        <v>0</v>
      </c>
    </row>
    <row r="426" spans="1:24">
      <c r="A426" s="13" t="s">
        <v>353</v>
      </c>
      <c r="B426" s="13"/>
      <c r="C426" s="13" t="s">
        <v>25</v>
      </c>
      <c r="D426" s="13"/>
      <c r="E426" s="32">
        <v>46896</v>
      </c>
      <c r="G426" s="8">
        <v>172276266</v>
      </c>
      <c r="I426" s="8">
        <v>0</v>
      </c>
      <c r="K426" s="8">
        <v>0</v>
      </c>
      <c r="M426" s="8">
        <v>1371821</v>
      </c>
      <c r="O426" s="8">
        <v>4266703</v>
      </c>
      <c r="Q426" s="8">
        <v>0</v>
      </c>
      <c r="S426" s="9">
        <f t="shared" si="12"/>
        <v>177914790</v>
      </c>
      <c r="U426" s="8">
        <v>8584174</v>
      </c>
      <c r="X426" s="8">
        <f>+'St of Net Assets - GA'!O411-'LT _Lia - GA'!U426</f>
        <v>0</v>
      </c>
    </row>
    <row r="427" spans="1:24">
      <c r="A427" s="13" t="s">
        <v>376</v>
      </c>
      <c r="B427" s="13"/>
      <c r="C427" s="13" t="s">
        <v>28</v>
      </c>
      <c r="D427" s="13"/>
      <c r="E427" s="32">
        <v>47084</v>
      </c>
      <c r="G427" s="8">
        <f>360000+209783+867432+5290007+654993+158797+408518-295486</f>
        <v>7654044</v>
      </c>
      <c r="I427" s="8">
        <v>0</v>
      </c>
      <c r="K427" s="8">
        <v>0</v>
      </c>
      <c r="M427" s="8">
        <v>0</v>
      </c>
      <c r="O427" s="8">
        <v>1021091</v>
      </c>
      <c r="Q427" s="8">
        <v>0</v>
      </c>
      <c r="S427" s="9">
        <f t="shared" si="12"/>
        <v>8675135</v>
      </c>
      <c r="U427" s="8">
        <v>589118</v>
      </c>
      <c r="X427" s="8">
        <f>+'St of Net Assets - GA'!O412-'LT _Lia - GA'!U427</f>
        <v>0</v>
      </c>
    </row>
    <row r="428" spans="1:24">
      <c r="A428" s="13" t="s">
        <v>548</v>
      </c>
      <c r="B428" s="13"/>
      <c r="C428" s="13" t="s">
        <v>48</v>
      </c>
      <c r="D428" s="13"/>
      <c r="E428" s="32">
        <v>44644</v>
      </c>
      <c r="G428" s="8">
        <v>9290773</v>
      </c>
      <c r="I428" s="8">
        <v>0</v>
      </c>
      <c r="K428" s="8">
        <v>0</v>
      </c>
      <c r="M428" s="8">
        <v>163075</v>
      </c>
      <c r="O428" s="8">
        <v>2292052</v>
      </c>
      <c r="Q428" s="8">
        <v>0</v>
      </c>
      <c r="S428" s="9">
        <f t="shared" si="12"/>
        <v>11745900</v>
      </c>
      <c r="U428" s="8">
        <v>600384</v>
      </c>
      <c r="X428" s="8">
        <f>+'St of Net Assets - GA'!O415-'LT _Lia - GA'!U428</f>
        <v>0</v>
      </c>
    </row>
    <row r="429" spans="1:24" hidden="1">
      <c r="A429" s="13" t="s">
        <v>365</v>
      </c>
      <c r="B429" s="13"/>
      <c r="C429" s="13" t="s">
        <v>27</v>
      </c>
      <c r="D429" s="13"/>
      <c r="E429" s="32">
        <v>46995</v>
      </c>
      <c r="I429" s="8">
        <v>0</v>
      </c>
      <c r="S429" s="9">
        <f t="shared" si="12"/>
        <v>0</v>
      </c>
      <c r="X429" s="8">
        <f>+'St of Net Assets - GA'!O416-'LT _Lia - GA'!U429</f>
        <v>0</v>
      </c>
    </row>
    <row r="430" spans="1:24">
      <c r="A430" s="13" t="s">
        <v>365</v>
      </c>
      <c r="B430" s="13"/>
      <c r="C430" s="13" t="s">
        <v>62</v>
      </c>
      <c r="D430" s="13"/>
      <c r="E430" s="32">
        <v>49932</v>
      </c>
      <c r="G430" s="8">
        <f>57544137+56075000+1134913+334224+565675</f>
        <v>115653949</v>
      </c>
      <c r="I430" s="8">
        <v>0</v>
      </c>
      <c r="K430" s="8">
        <v>0</v>
      </c>
      <c r="M430" s="8">
        <v>0</v>
      </c>
      <c r="O430" s="8">
        <f>250000+3717753</f>
        <v>3967753</v>
      </c>
      <c r="Q430" s="8">
        <v>0</v>
      </c>
      <c r="S430" s="9">
        <f t="shared" si="12"/>
        <v>119621702</v>
      </c>
      <c r="U430" s="8">
        <v>2377249</v>
      </c>
      <c r="X430" s="8">
        <f>+'St of Net Assets - GA'!O417-'LT _Lia - GA'!U430</f>
        <v>0</v>
      </c>
    </row>
    <row r="431" spans="1:24">
      <c r="A431" s="13" t="s">
        <v>528</v>
      </c>
      <c r="B431" s="13"/>
      <c r="C431" s="13" t="s">
        <v>46</v>
      </c>
      <c r="D431" s="13"/>
      <c r="E431" s="32">
        <v>48421</v>
      </c>
      <c r="G431" s="8">
        <v>2659941</v>
      </c>
      <c r="I431" s="8">
        <v>0</v>
      </c>
      <c r="K431" s="8">
        <v>0</v>
      </c>
      <c r="M431" s="8">
        <v>44541</v>
      </c>
      <c r="O431" s="8">
        <v>626620</v>
      </c>
      <c r="Q431" s="8">
        <v>0</v>
      </c>
      <c r="S431" s="9">
        <f t="shared" si="12"/>
        <v>3331102</v>
      </c>
      <c r="U431" s="8">
        <v>380664</v>
      </c>
      <c r="X431" s="8">
        <f>+'St of Net Assets - GA'!O418-'LT _Lia - GA'!U431</f>
        <v>0</v>
      </c>
    </row>
    <row r="433" spans="1:24">
      <c r="A433" s="13"/>
      <c r="B433" s="13"/>
      <c r="C433" s="13"/>
      <c r="D433" s="13"/>
      <c r="E433" s="32"/>
      <c r="S433" s="9"/>
      <c r="U433" s="8" t="s">
        <v>819</v>
      </c>
    </row>
    <row r="434" spans="1:24" s="35" customFormat="1">
      <c r="A434" s="34" t="s">
        <v>619</v>
      </c>
      <c r="B434" s="34"/>
      <c r="C434" s="34" t="s">
        <v>113</v>
      </c>
      <c r="D434" s="34"/>
      <c r="E434" s="34">
        <v>49460</v>
      </c>
      <c r="G434" s="35">
        <f>530000+859263+108162-84180</f>
        <v>1413245</v>
      </c>
      <c r="I434" s="35">
        <v>0</v>
      </c>
      <c r="K434" s="35">
        <v>0</v>
      </c>
      <c r="M434" s="35">
        <f>756000+21593</f>
        <v>777593</v>
      </c>
      <c r="O434" s="35">
        <v>440386</v>
      </c>
      <c r="Q434" s="35">
        <v>0</v>
      </c>
      <c r="S434" s="44">
        <f>SUM(G434:R434)</f>
        <v>2631224</v>
      </c>
      <c r="U434" s="35">
        <v>166171</v>
      </c>
      <c r="X434" s="35">
        <f>+'St of Net Assets - GA'!O419-'LT _Lia - GA'!U434</f>
        <v>0</v>
      </c>
    </row>
    <row r="435" spans="1:24">
      <c r="A435" s="13" t="s">
        <v>520</v>
      </c>
      <c r="B435" s="13"/>
      <c r="C435" s="13" t="s">
        <v>45</v>
      </c>
      <c r="D435" s="13"/>
      <c r="E435" s="13">
        <v>48348</v>
      </c>
      <c r="G435" s="8">
        <f>4485119+293264-190934</f>
        <v>4587449</v>
      </c>
      <c r="I435" s="8">
        <v>0</v>
      </c>
      <c r="K435" s="8">
        <v>1114569</v>
      </c>
      <c r="M435" s="8">
        <v>4853749</v>
      </c>
      <c r="O435" s="8">
        <v>1703086</v>
      </c>
      <c r="Q435" s="8">
        <v>0</v>
      </c>
      <c r="S435" s="9">
        <f t="shared" si="12"/>
        <v>12258853</v>
      </c>
      <c r="U435" s="8">
        <v>863920</v>
      </c>
      <c r="X435" s="8">
        <f>+'St of Net Assets - GA'!O420-'LT _Lia - GA'!U435</f>
        <v>0</v>
      </c>
    </row>
    <row r="436" spans="1:24">
      <c r="A436" s="13" t="s">
        <v>582</v>
      </c>
      <c r="B436" s="13"/>
      <c r="C436" s="13" t="s">
        <v>53</v>
      </c>
      <c r="D436" s="13"/>
      <c r="E436" s="32">
        <v>44651</v>
      </c>
      <c r="G436" s="8">
        <f>1345000+314994+317983+143337-97937</f>
        <v>2023377</v>
      </c>
      <c r="I436" s="8">
        <v>0</v>
      </c>
      <c r="K436" s="8">
        <v>859400</v>
      </c>
      <c r="M436" s="8">
        <v>0</v>
      </c>
      <c r="O436" s="8">
        <v>1446447</v>
      </c>
      <c r="Q436" s="8">
        <v>0</v>
      </c>
      <c r="S436" s="9">
        <f t="shared" si="12"/>
        <v>4329224</v>
      </c>
      <c r="U436" s="8">
        <v>959293</v>
      </c>
      <c r="X436" s="8">
        <f>+'St of Net Assets - GA'!O421-'LT _Lia - GA'!U436</f>
        <v>0</v>
      </c>
    </row>
    <row r="437" spans="1:24">
      <c r="A437" s="13" t="s">
        <v>636</v>
      </c>
      <c r="B437" s="13"/>
      <c r="C437" s="13" t="s">
        <v>59</v>
      </c>
      <c r="D437" s="13"/>
      <c r="E437" s="32">
        <v>44669</v>
      </c>
      <c r="G437" s="8">
        <f>16958458-1481703</f>
        <v>15476755</v>
      </c>
      <c r="I437" s="8">
        <v>0</v>
      </c>
      <c r="K437" s="8">
        <v>0</v>
      </c>
      <c r="M437" s="8">
        <v>0</v>
      </c>
      <c r="O437" s="8">
        <v>1481703</v>
      </c>
      <c r="Q437" s="8">
        <v>0</v>
      </c>
      <c r="S437" s="9">
        <f t="shared" si="12"/>
        <v>16958458</v>
      </c>
      <c r="U437" s="8">
        <v>714739</v>
      </c>
      <c r="X437" s="8">
        <f>+'St of Net Assets - GA'!O422-'LT _Lia - GA'!U437</f>
        <v>0</v>
      </c>
    </row>
    <row r="438" spans="1:24" hidden="1">
      <c r="A438" s="13" t="s">
        <v>605</v>
      </c>
      <c r="B438" s="13"/>
      <c r="C438" s="13" t="s">
        <v>57</v>
      </c>
      <c r="D438" s="13"/>
      <c r="E438" s="32">
        <v>49288</v>
      </c>
      <c r="G438" s="8">
        <v>2790000</v>
      </c>
      <c r="I438" s="8">
        <v>0</v>
      </c>
      <c r="K438" s="8">
        <v>0</v>
      </c>
      <c r="M438" s="8">
        <v>0</v>
      </c>
      <c r="O438" s="8">
        <v>0</v>
      </c>
      <c r="Q438" s="8">
        <v>0</v>
      </c>
      <c r="S438" s="9">
        <f t="shared" si="12"/>
        <v>2790000</v>
      </c>
      <c r="U438" s="8">
        <v>130000</v>
      </c>
      <c r="X438" s="8">
        <f>+'St of Net Assets - GA'!O423-'LT _Lia - GA'!U438</f>
        <v>-130000</v>
      </c>
    </row>
    <row r="439" spans="1:24">
      <c r="A439" s="13" t="s">
        <v>410</v>
      </c>
      <c r="B439" s="13"/>
      <c r="C439" s="13" t="s">
        <v>32</v>
      </c>
      <c r="D439" s="13"/>
      <c r="E439" s="32">
        <v>44677</v>
      </c>
      <c r="G439" s="8">
        <f>8560000+182603+70510000+5068836-2610895</f>
        <v>81710544</v>
      </c>
      <c r="I439" s="8">
        <v>0</v>
      </c>
      <c r="K439" s="8">
        <v>0</v>
      </c>
      <c r="M439" s="8">
        <v>126000</v>
      </c>
      <c r="O439" s="8">
        <v>2881444</v>
      </c>
      <c r="Q439" s="8">
        <v>0</v>
      </c>
      <c r="S439" s="9">
        <f t="shared" si="12"/>
        <v>84717988</v>
      </c>
      <c r="U439" s="8">
        <v>2318543</v>
      </c>
      <c r="X439" s="8">
        <f>+'St of Net Assets - GA'!O424-'LT _Lia - GA'!U439</f>
        <v>0</v>
      </c>
    </row>
    <row r="440" spans="1:24">
      <c r="A440" s="13" t="s">
        <v>224</v>
      </c>
      <c r="B440" s="13"/>
      <c r="C440" s="13" t="s">
        <v>12</v>
      </c>
      <c r="D440" s="13"/>
      <c r="E440" s="32">
        <v>45880</v>
      </c>
      <c r="G440" s="8">
        <v>6528082</v>
      </c>
      <c r="I440" s="8">
        <v>0</v>
      </c>
      <c r="K440" s="8">
        <v>321321</v>
      </c>
      <c r="M440" s="8">
        <v>0</v>
      </c>
      <c r="O440" s="8">
        <f>761240+189000</f>
        <v>950240</v>
      </c>
      <c r="Q440" s="8">
        <v>0</v>
      </c>
      <c r="S440" s="9">
        <f t="shared" si="12"/>
        <v>7799643</v>
      </c>
      <c r="U440" s="8">
        <v>589785</v>
      </c>
      <c r="X440" s="8">
        <f>+'St of Net Assets - GA'!O425-'LT _Lia - GA'!U440</f>
        <v>0</v>
      </c>
    </row>
    <row r="441" spans="1:24">
      <c r="A441" s="12" t="s">
        <v>903</v>
      </c>
      <c r="B441" s="12"/>
      <c r="C441" s="12" t="s">
        <v>56</v>
      </c>
      <c r="D441" s="12"/>
      <c r="E441" s="32"/>
      <c r="G441" s="8">
        <v>16985828</v>
      </c>
      <c r="I441" s="8">
        <v>0</v>
      </c>
      <c r="K441" s="8">
        <v>0</v>
      </c>
      <c r="M441" s="8">
        <v>3493200</v>
      </c>
      <c r="O441" s="8">
        <v>2432108</v>
      </c>
      <c r="Q441" s="8">
        <v>0</v>
      </c>
      <c r="S441" s="9">
        <f t="shared" si="12"/>
        <v>22911136</v>
      </c>
      <c r="U441" s="8">
        <v>770528</v>
      </c>
      <c r="X441" s="8">
        <f>+'St of Net Assets - GA'!O426-'LT _Lia - GA'!U441</f>
        <v>0</v>
      </c>
    </row>
    <row r="442" spans="1:24">
      <c r="A442" s="13" t="s">
        <v>411</v>
      </c>
      <c r="B442" s="13"/>
      <c r="C442" s="13" t="s">
        <v>32</v>
      </c>
      <c r="D442" s="13"/>
      <c r="E442" s="32">
        <v>44693</v>
      </c>
      <c r="G442" s="8">
        <v>0</v>
      </c>
      <c r="I442" s="8">
        <v>0</v>
      </c>
      <c r="K442" s="8">
        <v>0</v>
      </c>
      <c r="M442" s="8">
        <v>401875</v>
      </c>
      <c r="O442" s="8">
        <v>1159610</v>
      </c>
      <c r="Q442" s="8">
        <v>0</v>
      </c>
      <c r="S442" s="9">
        <f t="shared" si="12"/>
        <v>1561485</v>
      </c>
      <c r="U442" s="8">
        <v>201320</v>
      </c>
      <c r="X442" s="8">
        <f>+'St of Net Assets - GA'!O427-'LT _Lia - GA'!U442</f>
        <v>0</v>
      </c>
    </row>
    <row r="443" spans="1:24">
      <c r="A443" s="13" t="s">
        <v>675</v>
      </c>
      <c r="B443" s="13"/>
      <c r="C443" s="13" t="s">
        <v>63</v>
      </c>
      <c r="D443" s="13"/>
      <c r="E443" s="32">
        <v>50054</v>
      </c>
      <c r="G443" s="8">
        <v>10493959</v>
      </c>
      <c r="I443" s="8">
        <v>0</v>
      </c>
      <c r="K443" s="8">
        <v>0</v>
      </c>
      <c r="M443" s="8">
        <v>0</v>
      </c>
      <c r="O443" s="8">
        <v>2124898</v>
      </c>
      <c r="Q443" s="8">
        <v>0</v>
      </c>
      <c r="S443" s="9">
        <f t="shared" si="12"/>
        <v>12618857</v>
      </c>
      <c r="U443" s="8">
        <v>1018436</v>
      </c>
      <c r="X443" s="8">
        <f>+'St of Net Assets - GA'!O428-'LT _Lia - GA'!U443</f>
        <v>0</v>
      </c>
    </row>
    <row r="444" spans="1:24">
      <c r="A444" s="13" t="s">
        <v>366</v>
      </c>
      <c r="B444" s="13"/>
      <c r="C444" s="13" t="s">
        <v>27</v>
      </c>
      <c r="D444" s="13"/>
      <c r="E444" s="32">
        <v>47001</v>
      </c>
      <c r="G444" s="8">
        <f>26324029+22755000</f>
        <v>49079029</v>
      </c>
      <c r="I444" s="8">
        <v>0</v>
      </c>
      <c r="K444" s="8">
        <f>650000+62118+320000</f>
        <v>1032118</v>
      </c>
      <c r="M444" s="8">
        <v>0</v>
      </c>
      <c r="O444" s="8">
        <v>0</v>
      </c>
      <c r="Q444" s="8">
        <v>50806</v>
      </c>
      <c r="S444" s="9">
        <f t="shared" si="12"/>
        <v>50161953</v>
      </c>
      <c r="U444" s="8">
        <v>59340065</v>
      </c>
      <c r="X444" s="8">
        <f>+'St of Net Assets - GA'!O429-'LT _Lia - GA'!U444</f>
        <v>0</v>
      </c>
    </row>
    <row r="445" spans="1:24" hidden="1">
      <c r="A445" s="13" t="s">
        <v>322</v>
      </c>
      <c r="B445" s="13"/>
      <c r="C445" s="13" t="s">
        <v>20</v>
      </c>
      <c r="D445" s="13"/>
      <c r="E445" s="32">
        <v>46599</v>
      </c>
      <c r="G445" s="8">
        <v>0</v>
      </c>
      <c r="I445" s="8">
        <v>0</v>
      </c>
      <c r="K445" s="8">
        <v>0</v>
      </c>
      <c r="M445" s="8">
        <v>0</v>
      </c>
      <c r="O445" s="8">
        <v>0</v>
      </c>
      <c r="Q445" s="8">
        <v>0</v>
      </c>
      <c r="S445" s="9">
        <f t="shared" si="12"/>
        <v>0</v>
      </c>
      <c r="X445" s="8">
        <f>+'St of Net Assets - GA'!O430-'LT _Lia - GA'!U445</f>
        <v>0</v>
      </c>
    </row>
    <row r="446" spans="1:24">
      <c r="A446" s="13" t="s">
        <v>529</v>
      </c>
      <c r="B446" s="13"/>
      <c r="C446" s="13" t="s">
        <v>46</v>
      </c>
      <c r="D446" s="13"/>
      <c r="E446" s="32">
        <v>48439</v>
      </c>
      <c r="G446" s="8">
        <v>0</v>
      </c>
      <c r="I446" s="8">
        <v>0</v>
      </c>
      <c r="K446" s="8">
        <v>0</v>
      </c>
      <c r="M446" s="8">
        <v>249637</v>
      </c>
      <c r="O446" s="8">
        <v>480286</v>
      </c>
      <c r="Q446" s="8">
        <v>0</v>
      </c>
      <c r="S446" s="9">
        <f t="shared" si="12"/>
        <v>729923</v>
      </c>
      <c r="U446" s="8">
        <v>110433</v>
      </c>
      <c r="X446" s="8">
        <f>+'St of Net Assets - GA'!O431-'LT _Lia - GA'!U446</f>
        <v>0</v>
      </c>
    </row>
    <row r="447" spans="1:24">
      <c r="A447" s="13" t="s">
        <v>429</v>
      </c>
      <c r="B447" s="13"/>
      <c r="C447" s="13" t="s">
        <v>426</v>
      </c>
      <c r="D447" s="13"/>
      <c r="E447" s="32">
        <v>47506</v>
      </c>
      <c r="G447" s="8">
        <f>439422+660938</f>
        <v>1100360</v>
      </c>
      <c r="I447" s="8">
        <v>0</v>
      </c>
      <c r="K447" s="8">
        <v>0</v>
      </c>
      <c r="M447" s="8">
        <v>0</v>
      </c>
      <c r="O447" s="8">
        <v>209207</v>
      </c>
      <c r="Q447" s="8">
        <v>0</v>
      </c>
      <c r="S447" s="9">
        <f t="shared" si="12"/>
        <v>1309567</v>
      </c>
      <c r="U447" s="8">
        <v>204687</v>
      </c>
      <c r="X447" s="8">
        <f>+'St of Net Assets - GA'!O432-'LT _Lia - GA'!U447</f>
        <v>0</v>
      </c>
    </row>
    <row r="448" spans="1:24">
      <c r="A448" s="13" t="s">
        <v>292</v>
      </c>
      <c r="B448" s="13"/>
      <c r="C448" s="13" t="s">
        <v>19</v>
      </c>
      <c r="D448" s="13"/>
      <c r="E448" s="32">
        <v>46474</v>
      </c>
      <c r="G448" s="8">
        <f>3223393+246537-187624</f>
        <v>3282306</v>
      </c>
      <c r="I448" s="8">
        <v>0</v>
      </c>
      <c r="K448" s="8">
        <v>0</v>
      </c>
      <c r="M448" s="8">
        <v>234000</v>
      </c>
      <c r="O448" s="8">
        <v>952177</v>
      </c>
      <c r="Q448" s="8">
        <v>0</v>
      </c>
      <c r="S448" s="9">
        <f t="shared" si="12"/>
        <v>4468483</v>
      </c>
      <c r="U448" s="8">
        <v>278878</v>
      </c>
      <c r="X448" s="8">
        <f>+'St of Net Assets - GA'!O433-'LT _Lia - GA'!U448</f>
        <v>0</v>
      </c>
    </row>
    <row r="449" spans="1:26">
      <c r="A449" s="13" t="s">
        <v>904</v>
      </c>
      <c r="B449" s="13"/>
      <c r="C449" s="13" t="s">
        <v>77</v>
      </c>
      <c r="D449" s="13"/>
      <c r="E449" s="32">
        <v>46078</v>
      </c>
      <c r="G449" s="8">
        <v>2719891</v>
      </c>
      <c r="I449" s="8">
        <v>0</v>
      </c>
      <c r="K449" s="8">
        <v>0</v>
      </c>
      <c r="M449" s="8">
        <v>528000</v>
      </c>
      <c r="O449" s="8">
        <v>597724</v>
      </c>
      <c r="Q449" s="8">
        <v>0</v>
      </c>
      <c r="S449" s="9">
        <f t="shared" si="12"/>
        <v>3845615</v>
      </c>
      <c r="U449" s="8">
        <v>343559</v>
      </c>
      <c r="X449" s="8">
        <f>+'St of Net Assets - GA'!O434-'LT _Lia - GA'!U449</f>
        <v>0</v>
      </c>
    </row>
    <row r="450" spans="1:26">
      <c r="A450" s="13" t="s">
        <v>730</v>
      </c>
      <c r="B450" s="13"/>
      <c r="C450" s="13" t="s">
        <v>71</v>
      </c>
      <c r="D450" s="13"/>
      <c r="E450" s="32">
        <v>45591</v>
      </c>
      <c r="G450" s="8">
        <f>250000+405000+201442+7775000+204993+52530+486249-341546</f>
        <v>9033668</v>
      </c>
      <c r="I450" s="8">
        <v>0</v>
      </c>
      <c r="K450" s="8">
        <v>0</v>
      </c>
      <c r="M450" s="8">
        <v>40782</v>
      </c>
      <c r="O450" s="8">
        <v>650235</v>
      </c>
      <c r="Q450" s="8">
        <v>0</v>
      </c>
      <c r="S450" s="9">
        <f t="shared" si="12"/>
        <v>9724685</v>
      </c>
      <c r="U450" s="8">
        <v>335726</v>
      </c>
      <c r="X450" s="8">
        <f>+'St of Net Assets - GA'!O435-'LT _Lia - GA'!U450</f>
        <v>0</v>
      </c>
    </row>
    <row r="451" spans="1:26">
      <c r="A451" s="13" t="s">
        <v>530</v>
      </c>
      <c r="B451" s="13"/>
      <c r="C451" s="13" t="s">
        <v>46</v>
      </c>
      <c r="D451" s="13"/>
      <c r="E451" s="32">
        <v>48447</v>
      </c>
      <c r="G451" s="8">
        <v>16253863</v>
      </c>
      <c r="I451" s="8">
        <v>0</v>
      </c>
      <c r="K451" s="8">
        <v>0</v>
      </c>
      <c r="M451" s="8">
        <v>29258</v>
      </c>
      <c r="O451" s="8">
        <v>811223</v>
      </c>
      <c r="Q451" s="8">
        <v>0</v>
      </c>
      <c r="S451" s="9">
        <f t="shared" si="12"/>
        <v>17094344</v>
      </c>
      <c r="U451" s="8">
        <v>818748</v>
      </c>
      <c r="X451" s="8">
        <f>+'St of Net Assets - GA'!O436-'LT _Lia - GA'!U451</f>
        <v>0</v>
      </c>
    </row>
    <row r="452" spans="1:26">
      <c r="A452" s="13" t="s">
        <v>293</v>
      </c>
      <c r="B452" s="13"/>
      <c r="C452" s="13" t="s">
        <v>19</v>
      </c>
      <c r="D452" s="13"/>
      <c r="E452" s="32">
        <v>46482</v>
      </c>
      <c r="G452" s="8">
        <v>1651160</v>
      </c>
      <c r="I452" s="8">
        <v>0</v>
      </c>
      <c r="K452" s="8">
        <v>0</v>
      </c>
      <c r="M452" s="8">
        <v>46029</v>
      </c>
      <c r="O452" s="8">
        <v>850778</v>
      </c>
      <c r="Q452" s="8">
        <v>0</v>
      </c>
      <c r="S452" s="9">
        <f t="shared" si="12"/>
        <v>2547967</v>
      </c>
      <c r="U452" s="8">
        <v>178474</v>
      </c>
      <c r="X452" s="8">
        <f>+'St of Net Assets - GA'!O437-'LT _Lia - GA'!U452</f>
        <v>0</v>
      </c>
    </row>
    <row r="453" spans="1:26">
      <c r="A453" s="13" t="s">
        <v>430</v>
      </c>
      <c r="B453" s="13"/>
      <c r="C453" s="13" t="s">
        <v>426</v>
      </c>
      <c r="D453" s="13"/>
      <c r="E453" s="32">
        <v>47514</v>
      </c>
      <c r="G453" s="8">
        <v>4852998</v>
      </c>
      <c r="I453" s="8">
        <v>0</v>
      </c>
      <c r="K453" s="8">
        <v>0</v>
      </c>
      <c r="M453" s="8">
        <v>0</v>
      </c>
      <c r="O453" s="8">
        <v>428611</v>
      </c>
      <c r="Q453" s="8">
        <v>0</v>
      </c>
      <c r="S453" s="9">
        <f t="shared" si="12"/>
        <v>5281609</v>
      </c>
      <c r="U453" s="8">
        <v>225000</v>
      </c>
      <c r="X453" s="8">
        <f>+'St of Net Assets - GA'!O438-'LT _Lia - GA'!U453</f>
        <v>0</v>
      </c>
    </row>
    <row r="454" spans="1:26">
      <c r="A454" s="13" t="s">
        <v>488</v>
      </c>
      <c r="B454" s="13"/>
      <c r="C454" s="13" t="s">
        <v>41</v>
      </c>
      <c r="D454" s="13"/>
      <c r="E454" s="32"/>
      <c r="G454" s="8">
        <f>435541+5383171+261894+81006</f>
        <v>6161612</v>
      </c>
      <c r="I454" s="8">
        <v>0</v>
      </c>
      <c r="K454" s="8">
        <v>0</v>
      </c>
      <c r="M454" s="8">
        <v>60340</v>
      </c>
      <c r="O454" s="8">
        <f>43591+1169432</f>
        <v>1213023</v>
      </c>
      <c r="Q454" s="8">
        <v>0</v>
      </c>
      <c r="S454" s="9">
        <f t="shared" si="12"/>
        <v>7434975</v>
      </c>
      <c r="U454" s="8">
        <v>980010</v>
      </c>
      <c r="X454" s="8">
        <f>+'St of Net Assets - GA'!O439-'LT _Lia - GA'!U454</f>
        <v>0</v>
      </c>
    </row>
    <row r="455" spans="1:26">
      <c r="A455" s="13" t="s">
        <v>488</v>
      </c>
      <c r="B455" s="13"/>
      <c r="C455" s="13" t="s">
        <v>43</v>
      </c>
      <c r="D455" s="13"/>
      <c r="E455" s="32">
        <v>48090</v>
      </c>
      <c r="G455" s="8">
        <f>573639+1615550+573639+1615550-160840+215539</f>
        <v>4433077</v>
      </c>
      <c r="I455" s="8">
        <v>0</v>
      </c>
      <c r="K455" s="8">
        <v>0</v>
      </c>
      <c r="M455" s="8">
        <v>0</v>
      </c>
      <c r="O455" s="8">
        <v>540650</v>
      </c>
      <c r="Q455" s="8">
        <v>0</v>
      </c>
      <c r="S455" s="9">
        <f t="shared" si="12"/>
        <v>4973727</v>
      </c>
      <c r="U455" s="8">
        <v>184039</v>
      </c>
      <c r="X455" s="8">
        <f>+'St of Net Assets - GA'!O440-'LT _Lia - GA'!U455</f>
        <v>0</v>
      </c>
    </row>
    <row r="456" spans="1:26">
      <c r="A456" s="13" t="s">
        <v>475</v>
      </c>
      <c r="B456" s="13"/>
      <c r="C456" s="13" t="s">
        <v>471</v>
      </c>
      <c r="D456" s="13"/>
      <c r="E456" s="32">
        <v>47944</v>
      </c>
      <c r="G456" s="8">
        <v>0</v>
      </c>
      <c r="I456" s="8">
        <v>0</v>
      </c>
      <c r="K456" s="8">
        <v>0</v>
      </c>
      <c r="M456" s="8">
        <v>0</v>
      </c>
      <c r="O456" s="8">
        <v>1069558</v>
      </c>
      <c r="Q456" s="8">
        <v>0</v>
      </c>
      <c r="S456" s="9">
        <f t="shared" si="12"/>
        <v>1069558</v>
      </c>
      <c r="U456" s="8">
        <v>64439</v>
      </c>
      <c r="X456" s="8">
        <f>+'St of Net Assets - GA'!O441-'LT _Lia - GA'!U456</f>
        <v>0</v>
      </c>
    </row>
    <row r="457" spans="1:26">
      <c r="A457" s="13" t="s">
        <v>323</v>
      </c>
      <c r="B457" s="13"/>
      <c r="C457" s="13" t="s">
        <v>20</v>
      </c>
      <c r="D457" s="13"/>
      <c r="E457" s="32">
        <v>44701</v>
      </c>
      <c r="G457" s="8">
        <v>18314079</v>
      </c>
      <c r="I457" s="8">
        <v>0</v>
      </c>
      <c r="K457" s="8">
        <v>0</v>
      </c>
      <c r="M457" s="8">
        <v>49072</v>
      </c>
      <c r="O457" s="8">
        <v>4105762</v>
      </c>
      <c r="Q457" s="8">
        <v>0</v>
      </c>
      <c r="S457" s="9">
        <f t="shared" si="12"/>
        <v>22468913</v>
      </c>
      <c r="U457" s="8">
        <v>3263554</v>
      </c>
      <c r="X457" s="8">
        <f>+'St of Net Assets - GA'!O442-'LT _Lia - GA'!U457</f>
        <v>0</v>
      </c>
    </row>
    <row r="458" spans="1:26">
      <c r="A458" s="13" t="s">
        <v>395</v>
      </c>
      <c r="B458" s="13"/>
      <c r="C458" s="13" t="s">
        <v>31</v>
      </c>
      <c r="D458" s="13"/>
      <c r="E458" s="32">
        <v>47308</v>
      </c>
      <c r="G458" s="8">
        <v>325000</v>
      </c>
      <c r="I458" s="8">
        <v>0</v>
      </c>
      <c r="K458" s="8">
        <v>0</v>
      </c>
      <c r="M458" s="8">
        <v>0</v>
      </c>
      <c r="O458" s="8">
        <v>1011280</v>
      </c>
      <c r="Q458" s="8">
        <v>688000</v>
      </c>
      <c r="S458" s="9">
        <f t="shared" si="12"/>
        <v>2024280</v>
      </c>
      <c r="U458" s="8">
        <v>574180</v>
      </c>
      <c r="X458" s="8">
        <f>+'St of Net Assets - GA'!O443-'LT _Lia - GA'!U458</f>
        <v>0</v>
      </c>
    </row>
    <row r="459" spans="1:26">
      <c r="A459" s="13" t="s">
        <v>600</v>
      </c>
      <c r="B459" s="13"/>
      <c r="C459" s="13" t="s">
        <v>56</v>
      </c>
      <c r="D459" s="13"/>
      <c r="E459" s="32">
        <v>49213</v>
      </c>
      <c r="G459" s="8">
        <v>450000</v>
      </c>
      <c r="I459" s="8">
        <v>0</v>
      </c>
      <c r="K459" s="8">
        <v>0</v>
      </c>
      <c r="M459" s="8">
        <v>0</v>
      </c>
      <c r="O459" s="8">
        <v>897213</v>
      </c>
      <c r="Q459" s="8">
        <v>0</v>
      </c>
      <c r="S459" s="9">
        <f t="shared" si="12"/>
        <v>1347213</v>
      </c>
      <c r="U459" s="8">
        <v>336721</v>
      </c>
      <c r="X459" s="8">
        <f>+'St of Net Assets - GA'!O444-'LT _Lia - GA'!U459</f>
        <v>0</v>
      </c>
    </row>
    <row r="460" spans="1:26">
      <c r="A460" s="13" t="s">
        <v>254</v>
      </c>
      <c r="B460" s="13"/>
      <c r="C460" s="13" t="s">
        <v>246</v>
      </c>
      <c r="D460" s="13"/>
      <c r="E460" s="32">
        <v>46144</v>
      </c>
      <c r="G460" s="8">
        <f>11830000-79601+7560000+151397+130000+1590000+540102-510528</f>
        <v>21211370</v>
      </c>
      <c r="I460" s="8">
        <v>0</v>
      </c>
      <c r="K460" s="8">
        <v>0</v>
      </c>
      <c r="M460" s="8">
        <v>1329900</v>
      </c>
      <c r="O460" s="8">
        <f>98269+1087065</f>
        <v>1185334</v>
      </c>
      <c r="Q460" s="8">
        <v>0</v>
      </c>
      <c r="S460" s="9">
        <f t="shared" si="12"/>
        <v>23726604</v>
      </c>
      <c r="U460" s="8">
        <v>1278849</v>
      </c>
      <c r="X460" s="8">
        <f>+'St of Net Assets - GA'!O445-'LT _Lia - GA'!U460</f>
        <v>0</v>
      </c>
    </row>
    <row r="461" spans="1:26" hidden="1">
      <c r="A461" s="13" t="s">
        <v>745</v>
      </c>
      <c r="B461" s="13"/>
      <c r="C461" s="13" t="s">
        <v>72</v>
      </c>
      <c r="D461" s="13"/>
      <c r="E461" s="32">
        <v>45609</v>
      </c>
      <c r="G461" s="8">
        <v>0</v>
      </c>
      <c r="I461" s="8">
        <v>0</v>
      </c>
      <c r="K461" s="8">
        <v>0</v>
      </c>
      <c r="M461" s="8">
        <v>0</v>
      </c>
      <c r="O461" s="8">
        <v>0</v>
      </c>
      <c r="Q461" s="8">
        <v>0</v>
      </c>
      <c r="S461" s="9">
        <f t="shared" si="12"/>
        <v>0</v>
      </c>
      <c r="X461" s="8">
        <f>+'St of Net Assets - GA'!O446-'LT _Lia - GA'!U461</f>
        <v>243832</v>
      </c>
      <c r="Z461" s="8" t="s">
        <v>913</v>
      </c>
    </row>
    <row r="462" spans="1:26">
      <c r="A462" s="13" t="s">
        <v>651</v>
      </c>
      <c r="B462" s="13"/>
      <c r="C462" s="13" t="s">
        <v>61</v>
      </c>
      <c r="D462" s="13"/>
      <c r="E462" s="32">
        <v>49817</v>
      </c>
      <c r="G462" s="8">
        <f>330000+1725000+1785000+39989+211553-130289</f>
        <v>3961253</v>
      </c>
      <c r="I462" s="8">
        <v>0</v>
      </c>
      <c r="K462" s="8">
        <v>0</v>
      </c>
      <c r="M462" s="8">
        <v>0</v>
      </c>
      <c r="O462" s="8">
        <v>196839</v>
      </c>
      <c r="Q462" s="8">
        <v>0</v>
      </c>
      <c r="S462" s="9">
        <f t="shared" si="12"/>
        <v>4158092</v>
      </c>
      <c r="U462" s="8">
        <v>115000</v>
      </c>
      <c r="X462" s="8">
        <f>+'St of Net Assets - GA'!O447-'LT _Lia - GA'!U462</f>
        <v>0</v>
      </c>
    </row>
    <row r="463" spans="1:26" hidden="1">
      <c r="A463" s="13"/>
      <c r="B463" s="13"/>
      <c r="C463" s="13"/>
      <c r="D463" s="13"/>
      <c r="E463" s="32"/>
      <c r="S463" s="9"/>
    </row>
    <row r="464" spans="1:26">
      <c r="A464" s="12" t="s">
        <v>839</v>
      </c>
      <c r="B464" s="12"/>
      <c r="C464" s="12" t="s">
        <v>115</v>
      </c>
      <c r="D464" s="12"/>
      <c r="E464" s="32"/>
      <c r="G464" s="8">
        <v>0</v>
      </c>
      <c r="I464" s="8">
        <v>4434</v>
      </c>
      <c r="K464" s="8">
        <v>867000</v>
      </c>
      <c r="M464" s="8">
        <v>0</v>
      </c>
      <c r="O464" s="8">
        <v>1878425</v>
      </c>
      <c r="Q464" s="8">
        <v>0</v>
      </c>
      <c r="S464" s="9">
        <f t="shared" ref="S464:S499" si="13">SUM(G464:R464)</f>
        <v>2749859</v>
      </c>
      <c r="U464" s="8">
        <v>763445</v>
      </c>
      <c r="X464" s="8">
        <f>+'St of Net Assets - GA'!O448-'LT _Lia - GA'!U464</f>
        <v>0</v>
      </c>
    </row>
    <row r="465" spans="1:24">
      <c r="A465" s="13" t="s">
        <v>345</v>
      </c>
      <c r="B465" s="13"/>
      <c r="C465" s="13" t="s">
        <v>24</v>
      </c>
      <c r="D465" s="13"/>
      <c r="E465" s="32">
        <v>44743</v>
      </c>
      <c r="G465" s="8">
        <v>135000</v>
      </c>
      <c r="I465" s="8">
        <v>0</v>
      </c>
      <c r="K465" s="8">
        <v>0</v>
      </c>
      <c r="M465" s="8">
        <v>581716</v>
      </c>
      <c r="O465" s="8">
        <v>376057</v>
      </c>
      <c r="Q465" s="8">
        <v>3792375</v>
      </c>
      <c r="S465" s="9">
        <f t="shared" si="13"/>
        <v>4885148</v>
      </c>
      <c r="U465" s="8">
        <v>1520574</v>
      </c>
      <c r="X465" s="8">
        <f>+'St of Net Assets - GA'!O449-'LT _Lia - GA'!U465</f>
        <v>0</v>
      </c>
    </row>
    <row r="466" spans="1:24">
      <c r="A466" s="13" t="s">
        <v>665</v>
      </c>
      <c r="B466" s="13"/>
      <c r="C466" s="13" t="s">
        <v>62</v>
      </c>
      <c r="D466" s="13"/>
      <c r="E466" s="32">
        <v>49940</v>
      </c>
      <c r="G466" s="8">
        <v>12125820</v>
      </c>
      <c r="I466" s="8">
        <v>0</v>
      </c>
      <c r="K466" s="8">
        <v>0</v>
      </c>
      <c r="M466" s="8">
        <v>189506</v>
      </c>
      <c r="O466" s="8">
        <v>742230</v>
      </c>
      <c r="Q466" s="8">
        <v>100000</v>
      </c>
      <c r="S466" s="9">
        <f t="shared" si="13"/>
        <v>13157556</v>
      </c>
      <c r="U466" s="8">
        <v>600812</v>
      </c>
      <c r="X466" s="8">
        <f>+'St of Net Assets - GA'!O450-'LT _Lia - GA'!U466</f>
        <v>0</v>
      </c>
    </row>
    <row r="467" spans="1:24">
      <c r="A467" s="13" t="s">
        <v>592</v>
      </c>
      <c r="B467" s="13"/>
      <c r="C467" s="13" t="s">
        <v>55</v>
      </c>
      <c r="D467" s="13"/>
      <c r="E467" s="32">
        <v>49130</v>
      </c>
      <c r="G467" s="8">
        <v>850000</v>
      </c>
      <c r="I467" s="8">
        <v>0</v>
      </c>
      <c r="K467" s="8">
        <v>0</v>
      </c>
      <c r="M467" s="8">
        <v>0</v>
      </c>
      <c r="O467" s="8">
        <v>690637</v>
      </c>
      <c r="Q467" s="8">
        <v>0</v>
      </c>
      <c r="S467" s="9">
        <f t="shared" si="13"/>
        <v>1540637</v>
      </c>
      <c r="U467" s="8">
        <v>75752</v>
      </c>
      <c r="X467" s="8">
        <f>+'St of Net Assets - GA'!O451-'LT _Lia - GA'!U467</f>
        <v>0</v>
      </c>
    </row>
    <row r="468" spans="1:24">
      <c r="A468" s="13" t="s">
        <v>521</v>
      </c>
      <c r="B468" s="13"/>
      <c r="C468" s="13" t="s">
        <v>45</v>
      </c>
      <c r="D468" s="13"/>
      <c r="E468" s="32">
        <v>48355</v>
      </c>
      <c r="G468" s="8">
        <v>1355000</v>
      </c>
      <c r="I468" s="8">
        <v>0</v>
      </c>
      <c r="K468" s="8">
        <v>0</v>
      </c>
      <c r="M468" s="8">
        <v>0</v>
      </c>
      <c r="O468" s="8">
        <v>397948</v>
      </c>
      <c r="Q468" s="8">
        <v>5000</v>
      </c>
      <c r="S468" s="9">
        <f t="shared" si="13"/>
        <v>1757948</v>
      </c>
      <c r="U468" s="8">
        <v>106852</v>
      </c>
      <c r="X468" s="8">
        <f>+'St of Net Assets - GA'!O452-'LT _Lia - GA'!U468</f>
        <v>0</v>
      </c>
    </row>
    <row r="469" spans="1:24">
      <c r="A469" s="13" t="s">
        <v>644</v>
      </c>
      <c r="B469" s="13"/>
      <c r="C469" s="13" t="s">
        <v>60</v>
      </c>
      <c r="D469" s="13"/>
      <c r="E469" s="32">
        <v>49684</v>
      </c>
      <c r="G469" s="8">
        <v>11419424</v>
      </c>
      <c r="I469" s="8">
        <v>0</v>
      </c>
      <c r="K469" s="8">
        <v>0</v>
      </c>
      <c r="M469" s="8">
        <v>33586</v>
      </c>
      <c r="O469" s="8">
        <v>683776</v>
      </c>
      <c r="Q469" s="8">
        <v>0</v>
      </c>
      <c r="S469" s="9">
        <f t="shared" si="13"/>
        <v>12136786</v>
      </c>
      <c r="U469" s="8">
        <v>367925</v>
      </c>
      <c r="X469" s="8">
        <f>+'St of Net Assets - GA'!O453-'LT _Lia - GA'!U469</f>
        <v>0</v>
      </c>
    </row>
    <row r="470" spans="1:24">
      <c r="A470" s="13" t="s">
        <v>237</v>
      </c>
      <c r="B470" s="13"/>
      <c r="C470" s="13" t="s">
        <v>15</v>
      </c>
      <c r="D470" s="13"/>
      <c r="E470" s="32">
        <v>46003</v>
      </c>
      <c r="G470" s="8">
        <v>0</v>
      </c>
      <c r="I470" s="8">
        <v>66694</v>
      </c>
      <c r="K470" s="8">
        <v>0</v>
      </c>
      <c r="M470" s="8">
        <v>15607</v>
      </c>
      <c r="O470" s="8">
        <v>489803</v>
      </c>
      <c r="Q470" s="8">
        <v>0</v>
      </c>
      <c r="S470" s="9">
        <f t="shared" si="13"/>
        <v>572104</v>
      </c>
      <c r="U470" s="8">
        <v>49279</v>
      </c>
      <c r="X470" s="8">
        <f>+'St of Net Assets - GA'!O454-'LT _Lia - GA'!U470</f>
        <v>0</v>
      </c>
    </row>
    <row r="471" spans="1:24">
      <c r="A471" s="13" t="s">
        <v>324</v>
      </c>
      <c r="B471" s="13"/>
      <c r="C471" s="13" t="s">
        <v>20</v>
      </c>
      <c r="D471" s="13"/>
      <c r="E471" s="32">
        <v>44750</v>
      </c>
      <c r="G471" s="8">
        <v>25780255</v>
      </c>
      <c r="I471" s="8">
        <v>0</v>
      </c>
      <c r="K471" s="8">
        <v>5500000</v>
      </c>
      <c r="M471" s="8">
        <v>0</v>
      </c>
      <c r="O471" s="8">
        <v>6719751</v>
      </c>
      <c r="Q471" s="8">
        <v>0</v>
      </c>
      <c r="S471" s="9">
        <f t="shared" si="13"/>
        <v>38000006</v>
      </c>
      <c r="U471" s="8">
        <v>3165716</v>
      </c>
      <c r="X471" s="8">
        <f>+'St of Net Assets - GA'!O455-'LT _Lia - GA'!U471</f>
        <v>0</v>
      </c>
    </row>
    <row r="472" spans="1:24">
      <c r="A472" s="13" t="s">
        <v>500</v>
      </c>
      <c r="B472" s="13"/>
      <c r="C472" s="13" t="s">
        <v>44</v>
      </c>
      <c r="D472" s="13"/>
      <c r="E472" s="32">
        <v>44768</v>
      </c>
      <c r="G472" s="8">
        <v>0</v>
      </c>
      <c r="I472" s="8">
        <v>0</v>
      </c>
      <c r="K472" s="8">
        <v>0</v>
      </c>
      <c r="M472" s="8">
        <v>0</v>
      </c>
      <c r="O472" s="8">
        <v>1207653</v>
      </c>
      <c r="Q472" s="8">
        <v>0</v>
      </c>
      <c r="S472" s="9">
        <f t="shared" si="13"/>
        <v>1207653</v>
      </c>
      <c r="U472" s="8">
        <v>187638</v>
      </c>
      <c r="X472" s="8">
        <f>+'St of Net Assets - GA'!O456-'LT _Lia - GA'!U472</f>
        <v>0</v>
      </c>
    </row>
    <row r="473" spans="1:24">
      <c r="A473" s="13" t="s">
        <v>620</v>
      </c>
      <c r="B473" s="13"/>
      <c r="C473" s="13" t="s">
        <v>113</v>
      </c>
      <c r="D473" s="13"/>
      <c r="E473" s="32">
        <v>44776</v>
      </c>
      <c r="G473" s="8">
        <v>525000</v>
      </c>
      <c r="I473" s="8">
        <v>78593</v>
      </c>
      <c r="K473" s="8">
        <v>635000</v>
      </c>
      <c r="M473" s="8">
        <v>0</v>
      </c>
      <c r="O473" s="8">
        <v>1343958</v>
      </c>
      <c r="Q473" s="8">
        <v>0</v>
      </c>
      <c r="S473" s="9">
        <f t="shared" si="13"/>
        <v>2582551</v>
      </c>
      <c r="U473" s="8">
        <v>350819</v>
      </c>
      <c r="X473" s="8">
        <f>+'St of Net Assets - GA'!O457-'LT _Lia - GA'!U473</f>
        <v>0</v>
      </c>
    </row>
    <row r="474" spans="1:24" hidden="1">
      <c r="A474" s="13" t="s">
        <v>652</v>
      </c>
      <c r="B474" s="13"/>
      <c r="C474" s="13" t="s">
        <v>61</v>
      </c>
      <c r="D474" s="13"/>
      <c r="E474" s="32">
        <v>44784</v>
      </c>
      <c r="G474" s="8">
        <v>0</v>
      </c>
      <c r="I474" s="8">
        <v>0</v>
      </c>
      <c r="K474" s="8">
        <v>0</v>
      </c>
      <c r="M474" s="8">
        <v>0</v>
      </c>
      <c r="O474" s="8">
        <v>0</v>
      </c>
      <c r="Q474" s="8">
        <v>0</v>
      </c>
      <c r="S474" s="9">
        <f>SUM(G474:R474)</f>
        <v>0</v>
      </c>
      <c r="U474" s="8">
        <v>0</v>
      </c>
      <c r="X474" s="8">
        <f>+'St of Net Assets - GA'!O458-'LT _Lia - GA'!U474</f>
        <v>0</v>
      </c>
    </row>
    <row r="475" spans="1:24">
      <c r="A475" s="13" t="s">
        <v>325</v>
      </c>
      <c r="B475" s="13"/>
      <c r="C475" s="13" t="s">
        <v>20</v>
      </c>
      <c r="D475" s="13"/>
      <c r="E475" s="32">
        <v>46607</v>
      </c>
      <c r="G475" s="8">
        <v>23848765</v>
      </c>
      <c r="I475" s="8">
        <v>0</v>
      </c>
      <c r="K475" s="8">
        <v>0</v>
      </c>
      <c r="M475" s="8">
        <v>0</v>
      </c>
      <c r="O475" s="8">
        <v>8550679</v>
      </c>
      <c r="Q475" s="8">
        <v>235701</v>
      </c>
      <c r="S475" s="9">
        <f t="shared" si="13"/>
        <v>32635145</v>
      </c>
      <c r="U475" s="8">
        <v>2280821</v>
      </c>
      <c r="X475" s="8">
        <f>+'St of Net Assets - GA'!O459-'LT _Lia - GA'!U475</f>
        <v>0</v>
      </c>
    </row>
    <row r="476" spans="1:24">
      <c r="A476" s="13" t="s">
        <v>905</v>
      </c>
      <c r="B476" s="13"/>
      <c r="C476" s="13" t="s">
        <v>37</v>
      </c>
      <c r="D476" s="13"/>
      <c r="E476" s="32"/>
      <c r="G476" s="8">
        <f>1015000+107851+191960</f>
        <v>1314811</v>
      </c>
      <c r="I476" s="8">
        <v>0</v>
      </c>
      <c r="K476" s="8">
        <v>0</v>
      </c>
      <c r="M476" s="8">
        <v>0</v>
      </c>
      <c r="O476" s="8">
        <v>463899</v>
      </c>
      <c r="Q476" s="8">
        <v>0</v>
      </c>
      <c r="S476" s="9">
        <f t="shared" si="13"/>
        <v>1778710</v>
      </c>
      <c r="U476" s="8">
        <v>142630</v>
      </c>
      <c r="X476" s="8">
        <f>+'St of Net Assets - GA'!O460-'LT _Lia - GA'!U476</f>
        <v>0</v>
      </c>
    </row>
    <row r="477" spans="1:24">
      <c r="A477" s="13" t="s">
        <v>326</v>
      </c>
      <c r="B477" s="13"/>
      <c r="C477" s="13" t="s">
        <v>20</v>
      </c>
      <c r="D477" s="13"/>
      <c r="E477" s="32">
        <v>44792</v>
      </c>
      <c r="G477" s="8">
        <v>8631557</v>
      </c>
      <c r="I477" s="8">
        <v>0</v>
      </c>
      <c r="K477" s="8">
        <f>9950000+1000000</f>
        <v>10950000</v>
      </c>
      <c r="M477" s="8">
        <v>0</v>
      </c>
      <c r="O477" s="8">
        <v>1187562</v>
      </c>
      <c r="Q477" s="8">
        <v>377345</v>
      </c>
      <c r="S477" s="9">
        <f t="shared" si="13"/>
        <v>21146464</v>
      </c>
      <c r="U477" s="8">
        <v>2454453</v>
      </c>
      <c r="X477" s="8">
        <f>+'St of Net Assets - GA'!O461-'LT _Lia - GA'!U477</f>
        <v>0</v>
      </c>
    </row>
    <row r="478" spans="1:24" hidden="1">
      <c r="A478" s="13" t="s">
        <v>476</v>
      </c>
      <c r="B478" s="13"/>
      <c r="C478" s="13" t="s">
        <v>471</v>
      </c>
      <c r="D478" s="13"/>
      <c r="E478" s="32">
        <v>47951</v>
      </c>
      <c r="I478" s="8">
        <v>0</v>
      </c>
      <c r="K478" s="8">
        <v>0</v>
      </c>
      <c r="M478" s="8">
        <v>0</v>
      </c>
      <c r="Q478" s="8">
        <v>0</v>
      </c>
      <c r="S478" s="9">
        <f t="shared" si="13"/>
        <v>0</v>
      </c>
      <c r="X478" s="8">
        <f>+'St of Net Assets - GA'!O462-'LT _Lia - GA'!U478</f>
        <v>0</v>
      </c>
    </row>
    <row r="479" spans="1:24">
      <c r="A479" s="13" t="s">
        <v>522</v>
      </c>
      <c r="B479" s="13"/>
      <c r="C479" s="13" t="s">
        <v>45</v>
      </c>
      <c r="D479" s="13"/>
      <c r="E479" s="32">
        <v>48363</v>
      </c>
      <c r="G479" s="8">
        <f>14727158+5706500</f>
        <v>20433658</v>
      </c>
      <c r="I479" s="8">
        <v>0</v>
      </c>
      <c r="K479" s="8">
        <v>0</v>
      </c>
      <c r="M479" s="8">
        <v>0</v>
      </c>
      <c r="O479" s="8">
        <v>522612</v>
      </c>
      <c r="Q479" s="8">
        <v>0</v>
      </c>
      <c r="S479" s="9">
        <f t="shared" si="13"/>
        <v>20956270</v>
      </c>
      <c r="U479" s="8">
        <v>380251</v>
      </c>
      <c r="X479" s="8">
        <f>+'St of Net Assets - GA'!O463-'LT _Lia - GA'!U479</f>
        <v>0</v>
      </c>
    </row>
    <row r="480" spans="1:24">
      <c r="A480" s="13" t="s">
        <v>601</v>
      </c>
      <c r="B480" s="13"/>
      <c r="C480" s="13" t="s">
        <v>56</v>
      </c>
      <c r="D480" s="13"/>
      <c r="E480" s="32">
        <v>49221</v>
      </c>
      <c r="G480" s="8">
        <v>5874602</v>
      </c>
      <c r="I480" s="8">
        <v>0</v>
      </c>
      <c r="K480" s="8">
        <v>0</v>
      </c>
      <c r="M480" s="8">
        <v>0</v>
      </c>
      <c r="O480" s="8">
        <v>1549790</v>
      </c>
      <c r="Q480" s="8">
        <v>0</v>
      </c>
      <c r="S480" s="9">
        <f t="shared" si="13"/>
        <v>7424392</v>
      </c>
      <c r="U480" s="8">
        <v>380100</v>
      </c>
      <c r="X480" s="8">
        <f>+'St of Net Assets - GA'!O464-'LT _Lia - GA'!U480</f>
        <v>0</v>
      </c>
    </row>
    <row r="481" spans="1:24">
      <c r="A481" s="13" t="s">
        <v>601</v>
      </c>
      <c r="B481" s="13"/>
      <c r="C481" s="13" t="s">
        <v>71</v>
      </c>
      <c r="D481" s="13"/>
      <c r="E481" s="32">
        <v>50583</v>
      </c>
      <c r="G481" s="8">
        <v>257180</v>
      </c>
      <c r="I481" s="8">
        <v>0</v>
      </c>
      <c r="K481" s="8">
        <v>0</v>
      </c>
      <c r="M481" s="8">
        <v>0</v>
      </c>
      <c r="O481" s="8">
        <v>697900</v>
      </c>
      <c r="Q481" s="8">
        <v>0</v>
      </c>
      <c r="S481" s="9">
        <f t="shared" si="13"/>
        <v>955080</v>
      </c>
      <c r="U481" s="8">
        <v>220863</v>
      </c>
      <c r="X481" s="8">
        <f>+'St of Net Assets - GA'!O465-'LT _Lia - GA'!U481</f>
        <v>0</v>
      </c>
    </row>
    <row r="482" spans="1:24">
      <c r="A482" s="13" t="s">
        <v>268</v>
      </c>
      <c r="B482" s="13"/>
      <c r="C482" s="13" t="s">
        <v>17</v>
      </c>
      <c r="D482" s="13"/>
      <c r="E482" s="32">
        <v>46276</v>
      </c>
      <c r="G482" s="8">
        <v>0</v>
      </c>
      <c r="I482" s="8">
        <v>0</v>
      </c>
      <c r="K482" s="8">
        <f>395883+53000+70000</f>
        <v>518883</v>
      </c>
      <c r="M482" s="8">
        <v>36099</v>
      </c>
      <c r="O482" s="8">
        <v>417386</v>
      </c>
      <c r="Q482" s="8">
        <v>0</v>
      </c>
      <c r="S482" s="9">
        <f t="shared" si="13"/>
        <v>972368</v>
      </c>
      <c r="U482" s="8">
        <v>242522</v>
      </c>
      <c r="X482" s="8">
        <f>+'St of Net Assets - GA'!O466-'LT _Lia - GA'!U482</f>
        <v>0</v>
      </c>
    </row>
    <row r="483" spans="1:24">
      <c r="A483" s="13" t="s">
        <v>268</v>
      </c>
      <c r="B483" s="13"/>
      <c r="C483" s="13" t="s">
        <v>58</v>
      </c>
      <c r="D483" s="13"/>
      <c r="E483" s="32">
        <v>49528</v>
      </c>
      <c r="G483" s="8">
        <f>315000+168643+2720000+141414</f>
        <v>3345057</v>
      </c>
      <c r="I483" s="8">
        <v>0</v>
      </c>
      <c r="K483" s="8">
        <v>0</v>
      </c>
      <c r="M483" s="8">
        <v>0</v>
      </c>
      <c r="O483" s="8">
        <v>543644</v>
      </c>
      <c r="Q483" s="8">
        <f>252666+1416000-139447</f>
        <v>1529219</v>
      </c>
      <c r="S483" s="9">
        <f t="shared" si="13"/>
        <v>5417920</v>
      </c>
      <c r="U483" s="8">
        <v>237219</v>
      </c>
      <c r="X483" s="8">
        <f>+'St of Net Assets - GA'!O467-'LT _Lia - GA'!U483</f>
        <v>0</v>
      </c>
    </row>
    <row r="484" spans="1:24">
      <c r="A484" s="13" t="s">
        <v>288</v>
      </c>
      <c r="B484" s="13"/>
      <c r="C484" s="13" t="s">
        <v>115</v>
      </c>
      <c r="D484" s="13"/>
      <c r="E484" s="32">
        <v>46441</v>
      </c>
      <c r="G484" s="8">
        <v>2696969</v>
      </c>
      <c r="I484" s="8">
        <v>0</v>
      </c>
      <c r="K484" s="8">
        <v>0</v>
      </c>
      <c r="M484" s="8">
        <v>13497</v>
      </c>
      <c r="O484" s="8">
        <v>430496</v>
      </c>
      <c r="Q484" s="8">
        <v>218052</v>
      </c>
      <c r="S484" s="9">
        <f>SUM(G484:R484)</f>
        <v>3359014</v>
      </c>
      <c r="U484" s="8">
        <v>193318</v>
      </c>
      <c r="X484" s="8">
        <f>+'St of Net Assets - GA'!O468-'LT _Lia - GA'!U484</f>
        <v>0</v>
      </c>
    </row>
    <row r="485" spans="1:24">
      <c r="A485" s="13" t="s">
        <v>288</v>
      </c>
      <c r="B485" s="13"/>
      <c r="C485" s="13" t="s">
        <v>537</v>
      </c>
      <c r="D485" s="13"/>
      <c r="E485" s="32">
        <v>46441</v>
      </c>
      <c r="G485" s="8">
        <v>2980000</v>
      </c>
      <c r="I485" s="8">
        <v>53155</v>
      </c>
      <c r="K485" s="8">
        <v>0</v>
      </c>
      <c r="M485" s="8">
        <v>32144</v>
      </c>
      <c r="O485" s="8">
        <v>0</v>
      </c>
      <c r="Q485" s="8">
        <v>270856</v>
      </c>
      <c r="S485" s="9">
        <f t="shared" si="13"/>
        <v>3336155</v>
      </c>
      <c r="U485" s="8">
        <v>169721</v>
      </c>
      <c r="X485" s="8">
        <f>+'St of Net Assets - GA'!O469-'LT _Lia - GA'!U485</f>
        <v>0</v>
      </c>
    </row>
    <row r="486" spans="1:24">
      <c r="A486" s="13" t="s">
        <v>696</v>
      </c>
      <c r="B486" s="13"/>
      <c r="C486" s="13" t="s">
        <v>64</v>
      </c>
      <c r="D486" s="13"/>
      <c r="E486" s="13">
        <v>50237</v>
      </c>
      <c r="G486" s="8">
        <v>8197691</v>
      </c>
      <c r="I486" s="8">
        <v>0</v>
      </c>
      <c r="K486" s="8">
        <v>0</v>
      </c>
      <c r="M486" s="8">
        <v>0</v>
      </c>
      <c r="O486" s="8">
        <v>373153</v>
      </c>
      <c r="Q486" s="8">
        <v>0</v>
      </c>
      <c r="S486" s="9">
        <f t="shared" si="13"/>
        <v>8570844</v>
      </c>
      <c r="U486" s="8">
        <v>124384</v>
      </c>
      <c r="X486" s="8">
        <f>+'St of Net Assets - GA'!O470-'LT _Lia - GA'!U486</f>
        <v>0</v>
      </c>
    </row>
    <row r="487" spans="1:24">
      <c r="A487" s="13" t="s">
        <v>487</v>
      </c>
      <c r="B487" s="13"/>
      <c r="C487" s="13" t="s">
        <v>42</v>
      </c>
      <c r="D487" s="13"/>
      <c r="E487" s="32">
        <v>48041</v>
      </c>
      <c r="G487" s="8">
        <v>19990213</v>
      </c>
      <c r="I487" s="8">
        <v>0</v>
      </c>
      <c r="K487" s="8">
        <v>0</v>
      </c>
      <c r="M487" s="8">
        <v>123366</v>
      </c>
      <c r="O487" s="8">
        <v>2352650</v>
      </c>
      <c r="Q487" s="8">
        <v>29200</v>
      </c>
      <c r="S487" s="9">
        <f t="shared" si="13"/>
        <v>22495429</v>
      </c>
      <c r="U487" s="8">
        <v>1570535</v>
      </c>
      <c r="X487" s="8">
        <f>+'St of Net Assets - GA'!O471-'LT _Lia - GA'!U487</f>
        <v>0</v>
      </c>
    </row>
    <row r="488" spans="1:24">
      <c r="A488" s="13" t="s">
        <v>412</v>
      </c>
      <c r="B488" s="13"/>
      <c r="C488" s="13" t="s">
        <v>32</v>
      </c>
      <c r="D488" s="13"/>
      <c r="E488" s="32">
        <v>47381</v>
      </c>
      <c r="G488" s="8">
        <v>19372287</v>
      </c>
      <c r="I488" s="8">
        <v>0</v>
      </c>
      <c r="K488" s="8">
        <v>0</v>
      </c>
      <c r="M488" s="8">
        <v>0</v>
      </c>
      <c r="O488" s="8">
        <v>4288750</v>
      </c>
      <c r="Q488" s="8">
        <v>0</v>
      </c>
      <c r="S488" s="9">
        <f t="shared" si="13"/>
        <v>23661037</v>
      </c>
      <c r="U488" s="8">
        <v>1963775</v>
      </c>
      <c r="X488" s="8">
        <f>+'St of Net Assets - GA'!O472-'LT _Lia - GA'!U488</f>
        <v>0</v>
      </c>
    </row>
    <row r="489" spans="1:24">
      <c r="A489" s="13" t="s">
        <v>367</v>
      </c>
      <c r="B489" s="13"/>
      <c r="C489" s="13" t="s">
        <v>27</v>
      </c>
      <c r="D489" s="13"/>
      <c r="E489" s="32">
        <v>44800</v>
      </c>
      <c r="G489" s="8">
        <f>107479693+2920000</f>
        <v>110399693</v>
      </c>
      <c r="I489" s="8">
        <v>0</v>
      </c>
      <c r="K489" s="8">
        <v>4809999</v>
      </c>
      <c r="M489" s="8">
        <v>0</v>
      </c>
      <c r="O489" s="8">
        <v>15329487</v>
      </c>
      <c r="Q489" s="8">
        <v>0</v>
      </c>
      <c r="S489" s="9">
        <f t="shared" si="13"/>
        <v>130539179</v>
      </c>
      <c r="U489" s="8">
        <v>16989281</v>
      </c>
      <c r="X489" s="8">
        <f>+'St of Net Assets - GA'!O473-'LT _Lia - GA'!U489</f>
        <v>0</v>
      </c>
    </row>
    <row r="490" spans="1:24" hidden="1">
      <c r="A490" s="13" t="s">
        <v>214</v>
      </c>
      <c r="B490" s="13"/>
      <c r="C490" s="13" t="s">
        <v>10</v>
      </c>
      <c r="D490" s="13"/>
      <c r="E490" s="32">
        <v>45807</v>
      </c>
      <c r="F490" s="11"/>
      <c r="G490" s="8">
        <v>0</v>
      </c>
      <c r="I490" s="8">
        <v>0</v>
      </c>
      <c r="K490" s="8">
        <v>0</v>
      </c>
      <c r="M490" s="8">
        <v>0</v>
      </c>
      <c r="O490" s="8">
        <v>0</v>
      </c>
      <c r="Q490" s="8">
        <v>0</v>
      </c>
      <c r="S490" s="9">
        <f t="shared" si="13"/>
        <v>0</v>
      </c>
      <c r="X490" s="8">
        <f>+'St of Net Assets - GA'!O474-'LT _Lia - GA'!U490</f>
        <v>0</v>
      </c>
    </row>
    <row r="491" spans="1:24">
      <c r="A491" s="13" t="s">
        <v>719</v>
      </c>
      <c r="B491" s="13"/>
      <c r="C491" s="13" t="s">
        <v>69</v>
      </c>
      <c r="D491" s="13"/>
      <c r="E491" s="32">
        <v>50427</v>
      </c>
      <c r="G491" s="8">
        <f>23770000+8465000+387993+335000+1205628+45315000+6162293-1282295</f>
        <v>84358619</v>
      </c>
      <c r="I491" s="8">
        <v>1097000</v>
      </c>
      <c r="K491" s="8">
        <v>0</v>
      </c>
      <c r="M491" s="8">
        <v>15254489</v>
      </c>
      <c r="O491" s="8">
        <v>1744194</v>
      </c>
      <c r="Q491" s="8">
        <v>0</v>
      </c>
      <c r="S491" s="9">
        <f t="shared" si="13"/>
        <v>102454302</v>
      </c>
      <c r="U491" s="8">
        <v>3680202</v>
      </c>
      <c r="X491" s="8">
        <f>+'St of Net Assets - GA'!O475-'LT _Lia - GA'!U491</f>
        <v>0</v>
      </c>
    </row>
    <row r="493" spans="1:24">
      <c r="A493" s="12"/>
      <c r="B493" s="12"/>
      <c r="C493" s="12"/>
      <c r="D493" s="12"/>
      <c r="E493" s="32"/>
      <c r="S493" s="9"/>
      <c r="U493" s="8" t="s">
        <v>819</v>
      </c>
    </row>
    <row r="494" spans="1:24" s="35" customFormat="1">
      <c r="A494" s="34" t="s">
        <v>899</v>
      </c>
      <c r="B494" s="34"/>
      <c r="C494" s="34" t="s">
        <v>17</v>
      </c>
      <c r="D494" s="34"/>
      <c r="E494" s="34"/>
      <c r="G494" s="35">
        <f>41317329-1011799-3359817</f>
        <v>36945713</v>
      </c>
      <c r="I494" s="35">
        <v>0</v>
      </c>
      <c r="K494" s="35">
        <v>0</v>
      </c>
      <c r="M494" s="35">
        <v>1011799</v>
      </c>
      <c r="O494" s="35">
        <v>3359817</v>
      </c>
      <c r="Q494" s="35">
        <v>0</v>
      </c>
      <c r="S494" s="44">
        <f>SUM(G494:R494)</f>
        <v>41317329</v>
      </c>
      <c r="U494" s="35">
        <v>4059402</v>
      </c>
      <c r="X494" s="35">
        <f>+'St of Net Assets - GA'!O476-'LT _Lia - GA'!U494</f>
        <v>0</v>
      </c>
    </row>
    <row r="495" spans="1:24">
      <c r="A495" s="13" t="s">
        <v>506</v>
      </c>
      <c r="B495" s="13"/>
      <c r="C495" s="13" t="s">
        <v>118</v>
      </c>
      <c r="D495" s="13"/>
      <c r="E495" s="13">
        <v>48223</v>
      </c>
      <c r="G495" s="8">
        <f>13965000+1720000</f>
        <v>15685000</v>
      </c>
      <c r="I495" s="8">
        <v>0</v>
      </c>
      <c r="K495" s="8">
        <v>0</v>
      </c>
      <c r="M495" s="8">
        <v>0</v>
      </c>
      <c r="O495" s="8">
        <v>2057674</v>
      </c>
      <c r="Q495" s="8">
        <v>0</v>
      </c>
      <c r="S495" s="9">
        <f t="shared" si="13"/>
        <v>17742674</v>
      </c>
      <c r="U495" s="8">
        <v>1620767</v>
      </c>
      <c r="X495" s="8">
        <f>+'St of Net Assets - GA'!O477-'LT _Lia - GA'!U495</f>
        <v>0</v>
      </c>
    </row>
    <row r="496" spans="1:24">
      <c r="A496" s="13" t="s">
        <v>506</v>
      </c>
      <c r="B496" s="13"/>
      <c r="C496" s="13" t="s">
        <v>45</v>
      </c>
      <c r="D496" s="13"/>
      <c r="E496" s="32">
        <v>48371</v>
      </c>
      <c r="G496" s="8">
        <v>1204996</v>
      </c>
      <c r="I496" s="8">
        <v>0</v>
      </c>
      <c r="K496" s="8">
        <v>0</v>
      </c>
      <c r="M496" s="8">
        <v>9830</v>
      </c>
      <c r="O496" s="8">
        <v>836432</v>
      </c>
      <c r="Q496" s="8">
        <v>828444</v>
      </c>
      <c r="S496" s="9">
        <f t="shared" si="13"/>
        <v>2879702</v>
      </c>
      <c r="U496" s="8">
        <v>475155</v>
      </c>
      <c r="X496" s="8">
        <f>+'St of Net Assets - GA'!O478-'LT _Lia - GA'!U496</f>
        <v>0</v>
      </c>
    </row>
    <row r="497" spans="1:24">
      <c r="A497" s="13" t="s">
        <v>506</v>
      </c>
      <c r="B497" s="13"/>
      <c r="C497" s="13" t="s">
        <v>63</v>
      </c>
      <c r="D497" s="13"/>
      <c r="E497" s="32">
        <v>50062</v>
      </c>
      <c r="G497" s="8">
        <f>558292+956000</f>
        <v>1514292</v>
      </c>
      <c r="I497" s="8">
        <v>0</v>
      </c>
      <c r="K497" s="8">
        <v>0</v>
      </c>
      <c r="M497" s="8">
        <v>65316</v>
      </c>
      <c r="O497" s="8">
        <v>1068668</v>
      </c>
      <c r="Q497" s="8">
        <v>0</v>
      </c>
      <c r="S497" s="9">
        <f t="shared" si="13"/>
        <v>2648276</v>
      </c>
      <c r="U497" s="8">
        <v>1110172</v>
      </c>
      <c r="X497" s="8">
        <f>+'St of Net Assets - GA'!O479-'LT _Lia - GA'!U497</f>
        <v>0</v>
      </c>
    </row>
    <row r="498" spans="1:24">
      <c r="A498" s="13" t="s">
        <v>909</v>
      </c>
      <c r="B498" s="13"/>
      <c r="C498" s="13" t="s">
        <v>32</v>
      </c>
      <c r="D498" s="13"/>
      <c r="E498" s="32">
        <v>44719</v>
      </c>
      <c r="G498" s="8">
        <v>0</v>
      </c>
      <c r="I498" s="8">
        <v>0</v>
      </c>
      <c r="K498" s="8">
        <v>0</v>
      </c>
      <c r="M498" s="8">
        <v>1437000</v>
      </c>
      <c r="O498" s="8">
        <v>1096064</v>
      </c>
      <c r="Q498" s="8">
        <v>0</v>
      </c>
      <c r="S498" s="9">
        <f t="shared" si="13"/>
        <v>2533064</v>
      </c>
      <c r="U498" s="8">
        <v>155011</v>
      </c>
      <c r="X498" s="8">
        <f>+'St of Net Assets - GA'!O482-'LT _Lia - GA'!U498</f>
        <v>0</v>
      </c>
    </row>
    <row r="499" spans="1:24">
      <c r="A499" s="13" t="s">
        <v>908</v>
      </c>
      <c r="B499" s="13"/>
      <c r="C499" s="13" t="s">
        <v>15</v>
      </c>
      <c r="D499" s="13"/>
      <c r="E499" s="32">
        <v>45997</v>
      </c>
      <c r="G499" s="8">
        <v>4802707</v>
      </c>
      <c r="I499" s="8">
        <v>250533</v>
      </c>
      <c r="K499" s="8">
        <v>0</v>
      </c>
      <c r="M499" s="8">
        <v>0</v>
      </c>
      <c r="O499" s="8">
        <v>658871</v>
      </c>
      <c r="Q499" s="8">
        <v>0</v>
      </c>
      <c r="S499" s="9">
        <f t="shared" si="13"/>
        <v>5712111</v>
      </c>
      <c r="U499" s="8">
        <v>842849</v>
      </c>
      <c r="X499" s="8">
        <f>+'St of Net Assets - GA'!O483-'LT _Lia - GA'!U499</f>
        <v>0</v>
      </c>
    </row>
    <row r="500" spans="1:24" hidden="1">
      <c r="A500" s="13" t="s">
        <v>542</v>
      </c>
      <c r="B500" s="13"/>
      <c r="C500" s="13" t="s">
        <v>540</v>
      </c>
      <c r="D500" s="13"/>
      <c r="E500" s="32">
        <v>48587</v>
      </c>
      <c r="G500" s="8">
        <v>0</v>
      </c>
      <c r="I500" s="8">
        <v>0</v>
      </c>
      <c r="K500" s="8">
        <v>0</v>
      </c>
      <c r="M500" s="8">
        <v>0</v>
      </c>
      <c r="O500" s="8">
        <v>0</v>
      </c>
      <c r="Q500" s="8">
        <v>0</v>
      </c>
      <c r="S500" s="9">
        <f>SUM(G500:R500)</f>
        <v>0</v>
      </c>
      <c r="X500" s="8">
        <f>+'St of Net Assets - GA'!O484-'LT _Lia - GA'!U500</f>
        <v>0</v>
      </c>
    </row>
    <row r="501" spans="1:24" hidden="1">
      <c r="A501" s="13" t="s">
        <v>232</v>
      </c>
      <c r="B501" s="13"/>
      <c r="C501" s="13" t="s">
        <v>14</v>
      </c>
      <c r="D501" s="13"/>
      <c r="E501" s="32">
        <v>44727</v>
      </c>
      <c r="G501" s="8">
        <v>0</v>
      </c>
      <c r="I501" s="8">
        <v>0</v>
      </c>
      <c r="K501" s="8">
        <v>0</v>
      </c>
      <c r="M501" s="8">
        <v>0</v>
      </c>
      <c r="O501" s="8">
        <v>0</v>
      </c>
      <c r="Q501" s="8">
        <v>0</v>
      </c>
      <c r="S501" s="9">
        <f>SUM(G501:R501)</f>
        <v>0</v>
      </c>
      <c r="X501" s="8">
        <f>+'St of Net Assets - GA'!O485-'LT _Lia - GA'!U501</f>
        <v>0</v>
      </c>
    </row>
    <row r="502" spans="1:24">
      <c r="A502" s="13" t="s">
        <v>457</v>
      </c>
      <c r="B502" s="13"/>
      <c r="C502" s="13" t="s">
        <v>39</v>
      </c>
      <c r="D502" s="13"/>
      <c r="E502" s="13">
        <v>44826</v>
      </c>
      <c r="G502" s="8">
        <v>12898669</v>
      </c>
      <c r="I502" s="8">
        <v>0</v>
      </c>
      <c r="K502" s="8">
        <v>0</v>
      </c>
      <c r="M502" s="8">
        <v>0</v>
      </c>
      <c r="O502" s="8">
        <v>986731</v>
      </c>
      <c r="Q502" s="8">
        <v>0</v>
      </c>
      <c r="S502" s="9">
        <f>SUM(G502:R502)</f>
        <v>13885400</v>
      </c>
      <c r="U502" s="8">
        <v>1025234</v>
      </c>
      <c r="X502" s="8">
        <f>+'St of Net Assets - GA'!O486-'LT _Lia - GA'!U502</f>
        <v>0</v>
      </c>
    </row>
    <row r="503" spans="1:24">
      <c r="A503" s="13" t="s">
        <v>676</v>
      </c>
      <c r="B503" s="13"/>
      <c r="C503" s="13" t="s">
        <v>63</v>
      </c>
      <c r="D503" s="13"/>
      <c r="E503" s="32">
        <v>44834</v>
      </c>
      <c r="G503" s="8">
        <v>4005000</v>
      </c>
      <c r="I503" s="8">
        <v>0</v>
      </c>
      <c r="K503" s="8">
        <v>0</v>
      </c>
      <c r="M503" s="8">
        <v>0</v>
      </c>
      <c r="O503" s="8">
        <v>3813541</v>
      </c>
      <c r="Q503" s="8">
        <v>0</v>
      </c>
      <c r="S503" s="9">
        <f t="shared" ref="S503:S514" si="14">SUM(G503:R503)</f>
        <v>7818541</v>
      </c>
      <c r="U503" s="8">
        <v>1094589</v>
      </c>
      <c r="X503" s="8">
        <f>+'St of Net Assets - GA'!O487-'LT _Lia - GA'!U503</f>
        <v>0</v>
      </c>
    </row>
    <row r="504" spans="1:24" hidden="1">
      <c r="A504" s="13" t="s">
        <v>705</v>
      </c>
      <c r="B504" s="13"/>
      <c r="C504" s="13" t="s">
        <v>65</v>
      </c>
      <c r="D504" s="13"/>
      <c r="E504" s="32">
        <v>50294</v>
      </c>
      <c r="G504" s="8">
        <v>0</v>
      </c>
      <c r="I504" s="8">
        <v>0</v>
      </c>
      <c r="K504" s="8">
        <v>0</v>
      </c>
      <c r="M504" s="8">
        <v>0</v>
      </c>
      <c r="O504" s="8">
        <v>0</v>
      </c>
      <c r="Q504" s="8">
        <v>0</v>
      </c>
      <c r="S504" s="9">
        <f t="shared" si="14"/>
        <v>0</v>
      </c>
      <c r="X504" s="8">
        <f>+'St of Net Assets - GA'!O488-'LT _Lia - GA'!U504</f>
        <v>0</v>
      </c>
    </row>
    <row r="505" spans="1:24">
      <c r="A505" s="13" t="s">
        <v>602</v>
      </c>
      <c r="B505" s="13"/>
      <c r="C505" s="13" t="s">
        <v>56</v>
      </c>
      <c r="D505" s="13"/>
      <c r="E505" s="32">
        <v>49239</v>
      </c>
      <c r="G505" s="8">
        <v>13496983</v>
      </c>
      <c r="I505" s="8">
        <v>0</v>
      </c>
      <c r="K505" s="8">
        <v>1656495</v>
      </c>
      <c r="M505" s="8">
        <v>0</v>
      </c>
      <c r="O505" s="8">
        <v>1198892</v>
      </c>
      <c r="Q505" s="8">
        <v>0</v>
      </c>
      <c r="S505" s="9">
        <f t="shared" si="14"/>
        <v>16352370</v>
      </c>
      <c r="U505" s="8">
        <v>1465967</v>
      </c>
      <c r="X505" s="8">
        <f>+'St of Net Assets - GA'!O489-'LT _Lia - GA'!U505</f>
        <v>0</v>
      </c>
    </row>
    <row r="506" spans="1:24">
      <c r="A506" s="13" t="s">
        <v>327</v>
      </c>
      <c r="B506" s="13"/>
      <c r="C506" s="13" t="s">
        <v>20</v>
      </c>
      <c r="D506" s="13"/>
      <c r="E506" s="13">
        <v>44842</v>
      </c>
      <c r="G506" s="8">
        <v>16751632</v>
      </c>
      <c r="I506" s="8">
        <v>0</v>
      </c>
      <c r="K506" s="8">
        <v>0</v>
      </c>
      <c r="M506" s="8">
        <v>557639</v>
      </c>
      <c r="O506" s="8">
        <v>6512728</v>
      </c>
      <c r="Q506" s="8">
        <v>4525000</v>
      </c>
      <c r="S506" s="9">
        <f t="shared" si="14"/>
        <v>28346999</v>
      </c>
      <c r="U506" s="8">
        <v>3020018</v>
      </c>
      <c r="X506" s="8">
        <f>+'St of Net Assets - GA'!O490-'LT _Lia - GA'!U506</f>
        <v>0</v>
      </c>
    </row>
    <row r="507" spans="1:24">
      <c r="A507" s="13" t="s">
        <v>523</v>
      </c>
      <c r="B507" s="13"/>
      <c r="C507" s="13" t="s">
        <v>45</v>
      </c>
      <c r="D507" s="13"/>
      <c r="E507" s="32">
        <v>44859</v>
      </c>
      <c r="G507" s="8">
        <v>5216045</v>
      </c>
      <c r="I507" s="8">
        <v>0</v>
      </c>
      <c r="K507" s="8">
        <v>214700</v>
      </c>
      <c r="M507" s="8">
        <v>0</v>
      </c>
      <c r="O507" s="8">
        <v>1228718</v>
      </c>
      <c r="Q507" s="8">
        <v>30000</v>
      </c>
      <c r="S507" s="9">
        <f t="shared" si="14"/>
        <v>6689463</v>
      </c>
      <c r="U507" s="8">
        <f>190000+190000+26400+144958+30000</f>
        <v>581358</v>
      </c>
      <c r="X507" s="8">
        <f>+'St of Net Assets - GA'!O491-'LT _Lia - GA'!U507</f>
        <v>0</v>
      </c>
    </row>
    <row r="508" spans="1:24">
      <c r="A508" s="13" t="s">
        <v>738</v>
      </c>
      <c r="B508" s="13"/>
      <c r="C508" s="13" t="s">
        <v>733</v>
      </c>
      <c r="D508" s="13"/>
      <c r="E508" s="32">
        <v>50658</v>
      </c>
      <c r="G508" s="8">
        <f>4385000+1630000</f>
        <v>6015000</v>
      </c>
      <c r="I508" s="8">
        <v>0</v>
      </c>
      <c r="K508" s="8">
        <v>118682</v>
      </c>
      <c r="M508" s="8">
        <v>0</v>
      </c>
      <c r="O508" s="8">
        <v>386884</v>
      </c>
      <c r="Q508" s="8">
        <v>0</v>
      </c>
      <c r="S508" s="9">
        <f t="shared" si="14"/>
        <v>6520566</v>
      </c>
      <c r="U508" s="8">
        <v>145393</v>
      </c>
      <c r="X508" s="8">
        <f>+'St of Net Assets - GA'!O492-'LT _Lia - GA'!U508</f>
        <v>0</v>
      </c>
    </row>
    <row r="509" spans="1:24">
      <c r="A509" s="13" t="s">
        <v>391</v>
      </c>
      <c r="B509" s="13"/>
      <c r="C509" s="13" t="s">
        <v>117</v>
      </c>
      <c r="D509" s="13"/>
      <c r="E509" s="32">
        <v>47274</v>
      </c>
      <c r="G509" s="8">
        <v>46679293</v>
      </c>
      <c r="I509" s="8">
        <v>0</v>
      </c>
      <c r="K509" s="8">
        <v>0</v>
      </c>
      <c r="M509" s="8">
        <v>5538728</v>
      </c>
      <c r="O509" s="8">
        <v>1372854</v>
      </c>
      <c r="Q509" s="8">
        <v>0</v>
      </c>
      <c r="S509" s="9">
        <f t="shared" si="14"/>
        <v>53590875</v>
      </c>
      <c r="U509" s="8">
        <v>2305408</v>
      </c>
      <c r="X509" s="8">
        <f>+'St of Net Assets - GA'!O493-'LT _Lia - GA'!U509</f>
        <v>0</v>
      </c>
    </row>
    <row r="510" spans="1:24">
      <c r="A510" s="13" t="s">
        <v>377</v>
      </c>
      <c r="B510" s="13"/>
      <c r="C510" s="13" t="s">
        <v>28</v>
      </c>
      <c r="D510" s="13"/>
      <c r="E510" s="32">
        <v>47092</v>
      </c>
      <c r="G510" s="8">
        <v>13972285</v>
      </c>
      <c r="I510" s="8">
        <v>35000</v>
      </c>
      <c r="K510" s="8">
        <v>0</v>
      </c>
      <c r="M510" s="8">
        <v>0</v>
      </c>
      <c r="O510" s="8">
        <v>570665</v>
      </c>
      <c r="Q510" s="8">
        <v>0</v>
      </c>
      <c r="S510" s="9">
        <f t="shared" si="14"/>
        <v>14577950</v>
      </c>
      <c r="U510" s="8">
        <v>1046509</v>
      </c>
      <c r="X510" s="8">
        <f>+'St of Net Assets - GA'!O494-'LT _Lia - GA'!U510</f>
        <v>0</v>
      </c>
    </row>
    <row r="511" spans="1:24">
      <c r="A511" s="13" t="s">
        <v>897</v>
      </c>
      <c r="B511" s="13"/>
      <c r="C511" s="13" t="s">
        <v>49</v>
      </c>
      <c r="D511" s="13"/>
      <c r="E511" s="32">
        <v>48652</v>
      </c>
      <c r="G511" s="8">
        <v>0</v>
      </c>
      <c r="I511" s="8">
        <v>0</v>
      </c>
      <c r="K511" s="8">
        <v>0</v>
      </c>
      <c r="M511" s="8">
        <v>0</v>
      </c>
      <c r="O511" s="8">
        <v>1824169</v>
      </c>
      <c r="Q511" s="8">
        <v>0</v>
      </c>
      <c r="S511" s="9">
        <f t="shared" si="14"/>
        <v>1824169</v>
      </c>
      <c r="U511" s="8">
        <v>132830</v>
      </c>
      <c r="X511" s="8">
        <f>+'St of Net Assets - GA'!O495-'LT _Lia - GA'!U511</f>
        <v>0</v>
      </c>
    </row>
    <row r="512" spans="1:24">
      <c r="A512" s="13" t="s">
        <v>414</v>
      </c>
      <c r="B512" s="13"/>
      <c r="C512" s="13" t="s">
        <v>32</v>
      </c>
      <c r="D512" s="13"/>
      <c r="E512" s="32">
        <v>44867</v>
      </c>
      <c r="G512" s="8">
        <v>35304474</v>
      </c>
      <c r="I512" s="8">
        <v>0</v>
      </c>
      <c r="K512" s="8">
        <v>0</v>
      </c>
      <c r="M512" s="8">
        <v>10670000</v>
      </c>
      <c r="O512" s="8">
        <v>8559978</v>
      </c>
      <c r="Q512" s="8">
        <v>0</v>
      </c>
      <c r="S512" s="9">
        <f t="shared" si="14"/>
        <v>54534452</v>
      </c>
      <c r="U512" s="8">
        <v>3399930</v>
      </c>
      <c r="X512" s="8">
        <f>+'St of Net Assets - GA'!O496-'LT _Lia - GA'!U512</f>
        <v>0</v>
      </c>
    </row>
    <row r="513" spans="1:24">
      <c r="A513" s="13" t="s">
        <v>507</v>
      </c>
      <c r="B513" s="13"/>
      <c r="C513" s="13" t="s">
        <v>118</v>
      </c>
      <c r="D513" s="13"/>
      <c r="E513" s="32">
        <v>44875</v>
      </c>
      <c r="G513" s="8">
        <v>28137173</v>
      </c>
      <c r="I513" s="8">
        <v>0</v>
      </c>
      <c r="K513" s="8">
        <v>1000000</v>
      </c>
      <c r="M513" s="8">
        <v>508890</v>
      </c>
      <c r="O513" s="8">
        <v>9272733</v>
      </c>
      <c r="Q513" s="8">
        <v>0</v>
      </c>
      <c r="S513" s="9">
        <f t="shared" si="14"/>
        <v>38918796</v>
      </c>
      <c r="U513" s="8">
        <v>3957427</v>
      </c>
      <c r="X513" s="8">
        <f>+'St of Net Assets - GA'!O497-'LT _Lia - GA'!U513</f>
        <v>0</v>
      </c>
    </row>
    <row r="514" spans="1:24">
      <c r="A514" s="13" t="s">
        <v>477</v>
      </c>
      <c r="B514" s="13"/>
      <c r="C514" s="13" t="s">
        <v>471</v>
      </c>
      <c r="D514" s="13"/>
      <c r="E514" s="32">
        <v>47969</v>
      </c>
      <c r="G514" s="8">
        <v>786372</v>
      </c>
      <c r="I514" s="8">
        <v>0</v>
      </c>
      <c r="K514" s="8">
        <v>0</v>
      </c>
      <c r="M514" s="8">
        <v>0</v>
      </c>
      <c r="O514" s="8">
        <v>619805</v>
      </c>
      <c r="Q514" s="8">
        <v>0</v>
      </c>
      <c r="S514" s="9">
        <f t="shared" si="14"/>
        <v>1406177</v>
      </c>
      <c r="U514" s="8">
        <v>172074</v>
      </c>
      <c r="X514" s="8">
        <f>+'St of Net Assets - GA'!O498-'LT _Lia - GA'!U514</f>
        <v>0</v>
      </c>
    </row>
    <row r="515" spans="1:24">
      <c r="A515" s="13" t="s">
        <v>255</v>
      </c>
      <c r="B515" s="13"/>
      <c r="C515" s="13" t="s">
        <v>246</v>
      </c>
      <c r="D515" s="13"/>
      <c r="E515" s="32">
        <v>46151</v>
      </c>
      <c r="G515" s="8">
        <f>8370000+212095</f>
        <v>8582095</v>
      </c>
      <c r="I515" s="8">
        <v>0</v>
      </c>
      <c r="K515" s="8">
        <v>0</v>
      </c>
      <c r="M515" s="8">
        <v>2853000</v>
      </c>
      <c r="O515" s="8">
        <v>1825245</v>
      </c>
      <c r="Q515" s="8">
        <v>0</v>
      </c>
      <c r="S515" s="9">
        <f t="shared" ref="S515:S551" si="15">SUM(G515:R515)</f>
        <v>13260340</v>
      </c>
      <c r="U515" s="8">
        <f>512222</f>
        <v>512222</v>
      </c>
      <c r="X515" s="8">
        <f>+'St of Net Assets - GA'!O499-'LT _Lia - GA'!U515</f>
        <v>0</v>
      </c>
    </row>
    <row r="516" spans="1:24">
      <c r="A516" s="13" t="s">
        <v>677</v>
      </c>
      <c r="B516" s="13"/>
      <c r="C516" s="13" t="s">
        <v>63</v>
      </c>
      <c r="D516" s="13"/>
      <c r="E516" s="32">
        <v>44883</v>
      </c>
      <c r="G516" s="8">
        <v>28998361</v>
      </c>
      <c r="I516" s="8">
        <v>0</v>
      </c>
      <c r="K516" s="8">
        <v>0</v>
      </c>
      <c r="M516" s="8">
        <v>0</v>
      </c>
      <c r="O516" s="8">
        <v>2461428</v>
      </c>
      <c r="Q516" s="8">
        <v>0</v>
      </c>
      <c r="S516" s="9">
        <f t="shared" si="15"/>
        <v>31459789</v>
      </c>
      <c r="U516" s="8">
        <v>979269</v>
      </c>
      <c r="X516" s="8">
        <f>+'St of Net Assets - GA'!O500-'LT _Lia - GA'!U516</f>
        <v>0</v>
      </c>
    </row>
    <row r="517" spans="1:24">
      <c r="A517" s="13" t="s">
        <v>590</v>
      </c>
      <c r="B517" s="13"/>
      <c r="C517" s="13" t="s">
        <v>54</v>
      </c>
      <c r="D517" s="13"/>
      <c r="E517" s="32">
        <v>49098</v>
      </c>
      <c r="G517" s="8">
        <f>39919419-1255864+1737201</f>
        <v>40400756</v>
      </c>
      <c r="I517" s="8">
        <v>0</v>
      </c>
      <c r="K517" s="8">
        <v>0</v>
      </c>
      <c r="M517" s="8">
        <f>353832</f>
        <v>353832</v>
      </c>
      <c r="O517" s="8">
        <f>2348798</f>
        <v>2348798</v>
      </c>
      <c r="Q517" s="8">
        <v>0</v>
      </c>
      <c r="S517" s="9">
        <f t="shared" si="15"/>
        <v>43103386</v>
      </c>
      <c r="U517" s="8">
        <v>1314591</v>
      </c>
      <c r="X517" s="8">
        <f>+'St of Net Assets - GA'!O501-'LT _Lia - GA'!U517</f>
        <v>0</v>
      </c>
    </row>
    <row r="518" spans="1:24">
      <c r="A518" s="13" t="s">
        <v>269</v>
      </c>
      <c r="B518" s="13"/>
      <c r="C518" s="13" t="s">
        <v>17</v>
      </c>
      <c r="D518" s="13"/>
      <c r="E518" s="32">
        <v>46243</v>
      </c>
      <c r="G518" s="8">
        <v>19236144</v>
      </c>
      <c r="I518" s="8">
        <v>0</v>
      </c>
      <c r="K518" s="8">
        <v>0</v>
      </c>
      <c r="M518" s="8">
        <v>0</v>
      </c>
      <c r="O518" s="8">
        <v>1714468</v>
      </c>
      <c r="Q518" s="8">
        <v>0</v>
      </c>
      <c r="S518" s="9">
        <f t="shared" si="15"/>
        <v>20950612</v>
      </c>
      <c r="U518" s="8">
        <v>558518</v>
      </c>
      <c r="X518" s="8">
        <f>+'St of Net Assets - GA'!O502-'LT _Lia - GA'!U518</f>
        <v>0</v>
      </c>
    </row>
    <row r="519" spans="1:24">
      <c r="A519" s="13" t="s">
        <v>415</v>
      </c>
      <c r="B519" s="13"/>
      <c r="C519" s="13" t="s">
        <v>32</v>
      </c>
      <c r="D519" s="13"/>
      <c r="E519" s="32">
        <v>47399</v>
      </c>
      <c r="G519" s="8">
        <v>0</v>
      </c>
      <c r="I519" s="8">
        <v>0</v>
      </c>
      <c r="K519" s="8">
        <v>0</v>
      </c>
      <c r="M519" s="8">
        <v>0</v>
      </c>
      <c r="O519" s="8">
        <v>1828159</v>
      </c>
      <c r="Q519" s="8">
        <v>0</v>
      </c>
      <c r="S519" s="9">
        <f t="shared" si="15"/>
        <v>1828159</v>
      </c>
      <c r="U519" s="8">
        <v>320514</v>
      </c>
      <c r="X519" s="8">
        <f>+'St of Net Assets - GA'!O503-'LT _Lia - GA'!U519</f>
        <v>0</v>
      </c>
    </row>
    <row r="520" spans="1:24" hidden="1">
      <c r="A520" s="13" t="s">
        <v>645</v>
      </c>
      <c r="B520" s="13"/>
      <c r="C520" s="13" t="s">
        <v>60</v>
      </c>
      <c r="D520" s="13"/>
      <c r="E520" s="32">
        <v>44891</v>
      </c>
      <c r="G520" s="8">
        <v>0</v>
      </c>
      <c r="I520" s="8">
        <v>0</v>
      </c>
      <c r="K520" s="8">
        <v>0</v>
      </c>
      <c r="M520" s="8">
        <v>0</v>
      </c>
      <c r="O520" s="8">
        <v>0</v>
      </c>
      <c r="Q520" s="8">
        <v>0</v>
      </c>
      <c r="S520" s="9">
        <f t="shared" si="15"/>
        <v>0</v>
      </c>
      <c r="X520" s="8" t="e">
        <f>+'St of Net Assets - GA'!#REF!-'LT _Lia - GA'!U520</f>
        <v>#REF!</v>
      </c>
    </row>
    <row r="521" spans="1:24">
      <c r="A521" s="13" t="s">
        <v>645</v>
      </c>
      <c r="B521" s="13"/>
      <c r="C521" s="13" t="s">
        <v>60</v>
      </c>
      <c r="D521" s="13"/>
      <c r="E521" s="32">
        <v>47399</v>
      </c>
      <c r="G521" s="8">
        <f>636318+2460000+6067510</f>
        <v>9163828</v>
      </c>
      <c r="I521" s="8">
        <v>0</v>
      </c>
      <c r="K521" s="8">
        <v>0</v>
      </c>
      <c r="M521" s="8">
        <v>647610</v>
      </c>
      <c r="O521" s="8">
        <v>1928235</v>
      </c>
      <c r="Q521" s="8">
        <f>-438062+550697</f>
        <v>112635</v>
      </c>
      <c r="S521" s="9">
        <f>SUM(G521:R521)</f>
        <v>11852308</v>
      </c>
      <c r="U521" s="8">
        <v>937553</v>
      </c>
      <c r="X521" s="8">
        <f>+'St of Net Assets - GA'!O504-'LT _Lia - GA'!U521</f>
        <v>0</v>
      </c>
    </row>
    <row r="522" spans="1:24">
      <c r="A522" s="13" t="s">
        <v>549</v>
      </c>
      <c r="B522" s="13"/>
      <c r="C522" s="13" t="s">
        <v>48</v>
      </c>
      <c r="D522" s="13"/>
      <c r="E522" s="32">
        <v>45617</v>
      </c>
      <c r="G522" s="8">
        <v>19636586</v>
      </c>
      <c r="I522" s="8">
        <v>0</v>
      </c>
      <c r="K522" s="8">
        <v>0</v>
      </c>
      <c r="M522" s="8">
        <v>607318</v>
      </c>
      <c r="O522" s="8">
        <v>2264407</v>
      </c>
      <c r="Q522" s="8">
        <v>0</v>
      </c>
      <c r="S522" s="9">
        <f t="shared" si="15"/>
        <v>22508311</v>
      </c>
      <c r="U522" s="8">
        <v>1089272</v>
      </c>
      <c r="X522" s="8">
        <f>+'St of Net Assets - GA'!O505-'LT _Lia - GA'!U522</f>
        <v>0</v>
      </c>
    </row>
    <row r="523" spans="1:24">
      <c r="A523" s="13" t="s">
        <v>508</v>
      </c>
      <c r="B523" s="13"/>
      <c r="C523" s="13" t="s">
        <v>118</v>
      </c>
      <c r="D523" s="13"/>
      <c r="E523" s="32">
        <v>44909</v>
      </c>
      <c r="G523" s="8">
        <v>153125566</v>
      </c>
      <c r="I523" s="8">
        <v>0</v>
      </c>
      <c r="K523" s="8">
        <v>0</v>
      </c>
      <c r="M523" s="8">
        <v>0</v>
      </c>
      <c r="O523" s="8">
        <v>41199203</v>
      </c>
      <c r="Q523" s="8">
        <v>0</v>
      </c>
      <c r="S523" s="9">
        <f t="shared" si="15"/>
        <v>194324769</v>
      </c>
      <c r="U523" s="8">
        <v>3675659</v>
      </c>
      <c r="X523" s="8">
        <f>+'St of Net Assets - GA'!O506-'LT _Lia - GA'!U523</f>
        <v>0</v>
      </c>
    </row>
    <row r="524" spans="1:24">
      <c r="A524" s="13" t="s">
        <v>458</v>
      </c>
      <c r="B524" s="13"/>
      <c r="C524" s="13" t="s">
        <v>39</v>
      </c>
      <c r="D524" s="13"/>
      <c r="E524" s="32">
        <v>44917</v>
      </c>
      <c r="G524" s="8">
        <v>0</v>
      </c>
      <c r="I524" s="8">
        <v>0</v>
      </c>
      <c r="K524" s="8">
        <v>0</v>
      </c>
      <c r="M524" s="8">
        <v>0</v>
      </c>
      <c r="O524" s="8">
        <v>442775</v>
      </c>
      <c r="Q524" s="8">
        <v>0</v>
      </c>
      <c r="S524" s="9">
        <f t="shared" si="15"/>
        <v>442775</v>
      </c>
      <c r="U524" s="8">
        <v>80963</v>
      </c>
      <c r="X524" s="8">
        <f>+'St of Net Assets - GA'!O507-'LT _Lia - GA'!U524</f>
        <v>0</v>
      </c>
    </row>
    <row r="525" spans="1:24">
      <c r="A525" s="13" t="s">
        <v>261</v>
      </c>
      <c r="B525" s="13"/>
      <c r="C525" s="13" t="s">
        <v>259</v>
      </c>
      <c r="D525" s="13"/>
      <c r="E525" s="32">
        <v>46201</v>
      </c>
      <c r="G525" s="8">
        <f>125000+29330+85668+2070000+184994+92105+198061-133090</f>
        <v>2652068</v>
      </c>
      <c r="I525" s="8">
        <v>0</v>
      </c>
      <c r="K525" s="8">
        <v>0</v>
      </c>
      <c r="M525" s="8">
        <v>2126000</v>
      </c>
      <c r="O525" s="8">
        <v>377169</v>
      </c>
      <c r="Q525" s="8">
        <v>0</v>
      </c>
      <c r="S525" s="9">
        <f t="shared" si="15"/>
        <v>5155237</v>
      </c>
      <c r="U525" s="8">
        <v>222781</v>
      </c>
      <c r="X525" s="8">
        <f>+'St of Net Assets - GA'!O508-'LT _Lia - GA'!U525</f>
        <v>0</v>
      </c>
    </row>
    <row r="526" spans="1:24">
      <c r="A526" s="13" t="s">
        <v>606</v>
      </c>
      <c r="B526" s="13"/>
      <c r="C526" s="13" t="s">
        <v>57</v>
      </c>
      <c r="D526" s="13"/>
      <c r="E526" s="32">
        <v>91397</v>
      </c>
      <c r="G526" s="8">
        <f>245000</f>
        <v>245000</v>
      </c>
      <c r="I526" s="8">
        <v>0</v>
      </c>
      <c r="K526" s="8">
        <v>385000</v>
      </c>
      <c r="M526" s="8">
        <v>0</v>
      </c>
      <c r="O526" s="8">
        <v>434022</v>
      </c>
      <c r="Q526" s="8">
        <v>0</v>
      </c>
      <c r="S526" s="9">
        <f t="shared" si="15"/>
        <v>1064022</v>
      </c>
      <c r="U526" s="8">
        <v>324695</v>
      </c>
      <c r="X526" s="8">
        <f>+'St of Net Assets - GA'!O509-'LT _Lia - GA'!U526</f>
        <v>0</v>
      </c>
    </row>
    <row r="527" spans="1:24">
      <c r="A527" s="13" t="s">
        <v>228</v>
      </c>
      <c r="B527" s="13"/>
      <c r="C527" s="13" t="s">
        <v>13</v>
      </c>
      <c r="D527" s="13"/>
      <c r="E527" s="32">
        <v>45922</v>
      </c>
      <c r="G527" s="8">
        <v>825000</v>
      </c>
      <c r="I527" s="8">
        <v>0</v>
      </c>
      <c r="K527" s="8">
        <v>0</v>
      </c>
      <c r="M527" s="8">
        <v>49992</v>
      </c>
      <c r="O527" s="8">
        <v>643283</v>
      </c>
      <c r="Q527" s="8">
        <v>0</v>
      </c>
      <c r="S527" s="9">
        <f t="shared" si="15"/>
        <v>1518275</v>
      </c>
      <c r="U527" s="8">
        <v>143483</v>
      </c>
      <c r="X527" s="8">
        <f>+'St of Net Assets - GA'!O510-'LT _Lia - GA'!U527</f>
        <v>0</v>
      </c>
    </row>
    <row r="528" spans="1:24">
      <c r="A528" s="13" t="s">
        <v>574</v>
      </c>
      <c r="B528" s="13"/>
      <c r="C528" s="13" t="s">
        <v>51</v>
      </c>
      <c r="D528" s="13"/>
      <c r="E528" s="32">
        <v>48876</v>
      </c>
      <c r="G528" s="8">
        <v>16874052</v>
      </c>
      <c r="I528" s="8">
        <v>0</v>
      </c>
      <c r="K528" s="8">
        <v>0</v>
      </c>
      <c r="M528" s="8">
        <v>67116</v>
      </c>
      <c r="O528" s="8">
        <v>1451516</v>
      </c>
      <c r="Q528" s="8">
        <v>0</v>
      </c>
      <c r="S528" s="9">
        <f t="shared" si="15"/>
        <v>18392684</v>
      </c>
      <c r="U528" s="8">
        <v>492695</v>
      </c>
      <c r="X528" s="8">
        <f>+'St of Net Assets - GA'!O511-'LT _Lia - GA'!U528</f>
        <v>0</v>
      </c>
    </row>
    <row r="529" spans="1:24" hidden="1">
      <c r="A529" s="13" t="s">
        <v>333</v>
      </c>
      <c r="B529" s="13"/>
      <c r="C529" s="13" t="s">
        <v>21</v>
      </c>
      <c r="D529" s="13"/>
      <c r="E529" s="32">
        <v>46680</v>
      </c>
      <c r="G529" s="8">
        <v>0</v>
      </c>
      <c r="I529" s="8">
        <v>0</v>
      </c>
      <c r="K529" s="8">
        <v>0</v>
      </c>
      <c r="M529" s="8">
        <v>0</v>
      </c>
      <c r="O529" s="8">
        <v>0</v>
      </c>
      <c r="Q529" s="8">
        <v>0</v>
      </c>
      <c r="S529" s="9">
        <f t="shared" si="15"/>
        <v>0</v>
      </c>
      <c r="X529" s="8">
        <f>+'St of Net Assets - GA'!O512-'LT _Lia - GA'!U529</f>
        <v>0</v>
      </c>
    </row>
    <row r="530" spans="1:24">
      <c r="A530" s="13" t="s">
        <v>731</v>
      </c>
      <c r="B530" s="13"/>
      <c r="C530" s="13" t="s">
        <v>71</v>
      </c>
      <c r="D530" s="13"/>
      <c r="E530" s="32">
        <v>50591</v>
      </c>
      <c r="G530" s="8">
        <v>0</v>
      </c>
      <c r="I530" s="8">
        <v>0</v>
      </c>
      <c r="K530" s="8">
        <f>878177+254703</f>
        <v>1132880</v>
      </c>
      <c r="M530" s="8">
        <v>0</v>
      </c>
      <c r="O530" s="8">
        <v>1272895</v>
      </c>
      <c r="Q530" s="8">
        <v>0</v>
      </c>
      <c r="S530" s="9">
        <f t="shared" si="15"/>
        <v>2405775</v>
      </c>
      <c r="U530" s="8">
        <v>461169</v>
      </c>
      <c r="X530" s="8">
        <f>+'St of Net Assets - GA'!O513-'LT _Lia - GA'!U530</f>
        <v>0</v>
      </c>
    </row>
    <row r="531" spans="1:24">
      <c r="A531" s="13" t="s">
        <v>563</v>
      </c>
      <c r="B531" s="13"/>
      <c r="C531" s="13" t="s">
        <v>50</v>
      </c>
      <c r="D531" s="13"/>
      <c r="E531" s="32">
        <v>48694</v>
      </c>
      <c r="G531" s="8">
        <v>0</v>
      </c>
      <c r="I531" s="8">
        <v>0</v>
      </c>
      <c r="K531" s="8">
        <v>33196531</v>
      </c>
      <c r="M531" s="8">
        <v>9796000</v>
      </c>
      <c r="O531" s="8">
        <v>1220516</v>
      </c>
      <c r="Q531" s="8">
        <v>0</v>
      </c>
      <c r="S531" s="9">
        <f t="shared" si="15"/>
        <v>44213047</v>
      </c>
      <c r="U531" s="8">
        <v>921953</v>
      </c>
      <c r="X531" s="8">
        <f>+'St of Net Assets - GA'!O514-'LT _Lia - GA'!U531</f>
        <v>0</v>
      </c>
    </row>
    <row r="532" spans="1:24">
      <c r="A532" s="13" t="s">
        <v>550</v>
      </c>
      <c r="B532" s="13"/>
      <c r="C532" s="13" t="s">
        <v>48</v>
      </c>
      <c r="D532" s="13"/>
      <c r="E532" s="32">
        <v>44925</v>
      </c>
      <c r="G532" s="8">
        <f>9865000+9980000+433837</f>
        <v>20278837</v>
      </c>
      <c r="I532" s="8">
        <v>0</v>
      </c>
      <c r="K532" s="8">
        <v>0</v>
      </c>
      <c r="M532" s="8">
        <v>292531</v>
      </c>
      <c r="O532" s="8">
        <v>3365321</v>
      </c>
      <c r="Q532" s="8">
        <v>0</v>
      </c>
      <c r="S532" s="9">
        <f t="shared" si="15"/>
        <v>23936689</v>
      </c>
      <c r="U532" s="8">
        <v>972164</v>
      </c>
      <c r="X532" s="8">
        <f>+'St of Net Assets - GA'!O515-'LT _Lia - GA'!U532</f>
        <v>0</v>
      </c>
    </row>
    <row r="533" spans="1:24">
      <c r="A533" s="13" t="s">
        <v>706</v>
      </c>
      <c r="B533" s="13"/>
      <c r="C533" s="13" t="s">
        <v>65</v>
      </c>
      <c r="D533" s="13"/>
      <c r="E533" s="32">
        <v>50302</v>
      </c>
      <c r="G533" s="8">
        <v>5151444</v>
      </c>
      <c r="I533" s="8">
        <v>75000</v>
      </c>
      <c r="K533" s="8">
        <v>0</v>
      </c>
      <c r="M533" s="8">
        <v>90126</v>
      </c>
      <c r="O533" s="8">
        <f>677541+48807</f>
        <v>726348</v>
      </c>
      <c r="Q533" s="8">
        <v>0</v>
      </c>
      <c r="S533" s="9">
        <f t="shared" si="15"/>
        <v>6042918</v>
      </c>
      <c r="U533" s="8">
        <v>661777</v>
      </c>
      <c r="X533" s="8">
        <f>+'St of Net Assets - GA'!O516-'LT _Lia - GA'!U533</f>
        <v>0</v>
      </c>
    </row>
    <row r="534" spans="1:24">
      <c r="A534" s="13" t="s">
        <v>666</v>
      </c>
      <c r="B534" s="13"/>
      <c r="C534" s="13" t="s">
        <v>62</v>
      </c>
      <c r="D534" s="13"/>
      <c r="E534" s="32">
        <v>49957</v>
      </c>
      <c r="G534" s="8">
        <v>13465976</v>
      </c>
      <c r="I534" s="8">
        <v>0</v>
      </c>
      <c r="K534" s="8">
        <v>0</v>
      </c>
      <c r="M534" s="8">
        <v>46844</v>
      </c>
      <c r="O534" s="8">
        <v>708601</v>
      </c>
      <c r="Q534" s="8">
        <v>0</v>
      </c>
      <c r="S534" s="9">
        <f t="shared" si="15"/>
        <v>14221421</v>
      </c>
      <c r="U534" s="8">
        <v>509267</v>
      </c>
      <c r="X534" s="8">
        <f>+'St of Net Assets - GA'!O517-'LT _Lia - GA'!U534</f>
        <v>0</v>
      </c>
    </row>
    <row r="535" spans="1:24" hidden="1">
      <c r="A535" s="13" t="s">
        <v>607</v>
      </c>
      <c r="B535" s="13"/>
      <c r="C535" s="13" t="s">
        <v>57</v>
      </c>
      <c r="D535" s="13"/>
      <c r="E535" s="32">
        <v>49296</v>
      </c>
      <c r="G535" s="8">
        <v>0</v>
      </c>
      <c r="Q535" s="8">
        <v>0</v>
      </c>
      <c r="S535" s="9">
        <f t="shared" si="15"/>
        <v>0</v>
      </c>
      <c r="X535" s="8">
        <f>+'St of Net Assets - GA'!O518-'LT _Lia - GA'!U535</f>
        <v>0</v>
      </c>
    </row>
    <row r="536" spans="1:24">
      <c r="A536" s="13" t="s">
        <v>678</v>
      </c>
      <c r="B536" s="13"/>
      <c r="C536" s="13" t="s">
        <v>63</v>
      </c>
      <c r="D536" s="13"/>
      <c r="E536" s="32">
        <v>50070</v>
      </c>
      <c r="G536" s="8">
        <v>29722159</v>
      </c>
      <c r="I536" s="8">
        <v>0</v>
      </c>
      <c r="K536" s="8">
        <v>1916000</v>
      </c>
      <c r="M536" s="8">
        <v>124993</v>
      </c>
      <c r="O536" s="8">
        <v>2059757</v>
      </c>
      <c r="Q536" s="8">
        <v>0</v>
      </c>
      <c r="S536" s="9">
        <f t="shared" si="15"/>
        <v>33822909</v>
      </c>
      <c r="U536" s="8">
        <v>3646951</v>
      </c>
      <c r="X536" s="8">
        <f>+'St of Net Assets - GA'!O519-'LT _Lia - GA'!U536</f>
        <v>0</v>
      </c>
    </row>
    <row r="537" spans="1:24">
      <c r="A537" s="13" t="s">
        <v>239</v>
      </c>
      <c r="B537" s="13"/>
      <c r="C537" s="13" t="s">
        <v>15</v>
      </c>
      <c r="D537" s="13"/>
      <c r="E537" s="32">
        <v>46011</v>
      </c>
      <c r="G537" s="8">
        <f>875000+1310000+264995+28105+138037-81250</f>
        <v>2534887</v>
      </c>
      <c r="I537" s="8">
        <v>0</v>
      </c>
      <c r="K537" s="8">
        <v>0</v>
      </c>
      <c r="M537" s="8">
        <v>51380</v>
      </c>
      <c r="O537" s="8">
        <v>1123001</v>
      </c>
      <c r="Q537" s="8">
        <v>0</v>
      </c>
      <c r="S537" s="9">
        <f t="shared" si="15"/>
        <v>3709268</v>
      </c>
      <c r="U537" s="8">
        <v>245180</v>
      </c>
      <c r="X537" s="8">
        <f>+'St of Net Assets - GA'!O520-'LT _Lia - GA'!U537</f>
        <v>0</v>
      </c>
    </row>
    <row r="538" spans="1:24">
      <c r="A538" s="13" t="s">
        <v>625</v>
      </c>
      <c r="B538" s="13"/>
      <c r="C538" s="13" t="s">
        <v>58</v>
      </c>
      <c r="D538" s="13"/>
      <c r="E538" s="32">
        <v>49536</v>
      </c>
      <c r="G538" s="8">
        <f>550000+80928+134460+2550000+14999+13551+197907-142054</f>
        <v>3399791</v>
      </c>
      <c r="I538" s="8">
        <v>0</v>
      </c>
      <c r="K538" s="8">
        <v>0</v>
      </c>
      <c r="M538" s="8">
        <v>128149</v>
      </c>
      <c r="O538" s="8">
        <v>1881077</v>
      </c>
      <c r="Q538" s="8">
        <v>0</v>
      </c>
      <c r="S538" s="9">
        <f t="shared" si="15"/>
        <v>5409017</v>
      </c>
      <c r="U538" s="8">
        <v>366270</v>
      </c>
      <c r="X538" s="8">
        <f>+'St of Net Assets - GA'!O521-'LT _Lia - GA'!U538</f>
        <v>0</v>
      </c>
    </row>
    <row r="539" spans="1:24" hidden="1">
      <c r="A539" s="13" t="s">
        <v>289</v>
      </c>
      <c r="B539" s="13"/>
      <c r="C539" s="13" t="s">
        <v>115</v>
      </c>
      <c r="D539" s="13"/>
      <c r="E539" s="32">
        <v>46458</v>
      </c>
      <c r="G539" s="8">
        <v>0</v>
      </c>
      <c r="I539" s="8">
        <v>0</v>
      </c>
      <c r="K539" s="8">
        <v>0</v>
      </c>
      <c r="M539" s="8">
        <v>0</v>
      </c>
      <c r="O539" s="8">
        <v>0</v>
      </c>
      <c r="Q539" s="8">
        <v>0</v>
      </c>
      <c r="S539" s="9">
        <f t="shared" si="15"/>
        <v>0</v>
      </c>
      <c r="X539" s="8">
        <f>+'St of Net Assets - GA'!O522-'LT _Lia - GA'!U539</f>
        <v>0</v>
      </c>
    </row>
    <row r="540" spans="1:24">
      <c r="A540" s="13" t="s">
        <v>368</v>
      </c>
      <c r="B540" s="13"/>
      <c r="C540" s="13" t="s">
        <v>27</v>
      </c>
      <c r="D540" s="13"/>
      <c r="E540" s="32">
        <v>44933</v>
      </c>
      <c r="G540" s="8">
        <f>2997267+30545824</f>
        <v>33543091</v>
      </c>
      <c r="I540" s="8">
        <v>0</v>
      </c>
      <c r="K540" s="8">
        <v>0</v>
      </c>
      <c r="M540" s="8">
        <v>0</v>
      </c>
      <c r="O540" s="8">
        <v>5382656</v>
      </c>
      <c r="Q540" s="8">
        <v>0</v>
      </c>
      <c r="S540" s="9">
        <f t="shared" si="15"/>
        <v>38925747</v>
      </c>
      <c r="U540" s="8">
        <v>2255371</v>
      </c>
      <c r="X540" s="8">
        <f>+'St of Net Assets - GA'!O523-'LT _Lia - GA'!U540</f>
        <v>0</v>
      </c>
    </row>
    <row r="541" spans="1:24" hidden="1">
      <c r="A541" s="13" t="s">
        <v>749</v>
      </c>
      <c r="B541" s="13"/>
      <c r="C541" s="13" t="s">
        <v>747</v>
      </c>
      <c r="D541" s="13"/>
      <c r="E541" s="32">
        <v>45625</v>
      </c>
      <c r="G541" s="8">
        <v>0</v>
      </c>
      <c r="I541" s="8">
        <v>0</v>
      </c>
      <c r="K541" s="8">
        <v>0</v>
      </c>
      <c r="M541" s="8">
        <v>0</v>
      </c>
      <c r="O541" s="8">
        <v>0</v>
      </c>
      <c r="Q541" s="8">
        <v>0</v>
      </c>
      <c r="S541" s="9">
        <f t="shared" si="15"/>
        <v>0</v>
      </c>
      <c r="X541" s="8">
        <f>+'St of Net Assets - GA'!O524-'LT _Lia - GA'!U541</f>
        <v>0</v>
      </c>
    </row>
    <row r="542" spans="1:24" hidden="1">
      <c r="A542" s="13" t="s">
        <v>431</v>
      </c>
      <c r="B542" s="13"/>
      <c r="C542" s="13" t="s">
        <v>426</v>
      </c>
      <c r="D542" s="13"/>
      <c r="E542" s="32">
        <v>47522</v>
      </c>
      <c r="G542" s="8">
        <v>0</v>
      </c>
      <c r="I542" s="8">
        <v>0</v>
      </c>
      <c r="K542" s="8">
        <v>0</v>
      </c>
      <c r="M542" s="8">
        <v>0</v>
      </c>
      <c r="O542" s="8">
        <v>0</v>
      </c>
      <c r="Q542" s="8">
        <v>0</v>
      </c>
      <c r="S542" s="9">
        <f t="shared" si="15"/>
        <v>0</v>
      </c>
      <c r="X542" s="8">
        <f>+'St of Net Assets - GA'!O525-'LT _Lia - GA'!U542</f>
        <v>0</v>
      </c>
    </row>
    <row r="543" spans="1:24">
      <c r="A543" s="13" t="s">
        <v>262</v>
      </c>
      <c r="B543" s="13"/>
      <c r="C543" s="13" t="s">
        <v>259</v>
      </c>
      <c r="D543" s="13"/>
      <c r="E543" s="32">
        <v>44941</v>
      </c>
      <c r="G543" s="8">
        <v>20000</v>
      </c>
      <c r="I543" s="8">
        <v>0</v>
      </c>
      <c r="K543" s="8">
        <f>155000+1300000</f>
        <v>1455000</v>
      </c>
      <c r="M543" s="8">
        <v>403396</v>
      </c>
      <c r="O543" s="8">
        <v>1699449</v>
      </c>
      <c r="Q543" s="8">
        <v>0</v>
      </c>
      <c r="S543" s="9">
        <f t="shared" si="15"/>
        <v>3577845</v>
      </c>
      <c r="U543" s="8">
        <v>541741</v>
      </c>
      <c r="X543" s="8">
        <f>+'St of Net Assets - GA'!O526-'LT _Lia - GA'!U543</f>
        <v>0</v>
      </c>
    </row>
    <row r="544" spans="1:24" hidden="1">
      <c r="A544" s="13" t="s">
        <v>637</v>
      </c>
      <c r="B544" s="13"/>
      <c r="C544" s="13" t="s">
        <v>59</v>
      </c>
      <c r="D544" s="13"/>
      <c r="E544" s="32">
        <v>49643</v>
      </c>
      <c r="G544" s="8">
        <v>0</v>
      </c>
      <c r="I544" s="8">
        <v>0</v>
      </c>
      <c r="K544" s="8">
        <v>0</v>
      </c>
      <c r="M544" s="8">
        <v>0</v>
      </c>
      <c r="O544" s="8">
        <v>0</v>
      </c>
      <c r="Q544" s="8">
        <v>0</v>
      </c>
      <c r="S544" s="9">
        <f t="shared" si="15"/>
        <v>0</v>
      </c>
      <c r="X544" s="8">
        <f>+'St of Net Assets - GA'!O527-'LT _Lia - GA'!U544</f>
        <v>0</v>
      </c>
    </row>
    <row r="545" spans="1:24">
      <c r="A545" s="13" t="s">
        <v>564</v>
      </c>
      <c r="B545" s="13"/>
      <c r="C545" s="13" t="s">
        <v>50</v>
      </c>
      <c r="D545" s="13"/>
      <c r="E545" s="32">
        <v>48744</v>
      </c>
      <c r="G545" s="8">
        <v>95002</v>
      </c>
      <c r="I545" s="8">
        <v>0</v>
      </c>
      <c r="K545" s="8">
        <v>0</v>
      </c>
      <c r="M545" s="8">
        <v>789198</v>
      </c>
      <c r="O545" s="8">
        <v>1048600</v>
      </c>
      <c r="Q545" s="8">
        <v>0</v>
      </c>
      <c r="S545" s="9">
        <f t="shared" si="15"/>
        <v>1932800</v>
      </c>
      <c r="U545" s="8">
        <v>300401</v>
      </c>
      <c r="X545" s="8">
        <f>+'St of Net Assets - GA'!O528-'LT _Lia - GA'!U545</f>
        <v>0</v>
      </c>
    </row>
    <row r="546" spans="1:24">
      <c r="A546" s="13" t="s">
        <v>424</v>
      </c>
      <c r="B546" s="13"/>
      <c r="C546" s="13" t="s">
        <v>33</v>
      </c>
      <c r="D546" s="13"/>
      <c r="E546" s="32">
        <v>47464</v>
      </c>
      <c r="G546" s="8">
        <v>9085130</v>
      </c>
      <c r="I546" s="8">
        <v>0</v>
      </c>
      <c r="K546" s="8">
        <v>0</v>
      </c>
      <c r="M546" s="8">
        <v>0</v>
      </c>
      <c r="O546" s="8">
        <v>538026</v>
      </c>
      <c r="Q546" s="8">
        <v>0</v>
      </c>
      <c r="S546" s="9">
        <f t="shared" si="15"/>
        <v>9623156</v>
      </c>
      <c r="U546" s="8">
        <v>613819</v>
      </c>
      <c r="X546" s="8">
        <f>+'St of Net Assets - GA'!O529-'LT _Lia - GA'!U546</f>
        <v>0</v>
      </c>
    </row>
    <row r="547" spans="1:24">
      <c r="A547" s="13" t="s">
        <v>711</v>
      </c>
      <c r="B547" s="13"/>
      <c r="C547" s="13" t="s">
        <v>67</v>
      </c>
      <c r="D547" s="13"/>
      <c r="E547" s="32">
        <v>44966</v>
      </c>
      <c r="G547" s="8">
        <v>26429205</v>
      </c>
      <c r="I547" s="8">
        <v>0</v>
      </c>
      <c r="K547" s="8">
        <v>0</v>
      </c>
      <c r="M547" s="8">
        <v>0</v>
      </c>
      <c r="O547" s="8">
        <v>2118501</v>
      </c>
      <c r="Q547" s="8">
        <v>0</v>
      </c>
      <c r="S547" s="9">
        <f t="shared" si="15"/>
        <v>28547706</v>
      </c>
      <c r="U547" s="8">
        <v>488511</v>
      </c>
      <c r="X547" s="8">
        <f>+'St of Net Assets - GA'!O530-'LT _Lia - GA'!U547</f>
        <v>0</v>
      </c>
    </row>
    <row r="548" spans="1:24">
      <c r="A548" s="13" t="s">
        <v>565</v>
      </c>
      <c r="B548" s="13"/>
      <c r="C548" s="13" t="s">
        <v>50</v>
      </c>
      <c r="D548" s="13"/>
      <c r="E548" s="32">
        <v>44958</v>
      </c>
      <c r="G548" s="8">
        <v>0</v>
      </c>
      <c r="I548" s="8">
        <v>0</v>
      </c>
      <c r="K548" s="8">
        <v>0</v>
      </c>
      <c r="M548" s="8">
        <v>50978</v>
      </c>
      <c r="O548" s="8">
        <v>2126544</v>
      </c>
      <c r="Q548" s="8">
        <v>0</v>
      </c>
      <c r="S548" s="9">
        <f t="shared" si="15"/>
        <v>2177522</v>
      </c>
      <c r="U548" s="8">
        <v>170674</v>
      </c>
      <c r="X548" s="8">
        <f>+'St of Net Assets - GA'!O531-'LT _Lia - GA'!U548</f>
        <v>0</v>
      </c>
    </row>
    <row r="549" spans="1:24" hidden="1">
      <c r="A549" s="13" t="s">
        <v>425</v>
      </c>
      <c r="B549" s="13"/>
      <c r="C549" s="13" t="s">
        <v>33</v>
      </c>
      <c r="D549" s="13"/>
      <c r="E549" s="32">
        <v>47472</v>
      </c>
      <c r="G549" s="8">
        <v>0</v>
      </c>
      <c r="Q549" s="8">
        <v>0</v>
      </c>
      <c r="S549" s="9">
        <f t="shared" si="15"/>
        <v>0</v>
      </c>
      <c r="X549" s="8">
        <f>+'St of Net Assets - GA'!O532-'LT _Lia - GA'!U549</f>
        <v>0</v>
      </c>
    </row>
    <row r="550" spans="1:24">
      <c r="A550" s="13" t="s">
        <v>346</v>
      </c>
      <c r="B550" s="13"/>
      <c r="C550" s="13" t="s">
        <v>24</v>
      </c>
      <c r="D550" s="13"/>
      <c r="E550" s="32">
        <v>46821</v>
      </c>
      <c r="G550" s="8">
        <f>465000+185000+670000+2181818</f>
        <v>3501818</v>
      </c>
      <c r="I550" s="8">
        <v>0</v>
      </c>
      <c r="K550" s="8">
        <v>3500000</v>
      </c>
      <c r="M550" s="8">
        <f>36963+41831</f>
        <v>78794</v>
      </c>
      <c r="O550" s="8">
        <f>1045646+1442568</f>
        <v>2488214</v>
      </c>
      <c r="Q550" s="8">
        <v>0</v>
      </c>
      <c r="S550" s="9">
        <f t="shared" si="15"/>
        <v>9568826</v>
      </c>
      <c r="U550" s="8">
        <v>4472561</v>
      </c>
      <c r="X550" s="8">
        <f>+'St of Net Assets - GA'!O533-'LT _Lia - GA'!U550</f>
        <v>0</v>
      </c>
    </row>
    <row r="551" spans="1:24">
      <c r="A551" s="13" t="s">
        <v>712</v>
      </c>
      <c r="B551" s="13"/>
      <c r="C551" s="13" t="s">
        <v>68</v>
      </c>
      <c r="D551" s="13"/>
      <c r="E551" s="32">
        <v>50393</v>
      </c>
      <c r="G551" s="8">
        <f>1315000+3410000+1085000+1030000+304560</f>
        <v>7144560</v>
      </c>
      <c r="I551" s="8">
        <v>0</v>
      </c>
      <c r="K551" s="8">
        <v>0</v>
      </c>
      <c r="M551" s="8">
        <v>517933</v>
      </c>
      <c r="O551" s="8">
        <v>791766</v>
      </c>
      <c r="Q551" s="8">
        <v>0</v>
      </c>
      <c r="S551" s="9">
        <f t="shared" si="15"/>
        <v>8454259</v>
      </c>
      <c r="U551" s="8">
        <v>512536</v>
      </c>
      <c r="X551" s="8">
        <f>+'St of Net Assets - GA'!O534-'LT _Lia - GA'!U551</f>
        <v>0</v>
      </c>
    </row>
    <row r="552" spans="1:24">
      <c r="A552" s="13" t="s">
        <v>536</v>
      </c>
      <c r="B552" s="13"/>
      <c r="C552" s="13" t="s">
        <v>47</v>
      </c>
      <c r="D552" s="13"/>
      <c r="E552" s="32">
        <v>44974</v>
      </c>
      <c r="G552" s="8">
        <v>29521845</v>
      </c>
      <c r="I552" s="8">
        <v>0</v>
      </c>
      <c r="K552" s="8">
        <v>0</v>
      </c>
      <c r="M552" s="8">
        <v>0</v>
      </c>
      <c r="O552" s="8">
        <v>4483380</v>
      </c>
      <c r="Q552" s="8">
        <v>0</v>
      </c>
      <c r="S552" s="9">
        <f t="shared" ref="S552:S574" si="16">SUM(G552:R552)</f>
        <v>34005225</v>
      </c>
      <c r="U552" s="8">
        <v>1854515</v>
      </c>
      <c r="X552" s="8">
        <f>+'St of Net Assets - GA'!O535-'LT _Lia - GA'!U552</f>
        <v>0</v>
      </c>
    </row>
    <row r="553" spans="1:24">
      <c r="A553" s="13" t="s">
        <v>697</v>
      </c>
      <c r="B553" s="13"/>
      <c r="C553" s="13" t="s">
        <v>64</v>
      </c>
      <c r="D553" s="13"/>
      <c r="E553" s="32">
        <v>44990</v>
      </c>
      <c r="G553" s="8">
        <f>35805000+837514</f>
        <v>36642514</v>
      </c>
      <c r="I553" s="8">
        <v>0</v>
      </c>
      <c r="K553" s="8">
        <v>0</v>
      </c>
      <c r="M553" s="8">
        <v>0</v>
      </c>
      <c r="O553" s="8">
        <v>3436775</v>
      </c>
      <c r="Q553" s="8">
        <v>0</v>
      </c>
      <c r="S553" s="9">
        <f t="shared" si="16"/>
        <v>40079289</v>
      </c>
      <c r="U553" s="8">
        <v>1122950</v>
      </c>
      <c r="X553" s="8">
        <f>+'St of Net Assets - GA'!O537-'LT _Lia - GA'!U553</f>
        <v>0</v>
      </c>
    </row>
    <row r="554" spans="1:24">
      <c r="A554" s="13" t="s">
        <v>725</v>
      </c>
      <c r="B554" s="13"/>
      <c r="C554" s="13" t="s">
        <v>70</v>
      </c>
      <c r="D554" s="13"/>
      <c r="E554" s="32">
        <v>50500</v>
      </c>
      <c r="G554" s="8">
        <v>0</v>
      </c>
      <c r="I554" s="8">
        <v>0</v>
      </c>
      <c r="K554" s="8">
        <v>0</v>
      </c>
      <c r="M554" s="8">
        <v>0</v>
      </c>
      <c r="O554" s="8">
        <v>2451794</v>
      </c>
      <c r="Q554" s="8">
        <v>0</v>
      </c>
      <c r="S554" s="9">
        <f t="shared" si="16"/>
        <v>2451794</v>
      </c>
      <c r="U554" s="8">
        <v>44246</v>
      </c>
      <c r="X554" s="8">
        <f>+'St of Net Assets - GA'!O538-'LT _Lia - GA'!U554</f>
        <v>0</v>
      </c>
    </row>
    <row r="555" spans="1:24">
      <c r="A555" s="13" t="s">
        <v>328</v>
      </c>
      <c r="B555" s="13"/>
      <c r="C555" s="13" t="s">
        <v>20</v>
      </c>
      <c r="D555" s="13"/>
      <c r="E555" s="32">
        <v>45005</v>
      </c>
      <c r="G555" s="8">
        <v>22607483</v>
      </c>
      <c r="I555" s="8">
        <v>0</v>
      </c>
      <c r="K555" s="8">
        <v>275000</v>
      </c>
      <c r="M555" s="8">
        <v>61814</v>
      </c>
      <c r="O555" s="8">
        <v>2896121</v>
      </c>
      <c r="Q555" s="8">
        <v>1241812</v>
      </c>
      <c r="S555" s="9">
        <f t="shared" si="16"/>
        <v>27082230</v>
      </c>
      <c r="U555" s="8">
        <v>2198343</v>
      </c>
      <c r="X555" s="8">
        <f>+'St of Net Assets - GA'!O539-'LT _Lia - GA'!U555</f>
        <v>0</v>
      </c>
    </row>
    <row r="557" spans="1:24">
      <c r="A557" s="13"/>
      <c r="B557" s="13"/>
      <c r="C557" s="13"/>
      <c r="D557" s="13"/>
      <c r="E557" s="32"/>
      <c r="S557" s="9"/>
      <c r="U557" s="8" t="s">
        <v>819</v>
      </c>
    </row>
    <row r="558" spans="1:24" s="35" customFormat="1">
      <c r="A558" s="34" t="s">
        <v>355</v>
      </c>
      <c r="B558" s="34"/>
      <c r="C558" s="34" t="s">
        <v>26</v>
      </c>
      <c r="D558" s="34"/>
      <c r="E558" s="34">
        <v>45013</v>
      </c>
      <c r="G558" s="35">
        <f>80000+15755000+3630000+1020000+274699+259845</f>
        <v>21019544</v>
      </c>
      <c r="I558" s="35">
        <v>0</v>
      </c>
      <c r="K558" s="35">
        <v>0</v>
      </c>
      <c r="M558" s="35">
        <v>79288</v>
      </c>
      <c r="O558" s="35">
        <v>1263764</v>
      </c>
      <c r="Q558" s="35">
        <v>0</v>
      </c>
      <c r="S558" s="44">
        <f>SUM(G558:R558)</f>
        <v>22362596</v>
      </c>
      <c r="U558" s="35">
        <v>537919</v>
      </c>
      <c r="X558" s="35">
        <f>+'St of Net Assets - GA'!O540-'LT _Lia - GA'!U558</f>
        <v>0</v>
      </c>
    </row>
    <row r="559" spans="1:24">
      <c r="A559" s="13" t="s">
        <v>509</v>
      </c>
      <c r="B559" s="13"/>
      <c r="C559" s="13" t="s">
        <v>118</v>
      </c>
      <c r="D559" s="13"/>
      <c r="E559" s="13">
        <v>48231</v>
      </c>
      <c r="G559" s="8">
        <v>85000</v>
      </c>
      <c r="I559" s="8">
        <v>0</v>
      </c>
      <c r="K559" s="8">
        <v>2793000</v>
      </c>
      <c r="M559" s="8">
        <v>0</v>
      </c>
      <c r="O559" s="8">
        <v>4202837</v>
      </c>
      <c r="Q559" s="8">
        <v>0</v>
      </c>
      <c r="S559" s="9">
        <f t="shared" si="16"/>
        <v>7080837</v>
      </c>
      <c r="U559" s="8">
        <v>1417578</v>
      </c>
      <c r="X559" s="8">
        <f>+'St of Net Assets - GA'!O541-'LT _Lia - GA'!U559</f>
        <v>0</v>
      </c>
    </row>
    <row r="560" spans="1:24">
      <c r="A560" s="13" t="s">
        <v>638</v>
      </c>
      <c r="B560" s="13"/>
      <c r="C560" s="13" t="s">
        <v>59</v>
      </c>
      <c r="D560" s="13"/>
      <c r="E560" s="32">
        <v>49650</v>
      </c>
      <c r="G560" s="8">
        <f>1966227-508373-394988</f>
        <v>1062866</v>
      </c>
      <c r="I560" s="8">
        <v>0</v>
      </c>
      <c r="K560" s="8">
        <v>0</v>
      </c>
      <c r="M560" s="8">
        <v>508373</v>
      </c>
      <c r="O560" s="8">
        <v>394988</v>
      </c>
      <c r="Q560" s="8">
        <v>0</v>
      </c>
      <c r="S560" s="9">
        <f t="shared" si="16"/>
        <v>1966227</v>
      </c>
      <c r="U560" s="8">
        <v>432229</v>
      </c>
      <c r="X560" s="8">
        <f>+'St of Net Assets - GA'!O542-'LT _Lia - GA'!U560</f>
        <v>0</v>
      </c>
    </row>
    <row r="561" spans="1:24">
      <c r="A561" s="13" t="s">
        <v>603</v>
      </c>
      <c r="B561" s="13"/>
      <c r="C561" s="13" t="s">
        <v>56</v>
      </c>
      <c r="D561" s="13"/>
      <c r="E561" s="32">
        <v>49247</v>
      </c>
      <c r="G561" s="8">
        <f>1435000+7230000+164999+147047+657560-556245</f>
        <v>9078361</v>
      </c>
      <c r="I561" s="8">
        <v>0</v>
      </c>
      <c r="K561" s="8">
        <v>0</v>
      </c>
      <c r="M561" s="8">
        <v>36187</v>
      </c>
      <c r="O561" s="8">
        <v>762492</v>
      </c>
      <c r="Q561" s="8">
        <v>0</v>
      </c>
      <c r="S561" s="9">
        <f t="shared" si="16"/>
        <v>9877040</v>
      </c>
      <c r="U561" s="8">
        <v>630132</v>
      </c>
      <c r="X561" s="8">
        <f>+'St of Net Assets - GA'!O543-'LT _Lia - GA'!U561</f>
        <v>0</v>
      </c>
    </row>
    <row r="562" spans="1:24">
      <c r="A562" s="13" t="s">
        <v>378</v>
      </c>
      <c r="B562" s="13"/>
      <c r="C562" s="13" t="s">
        <v>28</v>
      </c>
      <c r="D562" s="13"/>
      <c r="E562" s="32">
        <v>45641</v>
      </c>
      <c r="G562" s="8">
        <f>27865134+706261-349637</f>
        <v>28221758</v>
      </c>
      <c r="I562" s="8">
        <v>0</v>
      </c>
      <c r="K562" s="8">
        <v>0</v>
      </c>
      <c r="M562" s="8">
        <v>0</v>
      </c>
      <c r="O562" s="8">
        <v>1335988</v>
      </c>
      <c r="Q562" s="8">
        <v>0</v>
      </c>
      <c r="S562" s="9">
        <f t="shared" si="16"/>
        <v>29557746</v>
      </c>
      <c r="U562" s="8">
        <v>1180589</v>
      </c>
      <c r="X562" s="8">
        <f>+'St of Net Assets - GA'!O544-'LT _Lia - GA'!U562</f>
        <v>0</v>
      </c>
    </row>
    <row r="563" spans="1:24">
      <c r="A563" s="13" t="s">
        <v>593</v>
      </c>
      <c r="B563" s="13"/>
      <c r="C563" s="13" t="s">
        <v>55</v>
      </c>
      <c r="D563" s="13"/>
      <c r="E563" s="32">
        <v>49148</v>
      </c>
      <c r="G563" s="8">
        <f>9978295-1099435-1593228</f>
        <v>7285632</v>
      </c>
      <c r="I563" s="8">
        <v>0</v>
      </c>
      <c r="K563" s="8">
        <v>0</v>
      </c>
      <c r="M563" s="8">
        <f>1593228</f>
        <v>1593228</v>
      </c>
      <c r="O563" s="8">
        <v>1099435</v>
      </c>
      <c r="Q563" s="8">
        <v>0</v>
      </c>
      <c r="S563" s="9">
        <f t="shared" si="16"/>
        <v>9978295</v>
      </c>
      <c r="U563" s="8">
        <v>556496</v>
      </c>
      <c r="X563" s="8">
        <f>+'St of Net Assets - GA'!O545-'LT _Lia - GA'!U563</f>
        <v>0</v>
      </c>
    </row>
    <row r="564" spans="1:24" hidden="1">
      <c r="A564" s="13" t="s">
        <v>720</v>
      </c>
      <c r="B564" s="13"/>
      <c r="C564" s="13" t="s">
        <v>69</v>
      </c>
      <c r="D564" s="13"/>
      <c r="E564" s="32">
        <v>50468</v>
      </c>
      <c r="S564" s="9">
        <f t="shared" si="16"/>
        <v>0</v>
      </c>
      <c r="X564" s="8">
        <f>+'St of Net Assets - GA'!O546-'LT _Lia - GA'!U564</f>
        <v>0</v>
      </c>
    </row>
    <row r="565" spans="1:24" hidden="1">
      <c r="A565" s="13" t="s">
        <v>585</v>
      </c>
      <c r="B565" s="13"/>
      <c r="C565" s="13" t="s">
        <v>583</v>
      </c>
      <c r="D565" s="13"/>
      <c r="E565" s="32">
        <v>49031</v>
      </c>
      <c r="S565" s="9">
        <f t="shared" si="16"/>
        <v>0</v>
      </c>
      <c r="X565" s="8">
        <f>+'St of Net Assets - GA'!O547-'LT _Lia - GA'!U565</f>
        <v>0</v>
      </c>
    </row>
    <row r="566" spans="1:24" hidden="1">
      <c r="A566" s="13" t="s">
        <v>233</v>
      </c>
      <c r="B566" s="13"/>
      <c r="C566" s="13" t="s">
        <v>14</v>
      </c>
      <c r="D566" s="13"/>
      <c r="E566" s="32">
        <v>45971</v>
      </c>
      <c r="S566" s="9">
        <f t="shared" si="16"/>
        <v>0</v>
      </c>
      <c r="X566" s="8">
        <f>+'St of Net Assets - GA'!O548-'LT _Lia - GA'!U566</f>
        <v>0</v>
      </c>
    </row>
    <row r="567" spans="1:24">
      <c r="A567" s="13" t="s">
        <v>698</v>
      </c>
      <c r="B567" s="13"/>
      <c r="C567" s="13" t="s">
        <v>64</v>
      </c>
      <c r="D567" s="13"/>
      <c r="E567" s="32">
        <v>50252</v>
      </c>
      <c r="G567" s="8">
        <v>1465000</v>
      </c>
      <c r="I567" s="8">
        <v>0</v>
      </c>
      <c r="K567" s="8">
        <v>0</v>
      </c>
      <c r="M567" s="8">
        <v>1325338</v>
      </c>
      <c r="O567" s="8">
        <v>841571</v>
      </c>
      <c r="Q567" s="8">
        <v>0</v>
      </c>
      <c r="S567" s="9">
        <f t="shared" si="16"/>
        <v>3631909</v>
      </c>
      <c r="U567" s="8">
        <v>378321</v>
      </c>
      <c r="X567" s="8">
        <f>+'St of Net Assets - GA'!O549-'LT _Lia - GA'!U567</f>
        <v>0</v>
      </c>
    </row>
    <row r="568" spans="1:24">
      <c r="A568" s="13" t="s">
        <v>501</v>
      </c>
      <c r="B568" s="13"/>
      <c r="C568" s="13" t="s">
        <v>44</v>
      </c>
      <c r="D568" s="13"/>
      <c r="E568" s="32">
        <v>45658</v>
      </c>
      <c r="G568" s="8">
        <v>0</v>
      </c>
      <c r="I568" s="8">
        <v>0</v>
      </c>
      <c r="K568" s="8">
        <v>0</v>
      </c>
      <c r="M568" s="8">
        <v>0</v>
      </c>
      <c r="O568" s="8">
        <v>1089480</v>
      </c>
      <c r="Q568" s="8">
        <v>0</v>
      </c>
      <c r="S568" s="9">
        <f t="shared" si="16"/>
        <v>1089480</v>
      </c>
      <c r="U568" s="8">
        <v>34311</v>
      </c>
      <c r="X568" s="8">
        <f>+'St of Net Assets - GA'!O550-'LT _Lia - GA'!U568</f>
        <v>0</v>
      </c>
    </row>
    <row r="569" spans="1:24">
      <c r="A569" s="13" t="s">
        <v>454</v>
      </c>
      <c r="B569" s="13"/>
      <c r="C569" s="13" t="s">
        <v>38</v>
      </c>
      <c r="D569" s="13"/>
      <c r="E569" s="32">
        <v>45021</v>
      </c>
      <c r="G569" s="8">
        <v>2760000</v>
      </c>
      <c r="I569" s="8">
        <v>0</v>
      </c>
      <c r="K569" s="8">
        <v>0</v>
      </c>
      <c r="M569" s="8">
        <v>0</v>
      </c>
      <c r="O569" s="8">
        <v>633748</v>
      </c>
      <c r="Q569" s="8">
        <v>0</v>
      </c>
      <c r="S569" s="9">
        <f t="shared" si="16"/>
        <v>3393748</v>
      </c>
      <c r="U569" s="8">
        <v>175081</v>
      </c>
      <c r="X569" s="8">
        <f>+'St of Net Assets - GA'!O551-'LT _Lia - GA'!U569</f>
        <v>0</v>
      </c>
    </row>
    <row r="570" spans="1:24">
      <c r="A570" s="13" t="s">
        <v>290</v>
      </c>
      <c r="B570" s="13"/>
      <c r="C570" s="13" t="s">
        <v>115</v>
      </c>
      <c r="D570" s="13"/>
      <c r="E570" s="32">
        <v>45039</v>
      </c>
      <c r="G570" s="8">
        <v>1270000</v>
      </c>
      <c r="I570" s="8">
        <v>280000</v>
      </c>
      <c r="K570" s="8">
        <v>0</v>
      </c>
      <c r="M570" s="8">
        <v>56848</v>
      </c>
      <c r="O570" s="8">
        <v>527154</v>
      </c>
      <c r="Q570" s="8">
        <v>0</v>
      </c>
      <c r="S570" s="9">
        <f t="shared" si="16"/>
        <v>2134002</v>
      </c>
      <c r="U570" s="8">
        <v>100619</v>
      </c>
      <c r="X570" s="8">
        <f>+'St of Net Assets - GA'!O552-'LT _Lia - GA'!U570</f>
        <v>0</v>
      </c>
    </row>
    <row r="571" spans="1:24">
      <c r="A571" s="13" t="s">
        <v>524</v>
      </c>
      <c r="B571" s="13"/>
      <c r="C571" s="13" t="s">
        <v>45</v>
      </c>
      <c r="D571" s="13"/>
      <c r="E571" s="32">
        <v>48389</v>
      </c>
      <c r="G571" s="8">
        <f>7227823+459731-350948</f>
        <v>7336606</v>
      </c>
      <c r="I571" s="8">
        <v>0</v>
      </c>
      <c r="K571" s="8">
        <v>0</v>
      </c>
      <c r="M571" s="8">
        <v>0</v>
      </c>
      <c r="O571" s="8">
        <v>1042017</v>
      </c>
      <c r="Q571" s="8">
        <v>0</v>
      </c>
      <c r="S571" s="9">
        <f t="shared" si="16"/>
        <v>8378623</v>
      </c>
      <c r="U571" s="8">
        <v>535067</v>
      </c>
      <c r="X571" s="8">
        <f>+'St of Net Assets - GA'!O553-'LT _Lia - GA'!U571</f>
        <v>0</v>
      </c>
    </row>
    <row r="572" spans="1:24">
      <c r="A572" s="13" t="s">
        <v>276</v>
      </c>
      <c r="B572" s="13"/>
      <c r="C572" s="13" t="s">
        <v>116</v>
      </c>
      <c r="D572" s="13"/>
      <c r="E572" s="32">
        <v>46359</v>
      </c>
      <c r="G572" s="8">
        <v>39205593</v>
      </c>
      <c r="I572" s="8">
        <v>0</v>
      </c>
      <c r="K572" s="8">
        <v>0</v>
      </c>
      <c r="M572" s="8">
        <v>6432443</v>
      </c>
      <c r="O572" s="8">
        <v>2257082</v>
      </c>
      <c r="Q572" s="8">
        <v>0</v>
      </c>
      <c r="S572" s="9">
        <f>SUM(G572:R572)</f>
        <v>47895118</v>
      </c>
      <c r="U572" s="8">
        <v>2998944</v>
      </c>
      <c r="X572" s="8">
        <f>+'St of Net Assets - GA'!O554-'LT _Lia - GA'!U572</f>
        <v>0</v>
      </c>
    </row>
    <row r="573" spans="1:24">
      <c r="A573" s="13" t="s">
        <v>387</v>
      </c>
      <c r="B573" s="13"/>
      <c r="C573" s="13" t="s">
        <v>30</v>
      </c>
      <c r="D573" s="13"/>
      <c r="E573" s="13">
        <v>47225</v>
      </c>
      <c r="G573" s="8">
        <v>10480000</v>
      </c>
      <c r="I573" s="8">
        <v>0</v>
      </c>
      <c r="K573" s="8">
        <v>1175000</v>
      </c>
      <c r="M573" s="8">
        <f>328636+698353</f>
        <v>1026989</v>
      </c>
      <c r="O573" s="8">
        <v>1515855</v>
      </c>
      <c r="Q573" s="8">
        <v>37500</v>
      </c>
      <c r="S573" s="9">
        <f t="shared" si="16"/>
        <v>14235344</v>
      </c>
      <c r="U573" s="8">
        <v>2757354</v>
      </c>
      <c r="X573" s="8">
        <f>+'St of Net Assets - GA'!O557-'LT _Lia - GA'!U573</f>
        <v>0</v>
      </c>
    </row>
    <row r="574" spans="1:24">
      <c r="A574" s="13" t="s">
        <v>447</v>
      </c>
      <c r="B574" s="13"/>
      <c r="C574" s="13" t="s">
        <v>36</v>
      </c>
      <c r="D574" s="13"/>
      <c r="E574" s="32">
        <v>47696</v>
      </c>
      <c r="G574" s="8">
        <f>11945000+104986</f>
        <v>12049986</v>
      </c>
      <c r="I574" s="8">
        <v>0</v>
      </c>
      <c r="K574" s="8">
        <v>0</v>
      </c>
      <c r="M574" s="8">
        <v>102241</v>
      </c>
      <c r="O574" s="8">
        <v>2167838</v>
      </c>
      <c r="Q574" s="8">
        <f>-669433+840940+603212</f>
        <v>774719</v>
      </c>
      <c r="S574" s="9">
        <f t="shared" si="16"/>
        <v>15094784</v>
      </c>
      <c r="U574" s="8">
        <v>723512</v>
      </c>
      <c r="X574" s="8">
        <f>+'St of Net Assets - GA'!O558-'LT _Lia - GA'!U574</f>
        <v>0</v>
      </c>
    </row>
    <row r="575" spans="1:24">
      <c r="A575" s="13" t="s">
        <v>263</v>
      </c>
      <c r="B575" s="13"/>
      <c r="C575" s="13" t="s">
        <v>259</v>
      </c>
      <c r="D575" s="13"/>
      <c r="E575" s="13">
        <v>46219</v>
      </c>
      <c r="G575" s="8">
        <v>280000</v>
      </c>
      <c r="I575" s="8">
        <v>0</v>
      </c>
      <c r="K575" s="8">
        <v>0</v>
      </c>
      <c r="M575" s="8">
        <v>234611</v>
      </c>
      <c r="O575" s="8">
        <v>752351</v>
      </c>
      <c r="Q575" s="8">
        <v>0</v>
      </c>
      <c r="S575" s="9">
        <f>SUM(G575:R575)</f>
        <v>1266962</v>
      </c>
      <c r="U575" s="8">
        <v>342073</v>
      </c>
      <c r="X575" s="8">
        <f>+'St of Net Assets - GA'!O559-'LT _Lia - GA'!U575</f>
        <v>0</v>
      </c>
    </row>
    <row r="576" spans="1:24">
      <c r="A576" s="13" t="s">
        <v>575</v>
      </c>
      <c r="B576" s="13"/>
      <c r="C576" s="13" t="s">
        <v>51</v>
      </c>
      <c r="D576" s="13"/>
      <c r="E576" s="32">
        <v>48884</v>
      </c>
      <c r="G576" s="8">
        <v>22114244</v>
      </c>
      <c r="I576" s="8">
        <v>0</v>
      </c>
      <c r="K576" s="8">
        <v>0</v>
      </c>
      <c r="M576" s="8">
        <v>1724378</v>
      </c>
      <c r="O576" s="8">
        <v>696814</v>
      </c>
      <c r="Q576" s="8">
        <v>0</v>
      </c>
      <c r="S576" s="9">
        <f t="shared" ref="S576:S603" si="17">SUM(G576:R576)</f>
        <v>24535436</v>
      </c>
      <c r="U576" s="8">
        <v>699655</v>
      </c>
      <c r="X576" s="8">
        <f>+'St of Net Assets - GA'!O560-'LT _Lia - GA'!U576</f>
        <v>0</v>
      </c>
    </row>
    <row r="577" spans="1:27">
      <c r="A577" s="13" t="s">
        <v>244</v>
      </c>
      <c r="B577" s="13"/>
      <c r="C577" s="13" t="s">
        <v>77</v>
      </c>
      <c r="D577" s="13"/>
      <c r="E577" s="32">
        <v>46060</v>
      </c>
      <c r="G577" s="8">
        <v>5320000</v>
      </c>
      <c r="I577" s="8">
        <v>0</v>
      </c>
      <c r="K577" s="8">
        <v>0</v>
      </c>
      <c r="M577" s="8">
        <v>33000</v>
      </c>
      <c r="O577" s="8">
        <v>154745</v>
      </c>
      <c r="Q577" s="8">
        <v>0</v>
      </c>
      <c r="S577" s="9">
        <f t="shared" si="17"/>
        <v>5507745</v>
      </c>
      <c r="U577" s="8">
        <v>442745</v>
      </c>
      <c r="X577" s="8">
        <f>+'St of Net Assets - GA'!O561-'LT _Lia - GA'!U577</f>
        <v>0</v>
      </c>
    </row>
    <row r="578" spans="1:27">
      <c r="A578" s="13" t="s">
        <v>594</v>
      </c>
      <c r="B578" s="13"/>
      <c r="C578" s="13" t="s">
        <v>55</v>
      </c>
      <c r="D578" s="13"/>
      <c r="E578" s="32">
        <v>49155</v>
      </c>
      <c r="G578" s="8">
        <v>660000</v>
      </c>
      <c r="I578" s="8">
        <v>0</v>
      </c>
      <c r="K578" s="8">
        <v>0</v>
      </c>
      <c r="M578" s="8">
        <v>0</v>
      </c>
      <c r="O578" s="8">
        <v>355141</v>
      </c>
      <c r="Q578" s="8">
        <v>0</v>
      </c>
      <c r="S578" s="9">
        <f t="shared" si="17"/>
        <v>1015141</v>
      </c>
      <c r="U578" s="8">
        <v>135281</v>
      </c>
      <c r="X578" s="8">
        <f>+'St of Net Assets - GA'!O562-'LT _Lia - GA'!U578</f>
        <v>0</v>
      </c>
    </row>
    <row r="579" spans="1:27" ht="12" customHeight="1">
      <c r="A579" s="13" t="s">
        <v>452</v>
      </c>
      <c r="B579" s="13"/>
      <c r="C579" s="13" t="s">
        <v>37</v>
      </c>
      <c r="D579" s="13"/>
      <c r="E579" s="32">
        <v>47746</v>
      </c>
      <c r="G579" s="8">
        <v>2912964</v>
      </c>
      <c r="I579" s="8">
        <v>0</v>
      </c>
      <c r="K579" s="8">
        <v>0</v>
      </c>
      <c r="M579" s="8">
        <v>92401</v>
      </c>
      <c r="O579" s="8">
        <v>589078</v>
      </c>
      <c r="Q579" s="8">
        <v>0</v>
      </c>
      <c r="S579" s="9">
        <f t="shared" si="17"/>
        <v>3594443</v>
      </c>
      <c r="U579" s="8">
        <v>190560</v>
      </c>
      <c r="X579" s="8">
        <f>+'St of Net Assets - GA'!O563-'LT _Lia - GA'!U579</f>
        <v>0</v>
      </c>
    </row>
    <row r="580" spans="1:27" ht="12" customHeight="1">
      <c r="A580" s="13" t="s">
        <v>452</v>
      </c>
      <c r="B580" s="13"/>
      <c r="C580" s="13" t="s">
        <v>45</v>
      </c>
      <c r="D580" s="13"/>
      <c r="E580" s="32">
        <v>48397</v>
      </c>
      <c r="G580" s="8">
        <v>0</v>
      </c>
      <c r="I580" s="8">
        <v>0</v>
      </c>
      <c r="K580" s="8">
        <v>0</v>
      </c>
      <c r="M580" s="8">
        <v>0</v>
      </c>
      <c r="O580" s="8">
        <v>557648</v>
      </c>
      <c r="Q580" s="8">
        <v>28643</v>
      </c>
      <c r="S580" s="9">
        <f t="shared" si="17"/>
        <v>586291</v>
      </c>
      <c r="U580" s="8">
        <v>32273</v>
      </c>
      <c r="X580" s="8">
        <f>+'St of Net Assets - GA'!O564-'LT _Lia - GA'!U580</f>
        <v>0</v>
      </c>
    </row>
    <row r="581" spans="1:27" ht="12" customHeight="1">
      <c r="A581" s="13" t="s">
        <v>369</v>
      </c>
      <c r="B581" s="13"/>
      <c r="C581" s="13" t="s">
        <v>27</v>
      </c>
      <c r="D581" s="13"/>
      <c r="E581" s="32">
        <v>45047</v>
      </c>
      <c r="G581" s="8">
        <v>109777140</v>
      </c>
      <c r="I581" s="8">
        <v>0</v>
      </c>
      <c r="K581" s="8">
        <v>0</v>
      </c>
      <c r="M581" s="8">
        <v>0</v>
      </c>
      <c r="O581" s="8">
        <v>10607285</v>
      </c>
      <c r="Q581" s="8">
        <v>0</v>
      </c>
      <c r="S581" s="9">
        <f t="shared" si="17"/>
        <v>120384425</v>
      </c>
      <c r="U581" s="8">
        <v>6329932</v>
      </c>
      <c r="X581" s="8">
        <f>+'St of Net Assets - GA'!O565-'LT _Lia - GA'!U581</f>
        <v>0</v>
      </c>
      <c r="Z581" s="45"/>
    </row>
    <row r="582" spans="1:27" ht="12" customHeight="1">
      <c r="A582" s="13" t="s">
        <v>591</v>
      </c>
      <c r="B582" s="13"/>
      <c r="C582" s="13" t="s">
        <v>54</v>
      </c>
      <c r="D582" s="13"/>
      <c r="E582" s="32">
        <v>49106</v>
      </c>
      <c r="G582" s="8">
        <v>5292869</v>
      </c>
      <c r="I582" s="8">
        <v>0</v>
      </c>
      <c r="K582" s="8">
        <v>0</v>
      </c>
      <c r="M582" s="8">
        <v>526851</v>
      </c>
      <c r="O582" s="8">
        <v>859234</v>
      </c>
      <c r="Q582" s="8">
        <v>549863</v>
      </c>
      <c r="S582" s="9">
        <f t="shared" si="17"/>
        <v>7228817</v>
      </c>
      <c r="U582" s="8">
        <v>457748</v>
      </c>
      <c r="X582" s="8">
        <f>+'St of Net Assets - GA'!O566-'LT _Lia - GA'!U582</f>
        <v>0</v>
      </c>
    </row>
    <row r="583" spans="1:27" ht="12" customHeight="1">
      <c r="A583" s="13" t="s">
        <v>329</v>
      </c>
      <c r="B583" s="13"/>
      <c r="C583" s="13" t="s">
        <v>20</v>
      </c>
      <c r="D583" s="13"/>
      <c r="E583" s="32">
        <v>45062</v>
      </c>
      <c r="G583" s="8">
        <v>24745683</v>
      </c>
      <c r="I583" s="8">
        <v>0</v>
      </c>
      <c r="K583" s="8">
        <v>0</v>
      </c>
      <c r="M583" s="8">
        <v>11167</v>
      </c>
      <c r="O583" s="8">
        <v>3472421</v>
      </c>
      <c r="Q583" s="8">
        <v>725000</v>
      </c>
      <c r="S583" s="9">
        <f t="shared" si="17"/>
        <v>28954271</v>
      </c>
      <c r="U583" s="8">
        <v>2470049</v>
      </c>
      <c r="X583" s="8">
        <f>+'St of Net Assets - GA'!O567-'LT _Lia - GA'!U583</f>
        <v>0</v>
      </c>
    </row>
    <row r="584" spans="1:27" ht="12" customHeight="1">
      <c r="A584" s="13" t="s">
        <v>639</v>
      </c>
      <c r="B584" s="13"/>
      <c r="C584" s="13" t="s">
        <v>59</v>
      </c>
      <c r="D584" s="13"/>
      <c r="E584" s="32">
        <v>49668</v>
      </c>
      <c r="G584" s="8">
        <f>2805000+6545000</f>
        <v>9350000</v>
      </c>
      <c r="I584" s="8">
        <v>0</v>
      </c>
      <c r="K584" s="8">
        <v>0</v>
      </c>
      <c r="M584" s="8">
        <v>582000</v>
      </c>
      <c r="O584" s="8">
        <v>638941</v>
      </c>
      <c r="Q584" s="8">
        <v>268684</v>
      </c>
      <c r="S584" s="9">
        <f t="shared" si="17"/>
        <v>10839625</v>
      </c>
      <c r="U584" s="8">
        <v>359331</v>
      </c>
      <c r="X584" s="8">
        <f>+'St of Net Assets - GA'!O568-'LT _Lia - GA'!U584</f>
        <v>0</v>
      </c>
    </row>
    <row r="585" spans="1:27">
      <c r="A585" s="13" t="s">
        <v>370</v>
      </c>
      <c r="B585" s="13"/>
      <c r="C585" s="13" t="s">
        <v>27</v>
      </c>
      <c r="D585" s="13"/>
      <c r="E585" s="32">
        <v>45070</v>
      </c>
      <c r="G585" s="8">
        <v>1935102</v>
      </c>
      <c r="I585" s="8">
        <v>0</v>
      </c>
      <c r="K585" s="8">
        <v>0</v>
      </c>
      <c r="M585" s="8">
        <v>0</v>
      </c>
      <c r="O585" s="8">
        <v>1204525</v>
      </c>
      <c r="Q585" s="8">
        <v>0</v>
      </c>
      <c r="S585" s="9">
        <f t="shared" si="17"/>
        <v>3139627</v>
      </c>
      <c r="U585" s="8">
        <v>1585000</v>
      </c>
      <c r="X585" s="8">
        <f>+'St of Net Assets - GA'!O569-'LT _Lia - GA'!U585</f>
        <v>0</v>
      </c>
      <c r="AA585" s="8" t="s">
        <v>136</v>
      </c>
    </row>
    <row r="586" spans="1:27" hidden="1">
      <c r="A586" s="13" t="s">
        <v>873</v>
      </c>
      <c r="B586" s="13"/>
      <c r="C586" s="13" t="s">
        <v>41</v>
      </c>
      <c r="D586" s="13"/>
      <c r="E586" s="32">
        <v>45088</v>
      </c>
      <c r="G586" s="8">
        <v>0</v>
      </c>
      <c r="I586" s="8">
        <v>0</v>
      </c>
      <c r="K586" s="8">
        <v>0</v>
      </c>
      <c r="M586" s="8">
        <v>0</v>
      </c>
      <c r="O586" s="8">
        <v>0</v>
      </c>
      <c r="Q586" s="8">
        <v>0</v>
      </c>
      <c r="S586" s="9">
        <f t="shared" si="17"/>
        <v>0</v>
      </c>
      <c r="U586" s="8">
        <v>0</v>
      </c>
      <c r="X586" s="8">
        <f>+'St of Net Assets - GA'!O570-'LT _Lia - GA'!U586</f>
        <v>0</v>
      </c>
    </row>
    <row r="587" spans="1:27">
      <c r="A587" s="13" t="s">
        <v>453</v>
      </c>
      <c r="B587" s="13"/>
      <c r="C587" s="13" t="s">
        <v>37</v>
      </c>
      <c r="D587" s="13"/>
      <c r="E587" s="32">
        <v>45096</v>
      </c>
      <c r="G587" s="8">
        <v>2575000</v>
      </c>
      <c r="I587" s="8">
        <v>345883</v>
      </c>
      <c r="K587" s="8">
        <v>0</v>
      </c>
      <c r="M587" s="8">
        <v>241747</v>
      </c>
      <c r="O587" s="8">
        <v>1157663</v>
      </c>
      <c r="Q587" s="8">
        <v>0</v>
      </c>
      <c r="S587" s="9">
        <f t="shared" si="17"/>
        <v>4320293</v>
      </c>
      <c r="U587" s="8">
        <v>443593</v>
      </c>
      <c r="X587" s="8">
        <f>+'St of Net Assets - GA'!O571-'LT _Lia - GA'!U587</f>
        <v>0</v>
      </c>
    </row>
    <row r="588" spans="1:27">
      <c r="A588" s="13" t="s">
        <v>277</v>
      </c>
      <c r="B588" s="13"/>
      <c r="C588" s="13" t="s">
        <v>116</v>
      </c>
      <c r="D588" s="13"/>
      <c r="E588" s="13">
        <v>46367</v>
      </c>
      <c r="G588" s="8">
        <f>3222074-425923</f>
        <v>2796151</v>
      </c>
      <c r="I588" s="8">
        <v>425923</v>
      </c>
      <c r="K588" s="8">
        <v>0</v>
      </c>
      <c r="M588" s="8">
        <v>0</v>
      </c>
      <c r="O588" s="8">
        <v>604908</v>
      </c>
      <c r="Q588" s="8">
        <v>88140</v>
      </c>
      <c r="S588" s="9">
        <f t="shared" si="17"/>
        <v>3915122</v>
      </c>
      <c r="U588" s="8">
        <v>332936</v>
      </c>
      <c r="X588" s="8">
        <f>+'St of Net Assets - GA'!O572-'LT _Lia - GA'!U588</f>
        <v>0</v>
      </c>
    </row>
    <row r="589" spans="1:27">
      <c r="A589" s="13" t="s">
        <v>469</v>
      </c>
      <c r="B589" s="13"/>
      <c r="C589" s="13" t="s">
        <v>41</v>
      </c>
      <c r="D589" s="13"/>
      <c r="E589" s="32">
        <v>45104</v>
      </c>
      <c r="G589" s="8">
        <v>1190000</v>
      </c>
      <c r="I589" s="8">
        <v>0</v>
      </c>
      <c r="K589" s="8">
        <v>0</v>
      </c>
      <c r="M589" s="8">
        <v>0</v>
      </c>
      <c r="O589" s="8">
        <v>6999983</v>
      </c>
      <c r="Q589" s="8">
        <f>3653494-25043+43949</f>
        <v>3672400</v>
      </c>
      <c r="S589" s="9">
        <f t="shared" si="17"/>
        <v>11862383</v>
      </c>
      <c r="U589" s="8">
        <v>2491943</v>
      </c>
      <c r="X589" s="8">
        <f>+'St of Net Assets - GA'!O573-'LT _Lia - GA'!U589</f>
        <v>0</v>
      </c>
    </row>
    <row r="590" spans="1:27">
      <c r="A590" s="13" t="s">
        <v>281</v>
      </c>
      <c r="B590" s="13"/>
      <c r="C590" s="13" t="s">
        <v>18</v>
      </c>
      <c r="D590" s="13"/>
      <c r="E590" s="32">
        <v>45112</v>
      </c>
      <c r="G590" s="8">
        <f>2650000+2865000+2955000+110000+43310+200107</f>
        <v>8823417</v>
      </c>
      <c r="I590" s="8">
        <v>0</v>
      </c>
      <c r="K590" s="8">
        <v>0</v>
      </c>
      <c r="M590" s="8">
        <v>1975000</v>
      </c>
      <c r="O590" s="8">
        <v>1066271</v>
      </c>
      <c r="Q590" s="8">
        <v>0</v>
      </c>
      <c r="S590" s="9">
        <f t="shared" si="17"/>
        <v>11864688</v>
      </c>
      <c r="U590" s="8">
        <v>1522084</v>
      </c>
      <c r="X590" s="8">
        <f>+'St of Net Assets - GA'!O574-'LT _Lia - GA'!U590</f>
        <v>0</v>
      </c>
    </row>
    <row r="591" spans="1:27">
      <c r="A591" s="13" t="s">
        <v>604</v>
      </c>
      <c r="B591" s="13"/>
      <c r="C591" s="13" t="s">
        <v>56</v>
      </c>
      <c r="D591" s="13"/>
      <c r="E591" s="32">
        <v>45666</v>
      </c>
      <c r="G591" s="8">
        <v>671962</v>
      </c>
      <c r="I591" s="8">
        <v>0</v>
      </c>
      <c r="K591" s="8">
        <v>0</v>
      </c>
      <c r="M591" s="8">
        <v>63756</v>
      </c>
      <c r="O591" s="8">
        <v>620526</v>
      </c>
      <c r="Q591" s="8">
        <v>35084</v>
      </c>
      <c r="S591" s="9">
        <f t="shared" si="17"/>
        <v>1391328</v>
      </c>
      <c r="U591" s="8">
        <v>151620</v>
      </c>
      <c r="X591" s="8">
        <f>+'St of Net Assets - GA'!O575-'LT _Lia - GA'!U591</f>
        <v>0</v>
      </c>
    </row>
    <row r="592" spans="1:27">
      <c r="A592" s="13" t="s">
        <v>416</v>
      </c>
      <c r="B592" s="13"/>
      <c r="C592" s="13" t="s">
        <v>32</v>
      </c>
      <c r="D592" s="13"/>
      <c r="E592" s="32">
        <v>44081</v>
      </c>
      <c r="G592" s="8">
        <v>0</v>
      </c>
      <c r="I592" s="8">
        <v>0</v>
      </c>
      <c r="K592" s="8">
        <v>310000</v>
      </c>
      <c r="M592" s="8">
        <v>4560714</v>
      </c>
      <c r="O592" s="8">
        <v>3614993</v>
      </c>
      <c r="Q592" s="8">
        <v>0</v>
      </c>
      <c r="S592" s="9">
        <f t="shared" si="17"/>
        <v>8485707</v>
      </c>
      <c r="U592" s="8">
        <v>1149501</v>
      </c>
      <c r="X592" s="8">
        <f>+'St of Net Assets - GA'!O576-'LT _Lia - GA'!U592</f>
        <v>0</v>
      </c>
    </row>
    <row r="593" spans="1:24">
      <c r="A593" s="13" t="s">
        <v>726</v>
      </c>
      <c r="B593" s="13"/>
      <c r="C593" s="13" t="s">
        <v>70</v>
      </c>
      <c r="D593" s="13"/>
      <c r="E593" s="32">
        <v>50518</v>
      </c>
      <c r="G593" s="8">
        <v>6527035</v>
      </c>
      <c r="I593" s="8">
        <v>0</v>
      </c>
      <c r="K593" s="8">
        <v>0</v>
      </c>
      <c r="M593" s="8">
        <v>0</v>
      </c>
      <c r="O593" s="8">
        <v>308440</v>
      </c>
      <c r="Q593" s="8">
        <v>0</v>
      </c>
      <c r="S593" s="9">
        <f t="shared" si="17"/>
        <v>6835475</v>
      </c>
      <c r="U593" s="8">
        <v>150000</v>
      </c>
      <c r="X593" s="8">
        <f>+'St of Net Assets - GA'!O577-'LT _Lia - GA'!U593</f>
        <v>0</v>
      </c>
    </row>
    <row r="594" spans="1:24">
      <c r="A594" s="13" t="s">
        <v>630</v>
      </c>
      <c r="B594" s="13"/>
      <c r="C594" s="13" t="s">
        <v>79</v>
      </c>
      <c r="D594" s="13"/>
      <c r="E594" s="32">
        <v>49577</v>
      </c>
      <c r="G594" s="8">
        <v>425000</v>
      </c>
      <c r="I594" s="8">
        <v>0</v>
      </c>
      <c r="K594" s="8">
        <v>0</v>
      </c>
      <c r="M594" s="8">
        <v>77147</v>
      </c>
      <c r="O594" s="8">
        <v>815536</v>
      </c>
      <c r="Q594" s="8">
        <v>0</v>
      </c>
      <c r="S594" s="9">
        <f t="shared" si="17"/>
        <v>1317683</v>
      </c>
      <c r="U594" s="8">
        <v>509520</v>
      </c>
      <c r="X594" s="8">
        <f>+'St of Net Assets - GA'!O578-'LT _Lia - GA'!U594</f>
        <v>0</v>
      </c>
    </row>
    <row r="595" spans="1:24">
      <c r="A595" s="13" t="s">
        <v>679</v>
      </c>
      <c r="B595" s="13"/>
      <c r="C595" s="13" t="s">
        <v>63</v>
      </c>
      <c r="D595" s="13"/>
      <c r="E595" s="32">
        <v>49973</v>
      </c>
      <c r="G595" s="8">
        <v>15723511</v>
      </c>
      <c r="I595" s="8">
        <v>0</v>
      </c>
      <c r="K595" s="8">
        <v>0</v>
      </c>
      <c r="M595" s="8">
        <v>55890</v>
      </c>
      <c r="O595" s="8">
        <v>776438</v>
      </c>
      <c r="Q595" s="8">
        <v>0</v>
      </c>
      <c r="S595" s="9">
        <f t="shared" si="17"/>
        <v>16555839</v>
      </c>
      <c r="U595" s="8">
        <v>1221748</v>
      </c>
      <c r="X595" s="8">
        <f>+'St of Net Assets - GA'!O579-'LT _Lia - GA'!U595</f>
        <v>0</v>
      </c>
    </row>
    <row r="596" spans="1:24">
      <c r="A596" s="13" t="s">
        <v>874</v>
      </c>
      <c r="B596" s="13"/>
      <c r="C596" s="13" t="s">
        <v>71</v>
      </c>
      <c r="D596" s="13"/>
      <c r="E596" s="32">
        <v>45138</v>
      </c>
      <c r="G596" s="8">
        <v>23539336</v>
      </c>
      <c r="I596" s="8">
        <v>0</v>
      </c>
      <c r="K596" s="8">
        <v>0</v>
      </c>
      <c r="M596" s="8">
        <v>360074</v>
      </c>
      <c r="O596" s="8">
        <v>572055</v>
      </c>
      <c r="Q596" s="8">
        <v>0</v>
      </c>
      <c r="S596" s="9">
        <f t="shared" si="17"/>
        <v>24471465</v>
      </c>
      <c r="U596" s="8">
        <v>3177129</v>
      </c>
      <c r="X596" s="8">
        <f>+'St of Net Assets - GA'!O580-'LT _Lia - GA'!U596</f>
        <v>0</v>
      </c>
    </row>
    <row r="597" spans="1:24">
      <c r="A597" s="13" t="s">
        <v>371</v>
      </c>
      <c r="B597" s="13"/>
      <c r="C597" s="13" t="s">
        <v>27</v>
      </c>
      <c r="D597" s="13"/>
      <c r="E597" s="32">
        <v>46524</v>
      </c>
      <c r="G597" s="8">
        <v>41993753</v>
      </c>
      <c r="I597" s="8">
        <v>0</v>
      </c>
      <c r="K597" s="8">
        <v>3439000</v>
      </c>
      <c r="M597" s="8">
        <v>0</v>
      </c>
      <c r="O597" s="8">
        <v>10335072</v>
      </c>
      <c r="Q597" s="8">
        <v>5794615</v>
      </c>
      <c r="S597" s="9">
        <f t="shared" si="17"/>
        <v>61562440</v>
      </c>
      <c r="U597" s="8">
        <v>7683282</v>
      </c>
      <c r="X597" s="8">
        <f>+'St of Net Assets - GA'!O581-'LT _Lia - GA'!U597</f>
        <v>0</v>
      </c>
    </row>
    <row r="598" spans="1:24">
      <c r="A598" s="13" t="s">
        <v>299</v>
      </c>
      <c r="B598" s="13"/>
      <c r="C598" s="13" t="s">
        <v>114</v>
      </c>
      <c r="D598" s="13"/>
      <c r="E598" s="32">
        <v>45146</v>
      </c>
      <c r="G598" s="8">
        <v>6169548</v>
      </c>
      <c r="I598" s="8">
        <v>0</v>
      </c>
      <c r="K598" s="8">
        <v>0</v>
      </c>
      <c r="M598" s="8">
        <v>15945</v>
      </c>
      <c r="O598" s="8">
        <v>512028</v>
      </c>
      <c r="Q598" s="8">
        <v>0</v>
      </c>
      <c r="S598" s="9">
        <f t="shared" si="17"/>
        <v>6697521</v>
      </c>
      <c r="U598" s="8">
        <v>331988</v>
      </c>
      <c r="X598" s="8">
        <f>+'St of Net Assets - GA'!O582-'LT _Lia - GA'!U598</f>
        <v>0</v>
      </c>
    </row>
    <row r="599" spans="1:24">
      <c r="A599" s="13" t="s">
        <v>417</v>
      </c>
      <c r="B599" s="13"/>
      <c r="C599" s="13" t="s">
        <v>32</v>
      </c>
      <c r="D599" s="13"/>
      <c r="E599" s="32">
        <v>45153</v>
      </c>
      <c r="G599" s="8">
        <v>21403188</v>
      </c>
      <c r="I599" s="8">
        <v>0</v>
      </c>
      <c r="K599" s="8">
        <v>0</v>
      </c>
      <c r="M599" s="8">
        <v>2492000</v>
      </c>
      <c r="O599" s="8">
        <v>1410389</v>
      </c>
      <c r="Q599" s="8">
        <v>0</v>
      </c>
      <c r="S599" s="9">
        <f t="shared" si="17"/>
        <v>25305577</v>
      </c>
      <c r="U599" s="8">
        <v>1295274</v>
      </c>
      <c r="X599" s="8">
        <f>+'St of Net Assets - GA'!O583-'LT _Lia - GA'!U599</f>
        <v>0</v>
      </c>
    </row>
    <row r="600" spans="1:24">
      <c r="A600" s="13" t="s">
        <v>392</v>
      </c>
      <c r="B600" s="13"/>
      <c r="C600" s="13" t="s">
        <v>117</v>
      </c>
      <c r="D600" s="13"/>
      <c r="E600" s="32">
        <v>45674</v>
      </c>
      <c r="G600" s="8">
        <v>3930000</v>
      </c>
      <c r="I600" s="8">
        <v>0</v>
      </c>
      <c r="K600" s="8">
        <v>0</v>
      </c>
      <c r="M600" s="8">
        <v>58000</v>
      </c>
      <c r="O600" s="8">
        <v>246047</v>
      </c>
      <c r="Q600" s="8">
        <v>0</v>
      </c>
      <c r="S600" s="9">
        <f t="shared" si="17"/>
        <v>4234047</v>
      </c>
      <c r="U600" s="8">
        <v>159000</v>
      </c>
      <c r="X600" s="8">
        <f>+'St of Net Assets - GA'!O584-'LT _Lia - GA'!U600</f>
        <v>0</v>
      </c>
    </row>
    <row r="601" spans="1:24">
      <c r="A601" s="13" t="s">
        <v>525</v>
      </c>
      <c r="B601" s="13"/>
      <c r="C601" s="13" t="s">
        <v>45</v>
      </c>
      <c r="D601" s="13"/>
      <c r="E601" s="32">
        <v>45161</v>
      </c>
      <c r="G601" s="8">
        <v>32923404</v>
      </c>
      <c r="I601" s="8">
        <v>0</v>
      </c>
      <c r="K601" s="8">
        <v>0</v>
      </c>
      <c r="M601" s="8">
        <v>5204871</v>
      </c>
      <c r="O601" s="8">
        <v>11841671</v>
      </c>
      <c r="Q601" s="8">
        <f>192376+1345000</f>
        <v>1537376</v>
      </c>
      <c r="S601" s="9">
        <f t="shared" si="17"/>
        <v>51507322</v>
      </c>
      <c r="U601" s="8">
        <v>2901728</v>
      </c>
      <c r="X601" s="8">
        <f>+'St of Net Assets - GA'!O585-'LT _Lia - GA'!U601</f>
        <v>0</v>
      </c>
    </row>
    <row r="602" spans="1:24">
      <c r="A602" s="13" t="s">
        <v>626</v>
      </c>
      <c r="B602" s="13"/>
      <c r="C602" s="13" t="s">
        <v>58</v>
      </c>
      <c r="D602" s="13"/>
      <c r="E602" s="32">
        <v>49544</v>
      </c>
      <c r="G602" s="8">
        <v>3405000</v>
      </c>
      <c r="I602" s="8">
        <v>0</v>
      </c>
      <c r="K602" s="8">
        <v>0</v>
      </c>
      <c r="M602" s="8">
        <v>15643</v>
      </c>
      <c r="O602" s="8">
        <v>655524</v>
      </c>
      <c r="Q602" s="8">
        <v>3111000</v>
      </c>
      <c r="S602" s="9">
        <f t="shared" si="17"/>
        <v>7187167</v>
      </c>
      <c r="U602" s="8">
        <v>371432</v>
      </c>
      <c r="X602" s="8">
        <f>+'St of Net Assets - GA'!O586-'LT _Lia - GA'!U602</f>
        <v>0</v>
      </c>
    </row>
    <row r="603" spans="1:24">
      <c r="A603" s="13" t="s">
        <v>576</v>
      </c>
      <c r="B603" s="13"/>
      <c r="C603" s="13" t="s">
        <v>51</v>
      </c>
      <c r="D603" s="13"/>
      <c r="E603" s="32">
        <v>45179</v>
      </c>
      <c r="G603" s="8">
        <v>32630048</v>
      </c>
      <c r="I603" s="8">
        <v>0</v>
      </c>
      <c r="K603" s="8">
        <v>0</v>
      </c>
      <c r="M603" s="8">
        <v>132131</v>
      </c>
      <c r="O603" s="8">
        <v>1756225</v>
      </c>
      <c r="Q603" s="8">
        <v>2068326</v>
      </c>
      <c r="S603" s="9">
        <f t="shared" si="17"/>
        <v>36586730</v>
      </c>
      <c r="U603" s="8">
        <v>1606448</v>
      </c>
      <c r="X603" s="8">
        <f>+'St of Net Assets - GA'!O587-'LT _Lia - GA'!U603</f>
        <v>0</v>
      </c>
    </row>
    <row r="604" spans="1:24">
      <c r="A604" s="13"/>
      <c r="B604" s="13"/>
      <c r="C604" s="13"/>
      <c r="D604" s="13"/>
    </row>
  </sheetData>
  <phoneticPr fontId="3" type="noConversion"/>
  <pageMargins left="0.75" right="0.75" top="0.5" bottom="0.75" header="0" footer="0.25"/>
  <pageSetup firstPageNumber="186" pageOrder="overThenDown" orientation="portrait" useFirstPageNumber="1" r:id="rId1"/>
  <headerFooter alignWithMargins="0">
    <oddFooter>&amp;C&amp;"Times New Roman,Regular"&amp;12&amp;P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G1"/>
  <sheetViews>
    <sheetView topLeftCell="A339" workbookViewId="0">
      <selection activeCell="J346" sqref="J346"/>
    </sheetView>
  </sheetViews>
  <sheetFormatPr defaultRowHeight="13.2"/>
  <cols>
    <col min="1" max="4" width="8.88671875" style="10"/>
    <col min="5" max="5" width="8.88671875" style="30"/>
    <col min="6" max="6" width="8.88671875" style="10"/>
    <col min="7" max="7" width="8.88671875" style="8"/>
  </cols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22" sqref="N22:N23"/>
    </sheetView>
  </sheetViews>
  <sheetFormatPr defaultRowHeight="13.2"/>
  <cols>
    <col min="1" max="1" width="8.88671875" style="8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O703"/>
  <sheetViews>
    <sheetView view="pageBreakPreview" zoomScale="138" zoomScaleNormal="180" zoomScaleSheetLayoutView="138" workbookViewId="0">
      <pane xSplit="1" ySplit="9" topLeftCell="V502" activePane="bottomRight" state="frozen"/>
      <selection sqref="A1:IV65536"/>
      <selection pane="topRight" sqref="A1:IV65536"/>
      <selection pane="bottomLeft" sqref="A1:IV65536"/>
      <selection pane="bottomRight" activeCell="AK509" sqref="AK509"/>
    </sheetView>
  </sheetViews>
  <sheetFormatPr defaultColWidth="9.109375" defaultRowHeight="13.2"/>
  <cols>
    <col min="1" max="1" width="29.5546875" style="10" customWidth="1"/>
    <col min="2" max="2" width="1.6640625" style="10" customWidth="1"/>
    <col min="3" max="3" width="11.6640625" style="10" customWidth="1"/>
    <col min="4" max="4" width="1.6640625" style="10" hidden="1" customWidth="1"/>
    <col min="5" max="5" width="11.6640625" style="30" hidden="1" customWidth="1"/>
    <col min="6" max="6" width="1.6640625" style="10" customWidth="1"/>
    <col min="7" max="7" width="11.6640625" style="8" customWidth="1"/>
    <col min="8" max="8" width="1.6640625" style="8" customWidth="1"/>
    <col min="9" max="9" width="11.6640625" style="8" customWidth="1"/>
    <col min="10" max="10" width="1.6640625" style="8" customWidth="1"/>
    <col min="11" max="11" width="11.6640625" style="8" customWidth="1"/>
    <col min="12" max="12" width="1.6640625" style="8" customWidth="1"/>
    <col min="13" max="13" width="11.6640625" style="8" customWidth="1"/>
    <col min="14" max="14" width="1.6640625" style="8" customWidth="1"/>
    <col min="15" max="15" width="11.6640625" style="8" customWidth="1"/>
    <col min="16" max="16" width="1.6640625" style="8" customWidth="1"/>
    <col min="17" max="17" width="11.6640625" style="8" customWidth="1"/>
    <col min="18" max="18" width="1.6640625" style="8" customWidth="1"/>
    <col min="19" max="19" width="11.6640625" style="8" customWidth="1"/>
    <col min="20" max="20" width="2.109375" style="8" customWidth="1"/>
    <col min="21" max="21" width="11.6640625" style="8" customWidth="1"/>
    <col min="22" max="22" width="1.6640625" style="8" customWidth="1"/>
    <col min="23" max="23" width="11.6640625" style="8" customWidth="1"/>
    <col min="24" max="24" width="1.6640625" style="8" customWidth="1"/>
    <col min="25" max="25" width="11.6640625" style="8" customWidth="1"/>
    <col min="26" max="26" width="1.6640625" style="8" customWidth="1"/>
    <col min="27" max="27" width="11.6640625" style="8" customWidth="1"/>
    <col min="28" max="28" width="1.6640625" style="79" customWidth="1"/>
    <col min="29" max="29" width="11.6640625" style="8" customWidth="1"/>
    <col min="30" max="30" width="1.6640625" style="8" customWidth="1"/>
    <col min="31" max="31" width="11.6640625" style="8" customWidth="1"/>
    <col min="32" max="32" width="1.77734375" style="8" customWidth="1"/>
    <col min="33" max="33" width="10.44140625" style="8" hidden="1" customWidth="1"/>
    <col min="34" max="34" width="6.109375" style="10" hidden="1" customWidth="1"/>
    <col min="35" max="35" width="11.6640625" style="8" customWidth="1"/>
    <col min="36" max="36" width="1.6640625" style="10" customWidth="1"/>
    <col min="37" max="37" width="11.6640625" style="10" customWidth="1"/>
    <col min="38" max="38" width="9.109375" style="10"/>
    <col min="39" max="39" width="11.6640625" style="10" customWidth="1"/>
    <col min="40" max="40" width="9.109375" style="10"/>
    <col min="41" max="41" width="11.6640625" style="10" customWidth="1"/>
    <col min="42" max="16384" width="9.109375" style="10"/>
  </cols>
  <sheetData>
    <row r="1" spans="1:37" ht="12" customHeight="1">
      <c r="A1" s="36" t="s">
        <v>137</v>
      </c>
      <c r="B1" s="36"/>
      <c r="C1" s="36"/>
      <c r="D1" s="36"/>
      <c r="E1" s="64"/>
    </row>
    <row r="2" spans="1:37" ht="12" customHeight="1">
      <c r="A2" s="36" t="s">
        <v>912</v>
      </c>
      <c r="B2" s="36"/>
      <c r="C2" s="36"/>
      <c r="D2" s="36"/>
      <c r="E2" s="64"/>
    </row>
    <row r="3" spans="1:37" ht="12" customHeight="1">
      <c r="AI3" s="16" t="s">
        <v>3</v>
      </c>
    </row>
    <row r="4" spans="1:37" ht="12" customHeight="1">
      <c r="A4" s="36" t="s">
        <v>177</v>
      </c>
      <c r="B4" s="36"/>
      <c r="C4" s="36"/>
      <c r="D4" s="36"/>
      <c r="E4" s="64"/>
      <c r="O4" s="11"/>
      <c r="P4" s="11"/>
      <c r="AI4" s="16" t="s">
        <v>149</v>
      </c>
    </row>
    <row r="5" spans="1:37" ht="12" customHeight="1">
      <c r="A5" s="36"/>
      <c r="G5" s="19" t="s">
        <v>107</v>
      </c>
      <c r="H5" s="19"/>
      <c r="I5" s="19"/>
      <c r="J5" s="19"/>
      <c r="K5" s="19"/>
      <c r="L5" s="24" t="s">
        <v>136</v>
      </c>
      <c r="M5" s="24"/>
      <c r="O5" s="19" t="s">
        <v>131</v>
      </c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G5" s="16" t="s">
        <v>3</v>
      </c>
      <c r="AI5" s="5" t="s">
        <v>82</v>
      </c>
    </row>
    <row r="6" spans="1:37" ht="12" customHeight="1">
      <c r="A6" s="36" t="s">
        <v>819</v>
      </c>
      <c r="I6" s="16" t="s">
        <v>80</v>
      </c>
      <c r="O6" s="11"/>
      <c r="P6" s="11"/>
      <c r="AC6" s="11"/>
      <c r="AG6" s="16" t="s">
        <v>82</v>
      </c>
      <c r="AI6" s="5" t="s">
        <v>821</v>
      </c>
    </row>
    <row r="7" spans="1:37" ht="12" customHeight="1">
      <c r="I7" s="16" t="s">
        <v>128</v>
      </c>
      <c r="M7" s="16" t="s">
        <v>3</v>
      </c>
      <c r="O7" s="20"/>
      <c r="P7" s="20"/>
      <c r="Q7" s="20"/>
      <c r="R7" s="20"/>
      <c r="S7" s="20" t="s">
        <v>106</v>
      </c>
      <c r="T7" s="20"/>
      <c r="U7" s="20"/>
      <c r="V7" s="20"/>
      <c r="W7" s="20" t="s">
        <v>147</v>
      </c>
      <c r="X7" s="20"/>
      <c r="Y7" s="4" t="s">
        <v>112</v>
      </c>
      <c r="Z7" s="20"/>
      <c r="AA7" s="20"/>
      <c r="AC7" s="10"/>
      <c r="AD7" s="24"/>
      <c r="AF7" s="24"/>
      <c r="AG7" s="5" t="s">
        <v>9</v>
      </c>
      <c r="AI7" s="16" t="s">
        <v>879</v>
      </c>
    </row>
    <row r="8" spans="1:37" ht="12" customHeight="1">
      <c r="A8" s="4"/>
      <c r="B8" s="4"/>
      <c r="C8" s="4"/>
      <c r="D8" s="4"/>
      <c r="E8" s="60"/>
      <c r="F8" s="4"/>
      <c r="G8" s="16" t="s">
        <v>0</v>
      </c>
      <c r="H8" s="16"/>
      <c r="I8" s="16" t="s">
        <v>112</v>
      </c>
      <c r="J8" s="16"/>
      <c r="K8" s="16" t="s">
        <v>73</v>
      </c>
      <c r="L8" s="16"/>
      <c r="M8" s="16" t="s">
        <v>144</v>
      </c>
      <c r="O8" s="5" t="s">
        <v>108</v>
      </c>
      <c r="P8" s="5"/>
      <c r="Q8" s="5" t="s">
        <v>764</v>
      </c>
      <c r="R8" s="5"/>
      <c r="S8" s="5" t="s">
        <v>145</v>
      </c>
      <c r="T8" s="5"/>
      <c r="U8" s="16" t="s">
        <v>109</v>
      </c>
      <c r="V8" s="16"/>
      <c r="W8" s="5" t="s">
        <v>148</v>
      </c>
      <c r="X8" s="5"/>
      <c r="Y8" s="4" t="s">
        <v>185</v>
      </c>
      <c r="Z8" s="5"/>
      <c r="AA8" s="16"/>
      <c r="AC8" s="5" t="s">
        <v>170</v>
      </c>
      <c r="AD8" s="16"/>
      <c r="AE8" s="5" t="s">
        <v>769</v>
      </c>
      <c r="AF8" s="16"/>
      <c r="AG8" s="5" t="s">
        <v>766</v>
      </c>
      <c r="AI8" s="5" t="s">
        <v>769</v>
      </c>
    </row>
    <row r="9" spans="1:37" ht="12" customHeight="1">
      <c r="A9" s="75" t="s">
        <v>208</v>
      </c>
      <c r="B9" s="20"/>
      <c r="C9" s="75" t="s">
        <v>4</v>
      </c>
      <c r="D9" s="20"/>
      <c r="E9" s="61" t="s">
        <v>207</v>
      </c>
      <c r="F9" s="4"/>
      <c r="G9" s="1" t="s">
        <v>6</v>
      </c>
      <c r="I9" s="1" t="s">
        <v>124</v>
      </c>
      <c r="K9" s="1" t="s">
        <v>110</v>
      </c>
      <c r="L9" s="5"/>
      <c r="M9" s="1" t="s">
        <v>9</v>
      </c>
      <c r="O9" s="1" t="s">
        <v>5</v>
      </c>
      <c r="P9" s="16"/>
      <c r="Q9" s="1" t="s">
        <v>5</v>
      </c>
      <c r="R9" s="16"/>
      <c r="S9" s="1" t="s">
        <v>146</v>
      </c>
      <c r="T9" s="1"/>
      <c r="U9" s="1" t="s">
        <v>111</v>
      </c>
      <c r="V9" s="5"/>
      <c r="W9" s="1" t="s">
        <v>5</v>
      </c>
      <c r="X9" s="5"/>
      <c r="Y9" s="6" t="s">
        <v>186</v>
      </c>
      <c r="Z9" s="16"/>
      <c r="AA9" s="1" t="s">
        <v>793</v>
      </c>
      <c r="AC9" s="1" t="s">
        <v>804</v>
      </c>
      <c r="AE9" s="1" t="s">
        <v>792</v>
      </c>
      <c r="AG9" s="1" t="s">
        <v>767</v>
      </c>
      <c r="AI9" s="1" t="s">
        <v>792</v>
      </c>
    </row>
    <row r="10" spans="1:37" ht="12" customHeight="1">
      <c r="A10" s="12"/>
      <c r="B10" s="12"/>
      <c r="C10" s="12"/>
      <c r="D10" s="12"/>
      <c r="E10" s="32"/>
      <c r="F10" s="4"/>
      <c r="G10" s="5"/>
      <c r="I10" s="5"/>
      <c r="K10" s="5"/>
      <c r="L10" s="5"/>
      <c r="M10" s="5"/>
      <c r="O10" s="5"/>
      <c r="S10" s="5"/>
      <c r="T10" s="5"/>
      <c r="U10" s="5"/>
      <c r="V10" s="5"/>
      <c r="W10" s="5"/>
      <c r="X10" s="5"/>
      <c r="Y10" s="5"/>
      <c r="AA10" s="5"/>
      <c r="AC10" s="5"/>
      <c r="AG10" s="5"/>
    </row>
    <row r="11" spans="1:37" s="35" customFormat="1" ht="12" customHeight="1">
      <c r="A11" s="34" t="s">
        <v>968</v>
      </c>
      <c r="B11" s="34"/>
      <c r="C11" s="34" t="s">
        <v>44</v>
      </c>
      <c r="D11" s="34"/>
      <c r="E11" s="32">
        <v>45195</v>
      </c>
      <c r="F11" s="70"/>
      <c r="G11" s="35">
        <v>2065155</v>
      </c>
      <c r="I11" s="35">
        <v>1673139</v>
      </c>
      <c r="K11" s="35">
        <v>0</v>
      </c>
      <c r="M11" s="35">
        <f>SUM(G11:L11)</f>
        <v>3738294</v>
      </c>
      <c r="O11" s="35">
        <f>11776441+1775483</f>
        <v>13551924</v>
      </c>
      <c r="Q11" s="35">
        <v>0</v>
      </c>
      <c r="S11" s="35">
        <v>18445110</v>
      </c>
      <c r="U11" s="35">
        <v>454015</v>
      </c>
      <c r="W11" s="35">
        <v>0</v>
      </c>
      <c r="Y11" s="35">
        <v>0</v>
      </c>
      <c r="AA11" s="35">
        <v>100625</v>
      </c>
      <c r="AB11" s="46"/>
      <c r="AC11" s="35">
        <v>0</v>
      </c>
      <c r="AE11" s="35">
        <v>0</v>
      </c>
      <c r="AG11" s="35">
        <f>SUM(O11:AE11)</f>
        <v>32551674</v>
      </c>
      <c r="AI11" s="35">
        <f>+AG11+M11</f>
        <v>36289968</v>
      </c>
    </row>
    <row r="12" spans="1:37" s="8" customFormat="1" ht="12" customHeight="1">
      <c r="A12" s="13" t="s">
        <v>209</v>
      </c>
      <c r="B12" s="13"/>
      <c r="C12" s="13" t="s">
        <v>210</v>
      </c>
      <c r="D12" s="13"/>
      <c r="E12" s="13">
        <v>61903</v>
      </c>
      <c r="F12" s="11"/>
      <c r="G12" s="8">
        <v>2229402</v>
      </c>
      <c r="I12" s="8">
        <v>9100149</v>
      </c>
      <c r="K12" s="8">
        <v>30520</v>
      </c>
      <c r="M12" s="8">
        <f>SUM(G12:L12)</f>
        <v>11360071</v>
      </c>
      <c r="O12" s="8">
        <f>6083416+95826+2446083+92209</f>
        <v>8717534</v>
      </c>
      <c r="Q12" s="8">
        <v>0</v>
      </c>
      <c r="S12" s="8">
        <v>23013206</v>
      </c>
      <c r="U12" s="8">
        <v>1042224</v>
      </c>
      <c r="W12" s="8">
        <v>0</v>
      </c>
      <c r="Y12" s="8">
        <v>100</v>
      </c>
      <c r="AA12" s="8">
        <v>669641</v>
      </c>
      <c r="AB12" s="39"/>
      <c r="AC12" s="8">
        <v>0</v>
      </c>
      <c r="AE12" s="8">
        <v>0</v>
      </c>
      <c r="AG12" s="8">
        <f>SUM(O12:AE12)</f>
        <v>33442705</v>
      </c>
      <c r="AI12" s="8">
        <f>+AG12+M12</f>
        <v>44802776</v>
      </c>
    </row>
    <row r="13" spans="1:37" ht="12" customHeight="1">
      <c r="A13" s="12" t="s">
        <v>621</v>
      </c>
      <c r="B13" s="12"/>
      <c r="C13" s="12" t="s">
        <v>58</v>
      </c>
      <c r="D13" s="12"/>
      <c r="E13" s="32">
        <v>49494</v>
      </c>
      <c r="G13" s="8">
        <v>913145</v>
      </c>
      <c r="I13" s="8">
        <v>2286147</v>
      </c>
      <c r="K13" s="8">
        <v>16465</v>
      </c>
      <c r="M13" s="8">
        <f t="shared" ref="M13:M67" si="0">SUM(G13:L13)</f>
        <v>3215757</v>
      </c>
      <c r="O13" s="8">
        <f>1741436+34004+194473</f>
        <v>1969913</v>
      </c>
      <c r="Q13" s="8">
        <v>1014766</v>
      </c>
      <c r="S13" s="8">
        <v>6227760</v>
      </c>
      <c r="U13" s="8">
        <v>124612</v>
      </c>
      <c r="W13" s="8">
        <v>0</v>
      </c>
      <c r="Y13" s="8">
        <v>3355</v>
      </c>
      <c r="AA13" s="8">
        <v>54977</v>
      </c>
      <c r="AB13" s="39"/>
      <c r="AC13" s="8">
        <v>0</v>
      </c>
      <c r="AE13" s="8">
        <v>0</v>
      </c>
      <c r="AG13" s="8">
        <f t="shared" ref="AG13:AG67" si="1">SUM(O13:AE13)</f>
        <v>9395383</v>
      </c>
      <c r="AH13" s="8"/>
      <c r="AI13" s="8">
        <f t="shared" ref="AI13:AI68" si="2">+AG13+M13</f>
        <v>12611140</v>
      </c>
    </row>
    <row r="14" spans="1:37" ht="12" customHeight="1">
      <c r="A14" s="12" t="s">
        <v>667</v>
      </c>
      <c r="B14" s="12"/>
      <c r="C14" s="12" t="s">
        <v>63</v>
      </c>
      <c r="D14" s="12"/>
      <c r="E14" s="32">
        <v>43489</v>
      </c>
      <c r="G14" s="8">
        <v>10633588</v>
      </c>
      <c r="I14" s="8">
        <v>72316700</v>
      </c>
      <c r="K14" s="8">
        <v>6514666</v>
      </c>
      <c r="M14" s="8">
        <f t="shared" si="0"/>
        <v>89464954</v>
      </c>
      <c r="O14" s="8">
        <f>113758838+3931+4002295</f>
        <v>117765064</v>
      </c>
      <c r="Q14" s="8">
        <v>0</v>
      </c>
      <c r="S14" s="8">
        <v>149981453</v>
      </c>
      <c r="U14" s="8">
        <v>8659713</v>
      </c>
      <c r="W14" s="8">
        <v>0</v>
      </c>
      <c r="Y14" s="8">
        <v>0</v>
      </c>
      <c r="AA14" s="8">
        <f>469434+6657216</f>
        <v>7126650</v>
      </c>
      <c r="AB14" s="39"/>
      <c r="AC14" s="8">
        <v>0</v>
      </c>
      <c r="AE14" s="8">
        <v>0</v>
      </c>
      <c r="AG14" s="8">
        <f t="shared" si="1"/>
        <v>283532880</v>
      </c>
      <c r="AH14" s="8"/>
      <c r="AI14" s="8">
        <f t="shared" si="2"/>
        <v>372997834</v>
      </c>
    </row>
    <row r="15" spans="1:37" ht="12" customHeight="1">
      <c r="A15" s="12" t="s">
        <v>653</v>
      </c>
      <c r="B15" s="12"/>
      <c r="C15" s="12" t="s">
        <v>62</v>
      </c>
      <c r="D15" s="12"/>
      <c r="E15" s="32">
        <v>43497</v>
      </c>
      <c r="G15" s="8">
        <v>1799959</v>
      </c>
      <c r="I15" s="8">
        <v>6680885</v>
      </c>
      <c r="K15" s="8">
        <v>64299</v>
      </c>
      <c r="M15" s="8">
        <f t="shared" si="0"/>
        <v>8545143</v>
      </c>
      <c r="O15" s="8">
        <f>8367059+609098+287527+108047</f>
        <v>9371731</v>
      </c>
      <c r="Q15" s="8">
        <v>0</v>
      </c>
      <c r="S15" s="8">
        <v>16460160</v>
      </c>
      <c r="U15" s="8">
        <v>296692</v>
      </c>
      <c r="W15" s="8">
        <v>0</v>
      </c>
      <c r="Y15" s="8">
        <v>0</v>
      </c>
      <c r="AA15" s="8">
        <v>66054</v>
      </c>
      <c r="AB15" s="39"/>
      <c r="AC15" s="8">
        <v>0</v>
      </c>
      <c r="AE15" s="8">
        <v>0</v>
      </c>
      <c r="AG15" s="8">
        <f t="shared" si="1"/>
        <v>26194637</v>
      </c>
      <c r="AH15" s="8"/>
      <c r="AI15" s="8">
        <f t="shared" si="2"/>
        <v>34739780</v>
      </c>
    </row>
    <row r="16" spans="1:37" ht="12" customHeight="1">
      <c r="A16" s="12" t="s">
        <v>347</v>
      </c>
      <c r="B16" s="12"/>
      <c r="C16" s="12" t="s">
        <v>25</v>
      </c>
      <c r="D16" s="12"/>
      <c r="E16" s="32">
        <v>46847</v>
      </c>
      <c r="G16" s="8">
        <v>929744</v>
      </c>
      <c r="I16" s="8">
        <v>2270479</v>
      </c>
      <c r="K16" s="8">
        <v>11000</v>
      </c>
      <c r="M16" s="8">
        <f t="shared" si="0"/>
        <v>3211223</v>
      </c>
      <c r="O16" s="8">
        <f>2648056+339039+53378</f>
        <v>3040473</v>
      </c>
      <c r="Q16" s="8">
        <v>0</v>
      </c>
      <c r="S16" s="8">
        <v>8383392</v>
      </c>
      <c r="U16" s="8">
        <v>182540</v>
      </c>
      <c r="W16" s="8">
        <v>0</v>
      </c>
      <c r="Y16" s="8">
        <v>0</v>
      </c>
      <c r="AA16" s="8">
        <v>610937</v>
      </c>
      <c r="AB16" s="39"/>
      <c r="AC16" s="8">
        <v>0</v>
      </c>
      <c r="AE16" s="8">
        <v>0</v>
      </c>
      <c r="AG16" s="8">
        <f t="shared" si="1"/>
        <v>12217342</v>
      </c>
      <c r="AH16" s="8"/>
      <c r="AI16" s="8">
        <f t="shared" si="2"/>
        <v>15428565</v>
      </c>
      <c r="AK16" s="8"/>
    </row>
    <row r="17" spans="1:37" ht="12" customHeight="1">
      <c r="A17" s="12" t="s">
        <v>646</v>
      </c>
      <c r="B17" s="12"/>
      <c r="C17" s="12" t="s">
        <v>61</v>
      </c>
      <c r="D17" s="12"/>
      <c r="E17" s="32">
        <v>49759</v>
      </c>
      <c r="G17" s="8">
        <v>946242</v>
      </c>
      <c r="I17" s="8">
        <v>430371</v>
      </c>
      <c r="K17" s="8">
        <v>11274</v>
      </c>
      <c r="M17" s="8">
        <f t="shared" si="0"/>
        <v>1387887</v>
      </c>
      <c r="O17" s="8">
        <f>3614781+210208+593266</f>
        <v>4418255</v>
      </c>
      <c r="Q17" s="8">
        <v>623473</v>
      </c>
      <c r="S17" s="8">
        <v>4826733</v>
      </c>
      <c r="U17" s="8">
        <f>573029+22653</f>
        <v>595682</v>
      </c>
      <c r="W17" s="8">
        <v>13754</v>
      </c>
      <c r="Y17" s="8">
        <v>0</v>
      </c>
      <c r="AA17" s="8">
        <f>4515+133186</f>
        <v>137701</v>
      </c>
      <c r="AB17" s="39"/>
      <c r="AC17" s="8">
        <v>0</v>
      </c>
      <c r="AE17" s="8">
        <v>0</v>
      </c>
      <c r="AG17" s="8">
        <f t="shared" si="1"/>
        <v>10615598</v>
      </c>
      <c r="AH17" s="8"/>
      <c r="AI17" s="8">
        <f t="shared" si="2"/>
        <v>12003485</v>
      </c>
    </row>
    <row r="18" spans="1:37" ht="12" customHeight="1">
      <c r="A18" s="12" t="s">
        <v>502</v>
      </c>
      <c r="B18" s="12"/>
      <c r="C18" s="12" t="s">
        <v>118</v>
      </c>
      <c r="D18" s="12"/>
      <c r="E18" s="32">
        <v>48207</v>
      </c>
      <c r="G18" s="8">
        <v>2373453</v>
      </c>
      <c r="I18" s="8">
        <v>1959208</v>
      </c>
      <c r="K18" s="8">
        <v>51203</v>
      </c>
      <c r="M18" s="8">
        <f t="shared" si="0"/>
        <v>4383864</v>
      </c>
      <c r="O18" s="8">
        <f>21578759+2227516+1835774</f>
        <v>25642049</v>
      </c>
      <c r="Q18" s="8">
        <v>0</v>
      </c>
      <c r="S18" s="8">
        <v>11264463</v>
      </c>
      <c r="U18" s="8">
        <v>318306</v>
      </c>
      <c r="W18" s="8">
        <v>1363787</v>
      </c>
      <c r="Y18" s="8">
        <v>0</v>
      </c>
      <c r="AA18" s="8">
        <v>28922</v>
      </c>
      <c r="AB18" s="39"/>
      <c r="AC18" s="8">
        <v>0</v>
      </c>
      <c r="AE18" s="8">
        <v>0</v>
      </c>
      <c r="AG18" s="8">
        <f t="shared" si="1"/>
        <v>38617527</v>
      </c>
      <c r="AH18" s="8"/>
      <c r="AI18" s="8">
        <f t="shared" si="2"/>
        <v>43001391</v>
      </c>
    </row>
    <row r="19" spans="1:37" ht="12" customHeight="1">
      <c r="A19" s="12" t="s">
        <v>418</v>
      </c>
      <c r="B19" s="12"/>
      <c r="C19" s="12" t="s">
        <v>33</v>
      </c>
      <c r="D19" s="12"/>
      <c r="E19" s="32">
        <v>47415</v>
      </c>
      <c r="G19" s="8">
        <v>853998</v>
      </c>
      <c r="I19" s="8">
        <v>499907</v>
      </c>
      <c r="K19" s="8">
        <v>12840</v>
      </c>
      <c r="M19" s="8">
        <f t="shared" si="0"/>
        <v>1366745</v>
      </c>
      <c r="O19" s="8">
        <f>2161377+55518</f>
        <v>2216895</v>
      </c>
      <c r="Q19" s="8">
        <v>724178</v>
      </c>
      <c r="S19" s="8">
        <v>2158961</v>
      </c>
      <c r="U19" s="8">
        <v>116738</v>
      </c>
      <c r="W19" s="8">
        <v>0</v>
      </c>
      <c r="Y19" s="8">
        <v>10486</v>
      </c>
      <c r="AA19" s="8">
        <v>38696</v>
      </c>
      <c r="AB19" s="39"/>
      <c r="AC19" s="8">
        <v>0</v>
      </c>
      <c r="AE19" s="8">
        <v>0</v>
      </c>
      <c r="AG19" s="8">
        <f t="shared" si="1"/>
        <v>5265954</v>
      </c>
      <c r="AH19" s="8"/>
      <c r="AI19" s="8">
        <f t="shared" si="2"/>
        <v>6632699</v>
      </c>
    </row>
    <row r="20" spans="1:37" ht="12" customHeight="1">
      <c r="A20" s="12" t="s">
        <v>372</v>
      </c>
      <c r="B20" s="12"/>
      <c r="C20" s="12" t="s">
        <v>28</v>
      </c>
      <c r="D20" s="12"/>
      <c r="E20" s="32">
        <v>47043</v>
      </c>
      <c r="G20" s="8">
        <v>930052</v>
      </c>
      <c r="I20" s="8">
        <v>734418</v>
      </c>
      <c r="K20" s="8">
        <v>9184</v>
      </c>
      <c r="M20" s="8">
        <f t="shared" si="0"/>
        <v>1673654</v>
      </c>
      <c r="O20" s="8">
        <f>5729631+1672633</f>
        <v>7402264</v>
      </c>
      <c r="Q20" s="8">
        <v>0</v>
      </c>
      <c r="S20" s="8">
        <v>5382132</v>
      </c>
      <c r="U20" s="8">
        <v>334111</v>
      </c>
      <c r="W20" s="8">
        <v>427714</v>
      </c>
      <c r="Y20" s="8">
        <v>13426</v>
      </c>
      <c r="AA20" s="8">
        <v>157973</v>
      </c>
      <c r="AB20" s="39"/>
      <c r="AC20" s="8">
        <v>0</v>
      </c>
      <c r="AE20" s="8">
        <v>0</v>
      </c>
      <c r="AG20" s="8">
        <f t="shared" si="1"/>
        <v>13717620</v>
      </c>
      <c r="AH20" s="8"/>
      <c r="AI20" s="8">
        <f t="shared" si="2"/>
        <v>15391274</v>
      </c>
    </row>
    <row r="21" spans="1:37" ht="12" customHeight="1">
      <c r="A21" s="12" t="s">
        <v>419</v>
      </c>
      <c r="B21" s="12"/>
      <c r="C21" s="12" t="s">
        <v>33</v>
      </c>
      <c r="D21" s="12"/>
      <c r="E21" s="32">
        <v>47423</v>
      </c>
      <c r="G21" s="8">
        <v>461359</v>
      </c>
      <c r="I21" s="8">
        <v>669496</v>
      </c>
      <c r="K21" s="8">
        <v>4984</v>
      </c>
      <c r="M21" s="8">
        <f t="shared" si="0"/>
        <v>1135839</v>
      </c>
      <c r="O21" s="8">
        <f>1207674+120767</f>
        <v>1328441</v>
      </c>
      <c r="Q21" s="8">
        <v>926125</v>
      </c>
      <c r="S21" s="8">
        <v>2903409</v>
      </c>
      <c r="U21" s="8">
        <v>156215</v>
      </c>
      <c r="W21" s="8">
        <v>0</v>
      </c>
      <c r="Y21" s="8">
        <v>17688</v>
      </c>
      <c r="AA21" s="8">
        <v>27082</v>
      </c>
      <c r="AB21" s="39"/>
      <c r="AC21" s="8">
        <v>0</v>
      </c>
      <c r="AE21" s="8">
        <v>0</v>
      </c>
      <c r="AG21" s="8">
        <f t="shared" si="1"/>
        <v>5358960</v>
      </c>
      <c r="AH21" s="8"/>
      <c r="AI21" s="8">
        <f t="shared" si="2"/>
        <v>6494799</v>
      </c>
    </row>
    <row r="22" spans="1:37" ht="12" customHeight="1">
      <c r="A22" s="12" t="s">
        <v>215</v>
      </c>
      <c r="B22" s="12"/>
      <c r="C22" s="12" t="s">
        <v>11</v>
      </c>
      <c r="D22" s="12"/>
      <c r="E22" s="32">
        <v>43505</v>
      </c>
      <c r="F22" s="7"/>
      <c r="G22" s="8">
        <v>2005774</v>
      </c>
      <c r="I22" s="8">
        <v>2901337</v>
      </c>
      <c r="K22" s="8">
        <v>17100</v>
      </c>
      <c r="M22" s="8">
        <f t="shared" si="0"/>
        <v>4924211</v>
      </c>
      <c r="O22" s="8">
        <f>11868500+331054</f>
        <v>12199554</v>
      </c>
      <c r="Q22" s="8">
        <v>0</v>
      </c>
      <c r="S22" s="8">
        <v>13829673</v>
      </c>
      <c r="U22" s="8">
        <v>668853</v>
      </c>
      <c r="W22" s="8">
        <v>0</v>
      </c>
      <c r="Y22" s="8">
        <v>0</v>
      </c>
      <c r="AA22" s="8">
        <v>364741</v>
      </c>
      <c r="AB22" s="39"/>
      <c r="AC22" s="8">
        <v>0</v>
      </c>
      <c r="AE22" s="8">
        <v>0</v>
      </c>
      <c r="AG22" s="8">
        <f t="shared" si="1"/>
        <v>27062821</v>
      </c>
      <c r="AH22" s="8"/>
      <c r="AI22" s="8">
        <f t="shared" si="2"/>
        <v>31987032</v>
      </c>
    </row>
    <row r="23" spans="1:37" ht="12" customHeight="1">
      <c r="A23" s="12" t="s">
        <v>226</v>
      </c>
      <c r="B23" s="12"/>
      <c r="C23" s="12" t="s">
        <v>13</v>
      </c>
      <c r="D23" s="12"/>
      <c r="E23" s="32">
        <v>43521</v>
      </c>
      <c r="F23" s="7"/>
      <c r="G23" s="8">
        <v>2809963</v>
      </c>
      <c r="I23" s="8">
        <v>3599429</v>
      </c>
      <c r="K23" s="8">
        <v>18122</v>
      </c>
      <c r="M23" s="8">
        <f t="shared" si="0"/>
        <v>6427514</v>
      </c>
      <c r="O23" s="8">
        <f>13084533+1513731+1190764</f>
        <v>15789028</v>
      </c>
      <c r="Q23" s="8">
        <v>2278119</v>
      </c>
      <c r="S23" s="8">
        <v>9155038</v>
      </c>
      <c r="U23" s="8">
        <v>630725</v>
      </c>
      <c r="W23" s="8">
        <v>148701</v>
      </c>
      <c r="Y23" s="8">
        <v>0</v>
      </c>
      <c r="AA23" s="8">
        <f>14932+49963</f>
        <v>64895</v>
      </c>
      <c r="AB23" s="39"/>
      <c r="AC23" s="8">
        <v>0</v>
      </c>
      <c r="AE23" s="8">
        <v>0</v>
      </c>
      <c r="AG23" s="8">
        <f t="shared" si="1"/>
        <v>28066506</v>
      </c>
      <c r="AH23" s="8"/>
      <c r="AI23" s="8">
        <f t="shared" si="2"/>
        <v>34494020</v>
      </c>
    </row>
    <row r="24" spans="1:37" ht="12" customHeight="1">
      <c r="A24" s="12" t="s">
        <v>595</v>
      </c>
      <c r="B24" s="12"/>
      <c r="C24" s="12" t="s">
        <v>56</v>
      </c>
      <c r="D24" s="12"/>
      <c r="E24" s="32">
        <v>49171</v>
      </c>
      <c r="G24" s="8">
        <v>1249711</v>
      </c>
      <c r="I24" s="8">
        <v>1210375</v>
      </c>
      <c r="K24" s="8">
        <v>18023</v>
      </c>
      <c r="M24" s="8">
        <f t="shared" si="0"/>
        <v>2478109</v>
      </c>
      <c r="O24" s="8">
        <f>18607609+893979+627236</f>
        <v>20128824</v>
      </c>
      <c r="Q24" s="8">
        <v>0</v>
      </c>
      <c r="S24" s="8">
        <v>6794115</v>
      </c>
      <c r="U24" s="8">
        <v>279931</v>
      </c>
      <c r="W24" s="8">
        <v>0</v>
      </c>
      <c r="Y24" s="8">
        <v>0</v>
      </c>
      <c r="AA24" s="8">
        <v>210085</v>
      </c>
      <c r="AB24" s="39"/>
      <c r="AC24" s="8">
        <v>0</v>
      </c>
      <c r="AE24" s="8">
        <v>0</v>
      </c>
      <c r="AG24" s="8">
        <f t="shared" si="1"/>
        <v>27412955</v>
      </c>
      <c r="AH24" s="8"/>
      <c r="AI24" s="8">
        <f t="shared" si="2"/>
        <v>29891064</v>
      </c>
    </row>
    <row r="25" spans="1:37" ht="12" customHeight="1">
      <c r="A25" s="12" t="s">
        <v>514</v>
      </c>
      <c r="B25" s="12"/>
      <c r="C25" s="12" t="s">
        <v>45</v>
      </c>
      <c r="D25" s="12"/>
      <c r="E25" s="32">
        <v>48298</v>
      </c>
      <c r="G25" s="8">
        <v>1800117</v>
      </c>
      <c r="I25" s="8">
        <v>5588507</v>
      </c>
      <c r="K25" s="8">
        <v>93598</v>
      </c>
      <c r="M25" s="8">
        <f t="shared" si="0"/>
        <v>7482222</v>
      </c>
      <c r="O25" s="8">
        <f>17600028+1561582</f>
        <v>19161610</v>
      </c>
      <c r="Q25" s="8">
        <v>0</v>
      </c>
      <c r="S25" s="8">
        <v>20318179</v>
      </c>
      <c r="U25" s="8">
        <v>224685</v>
      </c>
      <c r="W25" s="8">
        <v>0</v>
      </c>
      <c r="Y25" s="8">
        <v>0</v>
      </c>
      <c r="AA25" s="8">
        <v>88724</v>
      </c>
      <c r="AB25" s="39"/>
      <c r="AC25" s="8">
        <v>0</v>
      </c>
      <c r="AE25" s="8">
        <v>0</v>
      </c>
      <c r="AG25" s="8">
        <f t="shared" si="1"/>
        <v>39793198</v>
      </c>
      <c r="AH25" s="8"/>
      <c r="AI25" s="8">
        <f t="shared" si="2"/>
        <v>47275420</v>
      </c>
      <c r="AK25" s="8"/>
    </row>
    <row r="26" spans="1:37" ht="12" customHeight="1">
      <c r="A26" s="12" t="s">
        <v>489</v>
      </c>
      <c r="B26" s="12"/>
      <c r="C26" s="12" t="s">
        <v>44</v>
      </c>
      <c r="D26" s="12"/>
      <c r="E26" s="32">
        <v>48124</v>
      </c>
      <c r="G26" s="8">
        <v>1790829</v>
      </c>
      <c r="I26" s="8">
        <v>1341274</v>
      </c>
      <c r="K26" s="8">
        <v>0</v>
      </c>
      <c r="M26" s="8">
        <f t="shared" si="0"/>
        <v>3132103</v>
      </c>
      <c r="O26" s="8">
        <f>25621127+2816421+591528</f>
        <v>29029076</v>
      </c>
      <c r="Q26" s="8">
        <v>0</v>
      </c>
      <c r="S26" s="8">
        <v>9621349</v>
      </c>
      <c r="U26" s="8">
        <v>991730</v>
      </c>
      <c r="W26" s="8">
        <v>0</v>
      </c>
      <c r="Y26" s="8">
        <v>0</v>
      </c>
      <c r="AA26" s="8">
        <v>514745</v>
      </c>
      <c r="AB26" s="39"/>
      <c r="AC26" s="8">
        <v>0</v>
      </c>
      <c r="AE26" s="8">
        <v>0</v>
      </c>
      <c r="AG26" s="8">
        <f t="shared" si="1"/>
        <v>40156900</v>
      </c>
      <c r="AH26" s="8"/>
      <c r="AI26" s="8">
        <f t="shared" si="2"/>
        <v>43289003</v>
      </c>
    </row>
    <row r="27" spans="1:37" ht="12" customHeight="1">
      <c r="A27" s="12" t="s">
        <v>490</v>
      </c>
      <c r="B27" s="12"/>
      <c r="C27" s="12" t="s">
        <v>44</v>
      </c>
      <c r="D27" s="12"/>
      <c r="E27" s="32">
        <v>48116</v>
      </c>
      <c r="G27" s="8">
        <v>1123715</v>
      </c>
      <c r="I27" s="8">
        <v>1245742</v>
      </c>
      <c r="K27" s="8">
        <v>0</v>
      </c>
      <c r="M27" s="8">
        <f t="shared" si="0"/>
        <v>2369457</v>
      </c>
      <c r="O27" s="8">
        <f>17440228+3167996+646908</f>
        <v>21255132</v>
      </c>
      <c r="Q27" s="8">
        <v>0</v>
      </c>
      <c r="S27" s="8">
        <v>6876927</v>
      </c>
      <c r="U27" s="8">
        <v>1000835</v>
      </c>
      <c r="W27" s="8">
        <v>0</v>
      </c>
      <c r="Y27" s="8">
        <v>0</v>
      </c>
      <c r="AA27" s="8">
        <v>662652</v>
      </c>
      <c r="AB27" s="39"/>
      <c r="AC27" s="8">
        <v>0</v>
      </c>
      <c r="AE27" s="8">
        <v>0</v>
      </c>
      <c r="AG27" s="8">
        <f t="shared" si="1"/>
        <v>29795546</v>
      </c>
      <c r="AH27" s="8"/>
      <c r="AI27" s="8">
        <f t="shared" si="2"/>
        <v>32165003</v>
      </c>
    </row>
    <row r="28" spans="1:37" ht="12" customHeight="1">
      <c r="A28" s="12" t="s">
        <v>334</v>
      </c>
      <c r="B28" s="12"/>
      <c r="C28" s="12" t="s">
        <v>22</v>
      </c>
      <c r="D28" s="12"/>
      <c r="E28" s="32">
        <v>46706</v>
      </c>
      <c r="G28" s="8">
        <v>1565863</v>
      </c>
      <c r="I28" s="8">
        <v>425696</v>
      </c>
      <c r="K28" s="8">
        <v>2199</v>
      </c>
      <c r="M28" s="8">
        <f t="shared" si="0"/>
        <v>1993758</v>
      </c>
      <c r="O28" s="8">
        <f>2776827+99885+19475+104478</f>
        <v>3000665</v>
      </c>
      <c r="Q28" s="8">
        <v>127124</v>
      </c>
      <c r="S28" s="8">
        <v>2797396</v>
      </c>
      <c r="U28" s="8">
        <v>142596</v>
      </c>
      <c r="W28" s="8">
        <v>0</v>
      </c>
      <c r="Y28" s="8">
        <v>0</v>
      </c>
      <c r="AA28" s="8">
        <v>61724</v>
      </c>
      <c r="AB28" s="39"/>
      <c r="AC28" s="8">
        <v>0</v>
      </c>
      <c r="AE28" s="8">
        <v>0</v>
      </c>
      <c r="AG28" s="8">
        <f t="shared" si="1"/>
        <v>6129505</v>
      </c>
      <c r="AH28" s="8"/>
      <c r="AI28" s="8">
        <f t="shared" si="2"/>
        <v>8123263</v>
      </c>
    </row>
    <row r="29" spans="1:37" ht="12" customHeight="1">
      <c r="A29" s="12" t="s">
        <v>668</v>
      </c>
      <c r="B29" s="12"/>
      <c r="C29" s="12" t="s">
        <v>63</v>
      </c>
      <c r="D29" s="12"/>
      <c r="E29" s="32">
        <v>43539</v>
      </c>
      <c r="G29" s="8">
        <v>2233590</v>
      </c>
      <c r="I29" s="8">
        <v>13357017</v>
      </c>
      <c r="K29" s="8">
        <v>24419</v>
      </c>
      <c r="M29" s="8">
        <f t="shared" si="0"/>
        <v>15615026</v>
      </c>
      <c r="O29" s="8">
        <f>13725687+32271</f>
        <v>13757958</v>
      </c>
      <c r="Q29" s="8">
        <v>0</v>
      </c>
      <c r="S29" s="8">
        <v>18660799</v>
      </c>
      <c r="U29" s="8">
        <v>692649</v>
      </c>
      <c r="W29" s="8">
        <v>0</v>
      </c>
      <c r="Y29" s="8">
        <v>0</v>
      </c>
      <c r="AA29" s="8">
        <v>67811</v>
      </c>
      <c r="AB29" s="39"/>
      <c r="AC29" s="8">
        <v>0</v>
      </c>
      <c r="AE29" s="8">
        <v>0</v>
      </c>
      <c r="AG29" s="8">
        <f t="shared" si="1"/>
        <v>33179217</v>
      </c>
      <c r="AH29" s="8"/>
      <c r="AI29" s="8">
        <f t="shared" si="2"/>
        <v>48794243</v>
      </c>
    </row>
    <row r="30" spans="1:37" ht="12" customHeight="1">
      <c r="A30" s="12" t="s">
        <v>831</v>
      </c>
      <c r="B30" s="12"/>
      <c r="C30" s="12" t="s">
        <v>15</v>
      </c>
      <c r="D30" s="12"/>
      <c r="E30" s="32"/>
      <c r="G30" s="8">
        <v>882418</v>
      </c>
      <c r="I30" s="8">
        <v>2080994</v>
      </c>
      <c r="K30" s="8">
        <v>4280</v>
      </c>
      <c r="M30" s="8">
        <f t="shared" si="0"/>
        <v>2967692</v>
      </c>
      <c r="O30" s="8">
        <f>2110891+37620+273409</f>
        <v>2421920</v>
      </c>
      <c r="Q30" s="8">
        <v>0</v>
      </c>
      <c r="S30" s="8">
        <v>5604693</v>
      </c>
      <c r="U30" s="8">
        <v>133067</v>
      </c>
      <c r="W30" s="8">
        <v>0</v>
      </c>
      <c r="Y30" s="8">
        <v>30337</v>
      </c>
      <c r="AA30" s="8">
        <v>73317</v>
      </c>
      <c r="AB30" s="39"/>
      <c r="AC30" s="8">
        <v>0</v>
      </c>
      <c r="AE30" s="8">
        <v>0</v>
      </c>
      <c r="AG30" s="8">
        <f t="shared" si="1"/>
        <v>8263334</v>
      </c>
      <c r="AH30" s="8"/>
      <c r="AI30" s="8">
        <f t="shared" si="2"/>
        <v>11231026</v>
      </c>
    </row>
    <row r="31" spans="1:37">
      <c r="A31" s="12" t="s">
        <v>300</v>
      </c>
      <c r="B31" s="12"/>
      <c r="C31" s="12" t="s">
        <v>20</v>
      </c>
      <c r="D31" s="12"/>
      <c r="E31" s="32">
        <v>43547</v>
      </c>
      <c r="G31" s="8">
        <v>2245316</v>
      </c>
      <c r="I31" s="8">
        <v>1856544</v>
      </c>
      <c r="K31" s="8">
        <v>461699</v>
      </c>
      <c r="M31" s="8">
        <f t="shared" si="0"/>
        <v>4563559</v>
      </c>
      <c r="O31" s="8">
        <f>19684716+1965146</f>
        <v>21649862</v>
      </c>
      <c r="Q31" s="8">
        <v>0</v>
      </c>
      <c r="S31" s="8">
        <v>7486238</v>
      </c>
      <c r="U31" s="8">
        <v>546064</v>
      </c>
      <c r="W31" s="8">
        <v>0</v>
      </c>
      <c r="Y31" s="8">
        <v>0</v>
      </c>
      <c r="AA31" s="8">
        <v>163874</v>
      </c>
      <c r="AB31" s="39"/>
      <c r="AC31" s="8">
        <v>0</v>
      </c>
      <c r="AE31" s="8">
        <v>0</v>
      </c>
      <c r="AG31" s="8">
        <f t="shared" si="1"/>
        <v>29846038</v>
      </c>
      <c r="AH31" s="8"/>
      <c r="AI31" s="8">
        <f t="shared" si="2"/>
        <v>34409597</v>
      </c>
    </row>
    <row r="32" spans="1:37" ht="12" customHeight="1">
      <c r="A32" s="12" t="s">
        <v>301</v>
      </c>
      <c r="B32" s="12"/>
      <c r="C32" s="12" t="s">
        <v>20</v>
      </c>
      <c r="D32" s="12"/>
      <c r="E32" s="32">
        <v>43554</v>
      </c>
      <c r="G32" s="8">
        <v>4020166</v>
      </c>
      <c r="I32" s="8">
        <v>2875446</v>
      </c>
      <c r="K32" s="8">
        <v>16965</v>
      </c>
      <c r="M32" s="8">
        <f t="shared" si="0"/>
        <v>6912577</v>
      </c>
      <c r="O32" s="8">
        <v>27723716</v>
      </c>
      <c r="Q32" s="8">
        <v>0</v>
      </c>
      <c r="S32" s="8">
        <v>4170054</v>
      </c>
      <c r="U32" s="8">
        <v>648569</v>
      </c>
      <c r="W32" s="8">
        <v>0</v>
      </c>
      <c r="Y32" s="8">
        <v>0</v>
      </c>
      <c r="AA32" s="8">
        <f>163+13021+163837</f>
        <v>177021</v>
      </c>
      <c r="AB32" s="39"/>
      <c r="AC32" s="8">
        <v>0</v>
      </c>
      <c r="AE32" s="8">
        <v>0</v>
      </c>
      <c r="AG32" s="8">
        <f t="shared" si="1"/>
        <v>32719360</v>
      </c>
      <c r="AH32" s="8"/>
      <c r="AI32" s="8">
        <f t="shared" si="2"/>
        <v>39631937</v>
      </c>
    </row>
    <row r="33" spans="1:35" ht="12" customHeight="1">
      <c r="A33" s="12" t="s">
        <v>282</v>
      </c>
      <c r="B33" s="12"/>
      <c r="C33" s="12" t="s">
        <v>115</v>
      </c>
      <c r="D33" s="12"/>
      <c r="E33" s="32">
        <v>46425</v>
      </c>
      <c r="F33" s="7"/>
      <c r="G33" s="8">
        <v>2299652</v>
      </c>
      <c r="I33" s="8">
        <v>2468665</v>
      </c>
      <c r="K33" s="8">
        <v>17848</v>
      </c>
      <c r="M33" s="8">
        <f t="shared" si="0"/>
        <v>4786165</v>
      </c>
      <c r="O33" s="8">
        <f>4954161+521477</f>
        <v>5475638</v>
      </c>
      <c r="Q33" s="8">
        <v>0</v>
      </c>
      <c r="S33" s="8">
        <v>9738360</v>
      </c>
      <c r="U33" s="8">
        <v>52939</v>
      </c>
      <c r="W33" s="8">
        <v>0</v>
      </c>
      <c r="Y33" s="8">
        <v>0</v>
      </c>
      <c r="AA33" s="8">
        <f>95003+11278</f>
        <v>106281</v>
      </c>
      <c r="AB33" s="39"/>
      <c r="AC33" s="8">
        <v>0</v>
      </c>
      <c r="AE33" s="8">
        <v>0</v>
      </c>
      <c r="AG33" s="8">
        <f t="shared" si="1"/>
        <v>15373218</v>
      </c>
      <c r="AH33" s="8"/>
      <c r="AI33" s="8">
        <f t="shared" si="2"/>
        <v>20159383</v>
      </c>
    </row>
    <row r="34" spans="1:35" ht="12" customHeight="1">
      <c r="A34" s="12" t="s">
        <v>388</v>
      </c>
      <c r="B34" s="12"/>
      <c r="C34" s="12" t="s">
        <v>117</v>
      </c>
      <c r="D34" s="12"/>
      <c r="E34" s="32">
        <v>47241</v>
      </c>
      <c r="G34" s="8">
        <v>6916834</v>
      </c>
      <c r="I34" s="8">
        <v>3570580</v>
      </c>
      <c r="K34" s="8">
        <v>38316</v>
      </c>
      <c r="M34" s="8">
        <f t="shared" si="0"/>
        <v>10525730</v>
      </c>
      <c r="O34" s="8">
        <v>49213949</v>
      </c>
      <c r="Q34" s="8">
        <v>0</v>
      </c>
      <c r="S34" s="8">
        <f>17104995</f>
        <v>17104995</v>
      </c>
      <c r="U34" s="8">
        <v>2019799</v>
      </c>
      <c r="W34" s="8">
        <v>0</v>
      </c>
      <c r="Y34" s="8">
        <v>128927</v>
      </c>
      <c r="AA34" s="8">
        <v>291452</v>
      </c>
      <c r="AB34" s="39"/>
      <c r="AC34" s="8">
        <v>0</v>
      </c>
      <c r="AE34" s="8">
        <v>0</v>
      </c>
      <c r="AG34" s="8">
        <f t="shared" si="1"/>
        <v>68759122</v>
      </c>
      <c r="AH34" s="8"/>
      <c r="AI34" s="8">
        <f t="shared" si="2"/>
        <v>79284852</v>
      </c>
    </row>
    <row r="35" spans="1:35" ht="12" customHeight="1">
      <c r="A35" s="12" t="s">
        <v>302</v>
      </c>
      <c r="B35" s="12"/>
      <c r="C35" s="12" t="s">
        <v>20</v>
      </c>
      <c r="D35" s="12"/>
      <c r="E35" s="32">
        <v>43562</v>
      </c>
      <c r="G35" s="8">
        <v>2655040</v>
      </c>
      <c r="I35" s="8">
        <v>4348473</v>
      </c>
      <c r="K35" s="8">
        <v>156053</v>
      </c>
      <c r="M35" s="8">
        <f t="shared" si="0"/>
        <v>7159566</v>
      </c>
      <c r="O35" s="8">
        <f>31323005+1372001+530429</f>
        <v>33225435</v>
      </c>
      <c r="Q35" s="8">
        <v>0</v>
      </c>
      <c r="S35" s="8">
        <v>11817104</v>
      </c>
      <c r="U35" s="8">
        <v>891414</v>
      </c>
      <c r="W35" s="8">
        <v>0</v>
      </c>
      <c r="Y35" s="8">
        <v>0</v>
      </c>
      <c r="AA35" s="8">
        <f>546579+1726</f>
        <v>548305</v>
      </c>
      <c r="AB35" s="39"/>
      <c r="AC35" s="8">
        <v>0</v>
      </c>
      <c r="AE35" s="8">
        <v>0</v>
      </c>
      <c r="AG35" s="8">
        <f t="shared" si="1"/>
        <v>46482258</v>
      </c>
      <c r="AH35" s="8"/>
      <c r="AI35" s="8">
        <f t="shared" si="2"/>
        <v>53641824</v>
      </c>
    </row>
    <row r="36" spans="1:35" ht="12" customHeight="1">
      <c r="A36" s="12" t="s">
        <v>234</v>
      </c>
      <c r="B36" s="12"/>
      <c r="C36" s="12" t="s">
        <v>15</v>
      </c>
      <c r="D36" s="12"/>
      <c r="E36" s="32">
        <v>43570</v>
      </c>
      <c r="F36" s="7"/>
      <c r="G36" s="8">
        <v>1420942</v>
      </c>
      <c r="I36" s="8">
        <v>4123388</v>
      </c>
      <c r="K36" s="8">
        <v>26449</v>
      </c>
      <c r="M36" s="8">
        <f t="shared" si="0"/>
        <v>5570779</v>
      </c>
      <c r="O36" s="8">
        <f>2008911+213680+313077+40632</f>
        <v>2576300</v>
      </c>
      <c r="Q36" s="8">
        <v>0</v>
      </c>
      <c r="S36" s="8">
        <v>8191765</v>
      </c>
      <c r="U36" s="8">
        <v>96060</v>
      </c>
      <c r="W36" s="8">
        <v>0</v>
      </c>
      <c r="Y36" s="8">
        <v>1000</v>
      </c>
      <c r="AA36" s="8">
        <v>88509</v>
      </c>
      <c r="AB36" s="39"/>
      <c r="AC36" s="8">
        <v>0</v>
      </c>
      <c r="AE36" s="8">
        <v>0</v>
      </c>
      <c r="AG36" s="8">
        <f t="shared" si="1"/>
        <v>10953634</v>
      </c>
      <c r="AH36" s="8"/>
      <c r="AI36" s="8">
        <f t="shared" si="2"/>
        <v>16524413</v>
      </c>
    </row>
    <row r="37" spans="1:35" ht="12" customHeight="1">
      <c r="A37" s="12" t="s">
        <v>448</v>
      </c>
      <c r="B37" s="12"/>
      <c r="C37" s="12" t="s">
        <v>37</v>
      </c>
      <c r="D37" s="12"/>
      <c r="E37" s="32">
        <v>43596</v>
      </c>
      <c r="G37" s="8">
        <v>1237709</v>
      </c>
      <c r="I37" s="8">
        <v>2357788</v>
      </c>
      <c r="K37" s="8">
        <v>14015</v>
      </c>
      <c r="M37" s="8">
        <f t="shared" si="0"/>
        <v>3609512</v>
      </c>
      <c r="O37" s="8">
        <f>7438539+524124</f>
        <v>7962663</v>
      </c>
      <c r="Q37" s="8">
        <v>1287080</v>
      </c>
      <c r="S37" s="8">
        <v>9384156</v>
      </c>
      <c r="U37" s="8">
        <v>181912</v>
      </c>
      <c r="W37" s="8">
        <v>0</v>
      </c>
      <c r="Y37" s="8">
        <v>0</v>
      </c>
      <c r="AA37" s="8">
        <v>107698</v>
      </c>
      <c r="AB37" s="39"/>
      <c r="AC37" s="8">
        <v>0</v>
      </c>
      <c r="AE37" s="8">
        <v>0</v>
      </c>
      <c r="AG37" s="8">
        <f t="shared" si="1"/>
        <v>18923509</v>
      </c>
      <c r="AH37" s="8"/>
      <c r="AI37" s="8">
        <f t="shared" si="2"/>
        <v>22533021</v>
      </c>
    </row>
    <row r="38" spans="1:35" ht="12" customHeight="1">
      <c r="A38" s="12" t="s">
        <v>721</v>
      </c>
      <c r="B38" s="12"/>
      <c r="C38" s="12" t="s">
        <v>70</v>
      </c>
      <c r="D38" s="12"/>
      <c r="E38" s="32">
        <v>43604</v>
      </c>
      <c r="G38" s="8">
        <v>491694</v>
      </c>
      <c r="I38" s="8">
        <v>1496375</v>
      </c>
      <c r="K38" s="8">
        <v>15069</v>
      </c>
      <c r="M38" s="8">
        <f t="shared" si="0"/>
        <v>2003138</v>
      </c>
      <c r="O38" s="8">
        <v>4333799</v>
      </c>
      <c r="Q38" s="8">
        <v>0</v>
      </c>
      <c r="S38" s="8">
        <v>4222779</v>
      </c>
      <c r="U38" s="8">
        <v>92964</v>
      </c>
      <c r="W38" s="8">
        <v>0</v>
      </c>
      <c r="Y38" s="8">
        <v>0</v>
      </c>
      <c r="AA38" s="8">
        <v>48639</v>
      </c>
      <c r="AB38" s="39"/>
      <c r="AC38" s="8">
        <v>0</v>
      </c>
      <c r="AE38" s="8">
        <v>0</v>
      </c>
      <c r="AG38" s="8">
        <f t="shared" si="1"/>
        <v>8698181</v>
      </c>
      <c r="AH38" s="8"/>
      <c r="AI38" s="8">
        <f t="shared" si="2"/>
        <v>10701319</v>
      </c>
    </row>
    <row r="39" spans="1:35" ht="12" customHeight="1">
      <c r="A39" s="12" t="s">
        <v>579</v>
      </c>
      <c r="B39" s="12"/>
      <c r="C39" s="12" t="s">
        <v>53</v>
      </c>
      <c r="D39" s="12"/>
      <c r="E39" s="32">
        <v>48926</v>
      </c>
      <c r="G39" s="8">
        <v>1522616</v>
      </c>
      <c r="I39" s="8">
        <v>1246185</v>
      </c>
      <c r="K39" s="8">
        <v>315673</v>
      </c>
      <c r="M39" s="8">
        <f t="shared" si="0"/>
        <v>3084474</v>
      </c>
      <c r="O39" s="8">
        <f>8430114+337730</f>
        <v>8767844</v>
      </c>
      <c r="Q39" s="8">
        <v>0</v>
      </c>
      <c r="S39" s="8">
        <v>9043684</v>
      </c>
      <c r="U39" s="8">
        <v>555870</v>
      </c>
      <c r="W39" s="8">
        <v>0</v>
      </c>
      <c r="Y39" s="8">
        <v>0</v>
      </c>
      <c r="AA39" s="8">
        <v>32015</v>
      </c>
      <c r="AB39" s="39"/>
      <c r="AC39" s="8">
        <v>0</v>
      </c>
      <c r="AE39" s="8">
        <v>0</v>
      </c>
      <c r="AG39" s="8">
        <f t="shared" si="1"/>
        <v>18399413</v>
      </c>
      <c r="AH39" s="8"/>
      <c r="AI39" s="8">
        <f t="shared" si="2"/>
        <v>21483887</v>
      </c>
    </row>
    <row r="40" spans="1:35" ht="12" customHeight="1">
      <c r="A40" s="12" t="s">
        <v>303</v>
      </c>
      <c r="B40" s="12"/>
      <c r="C40" s="12" t="s">
        <v>20</v>
      </c>
      <c r="D40" s="12"/>
      <c r="E40" s="32">
        <v>43612</v>
      </c>
      <c r="G40" s="8">
        <v>6989742</v>
      </c>
      <c r="I40" s="8">
        <v>4637172</v>
      </c>
      <c r="K40" s="8">
        <v>91726</v>
      </c>
      <c r="M40" s="8">
        <f t="shared" si="0"/>
        <v>11718640</v>
      </c>
      <c r="O40" s="8">
        <f>55730090+1289022+1188843</f>
        <v>58207955</v>
      </c>
      <c r="Q40" s="8">
        <v>0</v>
      </c>
      <c r="S40" s="8">
        <v>23174392</v>
      </c>
      <c r="U40" s="8">
        <v>1958941</v>
      </c>
      <c r="W40" s="8">
        <v>0</v>
      </c>
      <c r="Y40" s="8">
        <v>0</v>
      </c>
      <c r="AA40" s="8">
        <v>684956</v>
      </c>
      <c r="AB40" s="39"/>
      <c r="AC40" s="8">
        <v>0</v>
      </c>
      <c r="AE40" s="8">
        <v>0</v>
      </c>
      <c r="AG40" s="8">
        <f t="shared" si="1"/>
        <v>84026244</v>
      </c>
      <c r="AH40" s="8"/>
      <c r="AI40" s="8">
        <f t="shared" si="2"/>
        <v>95744884</v>
      </c>
    </row>
    <row r="41" spans="1:35" ht="12" customHeight="1">
      <c r="A41" s="12" t="s">
        <v>381</v>
      </c>
      <c r="B41" s="12"/>
      <c r="C41" s="12" t="s">
        <v>30</v>
      </c>
      <c r="D41" s="12"/>
      <c r="E41" s="32">
        <v>47167</v>
      </c>
      <c r="G41" s="8">
        <v>634077</v>
      </c>
      <c r="I41" s="8">
        <v>642954</v>
      </c>
      <c r="K41" s="8">
        <v>30062</v>
      </c>
      <c r="M41" s="8">
        <f t="shared" si="0"/>
        <v>1307093</v>
      </c>
      <c r="O41" s="8">
        <f>4304017+226907</f>
        <v>4530924</v>
      </c>
      <c r="Q41" s="8">
        <v>1710748</v>
      </c>
      <c r="S41" s="8">
        <v>4234744</v>
      </c>
      <c r="U41" s="8">
        <v>124954</v>
      </c>
      <c r="W41" s="8">
        <v>0</v>
      </c>
      <c r="Y41" s="8">
        <v>0</v>
      </c>
      <c r="AA41" s="8">
        <v>9358</v>
      </c>
      <c r="AB41" s="39"/>
      <c r="AC41" s="8">
        <v>0</v>
      </c>
      <c r="AE41" s="8">
        <v>0</v>
      </c>
      <c r="AG41" s="8">
        <f t="shared" si="1"/>
        <v>10610728</v>
      </c>
      <c r="AH41" s="8"/>
      <c r="AI41" s="8">
        <f t="shared" si="2"/>
        <v>11917821</v>
      </c>
    </row>
    <row r="42" spans="1:35" ht="12" customHeight="1">
      <c r="A42" s="12" t="s">
        <v>340</v>
      </c>
      <c r="B42" s="12"/>
      <c r="C42" s="12" t="s">
        <v>24</v>
      </c>
      <c r="D42" s="12"/>
      <c r="E42" s="32">
        <v>46789</v>
      </c>
      <c r="G42" s="8">
        <v>1054750</v>
      </c>
      <c r="I42" s="8">
        <v>1599119</v>
      </c>
      <c r="K42" s="8">
        <v>8011</v>
      </c>
      <c r="M42" s="8">
        <f t="shared" si="0"/>
        <v>2661880</v>
      </c>
      <c r="O42" s="8">
        <f>6114269+593505</f>
        <v>6707774</v>
      </c>
      <c r="Q42" s="8">
        <v>0</v>
      </c>
      <c r="S42" s="8">
        <v>7034895</v>
      </c>
      <c r="U42" s="8">
        <v>218045</v>
      </c>
      <c r="W42" s="8">
        <v>0</v>
      </c>
      <c r="Y42" s="8">
        <v>0</v>
      </c>
      <c r="AA42" s="8">
        <v>57585</v>
      </c>
      <c r="AB42" s="39"/>
      <c r="AC42" s="8">
        <v>0</v>
      </c>
      <c r="AE42" s="8">
        <v>0</v>
      </c>
      <c r="AG42" s="8">
        <f t="shared" si="1"/>
        <v>14018299</v>
      </c>
      <c r="AH42" s="8"/>
      <c r="AI42" s="8">
        <f t="shared" si="2"/>
        <v>16680179</v>
      </c>
    </row>
    <row r="43" spans="1:35" ht="12" customHeight="1">
      <c r="A43" s="12" t="s">
        <v>348</v>
      </c>
      <c r="B43" s="12"/>
      <c r="C43" s="12" t="s">
        <v>25</v>
      </c>
      <c r="D43" s="12"/>
      <c r="E43" s="32">
        <v>46854</v>
      </c>
      <c r="G43" s="8">
        <v>1049698</v>
      </c>
      <c r="I43" s="8">
        <v>1325640</v>
      </c>
      <c r="K43" s="8">
        <v>0</v>
      </c>
      <c r="M43" s="8">
        <f t="shared" si="0"/>
        <v>2375338</v>
      </c>
      <c r="O43" s="8">
        <f>2688965+405003+40140</f>
        <v>3134108</v>
      </c>
      <c r="Q43" s="8">
        <v>857583</v>
      </c>
      <c r="S43" s="8">
        <v>3312626</v>
      </c>
      <c r="U43" s="8">
        <v>160191</v>
      </c>
      <c r="W43" s="8">
        <v>0</v>
      </c>
      <c r="Y43" s="8">
        <v>0</v>
      </c>
      <c r="AA43" s="8">
        <v>71713</v>
      </c>
      <c r="AB43" s="39"/>
      <c r="AC43" s="8">
        <v>0</v>
      </c>
      <c r="AE43" s="8">
        <v>0</v>
      </c>
      <c r="AG43" s="8">
        <f t="shared" si="1"/>
        <v>7536221</v>
      </c>
      <c r="AH43" s="8"/>
      <c r="AI43" s="8">
        <f t="shared" si="2"/>
        <v>9911559</v>
      </c>
    </row>
    <row r="44" spans="1:35" ht="12" customHeight="1">
      <c r="A44" s="12" t="s">
        <v>543</v>
      </c>
      <c r="B44" s="12"/>
      <c r="C44" s="12" t="s">
        <v>48</v>
      </c>
      <c r="D44" s="12"/>
      <c r="E44" s="32">
        <v>48611</v>
      </c>
      <c r="G44" s="8">
        <v>690685</v>
      </c>
      <c r="I44" s="8">
        <v>305566</v>
      </c>
      <c r="K44" s="8">
        <v>68786</v>
      </c>
      <c r="M44" s="8">
        <f t="shared" si="0"/>
        <v>1065037</v>
      </c>
      <c r="O44" s="8">
        <f>3205638+438170</f>
        <v>3643808</v>
      </c>
      <c r="Q44" s="8">
        <v>0</v>
      </c>
      <c r="S44" s="8">
        <v>3295120</v>
      </c>
      <c r="U44" s="8">
        <v>141396</v>
      </c>
      <c r="W44" s="8">
        <v>0</v>
      </c>
      <c r="Y44" s="8">
        <v>0</v>
      </c>
      <c r="AA44" s="8">
        <v>91271</v>
      </c>
      <c r="AB44" s="39"/>
      <c r="AC44" s="8">
        <v>0</v>
      </c>
      <c r="AE44" s="8">
        <v>0</v>
      </c>
      <c r="AG44" s="8">
        <f t="shared" si="1"/>
        <v>7171595</v>
      </c>
      <c r="AH44" s="8"/>
      <c r="AI44" s="8">
        <f t="shared" si="2"/>
        <v>8236632</v>
      </c>
    </row>
    <row r="45" spans="1:35" ht="12" customHeight="1">
      <c r="A45" s="12" t="s">
        <v>271</v>
      </c>
      <c r="B45" s="12"/>
      <c r="C45" s="12" t="s">
        <v>116</v>
      </c>
      <c r="D45" s="12"/>
      <c r="E45" s="32">
        <v>46318</v>
      </c>
      <c r="F45" s="7"/>
      <c r="G45" s="8">
        <v>1459522</v>
      </c>
      <c r="I45" s="8">
        <v>2366055</v>
      </c>
      <c r="K45" s="8">
        <v>0</v>
      </c>
      <c r="M45" s="8">
        <f t="shared" si="0"/>
        <v>3825577</v>
      </c>
      <c r="O45" s="8">
        <f>2986973+58630+520171+5580</f>
        <v>3571354</v>
      </c>
      <c r="Q45" s="8">
        <v>0</v>
      </c>
      <c r="S45" s="8">
        <v>8989188</v>
      </c>
      <c r="U45" s="8">
        <v>239223</v>
      </c>
      <c r="W45" s="8">
        <v>0</v>
      </c>
      <c r="Y45" s="8">
        <v>0</v>
      </c>
      <c r="AA45" s="8">
        <f>615645+1872</f>
        <v>617517</v>
      </c>
      <c r="AB45" s="39"/>
      <c r="AC45" s="8">
        <v>0</v>
      </c>
      <c r="AE45" s="8">
        <v>0</v>
      </c>
      <c r="AG45" s="8">
        <f t="shared" si="1"/>
        <v>13417282</v>
      </c>
      <c r="AH45" s="8"/>
      <c r="AI45" s="8">
        <f t="shared" si="2"/>
        <v>17242859</v>
      </c>
    </row>
    <row r="46" spans="1:35" ht="12" customHeight="1">
      <c r="A46" s="12" t="s">
        <v>356</v>
      </c>
      <c r="B46" s="12"/>
      <c r="C46" s="12" t="s">
        <v>27</v>
      </c>
      <c r="D46" s="12"/>
      <c r="E46" s="32">
        <v>43620</v>
      </c>
      <c r="G46" s="8">
        <v>625525</v>
      </c>
      <c r="I46" s="8">
        <v>1738546</v>
      </c>
      <c r="K46" s="8">
        <v>267438</v>
      </c>
      <c r="M46" s="8">
        <f>SUM(G46:L46)</f>
        <v>2631509</v>
      </c>
      <c r="O46" s="8">
        <v>18750187</v>
      </c>
      <c r="Q46" s="8">
        <v>6624746</v>
      </c>
      <c r="S46" s="8">
        <v>7122739</v>
      </c>
      <c r="U46" s="8">
        <v>923521</v>
      </c>
      <c r="W46" s="8">
        <v>0</v>
      </c>
      <c r="Y46" s="8">
        <v>0</v>
      </c>
      <c r="AA46" s="8">
        <v>443843</v>
      </c>
      <c r="AB46" s="39"/>
      <c r="AC46" s="8">
        <v>0</v>
      </c>
      <c r="AE46" s="8">
        <v>0</v>
      </c>
      <c r="AG46" s="8">
        <f>SUM(O46:AE46)</f>
        <v>33865036</v>
      </c>
      <c r="AH46" s="8"/>
      <c r="AI46" s="8">
        <f>+AG46+M46</f>
        <v>36496545</v>
      </c>
    </row>
    <row r="47" spans="1:35" ht="12" customHeight="1">
      <c r="A47" s="12" t="s">
        <v>336</v>
      </c>
      <c r="B47" s="12"/>
      <c r="C47" s="12" t="s">
        <v>23</v>
      </c>
      <c r="D47" s="12"/>
      <c r="E47" s="32">
        <v>46748</v>
      </c>
      <c r="G47" s="8">
        <v>1205149</v>
      </c>
      <c r="I47" s="8">
        <v>1279558</v>
      </c>
      <c r="K47" s="8">
        <v>44731</v>
      </c>
      <c r="M47" s="8">
        <f>SUM(G47:L47)</f>
        <v>2529438</v>
      </c>
      <c r="O47" s="8">
        <f>12336291+2018917</f>
        <v>14355208</v>
      </c>
      <c r="Q47" s="8">
        <v>4430022</v>
      </c>
      <c r="S47" s="8">
        <v>6968875</v>
      </c>
      <c r="U47" s="8">
        <v>347757</v>
      </c>
      <c r="W47" s="8">
        <v>0</v>
      </c>
      <c r="Y47" s="8">
        <v>5553</v>
      </c>
      <c r="AA47" s="8">
        <v>189936</v>
      </c>
      <c r="AB47" s="39"/>
      <c r="AC47" s="8">
        <v>0</v>
      </c>
      <c r="AE47" s="8">
        <v>0</v>
      </c>
      <c r="AG47" s="8">
        <f t="shared" si="1"/>
        <v>26297351</v>
      </c>
      <c r="AH47" s="8"/>
      <c r="AI47" s="8">
        <f>+AG47+M47</f>
        <v>28826789</v>
      </c>
    </row>
    <row r="48" spans="1:35" ht="12" customHeight="1">
      <c r="A48" s="12" t="s">
        <v>531</v>
      </c>
      <c r="B48" s="12"/>
      <c r="C48" s="12" t="s">
        <v>47</v>
      </c>
      <c r="D48" s="12"/>
      <c r="E48" s="32">
        <v>48462</v>
      </c>
      <c r="G48" s="8">
        <v>864496</v>
      </c>
      <c r="I48" s="8">
        <v>1716320</v>
      </c>
      <c r="K48" s="8">
        <v>11397</v>
      </c>
      <c r="M48" s="8">
        <f>SUM(G48:L48)</f>
        <v>2592213</v>
      </c>
      <c r="O48" s="8">
        <f>3055321+475322+113866</f>
        <v>3644509</v>
      </c>
      <c r="Q48" s="8">
        <v>0</v>
      </c>
      <c r="S48" s="8">
        <v>7705037</v>
      </c>
      <c r="U48" s="8">
        <v>236489</v>
      </c>
      <c r="W48" s="8">
        <v>0</v>
      </c>
      <c r="Y48" s="8">
        <v>0</v>
      </c>
      <c r="AA48" s="8">
        <v>51210</v>
      </c>
      <c r="AB48" s="39"/>
      <c r="AC48" s="8">
        <v>0</v>
      </c>
      <c r="AE48" s="8">
        <v>350000</v>
      </c>
      <c r="AG48" s="8">
        <f t="shared" si="1"/>
        <v>11987245</v>
      </c>
      <c r="AH48" s="8"/>
      <c r="AI48" s="8">
        <f>+AG48+M48</f>
        <v>14579458</v>
      </c>
    </row>
    <row r="49" spans="1:35" ht="12" customHeight="1">
      <c r="A49" s="12" t="s">
        <v>278</v>
      </c>
      <c r="B49" s="12"/>
      <c r="C49" s="12" t="s">
        <v>18</v>
      </c>
      <c r="D49" s="12"/>
      <c r="E49" s="32">
        <v>46383</v>
      </c>
      <c r="F49" s="7"/>
      <c r="G49" s="8">
        <v>1427270</v>
      </c>
      <c r="I49" s="8">
        <v>2158065</v>
      </c>
      <c r="K49" s="8">
        <v>10684</v>
      </c>
      <c r="M49" s="8">
        <f t="shared" si="0"/>
        <v>3596019</v>
      </c>
      <c r="O49" s="8">
        <f>2794873+57657+395574+119310</f>
        <v>3367414</v>
      </c>
      <c r="Q49" s="8">
        <v>0</v>
      </c>
      <c r="S49" s="8">
        <v>8165878</v>
      </c>
      <c r="U49" s="8">
        <v>145691</v>
      </c>
      <c r="W49" s="8">
        <v>0</v>
      </c>
      <c r="Y49" s="8">
        <v>13476</v>
      </c>
      <c r="AA49" s="8">
        <f>7168+127562</f>
        <v>134730</v>
      </c>
      <c r="AB49" s="39"/>
      <c r="AC49" s="8">
        <v>0</v>
      </c>
      <c r="AE49" s="8">
        <v>0</v>
      </c>
      <c r="AG49" s="8">
        <f t="shared" si="1"/>
        <v>11827189</v>
      </c>
      <c r="AH49" s="8"/>
      <c r="AI49" s="8">
        <f t="shared" si="2"/>
        <v>15423208</v>
      </c>
    </row>
    <row r="50" spans="1:35" ht="12" customHeight="1">
      <c r="A50" s="12" t="s">
        <v>349</v>
      </c>
      <c r="B50" s="12"/>
      <c r="C50" s="12" t="s">
        <v>25</v>
      </c>
      <c r="D50" s="12"/>
      <c r="E50" s="32">
        <v>46862</v>
      </c>
      <c r="G50" s="8">
        <v>1095382</v>
      </c>
      <c r="I50" s="8">
        <v>1101968</v>
      </c>
      <c r="K50" s="8">
        <v>10742</v>
      </c>
      <c r="M50" s="8">
        <f t="shared" si="0"/>
        <v>2208092</v>
      </c>
      <c r="O50" s="8">
        <v>5491833</v>
      </c>
      <c r="Q50" s="8">
        <v>3492070</v>
      </c>
      <c r="S50" s="8">
        <v>3645959</v>
      </c>
      <c r="U50" s="8">
        <v>103889</v>
      </c>
      <c r="W50" s="8">
        <v>0</v>
      </c>
      <c r="Y50" s="8">
        <v>0</v>
      </c>
      <c r="AA50" s="8">
        <f>3589+42734</f>
        <v>46323</v>
      </c>
      <c r="AB50" s="39"/>
      <c r="AC50" s="8">
        <v>0</v>
      </c>
      <c r="AE50" s="8">
        <v>0</v>
      </c>
      <c r="AG50" s="8">
        <f t="shared" si="1"/>
        <v>12780074</v>
      </c>
      <c r="AH50" s="8"/>
      <c r="AI50" s="8">
        <f t="shared" si="2"/>
        <v>14988166</v>
      </c>
    </row>
    <row r="51" spans="1:35" ht="12" customHeight="1">
      <c r="A51" s="12" t="s">
        <v>680</v>
      </c>
      <c r="B51" s="12"/>
      <c r="C51" s="12" t="s">
        <v>64</v>
      </c>
      <c r="D51" s="12"/>
      <c r="E51" s="32">
        <v>50096</v>
      </c>
      <c r="G51" s="8">
        <v>248373</v>
      </c>
      <c r="I51" s="8">
        <v>720896</v>
      </c>
      <c r="K51" s="8">
        <v>2952</v>
      </c>
      <c r="M51" s="8">
        <f t="shared" si="0"/>
        <v>972221</v>
      </c>
      <c r="O51" s="8">
        <f>1005010+150855+133300</f>
        <v>1289165</v>
      </c>
      <c r="Q51" s="8">
        <v>0</v>
      </c>
      <c r="S51" s="8">
        <v>1645648</v>
      </c>
      <c r="U51" s="8">
        <v>34162</v>
      </c>
      <c r="W51" s="8">
        <v>0</v>
      </c>
      <c r="Y51" s="8">
        <v>0</v>
      </c>
      <c r="AA51" s="8">
        <v>16849</v>
      </c>
      <c r="AB51" s="39"/>
      <c r="AC51" s="8">
        <v>0</v>
      </c>
      <c r="AE51" s="8">
        <v>0</v>
      </c>
      <c r="AG51" s="8">
        <f t="shared" si="1"/>
        <v>2985824</v>
      </c>
      <c r="AH51" s="8"/>
      <c r="AI51" s="8">
        <f t="shared" si="2"/>
        <v>3958045</v>
      </c>
    </row>
    <row r="52" spans="1:35" ht="12" customHeight="1">
      <c r="A52" s="12" t="s">
        <v>631</v>
      </c>
      <c r="B52" s="12"/>
      <c r="C52" s="12" t="s">
        <v>59</v>
      </c>
      <c r="D52" s="12"/>
      <c r="E52" s="32">
        <v>49593</v>
      </c>
      <c r="G52" s="8">
        <v>988661</v>
      </c>
      <c r="I52" s="8">
        <v>1572223</v>
      </c>
      <c r="K52" s="8">
        <v>10723</v>
      </c>
      <c r="M52" s="8">
        <f>SUM(G52:L52)</f>
        <v>2571607</v>
      </c>
      <c r="O52" s="8">
        <f>1032516+76910+51070+21168</f>
        <v>1181664</v>
      </c>
      <c r="Q52" s="8">
        <v>0</v>
      </c>
      <c r="S52" s="8">
        <v>6114616</v>
      </c>
      <c r="U52" s="8">
        <v>31563</v>
      </c>
      <c r="W52" s="8">
        <v>0</v>
      </c>
      <c r="Y52" s="8">
        <v>2000</v>
      </c>
      <c r="AA52" s="8">
        <v>99093</v>
      </c>
      <c r="AB52" s="39"/>
      <c r="AC52" s="8">
        <v>0</v>
      </c>
      <c r="AE52" s="8">
        <v>0</v>
      </c>
      <c r="AG52" s="8">
        <f>SUM(O52:AE52)</f>
        <v>7428936</v>
      </c>
      <c r="AH52" s="8"/>
      <c r="AI52" s="8">
        <f>+AG52+M52</f>
        <v>10000543</v>
      </c>
    </row>
    <row r="53" spans="1:35" ht="12" customHeight="1">
      <c r="A53" s="12" t="s">
        <v>515</v>
      </c>
      <c r="B53" s="12"/>
      <c r="C53" s="12" t="s">
        <v>45</v>
      </c>
      <c r="D53" s="12"/>
      <c r="E53" s="32">
        <v>48306</v>
      </c>
      <c r="G53" s="8">
        <v>1948575</v>
      </c>
      <c r="I53" s="8">
        <v>2832415</v>
      </c>
      <c r="K53" s="8">
        <v>65314</v>
      </c>
      <c r="M53" s="8">
        <f t="shared" si="0"/>
        <v>4846304</v>
      </c>
      <c r="O53" s="8">
        <f>29254399+855436</f>
        <v>30109835</v>
      </c>
      <c r="Q53" s="8">
        <v>0</v>
      </c>
      <c r="S53" s="8">
        <v>11821236</v>
      </c>
      <c r="U53" s="8">
        <v>736682</v>
      </c>
      <c r="W53" s="8">
        <v>0</v>
      </c>
      <c r="Y53" s="8">
        <v>0</v>
      </c>
      <c r="AA53" s="8">
        <v>291116</v>
      </c>
      <c r="AB53" s="39"/>
      <c r="AC53" s="8">
        <v>0</v>
      </c>
      <c r="AE53" s="8">
        <v>0</v>
      </c>
      <c r="AG53" s="8">
        <f t="shared" si="1"/>
        <v>42958869</v>
      </c>
      <c r="AH53" s="8"/>
      <c r="AI53" s="8">
        <f t="shared" si="2"/>
        <v>47805173</v>
      </c>
    </row>
    <row r="54" spans="1:35" ht="12" customHeight="1">
      <c r="A54" s="12" t="s">
        <v>647</v>
      </c>
      <c r="B54" s="12"/>
      <c r="C54" s="12" t="s">
        <v>61</v>
      </c>
      <c r="D54" s="12"/>
      <c r="E54" s="32">
        <v>49767</v>
      </c>
      <c r="G54" s="8">
        <v>874835</v>
      </c>
      <c r="I54" s="8">
        <v>332821</v>
      </c>
      <c r="K54" s="8">
        <v>3359</v>
      </c>
      <c r="M54" s="8">
        <f t="shared" si="0"/>
        <v>1211015</v>
      </c>
      <c r="O54" s="8">
        <f>933106+115136+20876+85430</f>
        <v>1154548</v>
      </c>
      <c r="Q54" s="8">
        <v>0</v>
      </c>
      <c r="S54" s="8">
        <v>2524759</v>
      </c>
      <c r="U54" s="8">
        <v>72080</v>
      </c>
      <c r="W54" s="8">
        <v>0</v>
      </c>
      <c r="Y54" s="8">
        <v>1633</v>
      </c>
      <c r="AA54" s="8">
        <v>6201</v>
      </c>
      <c r="AB54" s="39"/>
      <c r="AC54" s="8">
        <v>0</v>
      </c>
      <c r="AE54" s="8">
        <v>0</v>
      </c>
      <c r="AG54" s="8">
        <f t="shared" si="1"/>
        <v>3759221</v>
      </c>
      <c r="AH54" s="8"/>
      <c r="AI54" s="8">
        <f t="shared" si="2"/>
        <v>4970236</v>
      </c>
    </row>
    <row r="55" spans="1:35" ht="12" customHeight="1">
      <c r="A55" s="12" t="s">
        <v>739</v>
      </c>
      <c r="B55" s="12"/>
      <c r="C55" s="12" t="s">
        <v>72</v>
      </c>
      <c r="D55" s="12"/>
      <c r="E55" s="32">
        <v>43638</v>
      </c>
      <c r="G55" s="8">
        <v>296725</v>
      </c>
      <c r="I55" s="8">
        <v>1736245</v>
      </c>
      <c r="K55" s="8">
        <v>0</v>
      </c>
      <c r="M55" s="8">
        <f t="shared" si="0"/>
        <v>2032970</v>
      </c>
      <c r="O55" s="8">
        <f>18373271+1695413+451439</f>
        <v>20520123</v>
      </c>
      <c r="Q55" s="8">
        <v>0</v>
      </c>
      <c r="S55" s="8">
        <v>10467839</v>
      </c>
      <c r="U55" s="8">
        <v>1956919</v>
      </c>
      <c r="W55" s="8">
        <v>218180</v>
      </c>
      <c r="Y55" s="8">
        <v>0</v>
      </c>
      <c r="AA55" s="8">
        <v>623293</v>
      </c>
      <c r="AB55" s="39"/>
      <c r="AC55" s="8">
        <v>-2000</v>
      </c>
      <c r="AE55" s="8">
        <v>0</v>
      </c>
      <c r="AG55" s="8">
        <f t="shared" si="1"/>
        <v>33784354</v>
      </c>
      <c r="AH55" s="8"/>
      <c r="AI55" s="8">
        <f t="shared" si="2"/>
        <v>35817324</v>
      </c>
    </row>
    <row r="56" spans="1:35" ht="12" customHeight="1">
      <c r="A56" s="12" t="s">
        <v>984</v>
      </c>
      <c r="B56" s="12"/>
      <c r="C56" s="12" t="s">
        <v>20</v>
      </c>
      <c r="D56" s="12"/>
      <c r="E56" s="32">
        <v>43646</v>
      </c>
      <c r="G56" s="8">
        <v>3195474</v>
      </c>
      <c r="I56" s="8">
        <v>2003790</v>
      </c>
      <c r="K56" s="8">
        <v>328667</v>
      </c>
      <c r="M56" s="8">
        <f t="shared" si="0"/>
        <v>5527931</v>
      </c>
      <c r="O56" s="8">
        <f>38028153+2857730+1756757</f>
        <v>42642640</v>
      </c>
      <c r="Q56" s="8">
        <v>0</v>
      </c>
      <c r="S56" s="8">
        <v>11905383</v>
      </c>
      <c r="U56" s="8">
        <v>1065650</v>
      </c>
      <c r="W56" s="8">
        <v>28250</v>
      </c>
      <c r="Y56" s="8">
        <v>36753</v>
      </c>
      <c r="AA56" s="8">
        <f>76272+250</f>
        <v>76522</v>
      </c>
      <c r="AB56" s="39"/>
      <c r="AC56" s="8">
        <v>0</v>
      </c>
      <c r="AE56" s="8">
        <v>0</v>
      </c>
      <c r="AG56" s="8">
        <f t="shared" si="1"/>
        <v>55755198</v>
      </c>
      <c r="AH56" s="8"/>
      <c r="AI56" s="8">
        <f t="shared" si="2"/>
        <v>61283129</v>
      </c>
    </row>
    <row r="57" spans="1:35" ht="12" customHeight="1">
      <c r="A57" s="12" t="s">
        <v>235</v>
      </c>
      <c r="B57" s="12"/>
      <c r="C57" s="12" t="s">
        <v>15</v>
      </c>
      <c r="D57" s="12"/>
      <c r="E57" s="32">
        <v>45237</v>
      </c>
      <c r="F57" s="7"/>
      <c r="G57" s="8">
        <v>451954</v>
      </c>
      <c r="I57" s="8">
        <v>1905489</v>
      </c>
      <c r="K57" s="8">
        <v>12495</v>
      </c>
      <c r="M57" s="8">
        <f t="shared" si="0"/>
        <v>2369938</v>
      </c>
      <c r="O57" s="8">
        <f>1470391+24792+306499+52783</f>
        <v>1854465</v>
      </c>
      <c r="Q57" s="8">
        <v>0</v>
      </c>
      <c r="S57" s="8">
        <v>3935809</v>
      </c>
      <c r="U57" s="8">
        <v>69898</v>
      </c>
      <c r="W57" s="8">
        <v>0</v>
      </c>
      <c r="Y57" s="8">
        <v>0</v>
      </c>
      <c r="AA57" s="8">
        <v>45679</v>
      </c>
      <c r="AB57" s="39"/>
      <c r="AC57" s="8">
        <v>0</v>
      </c>
      <c r="AE57" s="8">
        <v>0</v>
      </c>
      <c r="AG57" s="8">
        <f t="shared" si="1"/>
        <v>5905851</v>
      </c>
      <c r="AH57" s="8"/>
      <c r="AI57" s="8">
        <f t="shared" si="2"/>
        <v>8275789</v>
      </c>
    </row>
    <row r="58" spans="1:35" ht="12" customHeight="1">
      <c r="A58" s="12" t="s">
        <v>439</v>
      </c>
      <c r="B58" s="12"/>
      <c r="C58" s="12" t="s">
        <v>440</v>
      </c>
      <c r="D58" s="12"/>
      <c r="E58" s="32">
        <v>47613</v>
      </c>
      <c r="G58" s="8">
        <v>519624</v>
      </c>
      <c r="I58" s="8">
        <v>1226767</v>
      </c>
      <c r="K58" s="8">
        <v>9000</v>
      </c>
      <c r="M58" s="8">
        <f t="shared" si="0"/>
        <v>1755391</v>
      </c>
      <c r="O58" s="8">
        <f>1248409+91571+72790</f>
        <v>1412770</v>
      </c>
      <c r="Q58" s="8">
        <v>0</v>
      </c>
      <c r="S58" s="8">
        <v>4683434</v>
      </c>
      <c r="U58" s="8">
        <v>122003</v>
      </c>
      <c r="W58" s="8">
        <v>0</v>
      </c>
      <c r="Y58" s="8">
        <v>0</v>
      </c>
      <c r="AA58" s="8">
        <v>48984</v>
      </c>
      <c r="AB58" s="39"/>
      <c r="AC58" s="8">
        <v>0</v>
      </c>
      <c r="AE58" s="8">
        <v>0</v>
      </c>
      <c r="AG58" s="8">
        <f t="shared" si="1"/>
        <v>6267191</v>
      </c>
      <c r="AH58" s="8"/>
      <c r="AI58" s="8">
        <f t="shared" si="2"/>
        <v>8022582</v>
      </c>
    </row>
    <row r="59" spans="1:35" ht="12" customHeight="1">
      <c r="A59" s="12" t="s">
        <v>681</v>
      </c>
      <c r="B59" s="12"/>
      <c r="C59" s="12" t="s">
        <v>64</v>
      </c>
      <c r="D59" s="12"/>
      <c r="E59" s="32">
        <v>50112</v>
      </c>
      <c r="G59" s="8">
        <v>1037339</v>
      </c>
      <c r="I59" s="8">
        <v>656288</v>
      </c>
      <c r="K59" s="8">
        <v>6261</v>
      </c>
      <c r="M59" s="8">
        <f t="shared" si="0"/>
        <v>1699888</v>
      </c>
      <c r="O59" s="8">
        <f>1636960+701431+173768+96630</f>
        <v>2608789</v>
      </c>
      <c r="Q59" s="8">
        <v>0</v>
      </c>
      <c r="S59" s="8">
        <v>3605114</v>
      </c>
      <c r="U59" s="8">
        <v>92607</v>
      </c>
      <c r="W59" s="8">
        <v>0</v>
      </c>
      <c r="Y59" s="8">
        <v>0</v>
      </c>
      <c r="AA59" s="8">
        <v>45046</v>
      </c>
      <c r="AB59" s="39"/>
      <c r="AC59" s="8">
        <v>0</v>
      </c>
      <c r="AE59" s="8">
        <v>0</v>
      </c>
      <c r="AG59" s="8">
        <f t="shared" si="1"/>
        <v>6351556</v>
      </c>
      <c r="AH59" s="8"/>
      <c r="AI59" s="8">
        <f t="shared" si="2"/>
        <v>8051444</v>
      </c>
    </row>
    <row r="60" spans="1:35" ht="12" customHeight="1">
      <c r="A60" s="12" t="s">
        <v>682</v>
      </c>
      <c r="B60" s="12"/>
      <c r="C60" s="12" t="s">
        <v>64</v>
      </c>
      <c r="D60" s="12"/>
      <c r="E60" s="32">
        <v>50120</v>
      </c>
      <c r="G60" s="8">
        <v>623587</v>
      </c>
      <c r="I60" s="8">
        <v>1606944</v>
      </c>
      <c r="K60" s="8">
        <v>6096</v>
      </c>
      <c r="M60" s="8">
        <f t="shared" si="0"/>
        <v>2236627</v>
      </c>
      <c r="O60" s="8">
        <f>2936130+29939+661912+35675</f>
        <v>3663656</v>
      </c>
      <c r="Q60" s="8">
        <v>0</v>
      </c>
      <c r="S60" s="8">
        <v>5956588</v>
      </c>
      <c r="U60" s="8">
        <v>200568</v>
      </c>
      <c r="W60" s="8">
        <v>0</v>
      </c>
      <c r="Y60" s="8">
        <v>0</v>
      </c>
      <c r="AA60" s="8">
        <f>20120504-214811</f>
        <v>19905693</v>
      </c>
      <c r="AB60" s="39"/>
      <c r="AC60" s="8">
        <v>0</v>
      </c>
      <c r="AE60" s="8">
        <v>139000</v>
      </c>
      <c r="AG60" s="8">
        <f t="shared" si="1"/>
        <v>29865505</v>
      </c>
      <c r="AH60" s="8"/>
      <c r="AI60" s="8">
        <f t="shared" si="2"/>
        <v>32102132</v>
      </c>
    </row>
    <row r="61" spans="1:35" ht="12" customHeight="1">
      <c r="A61" s="12" t="s">
        <v>305</v>
      </c>
      <c r="B61" s="12"/>
      <c r="C61" s="12" t="s">
        <v>20</v>
      </c>
      <c r="D61" s="12"/>
      <c r="E61" s="32">
        <v>43653</v>
      </c>
      <c r="G61" s="8">
        <v>829311</v>
      </c>
      <c r="I61" s="8">
        <v>1259418</v>
      </c>
      <c r="K61" s="8">
        <v>12236</v>
      </c>
      <c r="M61" s="8">
        <f t="shared" si="0"/>
        <v>2100965</v>
      </c>
      <c r="O61" s="8">
        <f>11480840+163860</f>
        <v>11644700</v>
      </c>
      <c r="Q61" s="8">
        <v>0</v>
      </c>
      <c r="S61" s="8">
        <v>3335311</v>
      </c>
      <c r="U61" s="8">
        <v>100176</v>
      </c>
      <c r="W61" s="8">
        <v>0</v>
      </c>
      <c r="Y61" s="8">
        <v>0</v>
      </c>
      <c r="AA61" s="8">
        <v>140860</v>
      </c>
      <c r="AB61" s="39"/>
      <c r="AC61" s="8">
        <v>0</v>
      </c>
      <c r="AE61" s="8">
        <v>0</v>
      </c>
      <c r="AG61" s="8">
        <f t="shared" si="1"/>
        <v>15221047</v>
      </c>
      <c r="AH61" s="8"/>
      <c r="AI61" s="8">
        <f t="shared" si="2"/>
        <v>17322012</v>
      </c>
    </row>
    <row r="62" spans="1:35" ht="12" customHeight="1">
      <c r="A62" s="12" t="s">
        <v>552</v>
      </c>
      <c r="B62" s="12"/>
      <c r="C62" s="12" t="s">
        <v>50</v>
      </c>
      <c r="D62" s="12"/>
      <c r="E62" s="32">
        <v>48678</v>
      </c>
      <c r="G62" s="8">
        <v>1074119</v>
      </c>
      <c r="I62" s="8">
        <v>1174059</v>
      </c>
      <c r="K62" s="8">
        <v>27117</v>
      </c>
      <c r="M62" s="8">
        <f t="shared" si="0"/>
        <v>2275295</v>
      </c>
      <c r="O62" s="8">
        <f>4878072+1380756+40187</f>
        <v>6299015</v>
      </c>
      <c r="Q62" s="8">
        <v>0</v>
      </c>
      <c r="S62" s="8">
        <v>5900642</v>
      </c>
      <c r="U62" s="8">
        <v>190425</v>
      </c>
      <c r="W62" s="8">
        <v>0</v>
      </c>
      <c r="Y62" s="8">
        <v>30157</v>
      </c>
      <c r="AA62" s="8">
        <v>154357</v>
      </c>
      <c r="AB62" s="39"/>
      <c r="AC62" s="8">
        <v>0</v>
      </c>
      <c r="AE62" s="8">
        <v>0</v>
      </c>
      <c r="AG62" s="8">
        <f t="shared" si="1"/>
        <v>12574596</v>
      </c>
      <c r="AH62" s="8"/>
      <c r="AI62" s="8">
        <f t="shared" si="2"/>
        <v>14849891</v>
      </c>
    </row>
    <row r="63" spans="1:35" ht="12" customHeight="1">
      <c r="A63" s="12" t="s">
        <v>256</v>
      </c>
      <c r="B63" s="12"/>
      <c r="C63" s="12" t="s">
        <v>16</v>
      </c>
      <c r="D63" s="12"/>
      <c r="E63" s="32">
        <v>46177</v>
      </c>
      <c r="F63" s="7"/>
      <c r="G63" s="8">
        <v>560798</v>
      </c>
      <c r="I63" s="8">
        <v>870617</v>
      </c>
      <c r="K63" s="8">
        <v>3519</v>
      </c>
      <c r="M63" s="8">
        <f t="shared" si="0"/>
        <v>1434934</v>
      </c>
      <c r="O63" s="8">
        <f>4167878+87776</f>
        <v>4255654</v>
      </c>
      <c r="S63" s="8">
        <v>2808333</v>
      </c>
      <c r="U63" s="8">
        <v>133015</v>
      </c>
      <c r="W63" s="8">
        <v>68986</v>
      </c>
      <c r="Y63" s="8">
        <v>0</v>
      </c>
      <c r="AA63" s="8">
        <v>13463</v>
      </c>
      <c r="AB63" s="39"/>
      <c r="AC63" s="8">
        <v>0</v>
      </c>
      <c r="AE63" s="8">
        <v>0</v>
      </c>
      <c r="AG63" s="8">
        <f t="shared" si="1"/>
        <v>7279451</v>
      </c>
      <c r="AH63" s="8"/>
      <c r="AI63" s="8">
        <f t="shared" si="2"/>
        <v>8714385</v>
      </c>
    </row>
    <row r="64" spans="1:35" ht="12" customHeight="1">
      <c r="A64" s="12" t="s">
        <v>532</v>
      </c>
      <c r="B64" s="12"/>
      <c r="C64" s="12" t="s">
        <v>47</v>
      </c>
      <c r="D64" s="12"/>
      <c r="E64" s="32">
        <v>43661</v>
      </c>
      <c r="G64" s="8">
        <v>3054678</v>
      </c>
      <c r="I64" s="8">
        <v>5636310</v>
      </c>
      <c r="K64" s="8">
        <v>320423</v>
      </c>
      <c r="M64" s="8">
        <f t="shared" si="0"/>
        <v>9011411</v>
      </c>
      <c r="O64" s="8">
        <f>26033899+1285307+5969805</f>
        <v>33289011</v>
      </c>
      <c r="Q64" s="8">
        <v>0</v>
      </c>
      <c r="S64" s="8">
        <v>28418945</v>
      </c>
      <c r="U64" s="8">
        <v>439528</v>
      </c>
      <c r="W64" s="8">
        <v>0</v>
      </c>
      <c r="Y64" s="8">
        <v>0</v>
      </c>
      <c r="AA64" s="8">
        <v>1390013</v>
      </c>
      <c r="AB64" s="39"/>
      <c r="AC64" s="8">
        <v>0</v>
      </c>
      <c r="AE64" s="8">
        <v>0</v>
      </c>
      <c r="AG64" s="8">
        <f t="shared" si="1"/>
        <v>63537497</v>
      </c>
      <c r="AH64" s="8"/>
      <c r="AI64" s="8">
        <f t="shared" si="2"/>
        <v>72548908</v>
      </c>
    </row>
    <row r="65" spans="1:37" ht="12" hidden="1" customHeight="1">
      <c r="A65" s="12" t="s">
        <v>732</v>
      </c>
      <c r="B65" s="12"/>
      <c r="C65" s="12" t="s">
        <v>733</v>
      </c>
      <c r="D65" s="12"/>
      <c r="E65" s="32">
        <v>43679</v>
      </c>
      <c r="M65" s="8">
        <f t="shared" si="0"/>
        <v>0</v>
      </c>
      <c r="Y65" s="8">
        <v>0</v>
      </c>
      <c r="AB65" s="39"/>
      <c r="AC65" s="8">
        <v>0</v>
      </c>
      <c r="AE65" s="8">
        <v>0</v>
      </c>
      <c r="AG65" s="8">
        <f t="shared" si="1"/>
        <v>0</v>
      </c>
      <c r="AH65" s="8"/>
      <c r="AI65" s="8">
        <f t="shared" si="2"/>
        <v>0</v>
      </c>
      <c r="AK65" s="10" t="s">
        <v>917</v>
      </c>
    </row>
    <row r="66" spans="1:37" ht="12" customHeight="1">
      <c r="A66" s="12" t="s">
        <v>294</v>
      </c>
      <c r="B66" s="12"/>
      <c r="C66" s="12" t="s">
        <v>114</v>
      </c>
      <c r="D66" s="12"/>
      <c r="E66" s="32">
        <v>46508</v>
      </c>
      <c r="G66" s="8">
        <v>489340</v>
      </c>
      <c r="I66" s="8">
        <v>963597</v>
      </c>
      <c r="K66" s="8">
        <v>9565</v>
      </c>
      <c r="M66" s="8">
        <f t="shared" si="0"/>
        <v>1462502</v>
      </c>
      <c r="O66" s="8">
        <f>1748768+33996+483638</f>
        <v>2266402</v>
      </c>
      <c r="Q66" s="8">
        <v>1468804</v>
      </c>
      <c r="S66" s="8">
        <v>4365593</v>
      </c>
      <c r="U66" s="8">
        <v>535250</v>
      </c>
      <c r="W66" s="8">
        <v>0</v>
      </c>
      <c r="Y66" s="8">
        <v>0</v>
      </c>
      <c r="AA66" s="8">
        <v>47242</v>
      </c>
      <c r="AB66" s="39"/>
      <c r="AC66" s="8">
        <v>0</v>
      </c>
      <c r="AE66" s="8">
        <v>0</v>
      </c>
      <c r="AG66" s="8">
        <f t="shared" si="1"/>
        <v>8683291</v>
      </c>
      <c r="AH66" s="8"/>
      <c r="AI66" s="8">
        <f t="shared" si="2"/>
        <v>10145793</v>
      </c>
    </row>
    <row r="67" spans="1:37" ht="12" customHeight="1">
      <c r="A67" s="12" t="s">
        <v>219</v>
      </c>
      <c r="B67" s="12"/>
      <c r="C67" s="12" t="s">
        <v>12</v>
      </c>
      <c r="D67" s="12"/>
      <c r="E67" s="32">
        <v>45856</v>
      </c>
      <c r="F67" s="7"/>
      <c r="G67" s="8">
        <v>1917220</v>
      </c>
      <c r="I67" s="8">
        <v>1029805</v>
      </c>
      <c r="K67" s="8">
        <v>16482</v>
      </c>
      <c r="M67" s="8">
        <f t="shared" si="0"/>
        <v>2963507</v>
      </c>
      <c r="O67" s="8">
        <f>8219971+55753+537850</f>
        <v>8813574</v>
      </c>
      <c r="Q67" s="8">
        <v>0</v>
      </c>
      <c r="S67" s="8">
        <v>9226016</v>
      </c>
      <c r="U67" s="8">
        <v>227773</v>
      </c>
      <c r="W67" s="8">
        <v>0</v>
      </c>
      <c r="Y67" s="8">
        <v>0</v>
      </c>
      <c r="AA67" s="8">
        <v>78407</v>
      </c>
      <c r="AB67" s="39"/>
      <c r="AC67" s="8">
        <v>0</v>
      </c>
      <c r="AE67" s="8">
        <v>0</v>
      </c>
      <c r="AG67" s="8">
        <f t="shared" si="1"/>
        <v>18345770</v>
      </c>
      <c r="AH67" s="8"/>
      <c r="AI67" s="8">
        <f t="shared" si="2"/>
        <v>21309277</v>
      </c>
    </row>
    <row r="68" spans="1:37" s="8" customFormat="1" ht="12" customHeight="1">
      <c r="A68" s="13" t="s">
        <v>219</v>
      </c>
      <c r="B68" s="13"/>
      <c r="C68" s="13" t="s">
        <v>39</v>
      </c>
      <c r="D68" s="13"/>
      <c r="E68" s="13">
        <v>47787</v>
      </c>
      <c r="G68" s="8">
        <v>1030334</v>
      </c>
      <c r="I68" s="8">
        <v>3722122</v>
      </c>
      <c r="K68" s="8">
        <v>61158</v>
      </c>
      <c r="M68" s="8">
        <f>SUM(G68:L68)</f>
        <v>4813614</v>
      </c>
      <c r="O68" s="8">
        <f>5869573+740542</f>
        <v>6610115</v>
      </c>
      <c r="Q68" s="8">
        <v>0</v>
      </c>
      <c r="S68" s="8">
        <v>9767712</v>
      </c>
      <c r="U68" s="8">
        <v>103050</v>
      </c>
      <c r="W68" s="8">
        <v>0</v>
      </c>
      <c r="Y68" s="8">
        <v>66877</v>
      </c>
      <c r="AA68" s="8">
        <f>250+26450</f>
        <v>26700</v>
      </c>
      <c r="AB68" s="39"/>
      <c r="AC68" s="8">
        <v>0</v>
      </c>
      <c r="AE68" s="8">
        <v>0</v>
      </c>
      <c r="AG68" s="8">
        <f>SUM(O68:AE68)</f>
        <v>16574454</v>
      </c>
      <c r="AI68" s="8">
        <f t="shared" si="2"/>
        <v>21388068</v>
      </c>
    </row>
    <row r="69" spans="1:37" s="8" customFormat="1" ht="12" hidden="1" customHeight="1">
      <c r="A69" s="13" t="s">
        <v>219</v>
      </c>
      <c r="B69" s="13"/>
      <c r="C69" s="13" t="s">
        <v>47</v>
      </c>
      <c r="D69" s="13"/>
      <c r="E69" s="32">
        <v>48470</v>
      </c>
      <c r="M69" s="8">
        <f>SUM(G69:L69)</f>
        <v>0</v>
      </c>
      <c r="W69" s="8">
        <v>0</v>
      </c>
      <c r="Y69" s="8">
        <v>0</v>
      </c>
      <c r="AB69" s="39"/>
      <c r="AC69" s="8">
        <v>0</v>
      </c>
      <c r="AE69" s="8">
        <v>0</v>
      </c>
      <c r="AG69" s="8">
        <f>SUM(O69:AE69)</f>
        <v>0</v>
      </c>
      <c r="AI69" s="8">
        <f>+AG69+M69</f>
        <v>0</v>
      </c>
    </row>
    <row r="70" spans="1:37" ht="12" hidden="1" customHeight="1">
      <c r="A70" s="8" t="s">
        <v>918</v>
      </c>
      <c r="B70" s="12"/>
      <c r="C70" s="12" t="s">
        <v>115</v>
      </c>
      <c r="D70" s="12"/>
      <c r="E70" s="32">
        <v>46755</v>
      </c>
      <c r="M70" s="8">
        <f>SUM(G70:L70)</f>
        <v>0</v>
      </c>
      <c r="W70" s="8">
        <v>0</v>
      </c>
      <c r="Y70" s="8">
        <v>0</v>
      </c>
      <c r="AB70" s="39"/>
      <c r="AC70" s="8">
        <v>0</v>
      </c>
      <c r="AE70" s="8">
        <v>0</v>
      </c>
      <c r="AG70" s="8">
        <f>SUM(O70:AE70)</f>
        <v>0</v>
      </c>
      <c r="AH70" s="8"/>
      <c r="AI70" s="8">
        <f>+AG70+M70</f>
        <v>0</v>
      </c>
      <c r="AK70" s="10" t="s">
        <v>925</v>
      </c>
    </row>
    <row r="71" spans="1:37" ht="12" customHeight="1">
      <c r="A71" s="12" t="s">
        <v>337</v>
      </c>
      <c r="B71" s="12"/>
      <c r="C71" s="12" t="s">
        <v>23</v>
      </c>
      <c r="D71" s="12"/>
      <c r="E71" s="32">
        <v>46755</v>
      </c>
      <c r="G71" s="8">
        <v>1717768</v>
      </c>
      <c r="I71" s="8">
        <v>1434711</v>
      </c>
      <c r="K71" s="8">
        <v>32304</v>
      </c>
      <c r="M71" s="8">
        <f>SUM(G71:L71)</f>
        <v>3184783</v>
      </c>
      <c r="O71" s="8">
        <f>8990471+962945+658415</f>
        <v>10611831</v>
      </c>
      <c r="Q71" s="8">
        <v>4656605</v>
      </c>
      <c r="S71" s="8">
        <v>6290417</v>
      </c>
      <c r="U71" s="8">
        <v>279611</v>
      </c>
      <c r="W71" s="8">
        <v>0</v>
      </c>
      <c r="Y71" s="8">
        <v>0</v>
      </c>
      <c r="AA71" s="8">
        <v>48385</v>
      </c>
      <c r="AB71" s="39"/>
      <c r="AC71" s="8">
        <v>0</v>
      </c>
      <c r="AE71" s="8">
        <v>0</v>
      </c>
      <c r="AG71" s="8">
        <f>SUM(O71:AE71)</f>
        <v>21886849</v>
      </c>
      <c r="AH71" s="8"/>
      <c r="AI71" s="8">
        <f>+AG71+M71</f>
        <v>25071632</v>
      </c>
    </row>
    <row r="72" spans="1:37" ht="12" customHeight="1">
      <c r="A72" s="12" t="s">
        <v>295</v>
      </c>
      <c r="B72" s="12"/>
      <c r="C72" s="12" t="s">
        <v>114</v>
      </c>
      <c r="D72" s="12"/>
      <c r="E72" s="32">
        <v>43687</v>
      </c>
      <c r="G72" s="8">
        <v>928907</v>
      </c>
      <c r="I72" s="8">
        <v>3069085</v>
      </c>
      <c r="K72" s="8">
        <v>3229</v>
      </c>
      <c r="M72" s="8">
        <f>SUM(G72:L72)</f>
        <v>4001221</v>
      </c>
      <c r="O72" s="8">
        <f>4613787+787257+64866+64866</f>
        <v>5530776</v>
      </c>
      <c r="Q72" s="8">
        <v>0</v>
      </c>
      <c r="S72" s="8">
        <v>8201053</v>
      </c>
      <c r="U72" s="8">
        <v>1012596</v>
      </c>
      <c r="W72" s="8">
        <v>0</v>
      </c>
      <c r="Y72" s="8">
        <v>0</v>
      </c>
      <c r="AA72" s="8">
        <v>57363</v>
      </c>
      <c r="AB72" s="39"/>
      <c r="AC72" s="8">
        <v>0</v>
      </c>
      <c r="AE72" s="8">
        <v>0</v>
      </c>
      <c r="AG72" s="8">
        <f>SUM(O72:AE72)</f>
        <v>14801788</v>
      </c>
      <c r="AH72" s="8"/>
      <c r="AI72" s="8">
        <f>+AG72+M72</f>
        <v>18803009</v>
      </c>
    </row>
    <row r="73" spans="1:37" ht="12" customHeight="1">
      <c r="A73" s="12" t="s">
        <v>577</v>
      </c>
      <c r="B73" s="12"/>
      <c r="C73" s="12" t="s">
        <v>52</v>
      </c>
      <c r="D73" s="12"/>
      <c r="E73" s="32">
        <v>45252</v>
      </c>
      <c r="G73" s="8">
        <v>598401</v>
      </c>
      <c r="I73" s="8">
        <v>981506</v>
      </c>
      <c r="K73" s="8">
        <v>38076</v>
      </c>
      <c r="M73" s="8">
        <f t="shared" ref="M73:M133" si="3">SUM(G73:L73)</f>
        <v>1617983</v>
      </c>
      <c r="O73" s="8">
        <f>1927571+10724</f>
        <v>1938295</v>
      </c>
      <c r="Q73" s="8">
        <v>0</v>
      </c>
      <c r="S73" s="8">
        <v>4187480</v>
      </c>
      <c r="U73" s="8">
        <v>156297</v>
      </c>
      <c r="W73" s="8">
        <v>0</v>
      </c>
      <c r="Y73" s="8">
        <v>0</v>
      </c>
      <c r="AA73" s="8">
        <f>1652+64990</f>
        <v>66642</v>
      </c>
      <c r="AB73" s="39"/>
      <c r="AC73" s="8">
        <v>0</v>
      </c>
      <c r="AE73" s="8">
        <v>0</v>
      </c>
      <c r="AG73" s="8">
        <f t="shared" ref="AG73:AG131" si="4">SUM(O73:AE73)</f>
        <v>6348714</v>
      </c>
      <c r="AH73" s="8"/>
      <c r="AI73" s="8">
        <f t="shared" ref="AI73:AI130" si="5">+AG73+M73</f>
        <v>7966697</v>
      </c>
    </row>
    <row r="74" spans="1:37" ht="12" customHeight="1">
      <c r="A74" s="12" t="s">
        <v>393</v>
      </c>
      <c r="B74" s="12"/>
      <c r="C74" s="12" t="s">
        <v>31</v>
      </c>
      <c r="D74" s="12"/>
      <c r="E74" s="32">
        <v>43695</v>
      </c>
      <c r="G74" s="8">
        <v>1345818</v>
      </c>
      <c r="I74" s="8">
        <v>4999017</v>
      </c>
      <c r="K74" s="8">
        <v>22346</v>
      </c>
      <c r="M74" s="8">
        <f t="shared" si="3"/>
        <v>6367181</v>
      </c>
      <c r="O74" s="8">
        <f>5786117+791538+83076</f>
        <v>6660731</v>
      </c>
      <c r="Q74" s="8">
        <v>0</v>
      </c>
      <c r="S74" s="8">
        <v>11672356</v>
      </c>
      <c r="U74" s="8">
        <v>243088</v>
      </c>
      <c r="W74" s="8">
        <v>0</v>
      </c>
      <c r="Y74" s="8">
        <v>5030</v>
      </c>
      <c r="AA74" s="8">
        <v>46508</v>
      </c>
      <c r="AB74" s="39"/>
      <c r="AC74" s="8">
        <v>0</v>
      </c>
      <c r="AE74" s="8">
        <v>0</v>
      </c>
      <c r="AG74" s="8">
        <f t="shared" si="4"/>
        <v>18627713</v>
      </c>
      <c r="AH74" s="8"/>
      <c r="AI74" s="8">
        <f t="shared" si="5"/>
        <v>24994894</v>
      </c>
    </row>
    <row r="75" spans="1:37" ht="12" customHeight="1">
      <c r="A75" s="12" t="s">
        <v>357</v>
      </c>
      <c r="B75" s="12"/>
      <c r="C75" s="12" t="s">
        <v>27</v>
      </c>
      <c r="D75" s="12"/>
      <c r="E75" s="32">
        <v>46946</v>
      </c>
      <c r="G75" s="8">
        <v>1020970</v>
      </c>
      <c r="I75" s="8">
        <v>2588140</v>
      </c>
      <c r="K75" s="8">
        <v>217453</v>
      </c>
      <c r="M75" s="8">
        <f t="shared" si="3"/>
        <v>3826563</v>
      </c>
      <c r="O75" s="8">
        <f>10189506+149322+2804515</f>
        <v>13143343</v>
      </c>
      <c r="Q75" s="8">
        <v>3197358</v>
      </c>
      <c r="S75" s="8">
        <v>13641537</v>
      </c>
      <c r="U75" s="8">
        <v>671207</v>
      </c>
      <c r="W75" s="8">
        <v>0</v>
      </c>
      <c r="Y75" s="8">
        <v>0</v>
      </c>
      <c r="AA75" s="8">
        <v>163669</v>
      </c>
      <c r="AB75" s="39"/>
      <c r="AC75" s="8">
        <v>0</v>
      </c>
      <c r="AE75" s="8">
        <v>0</v>
      </c>
      <c r="AG75" s="8">
        <f t="shared" si="4"/>
        <v>30817114</v>
      </c>
      <c r="AH75" s="8"/>
      <c r="AI75" s="8">
        <f t="shared" si="5"/>
        <v>34643677</v>
      </c>
    </row>
    <row r="76" spans="1:37" ht="12" customHeight="1">
      <c r="A76" s="12" t="s">
        <v>517</v>
      </c>
      <c r="B76" s="12"/>
      <c r="C76" s="12" t="s">
        <v>45</v>
      </c>
      <c r="D76" s="12"/>
      <c r="E76" s="32">
        <v>48314</v>
      </c>
      <c r="G76" s="8">
        <v>1300417</v>
      </c>
      <c r="I76" s="8">
        <v>1048087</v>
      </c>
      <c r="K76" s="8">
        <v>45462</v>
      </c>
      <c r="M76" s="8">
        <f t="shared" si="3"/>
        <v>2393966</v>
      </c>
      <c r="O76" s="8">
        <f>14610481+1297975+405172</f>
        <v>16313628</v>
      </c>
      <c r="Q76" s="8">
        <v>0</v>
      </c>
      <c r="S76" s="8">
        <v>9112243</v>
      </c>
      <c r="U76" s="8">
        <v>425743</v>
      </c>
      <c r="W76" s="8">
        <v>0</v>
      </c>
      <c r="Y76" s="8">
        <v>0</v>
      </c>
      <c r="AA76" s="8">
        <v>57937</v>
      </c>
      <c r="AB76" s="39"/>
      <c r="AC76" s="8">
        <v>0</v>
      </c>
      <c r="AE76" s="8">
        <v>0</v>
      </c>
      <c r="AG76" s="8">
        <f t="shared" si="4"/>
        <v>25909551</v>
      </c>
      <c r="AH76" s="8"/>
      <c r="AI76" s="8">
        <f t="shared" si="5"/>
        <v>28303517</v>
      </c>
    </row>
    <row r="77" spans="1:37" ht="12" customHeight="1">
      <c r="A77" s="12" t="s">
        <v>655</v>
      </c>
      <c r="B77" s="12"/>
      <c r="C77" s="12" t="s">
        <v>62</v>
      </c>
      <c r="D77" s="12"/>
      <c r="E77" s="32">
        <v>43711</v>
      </c>
      <c r="G77" s="8">
        <v>2718370</v>
      </c>
      <c r="I77" s="8">
        <v>3398966</v>
      </c>
      <c r="K77" s="8">
        <v>303722</v>
      </c>
      <c r="M77" s="8">
        <f>SUM(G77:L77)</f>
        <v>6421058</v>
      </c>
      <c r="O77" s="8">
        <f>10201008+17625+545957</f>
        <v>10764590</v>
      </c>
      <c r="Q77" s="8">
        <v>0</v>
      </c>
      <c r="S77" s="8">
        <v>10253236</v>
      </c>
      <c r="U77" s="8">
        <v>88205</v>
      </c>
      <c r="W77" s="8">
        <v>0</v>
      </c>
      <c r="Y77" s="8">
        <v>0</v>
      </c>
      <c r="AA77" s="8">
        <v>218750</v>
      </c>
      <c r="AB77" s="39"/>
      <c r="AC77" s="8">
        <v>0</v>
      </c>
      <c r="AE77" s="8">
        <v>0</v>
      </c>
      <c r="AG77" s="8">
        <f>SUM(O77:AE77)</f>
        <v>21324781</v>
      </c>
      <c r="AH77" s="8"/>
      <c r="AI77" s="8">
        <f>+AG77+M77</f>
        <v>27745839</v>
      </c>
    </row>
    <row r="78" spans="1:37" ht="12" customHeight="1">
      <c r="A78" s="12" t="s">
        <v>654</v>
      </c>
      <c r="B78" s="12"/>
      <c r="C78" s="12" t="s">
        <v>62</v>
      </c>
      <c r="D78" s="12"/>
      <c r="E78" s="32">
        <v>43711</v>
      </c>
      <c r="G78" s="8">
        <v>2684</v>
      </c>
      <c r="I78" s="8">
        <v>32379</v>
      </c>
      <c r="K78" s="8">
        <v>1079</v>
      </c>
      <c r="M78" s="8">
        <f>SUM(G78:L78)</f>
        <v>36142</v>
      </c>
      <c r="O78" s="8">
        <f>28146+2521+855+424</f>
        <v>31946</v>
      </c>
      <c r="Q78" s="8">
        <v>0</v>
      </c>
      <c r="S78" s="8">
        <v>57162</v>
      </c>
      <c r="U78" s="8">
        <v>2181</v>
      </c>
      <c r="W78" s="8">
        <v>0</v>
      </c>
      <c r="Y78" s="8">
        <v>0</v>
      </c>
      <c r="AA78" s="8">
        <v>768</v>
      </c>
      <c r="AB78" s="39"/>
      <c r="AC78" s="8">
        <v>0</v>
      </c>
      <c r="AE78" s="8">
        <v>2362</v>
      </c>
      <c r="AG78" s="8">
        <f>SUM(O78:AE78)</f>
        <v>94419</v>
      </c>
      <c r="AH78" s="8"/>
      <c r="AI78" s="8">
        <f>+AG78+M78</f>
        <v>130561</v>
      </c>
    </row>
    <row r="79" spans="1:37" ht="12" customHeight="1">
      <c r="A79" s="12" t="s">
        <v>382</v>
      </c>
      <c r="B79" s="12"/>
      <c r="C79" s="12" t="s">
        <v>30</v>
      </c>
      <c r="D79" s="12"/>
      <c r="E79" s="32">
        <v>47175</v>
      </c>
      <c r="G79" s="8">
        <v>1084951</v>
      </c>
      <c r="I79" s="8">
        <v>1558969</v>
      </c>
      <c r="K79" s="8">
        <v>0</v>
      </c>
      <c r="M79" s="8">
        <f>SUM(G79:L79)</f>
        <v>2643920</v>
      </c>
      <c r="O79" s="8">
        <f>6835134+952637+34916</f>
        <v>7822687</v>
      </c>
      <c r="Q79" s="8">
        <v>0</v>
      </c>
      <c r="S79" s="8">
        <v>4792066</v>
      </c>
      <c r="U79" s="8">
        <v>158857</v>
      </c>
      <c r="W79" s="8">
        <v>0</v>
      </c>
      <c r="Y79" s="8">
        <v>0</v>
      </c>
      <c r="AA79" s="8">
        <v>90051</v>
      </c>
      <c r="AB79" s="39"/>
      <c r="AC79" s="8">
        <v>0</v>
      </c>
      <c r="AE79" s="8">
        <v>0</v>
      </c>
      <c r="AG79" s="8">
        <f>SUM(O79:AE79)</f>
        <v>12863661</v>
      </c>
      <c r="AH79" s="8"/>
      <c r="AI79" s="8">
        <f>+AG79+M79</f>
        <v>15507581</v>
      </c>
    </row>
    <row r="80" spans="1:37" ht="12" customHeight="1">
      <c r="A80" s="12" t="s">
        <v>568</v>
      </c>
      <c r="B80" s="12"/>
      <c r="C80" s="12" t="s">
        <v>78</v>
      </c>
      <c r="D80" s="12"/>
      <c r="E80" s="32">
        <v>48793</v>
      </c>
      <c r="G80" s="8">
        <v>975556</v>
      </c>
      <c r="I80" s="8">
        <v>1623747</v>
      </c>
      <c r="K80" s="8">
        <v>47821</v>
      </c>
      <c r="M80" s="8">
        <f>SUM(G80:L80)</f>
        <v>2647124</v>
      </c>
      <c r="O80" s="8">
        <f>2492083+48554+675412</f>
        <v>3216049</v>
      </c>
      <c r="Q80" s="8">
        <v>0</v>
      </c>
      <c r="S80" s="8">
        <v>6590279</v>
      </c>
      <c r="U80" s="8">
        <v>178365</v>
      </c>
      <c r="W80" s="8">
        <v>285929</v>
      </c>
      <c r="Y80" s="8">
        <v>0</v>
      </c>
      <c r="AA80" s="8">
        <v>59587</v>
      </c>
      <c r="AB80" s="39"/>
      <c r="AC80" s="8">
        <v>0</v>
      </c>
      <c r="AE80" s="8">
        <v>-207934</v>
      </c>
      <c r="AG80" s="8">
        <f>SUM(O80:AE80)</f>
        <v>10122275</v>
      </c>
      <c r="AH80" s="8"/>
      <c r="AI80" s="8">
        <f>+AG80+M80</f>
        <v>12769399</v>
      </c>
    </row>
    <row r="81" spans="1:35" ht="12" customHeight="1">
      <c r="A81" s="12" t="s">
        <v>713</v>
      </c>
      <c r="B81" s="12"/>
      <c r="C81" s="12" t="s">
        <v>69</v>
      </c>
      <c r="D81" s="12"/>
      <c r="E81" s="32">
        <v>48793</v>
      </c>
      <c r="G81" s="8">
        <v>624992</v>
      </c>
      <c r="I81" s="8">
        <v>1838469</v>
      </c>
      <c r="K81" s="8">
        <v>0</v>
      </c>
      <c r="M81" s="8">
        <f>SUM(G81:L81)</f>
        <v>2463461</v>
      </c>
      <c r="O81" s="8">
        <f>4568249+299351</f>
        <v>4867600</v>
      </c>
      <c r="Q81" s="8">
        <v>1821810</v>
      </c>
      <c r="S81" s="8">
        <v>7396130</v>
      </c>
      <c r="U81" s="8">
        <v>39816</v>
      </c>
      <c r="W81" s="8">
        <v>0</v>
      </c>
      <c r="Y81" s="8">
        <v>0</v>
      </c>
      <c r="AA81" s="8">
        <v>214390</v>
      </c>
      <c r="AB81" s="39"/>
      <c r="AC81" s="8">
        <v>0</v>
      </c>
      <c r="AE81" s="8">
        <v>0</v>
      </c>
      <c r="AG81" s="8">
        <f>SUM(O81:AE81)</f>
        <v>14339746</v>
      </c>
      <c r="AH81" s="8"/>
      <c r="AI81" s="8">
        <f>+AG81+M81</f>
        <v>16803207</v>
      </c>
    </row>
    <row r="82" spans="1:35" ht="12" customHeight="1">
      <c r="A82" s="12" t="s">
        <v>257</v>
      </c>
      <c r="B82" s="12"/>
      <c r="C82" s="12" t="s">
        <v>16</v>
      </c>
      <c r="D82" s="12"/>
      <c r="E82" s="32">
        <v>45278</v>
      </c>
      <c r="F82" s="7"/>
      <c r="G82" s="8">
        <v>1022984</v>
      </c>
      <c r="I82" s="8">
        <v>2797171</v>
      </c>
      <c r="K82" s="8">
        <v>43787</v>
      </c>
      <c r="M82" s="8">
        <f t="shared" si="3"/>
        <v>3863942</v>
      </c>
      <c r="O82" s="8">
        <f>7181313</f>
        <v>7181313</v>
      </c>
      <c r="Q82" s="8">
        <v>0</v>
      </c>
      <c r="S82" s="8">
        <v>12055708</v>
      </c>
      <c r="U82" s="8">
        <v>204844</v>
      </c>
      <c r="W82" s="8">
        <v>0</v>
      </c>
      <c r="Y82" s="8">
        <v>0</v>
      </c>
      <c r="AA82" s="8">
        <v>74645</v>
      </c>
      <c r="AB82" s="39"/>
      <c r="AC82" s="8">
        <v>0</v>
      </c>
      <c r="AE82" s="8">
        <v>0</v>
      </c>
      <c r="AG82" s="8">
        <f t="shared" si="4"/>
        <v>19516510</v>
      </c>
      <c r="AH82" s="8"/>
      <c r="AI82" s="8">
        <f t="shared" si="5"/>
        <v>23380452</v>
      </c>
    </row>
    <row r="83" spans="1:35" ht="12" customHeight="1">
      <c r="A83" s="12" t="s">
        <v>389</v>
      </c>
      <c r="B83" s="12"/>
      <c r="C83" s="12" t="s">
        <v>117</v>
      </c>
      <c r="D83" s="12"/>
      <c r="E83" s="32">
        <v>47258</v>
      </c>
      <c r="G83" s="8">
        <v>407997</v>
      </c>
      <c r="I83" s="8">
        <v>294800</v>
      </c>
      <c r="K83" s="8">
        <v>3690</v>
      </c>
      <c r="M83" s="8">
        <f t="shared" si="3"/>
        <v>706487</v>
      </c>
      <c r="O83" s="8">
        <f>1687571+196354</f>
        <v>1883925</v>
      </c>
      <c r="Q83" s="8">
        <v>751112</v>
      </c>
      <c r="S83" s="8">
        <v>3072927</v>
      </c>
      <c r="U83" s="8">
        <v>75536</v>
      </c>
      <c r="W83" s="8">
        <v>0</v>
      </c>
      <c r="Y83" s="8">
        <v>254</v>
      </c>
      <c r="AA83" s="8">
        <v>30732</v>
      </c>
      <c r="AB83" s="39"/>
      <c r="AC83" s="8">
        <v>0</v>
      </c>
      <c r="AE83" s="8">
        <v>263</v>
      </c>
      <c r="AG83" s="8">
        <f t="shared" si="4"/>
        <v>5814749</v>
      </c>
      <c r="AH83" s="8"/>
      <c r="AI83" s="8">
        <f t="shared" si="5"/>
        <v>6521236</v>
      </c>
    </row>
    <row r="84" spans="1:35" ht="12" hidden="1" customHeight="1">
      <c r="A84" s="12" t="s">
        <v>539</v>
      </c>
      <c r="B84" s="12"/>
      <c r="C84" s="12" t="s">
        <v>540</v>
      </c>
      <c r="D84" s="12"/>
      <c r="E84" s="32">
        <v>43729</v>
      </c>
      <c r="M84" s="8">
        <f t="shared" si="3"/>
        <v>0</v>
      </c>
      <c r="O84" s="8">
        <v>0</v>
      </c>
      <c r="Q84" s="8">
        <v>0</v>
      </c>
      <c r="S84" s="8">
        <v>0</v>
      </c>
      <c r="U84" s="8">
        <v>0</v>
      </c>
      <c r="W84" s="8">
        <v>0</v>
      </c>
      <c r="Y84" s="8">
        <v>0</v>
      </c>
      <c r="AA84" s="8">
        <v>0</v>
      </c>
      <c r="AB84" s="39"/>
      <c r="AC84" s="8">
        <v>0</v>
      </c>
      <c r="AE84" s="8">
        <v>0</v>
      </c>
      <c r="AG84" s="8">
        <f t="shared" si="4"/>
        <v>0</v>
      </c>
      <c r="AH84" s="8"/>
      <c r="AI84" s="8">
        <f t="shared" si="5"/>
        <v>0</v>
      </c>
    </row>
    <row r="85" spans="1:35" ht="12" customHeight="1">
      <c r="A85" s="12" t="s">
        <v>459</v>
      </c>
      <c r="B85" s="12"/>
      <c r="C85" s="12" t="s">
        <v>40</v>
      </c>
      <c r="D85" s="12"/>
      <c r="E85" s="32">
        <v>47829</v>
      </c>
      <c r="G85" s="8">
        <v>374204</v>
      </c>
      <c r="I85" s="8">
        <v>1315625</v>
      </c>
      <c r="K85" s="8">
        <v>7331</v>
      </c>
      <c r="M85" s="8">
        <f t="shared" si="3"/>
        <v>1697160</v>
      </c>
      <c r="O85" s="8">
        <f>1854149+448083+51713+41107</f>
        <v>2395052</v>
      </c>
      <c r="Q85" s="8">
        <v>823331</v>
      </c>
      <c r="S85" s="8">
        <v>5055633</v>
      </c>
      <c r="U85" s="8">
        <v>219350</v>
      </c>
      <c r="W85" s="8">
        <v>0</v>
      </c>
      <c r="Y85" s="8">
        <v>0</v>
      </c>
      <c r="AA85" s="8">
        <v>14369</v>
      </c>
      <c r="AB85" s="39"/>
      <c r="AC85" s="8">
        <v>0</v>
      </c>
      <c r="AE85" s="8">
        <v>0</v>
      </c>
      <c r="AG85" s="8">
        <f t="shared" si="4"/>
        <v>8507735</v>
      </c>
      <c r="AH85" s="8"/>
      <c r="AI85" s="8">
        <f t="shared" si="5"/>
        <v>10204895</v>
      </c>
    </row>
    <row r="86" spans="1:35" ht="12" customHeight="1">
      <c r="A86" s="12"/>
      <c r="B86" s="12"/>
      <c r="C86" s="12"/>
      <c r="D86" s="12"/>
      <c r="E86" s="32"/>
      <c r="AB86" s="39"/>
      <c r="AH86" s="8"/>
    </row>
    <row r="87" spans="1:35" ht="12" customHeight="1">
      <c r="A87" s="12"/>
      <c r="B87" s="12"/>
      <c r="C87" s="12"/>
      <c r="D87" s="12"/>
      <c r="E87" s="32"/>
      <c r="AB87" s="39"/>
      <c r="AH87" s="8"/>
      <c r="AI87" s="8" t="s">
        <v>819</v>
      </c>
    </row>
    <row r="88" spans="1:35" s="35" customFormat="1" ht="12" customHeight="1">
      <c r="A88" s="34" t="s">
        <v>553</v>
      </c>
      <c r="B88" s="34"/>
      <c r="C88" s="34" t="s">
        <v>50</v>
      </c>
      <c r="D88" s="34"/>
      <c r="E88" s="34">
        <v>43737</v>
      </c>
      <c r="G88" s="35">
        <v>4817559</v>
      </c>
      <c r="I88" s="35">
        <v>6324850</v>
      </c>
      <c r="K88" s="35">
        <v>52398</v>
      </c>
      <c r="M88" s="35">
        <f t="shared" si="3"/>
        <v>11194807</v>
      </c>
      <c r="O88" s="35">
        <f>51041704+6012485+2181585</f>
        <v>59235774</v>
      </c>
      <c r="Q88" s="35">
        <v>0</v>
      </c>
      <c r="S88" s="35">
        <v>19874547</v>
      </c>
      <c r="U88" s="35">
        <v>1520441</v>
      </c>
      <c r="W88" s="35">
        <v>0</v>
      </c>
      <c r="Y88" s="35">
        <v>0</v>
      </c>
      <c r="AA88" s="35">
        <v>283844</v>
      </c>
      <c r="AB88" s="46"/>
      <c r="AC88" s="35">
        <v>0</v>
      </c>
      <c r="AE88" s="35">
        <v>0</v>
      </c>
      <c r="AG88" s="35">
        <f t="shared" si="4"/>
        <v>80914606</v>
      </c>
      <c r="AI88" s="35">
        <f t="shared" si="5"/>
        <v>92109413</v>
      </c>
    </row>
    <row r="89" spans="1:35" ht="12" customHeight="1">
      <c r="A89" s="12" t="s">
        <v>807</v>
      </c>
      <c r="B89" s="12"/>
      <c r="C89" s="12" t="s">
        <v>22</v>
      </c>
      <c r="D89" s="12"/>
      <c r="E89" s="32">
        <v>46714</v>
      </c>
      <c r="G89" s="8">
        <v>598672</v>
      </c>
      <c r="I89" s="8">
        <v>1218883</v>
      </c>
      <c r="K89" s="8">
        <v>0</v>
      </c>
      <c r="M89" s="8">
        <f t="shared" si="3"/>
        <v>1817555</v>
      </c>
      <c r="O89" s="8">
        <f>2156637+179924+39624</f>
        <v>2376185</v>
      </c>
      <c r="Q89" s="8">
        <v>821150</v>
      </c>
      <c r="S89" s="8">
        <v>5823578</v>
      </c>
      <c r="U89" s="8">
        <v>170141</v>
      </c>
      <c r="W89" s="8">
        <v>0</v>
      </c>
      <c r="Y89" s="8">
        <v>36464</v>
      </c>
      <c r="AA89" s="8">
        <f>40677+1550</f>
        <v>42227</v>
      </c>
      <c r="AB89" s="39"/>
      <c r="AC89" s="8">
        <v>0</v>
      </c>
      <c r="AE89" s="8">
        <v>0</v>
      </c>
      <c r="AG89" s="8">
        <f t="shared" si="4"/>
        <v>9269745</v>
      </c>
      <c r="AH89" s="8"/>
      <c r="AI89" s="8">
        <f t="shared" si="5"/>
        <v>11087300</v>
      </c>
    </row>
    <row r="90" spans="1:35" s="8" customFormat="1" ht="12" customHeight="1">
      <c r="A90" s="13" t="s">
        <v>306</v>
      </c>
      <c r="B90" s="13"/>
      <c r="C90" s="13" t="s">
        <v>20</v>
      </c>
      <c r="D90" s="13"/>
      <c r="E90" s="13">
        <v>45286</v>
      </c>
      <c r="G90" s="8">
        <v>370828</v>
      </c>
      <c r="I90" s="8">
        <v>692462</v>
      </c>
      <c r="K90" s="8">
        <v>49547</v>
      </c>
      <c r="M90" s="8">
        <f t="shared" si="3"/>
        <v>1112837</v>
      </c>
      <c r="O90" s="8">
        <f>17044074+2267975</f>
        <v>19312049</v>
      </c>
      <c r="Q90" s="8">
        <v>0</v>
      </c>
      <c r="S90" s="8">
        <v>4815085</v>
      </c>
      <c r="U90" s="8">
        <v>232816</v>
      </c>
      <c r="W90" s="8">
        <v>0</v>
      </c>
      <c r="Y90" s="8">
        <v>0</v>
      </c>
      <c r="AA90" s="8">
        <v>127169</v>
      </c>
      <c r="AB90" s="39"/>
      <c r="AC90" s="8">
        <v>0</v>
      </c>
      <c r="AE90" s="8">
        <v>0</v>
      </c>
      <c r="AG90" s="8">
        <f t="shared" si="4"/>
        <v>24487119</v>
      </c>
      <c r="AI90" s="8">
        <f t="shared" si="5"/>
        <v>25599956</v>
      </c>
    </row>
    <row r="91" spans="1:35" ht="12" customHeight="1">
      <c r="A91" s="12" t="s">
        <v>683</v>
      </c>
      <c r="B91" s="12"/>
      <c r="C91" s="12" t="s">
        <v>64</v>
      </c>
      <c r="D91" s="12"/>
      <c r="E91" s="32">
        <v>50138</v>
      </c>
      <c r="G91" s="8">
        <v>1304042</v>
      </c>
      <c r="I91" s="8">
        <v>1211290</v>
      </c>
      <c r="K91" s="8">
        <v>15142</v>
      </c>
      <c r="M91" s="8">
        <f t="shared" si="3"/>
        <v>2530474</v>
      </c>
      <c r="O91" s="8">
        <f>3354757+1711819+28287+65156</f>
        <v>5160019</v>
      </c>
      <c r="Q91" s="8">
        <v>0</v>
      </c>
      <c r="S91" s="8">
        <v>7354880</v>
      </c>
      <c r="U91" s="8">
        <v>37939</v>
      </c>
      <c r="W91" s="8">
        <v>0</v>
      </c>
      <c r="Y91" s="8">
        <v>0</v>
      </c>
      <c r="AA91" s="8">
        <v>70133</v>
      </c>
      <c r="AB91" s="39"/>
      <c r="AC91" s="8">
        <v>0</v>
      </c>
      <c r="AE91" s="8">
        <v>0</v>
      </c>
      <c r="AG91" s="8">
        <f t="shared" si="4"/>
        <v>12622971</v>
      </c>
      <c r="AH91" s="8"/>
      <c r="AI91" s="8">
        <f t="shared" si="5"/>
        <v>15153445</v>
      </c>
    </row>
    <row r="92" spans="1:35" s="86" customFormat="1" ht="12" customHeight="1">
      <c r="A92" s="85" t="s">
        <v>383</v>
      </c>
      <c r="B92" s="85"/>
      <c r="C92" s="85" t="s">
        <v>30</v>
      </c>
      <c r="D92" s="85"/>
      <c r="E92" s="85">
        <v>47183</v>
      </c>
      <c r="G92" s="8">
        <v>1088705</v>
      </c>
      <c r="H92" s="8"/>
      <c r="I92" s="8">
        <v>2105396</v>
      </c>
      <c r="J92" s="8"/>
      <c r="K92" s="8">
        <v>115674</v>
      </c>
      <c r="L92" s="8"/>
      <c r="M92" s="8">
        <f t="shared" si="3"/>
        <v>3309775</v>
      </c>
      <c r="N92" s="8"/>
      <c r="O92" s="8">
        <f>18906046+649829</f>
        <v>19555875</v>
      </c>
      <c r="P92" s="8"/>
      <c r="Q92" s="8">
        <v>0</v>
      </c>
      <c r="R92" s="8"/>
      <c r="S92" s="8">
        <v>9421065</v>
      </c>
      <c r="T92" s="8"/>
      <c r="U92" s="8">
        <v>294733</v>
      </c>
      <c r="W92" s="8">
        <v>12081</v>
      </c>
      <c r="Y92" s="8">
        <v>0</v>
      </c>
      <c r="AA92" s="8">
        <v>250793</v>
      </c>
      <c r="AB92" s="87"/>
      <c r="AC92" s="8">
        <v>0</v>
      </c>
      <c r="AE92" s="86">
        <v>0</v>
      </c>
      <c r="AG92" s="86">
        <f t="shared" si="4"/>
        <v>29534547</v>
      </c>
      <c r="AI92" s="8">
        <f t="shared" si="5"/>
        <v>32844322</v>
      </c>
    </row>
    <row r="93" spans="1:35" ht="12" customHeight="1">
      <c r="A93" s="12" t="s">
        <v>470</v>
      </c>
      <c r="B93" s="12"/>
      <c r="C93" s="12" t="s">
        <v>471</v>
      </c>
      <c r="D93" s="12"/>
      <c r="E93" s="32">
        <v>45294</v>
      </c>
      <c r="G93" s="8">
        <v>1103783</v>
      </c>
      <c r="I93" s="8">
        <v>2498934</v>
      </c>
      <c r="K93" s="8">
        <v>0</v>
      </c>
      <c r="M93" s="8">
        <f t="shared" si="3"/>
        <v>3602717</v>
      </c>
      <c r="O93" s="8">
        <f>1830710+407554+31412</f>
        <v>2269676</v>
      </c>
      <c r="Q93" s="8">
        <v>0</v>
      </c>
      <c r="S93" s="8">
        <v>6505790</v>
      </c>
      <c r="U93" s="8">
        <v>128976</v>
      </c>
      <c r="W93" s="8">
        <v>0</v>
      </c>
      <c r="Y93" s="8">
        <v>14000</v>
      </c>
      <c r="AA93" s="8">
        <v>45652</v>
      </c>
      <c r="AB93" s="39"/>
      <c r="AC93" s="8">
        <v>0</v>
      </c>
      <c r="AE93" s="8">
        <v>0</v>
      </c>
      <c r="AG93" s="8">
        <f t="shared" si="4"/>
        <v>8964094</v>
      </c>
      <c r="AH93" s="8"/>
      <c r="AI93" s="8">
        <f t="shared" si="5"/>
        <v>12566811</v>
      </c>
    </row>
    <row r="94" spans="1:35" ht="12" customHeight="1">
      <c r="A94" s="12" t="s">
        <v>622</v>
      </c>
      <c r="B94" s="12"/>
      <c r="C94" s="12" t="s">
        <v>58</v>
      </c>
      <c r="D94" s="12"/>
      <c r="E94" s="32">
        <v>43745</v>
      </c>
      <c r="G94" s="8">
        <v>1983791</v>
      </c>
      <c r="I94" s="8">
        <v>6843442</v>
      </c>
      <c r="K94" s="8">
        <v>226078</v>
      </c>
      <c r="M94" s="8">
        <f t="shared" si="3"/>
        <v>9053311</v>
      </c>
      <c r="O94" s="8">
        <f>11785635+1839060+934167</f>
        <v>14558862</v>
      </c>
      <c r="Q94" s="8">
        <v>0</v>
      </c>
      <c r="S94" s="8">
        <v>10999338</v>
      </c>
      <c r="U94" s="8">
        <v>445516</v>
      </c>
      <c r="W94" s="8">
        <v>63797</v>
      </c>
      <c r="Y94" s="8">
        <v>32500</v>
      </c>
      <c r="AA94" s="8">
        <v>155259</v>
      </c>
      <c r="AB94" s="39"/>
      <c r="AC94" s="8">
        <v>0</v>
      </c>
      <c r="AE94" s="8">
        <v>0</v>
      </c>
      <c r="AG94" s="8">
        <f t="shared" si="4"/>
        <v>26255272</v>
      </c>
      <c r="AH94" s="8"/>
      <c r="AI94" s="8">
        <f t="shared" si="5"/>
        <v>35308583</v>
      </c>
    </row>
    <row r="95" spans="1:35" ht="12" hidden="1" customHeight="1">
      <c r="A95" s="12" t="s">
        <v>727</v>
      </c>
      <c r="B95" s="12"/>
      <c r="C95" s="12" t="s">
        <v>71</v>
      </c>
      <c r="D95" s="12"/>
      <c r="E95" s="32">
        <v>50534</v>
      </c>
      <c r="M95" s="8">
        <f t="shared" si="3"/>
        <v>0</v>
      </c>
      <c r="AB95" s="39"/>
      <c r="AC95" s="8">
        <v>0</v>
      </c>
      <c r="AE95" s="8">
        <v>0</v>
      </c>
      <c r="AG95" s="8">
        <f t="shared" si="4"/>
        <v>0</v>
      </c>
      <c r="AH95" s="8"/>
      <c r="AI95" s="8">
        <f t="shared" si="5"/>
        <v>0</v>
      </c>
    </row>
    <row r="96" spans="1:35" ht="12" customHeight="1">
      <c r="A96" s="12" t="s">
        <v>727</v>
      </c>
      <c r="B96" s="12"/>
      <c r="C96" s="12" t="s">
        <v>71</v>
      </c>
      <c r="D96" s="12"/>
      <c r="E96" s="32">
        <v>43745</v>
      </c>
      <c r="G96" s="8">
        <v>670930</v>
      </c>
      <c r="I96" s="8">
        <v>1449966</v>
      </c>
      <c r="K96" s="8">
        <v>37390</v>
      </c>
      <c r="M96" s="8">
        <f>SUM(G96:L96)</f>
        <v>2158286</v>
      </c>
      <c r="O96" s="8">
        <f>4147080+269285</f>
        <v>4416365</v>
      </c>
      <c r="Q96" s="8">
        <v>272853</v>
      </c>
      <c r="S96" s="8">
        <v>5368140</v>
      </c>
      <c r="U96" s="8">
        <v>163185</v>
      </c>
      <c r="W96" s="8">
        <v>0</v>
      </c>
      <c r="Y96" s="8">
        <v>0</v>
      </c>
      <c r="AA96" s="8">
        <v>12563</v>
      </c>
      <c r="AB96" s="39"/>
      <c r="AC96" s="8">
        <v>0</v>
      </c>
      <c r="AE96" s="8">
        <v>0</v>
      </c>
      <c r="AG96" s="8">
        <f>SUM(O96:AE96)</f>
        <v>10233106</v>
      </c>
      <c r="AH96" s="8"/>
      <c r="AI96" s="8">
        <f>+AG96+M96</f>
        <v>12391392</v>
      </c>
    </row>
    <row r="97" spans="1:37" ht="12" customHeight="1">
      <c r="A97" s="12" t="s">
        <v>396</v>
      </c>
      <c r="B97" s="12"/>
      <c r="C97" s="12" t="s">
        <v>32</v>
      </c>
      <c r="D97" s="12"/>
      <c r="E97" s="32">
        <v>43752</v>
      </c>
      <c r="G97" s="8">
        <v>14586414</v>
      </c>
      <c r="I97" s="8">
        <v>127168655</v>
      </c>
      <c r="K97" s="8">
        <v>719912</v>
      </c>
      <c r="M97" s="8">
        <f t="shared" si="3"/>
        <v>142474981</v>
      </c>
      <c r="O97" s="8">
        <f>200054022+33356387</f>
        <v>233410409</v>
      </c>
      <c r="Q97" s="8">
        <v>0</v>
      </c>
      <c r="S97" s="8">
        <v>150048088</v>
      </c>
      <c r="U97" s="8">
        <v>30097980</v>
      </c>
      <c r="W97" s="8">
        <v>10948197</v>
      </c>
      <c r="Y97" s="8">
        <v>0</v>
      </c>
      <c r="AA97" s="8">
        <v>12818225</v>
      </c>
      <c r="AB97" s="39"/>
      <c r="AC97" s="8">
        <v>0</v>
      </c>
      <c r="AE97" s="8">
        <v>0</v>
      </c>
      <c r="AG97" s="8">
        <f t="shared" si="4"/>
        <v>437322899</v>
      </c>
      <c r="AH97" s="8"/>
      <c r="AI97" s="8">
        <f t="shared" si="5"/>
        <v>579797880</v>
      </c>
    </row>
    <row r="98" spans="1:37" ht="12" customHeight="1">
      <c r="A98" s="12" t="s">
        <v>588</v>
      </c>
      <c r="B98" s="12"/>
      <c r="C98" s="12" t="s">
        <v>54</v>
      </c>
      <c r="D98" s="12"/>
      <c r="E98" s="32">
        <v>43760</v>
      </c>
      <c r="G98" s="8">
        <v>1060347</v>
      </c>
      <c r="I98" s="8">
        <v>4291022</v>
      </c>
      <c r="K98" s="8">
        <v>0</v>
      </c>
      <c r="M98" s="8">
        <f t="shared" si="3"/>
        <v>5351369</v>
      </c>
      <c r="O98" s="8">
        <v>9514613</v>
      </c>
      <c r="Q98" s="8">
        <v>1489779</v>
      </c>
      <c r="S98" s="8">
        <v>9270424</v>
      </c>
      <c r="U98" s="8">
        <v>542768</v>
      </c>
      <c r="W98" s="8">
        <v>123421</v>
      </c>
      <c r="Y98" s="8">
        <v>0</v>
      </c>
      <c r="AA98" s="8">
        <v>99847</v>
      </c>
      <c r="AB98" s="39"/>
      <c r="AC98" s="8">
        <v>0</v>
      </c>
      <c r="AE98" s="8">
        <v>0</v>
      </c>
      <c r="AG98" s="8">
        <f t="shared" si="4"/>
        <v>21040852</v>
      </c>
      <c r="AH98" s="8"/>
      <c r="AI98" s="8">
        <f t="shared" si="5"/>
        <v>26392221</v>
      </c>
    </row>
    <row r="99" spans="1:37" ht="12" customHeight="1">
      <c r="A99" s="12" t="s">
        <v>264</v>
      </c>
      <c r="B99" s="12"/>
      <c r="C99" s="12" t="s">
        <v>17</v>
      </c>
      <c r="D99" s="12"/>
      <c r="E99" s="32">
        <v>46284</v>
      </c>
      <c r="F99" s="7"/>
      <c r="G99" s="8">
        <v>3683374</v>
      </c>
      <c r="I99" s="8">
        <v>1369375</v>
      </c>
      <c r="K99" s="8">
        <v>119143</v>
      </c>
      <c r="M99" s="8">
        <f t="shared" si="3"/>
        <v>5171892</v>
      </c>
      <c r="O99" s="8">
        <f>7596336+465239</f>
        <v>8061575</v>
      </c>
      <c r="Q99" s="8">
        <v>0</v>
      </c>
      <c r="S99" s="8">
        <v>7059350</v>
      </c>
      <c r="U99" s="8">
        <v>242193</v>
      </c>
      <c r="W99" s="8">
        <v>176669</v>
      </c>
      <c r="Y99" s="8">
        <v>0</v>
      </c>
      <c r="AA99" s="8">
        <v>14515</v>
      </c>
      <c r="AB99" s="39"/>
      <c r="AC99" s="8">
        <v>0</v>
      </c>
      <c r="AE99" s="8">
        <v>0</v>
      </c>
      <c r="AG99" s="8">
        <f t="shared" si="4"/>
        <v>15554302</v>
      </c>
      <c r="AH99" s="8"/>
      <c r="AI99" s="8">
        <f t="shared" si="5"/>
        <v>20726194</v>
      </c>
    </row>
    <row r="100" spans="1:37" ht="12" customHeight="1">
      <c r="A100" s="12" t="s">
        <v>632</v>
      </c>
      <c r="B100" s="12"/>
      <c r="C100" s="12" t="s">
        <v>59</v>
      </c>
      <c r="D100" s="12"/>
      <c r="E100" s="32">
        <v>49601</v>
      </c>
      <c r="G100" s="8">
        <v>1257142</v>
      </c>
      <c r="I100" s="8">
        <v>891264</v>
      </c>
      <c r="K100" s="8">
        <v>3470</v>
      </c>
      <c r="M100" s="8">
        <f t="shared" si="3"/>
        <v>2151876</v>
      </c>
      <c r="O100" s="8">
        <f>957906+182500</f>
        <v>1140406</v>
      </c>
      <c r="Q100" s="8">
        <v>0</v>
      </c>
      <c r="S100" s="8">
        <v>2678430</v>
      </c>
      <c r="U100" s="8">
        <v>46398</v>
      </c>
      <c r="W100" s="8">
        <v>0</v>
      </c>
      <c r="Y100" s="8">
        <v>10679</v>
      </c>
      <c r="AA100" s="8">
        <v>137815</v>
      </c>
      <c r="AB100" s="39"/>
      <c r="AC100" s="8">
        <v>0</v>
      </c>
      <c r="AE100" s="8">
        <v>0</v>
      </c>
      <c r="AG100" s="8">
        <f t="shared" si="4"/>
        <v>4013728</v>
      </c>
      <c r="AH100" s="8"/>
      <c r="AI100" s="8">
        <f t="shared" si="5"/>
        <v>6165604</v>
      </c>
    </row>
    <row r="101" spans="1:37" ht="12" customHeight="1">
      <c r="A101" s="12" t="s">
        <v>699</v>
      </c>
      <c r="B101" s="12"/>
      <c r="C101" s="12" t="s">
        <v>65</v>
      </c>
      <c r="D101" s="12"/>
      <c r="E101" s="32">
        <v>43778</v>
      </c>
      <c r="G101" s="8">
        <v>1291130</v>
      </c>
      <c r="I101" s="8">
        <v>3961728</v>
      </c>
      <c r="K101" s="8">
        <v>10582</v>
      </c>
      <c r="M101" s="8">
        <f t="shared" si="3"/>
        <v>5263440</v>
      </c>
      <c r="O101" s="8">
        <f>2999784+52730+339857</f>
        <v>3392371</v>
      </c>
      <c r="Q101" s="8">
        <v>0</v>
      </c>
      <c r="S101" s="8">
        <v>10701104</v>
      </c>
      <c r="U101" s="8">
        <v>208301</v>
      </c>
      <c r="W101" s="8">
        <v>0</v>
      </c>
      <c r="Y101" s="8">
        <v>0</v>
      </c>
      <c r="AA101" s="8">
        <v>121115</v>
      </c>
      <c r="AB101" s="39"/>
      <c r="AC101" s="8">
        <v>0</v>
      </c>
      <c r="AE101" s="8">
        <v>0</v>
      </c>
      <c r="AG101" s="8">
        <f t="shared" si="4"/>
        <v>14422891</v>
      </c>
      <c r="AH101" s="8"/>
      <c r="AI101" s="8">
        <f t="shared" si="5"/>
        <v>19686331</v>
      </c>
    </row>
    <row r="102" spans="1:37" ht="12" customHeight="1">
      <c r="A102" s="12" t="s">
        <v>614</v>
      </c>
      <c r="B102" s="12"/>
      <c r="C102" s="12" t="s">
        <v>113</v>
      </c>
      <c r="D102" s="12"/>
      <c r="E102" s="32">
        <v>49411</v>
      </c>
      <c r="G102" s="8">
        <v>1198475</v>
      </c>
      <c r="I102" s="8">
        <v>1848279</v>
      </c>
      <c r="K102" s="8">
        <v>7501</v>
      </c>
      <c r="M102" s="8">
        <f t="shared" si="3"/>
        <v>3054255</v>
      </c>
      <c r="O102" s="8">
        <f>3962064+465597+286138</f>
        <v>4713799</v>
      </c>
      <c r="Q102" s="8">
        <v>0</v>
      </c>
      <c r="S102" s="8">
        <v>8315608</v>
      </c>
      <c r="U102" s="8">
        <v>354277</v>
      </c>
      <c r="W102" s="8">
        <v>0</v>
      </c>
      <c r="Y102" s="8">
        <v>0</v>
      </c>
      <c r="AA102" s="8">
        <v>31270</v>
      </c>
      <c r="AB102" s="39"/>
      <c r="AC102" s="8">
        <v>0</v>
      </c>
      <c r="AE102" s="8">
        <v>0</v>
      </c>
      <c r="AG102" s="8">
        <f t="shared" si="4"/>
        <v>13414954</v>
      </c>
      <c r="AH102" s="8"/>
      <c r="AI102" s="8">
        <f t="shared" si="5"/>
        <v>16469209</v>
      </c>
      <c r="AK102" s="8"/>
    </row>
    <row r="103" spans="1:37" ht="12" customHeight="1">
      <c r="A103" s="12" t="s">
        <v>491</v>
      </c>
      <c r="B103" s="12"/>
      <c r="C103" s="12" t="s">
        <v>44</v>
      </c>
      <c r="D103" s="12"/>
      <c r="E103" s="32">
        <v>48132</v>
      </c>
      <c r="G103" s="8">
        <v>3302018</v>
      </c>
      <c r="I103" s="8">
        <v>2254495</v>
      </c>
      <c r="K103" s="8">
        <v>0</v>
      </c>
      <c r="M103" s="8">
        <f t="shared" si="3"/>
        <v>5556513</v>
      </c>
      <c r="O103" s="8">
        <f>2218190+366009+33412</f>
        <v>2617611</v>
      </c>
      <c r="Q103" s="8">
        <v>0</v>
      </c>
      <c r="S103" s="8">
        <v>7033287</v>
      </c>
      <c r="U103" s="8">
        <v>49145</v>
      </c>
      <c r="W103" s="8">
        <v>0</v>
      </c>
      <c r="Y103" s="8">
        <v>0</v>
      </c>
      <c r="AA103" s="8">
        <v>58862</v>
      </c>
      <c r="AB103" s="39"/>
      <c r="AC103" s="8">
        <v>0</v>
      </c>
      <c r="AE103" s="8">
        <v>0</v>
      </c>
      <c r="AG103" s="8">
        <f t="shared" si="4"/>
        <v>9758905</v>
      </c>
      <c r="AH103" s="8"/>
      <c r="AI103" s="8">
        <f t="shared" si="5"/>
        <v>15315418</v>
      </c>
    </row>
    <row r="104" spans="1:37" ht="12" customHeight="1">
      <c r="A104" s="13" t="s">
        <v>970</v>
      </c>
      <c r="B104" s="13"/>
      <c r="C104" s="13" t="s">
        <v>116</v>
      </c>
      <c r="D104" s="12"/>
      <c r="E104" s="32"/>
      <c r="G104" s="8">
        <v>1263832</v>
      </c>
      <c r="I104" s="8">
        <v>1275252</v>
      </c>
      <c r="K104" s="8">
        <v>10941</v>
      </c>
      <c r="M104" s="8">
        <f>SUM(G104:L104)</f>
        <v>2550025</v>
      </c>
      <c r="O104" s="8">
        <f>5837508+540752</f>
        <v>6378260</v>
      </c>
      <c r="Q104" s="8">
        <v>2808439</v>
      </c>
      <c r="S104" s="8">
        <v>6702089</v>
      </c>
      <c r="U104" s="8">
        <v>232959</v>
      </c>
      <c r="W104" s="8">
        <v>0</v>
      </c>
      <c r="Y104" s="8">
        <v>0</v>
      </c>
      <c r="AA104" s="8">
        <v>139245</v>
      </c>
      <c r="AB104" s="39"/>
      <c r="AC104" s="8">
        <v>0</v>
      </c>
      <c r="AE104" s="8">
        <v>0</v>
      </c>
      <c r="AG104" s="8">
        <f>SUM(O104:AE104)</f>
        <v>16260992</v>
      </c>
      <c r="AH104" s="8"/>
      <c r="AI104" s="8">
        <f>+AG104+M104</f>
        <v>18811017</v>
      </c>
    </row>
    <row r="105" spans="1:37" ht="12" customHeight="1">
      <c r="A105" s="12" t="s">
        <v>307</v>
      </c>
      <c r="B105" s="12"/>
      <c r="C105" s="12" t="s">
        <v>20</v>
      </c>
      <c r="D105" s="12"/>
      <c r="E105" s="32">
        <v>43794</v>
      </c>
      <c r="G105" s="8">
        <v>2935238</v>
      </c>
      <c r="I105" s="8">
        <v>8472391</v>
      </c>
      <c r="K105" s="8">
        <v>104709</v>
      </c>
      <c r="M105" s="8">
        <f t="shared" si="3"/>
        <v>11512338</v>
      </c>
      <c r="O105" s="8">
        <f>66578842+648181+3235694</f>
        <v>70462717</v>
      </c>
      <c r="Q105" s="8">
        <v>0</v>
      </c>
      <c r="S105" s="8">
        <v>25907434</v>
      </c>
      <c r="U105" s="8">
        <v>1900552</v>
      </c>
      <c r="W105" s="8">
        <v>178090</v>
      </c>
      <c r="Y105" s="8">
        <v>0</v>
      </c>
      <c r="AA105" s="8">
        <v>1199550</v>
      </c>
      <c r="AB105" s="39"/>
      <c r="AC105" s="8">
        <v>-144976</v>
      </c>
      <c r="AE105" s="8">
        <v>0</v>
      </c>
      <c r="AG105" s="8">
        <f t="shared" si="4"/>
        <v>99503367</v>
      </c>
      <c r="AH105" s="8"/>
      <c r="AI105" s="8">
        <f t="shared" si="5"/>
        <v>111015705</v>
      </c>
    </row>
    <row r="106" spans="1:37" ht="12" customHeight="1">
      <c r="A106" s="12" t="s">
        <v>308</v>
      </c>
      <c r="B106" s="12"/>
      <c r="C106" s="12" t="s">
        <v>20</v>
      </c>
      <c r="D106" s="12"/>
      <c r="E106" s="32">
        <v>43786</v>
      </c>
      <c r="G106" s="8">
        <v>2180872</v>
      </c>
      <c r="I106" s="8">
        <v>219823165</v>
      </c>
      <c r="K106" s="8">
        <v>2395614</v>
      </c>
      <c r="M106" s="8">
        <f t="shared" si="3"/>
        <v>224399651</v>
      </c>
      <c r="O106" s="8">
        <f>185684541+33647336+2347262</f>
        <v>221679139</v>
      </c>
      <c r="Q106" s="8">
        <v>0</v>
      </c>
      <c r="S106" s="8">
        <v>18682784</v>
      </c>
      <c r="U106" s="8">
        <v>7100867</v>
      </c>
      <c r="W106" s="8">
        <v>0</v>
      </c>
      <c r="Y106" s="8">
        <v>0</v>
      </c>
      <c r="AA106" s="8">
        <v>410667785</v>
      </c>
      <c r="AB106" s="39"/>
      <c r="AC106" s="8">
        <v>0</v>
      </c>
      <c r="AE106" s="8">
        <v>0</v>
      </c>
      <c r="AG106" s="8">
        <f t="shared" si="4"/>
        <v>658130575</v>
      </c>
      <c r="AH106" s="8"/>
      <c r="AI106" s="8">
        <f t="shared" si="5"/>
        <v>882530226</v>
      </c>
    </row>
    <row r="107" spans="1:37" ht="12" customHeight="1">
      <c r="A107" s="12" t="s">
        <v>279</v>
      </c>
      <c r="B107" s="12"/>
      <c r="C107" s="12" t="s">
        <v>18</v>
      </c>
      <c r="D107" s="12"/>
      <c r="E107" s="32">
        <v>46391</v>
      </c>
      <c r="F107" s="7"/>
      <c r="G107" s="8">
        <v>904777</v>
      </c>
      <c r="I107" s="8">
        <v>1317589</v>
      </c>
      <c r="K107" s="8">
        <v>232275</v>
      </c>
      <c r="M107" s="8">
        <f t="shared" si="3"/>
        <v>2454641</v>
      </c>
      <c r="O107" s="8">
        <f>4052086+1746323+79729</f>
        <v>5878138</v>
      </c>
      <c r="Q107" s="8">
        <v>0</v>
      </c>
      <c r="S107" s="8">
        <v>9278700</v>
      </c>
      <c r="U107" s="8">
        <v>355315</v>
      </c>
      <c r="W107" s="8">
        <v>0</v>
      </c>
      <c r="Y107" s="8">
        <v>0</v>
      </c>
      <c r="AA107" s="8">
        <v>41896</v>
      </c>
      <c r="AB107" s="39"/>
      <c r="AC107" s="8">
        <v>0</v>
      </c>
      <c r="AE107" s="8">
        <v>3500000</v>
      </c>
      <c r="AG107" s="8">
        <f t="shared" si="4"/>
        <v>19054049</v>
      </c>
      <c r="AH107" s="8"/>
      <c r="AI107" s="8">
        <f t="shared" si="5"/>
        <v>21508690</v>
      </c>
      <c r="AK107" s="8"/>
    </row>
    <row r="108" spans="1:37" ht="12" customHeight="1">
      <c r="A108" s="12" t="s">
        <v>533</v>
      </c>
      <c r="B108" s="12"/>
      <c r="C108" s="12" t="s">
        <v>47</v>
      </c>
      <c r="D108" s="12"/>
      <c r="E108" s="32">
        <v>48488</v>
      </c>
      <c r="G108" s="8">
        <v>1780962</v>
      </c>
      <c r="I108" s="8">
        <v>1542036</v>
      </c>
      <c r="K108" s="8">
        <v>712664</v>
      </c>
      <c r="M108" s="8">
        <f t="shared" si="3"/>
        <v>4035662</v>
      </c>
      <c r="O108" s="8">
        <f>12224857+744476+68362</f>
        <v>13037695</v>
      </c>
      <c r="Q108" s="8">
        <v>769697</v>
      </c>
      <c r="S108" s="8">
        <v>12395660</v>
      </c>
      <c r="U108" s="8">
        <v>133705</v>
      </c>
      <c r="W108" s="8">
        <v>0</v>
      </c>
      <c r="Y108" s="8">
        <v>0</v>
      </c>
      <c r="AA108" s="8">
        <v>130613</v>
      </c>
      <c r="AB108" s="39"/>
      <c r="AC108" s="8">
        <v>0</v>
      </c>
      <c r="AE108" s="8">
        <v>0</v>
      </c>
      <c r="AG108" s="8">
        <f t="shared" si="4"/>
        <v>26467370</v>
      </c>
      <c r="AH108" s="8"/>
      <c r="AI108" s="8">
        <f t="shared" si="5"/>
        <v>30503032</v>
      </c>
    </row>
    <row r="109" spans="1:37" ht="12" customHeight="1">
      <c r="A109" s="12" t="s">
        <v>627</v>
      </c>
      <c r="B109" s="12"/>
      <c r="C109" s="12" t="s">
        <v>79</v>
      </c>
      <c r="D109" s="12"/>
      <c r="E109" s="32">
        <v>45302</v>
      </c>
      <c r="G109" s="8">
        <v>1488652</v>
      </c>
      <c r="I109" s="8">
        <v>2473278</v>
      </c>
      <c r="K109" s="8">
        <v>67763</v>
      </c>
      <c r="M109" s="8">
        <f t="shared" si="3"/>
        <v>4029693</v>
      </c>
      <c r="O109" s="8">
        <f>7035383+404152+218175</f>
        <v>7657710</v>
      </c>
      <c r="Q109" s="8">
        <v>0</v>
      </c>
      <c r="S109" s="8">
        <v>10274209</v>
      </c>
      <c r="U109" s="8">
        <v>203982</v>
      </c>
      <c r="W109" s="8">
        <v>334713</v>
      </c>
      <c r="Y109" s="8">
        <v>0</v>
      </c>
      <c r="AA109" s="8">
        <v>156489</v>
      </c>
      <c r="AB109" s="39"/>
      <c r="AC109" s="8">
        <v>0</v>
      </c>
      <c r="AE109" s="8">
        <v>0</v>
      </c>
      <c r="AG109" s="8">
        <f t="shared" si="4"/>
        <v>18627103</v>
      </c>
      <c r="AH109" s="8"/>
      <c r="AI109" s="8">
        <f t="shared" si="5"/>
        <v>22656796</v>
      </c>
    </row>
    <row r="110" spans="1:37" ht="12" customHeight="1">
      <c r="A110" s="12" t="s">
        <v>296</v>
      </c>
      <c r="B110" s="12"/>
      <c r="C110" s="12" t="s">
        <v>114</v>
      </c>
      <c r="D110" s="12"/>
      <c r="E110" s="32">
        <v>46516</v>
      </c>
      <c r="G110" s="8">
        <v>1284106</v>
      </c>
      <c r="I110" s="8">
        <v>651518</v>
      </c>
      <c r="K110" s="8">
        <v>7318</v>
      </c>
      <c r="M110" s="8">
        <f t="shared" si="3"/>
        <v>1942942</v>
      </c>
      <c r="O110" s="8">
        <f>2972420+726786</f>
        <v>3699206</v>
      </c>
      <c r="Q110" s="8">
        <v>344540</v>
      </c>
      <c r="S110" s="8">
        <v>3710750</v>
      </c>
      <c r="U110" s="8">
        <v>125814</v>
      </c>
      <c r="W110" s="8">
        <v>0</v>
      </c>
      <c r="Y110" s="8">
        <v>0</v>
      </c>
      <c r="AA110" s="8">
        <v>18527</v>
      </c>
      <c r="AB110" s="39"/>
      <c r="AC110" s="8">
        <v>0</v>
      </c>
      <c r="AE110" s="8">
        <v>0</v>
      </c>
      <c r="AG110" s="8">
        <f t="shared" si="4"/>
        <v>7898837</v>
      </c>
      <c r="AH110" s="8"/>
      <c r="AI110" s="8">
        <f t="shared" si="5"/>
        <v>9841779</v>
      </c>
    </row>
    <row r="111" spans="1:37" ht="12" customHeight="1">
      <c r="A111" s="12" t="s">
        <v>492</v>
      </c>
      <c r="B111" s="12"/>
      <c r="C111" s="12" t="s">
        <v>44</v>
      </c>
      <c r="D111" s="12"/>
      <c r="E111" s="32">
        <v>48140</v>
      </c>
      <c r="G111" s="8">
        <v>426978</v>
      </c>
      <c r="I111" s="8">
        <v>540957</v>
      </c>
      <c r="K111" s="8">
        <v>0</v>
      </c>
      <c r="M111" s="8">
        <f t="shared" si="3"/>
        <v>967935</v>
      </c>
      <c r="O111" s="8">
        <f>5344369+291707</f>
        <v>5636076</v>
      </c>
      <c r="Q111" s="8">
        <v>0</v>
      </c>
      <c r="S111" s="8">
        <v>3844673</v>
      </c>
      <c r="U111" s="8">
        <v>141079</v>
      </c>
      <c r="W111" s="8">
        <v>0</v>
      </c>
      <c r="Y111" s="8">
        <v>0</v>
      </c>
      <c r="AA111" s="8">
        <f>1500+435686</f>
        <v>437186</v>
      </c>
      <c r="AB111" s="39"/>
      <c r="AC111" s="8">
        <v>0</v>
      </c>
      <c r="AE111" s="8">
        <v>0</v>
      </c>
      <c r="AG111" s="8">
        <f t="shared" si="4"/>
        <v>10059014</v>
      </c>
      <c r="AH111" s="8"/>
      <c r="AI111" s="8">
        <f t="shared" si="5"/>
        <v>11026949</v>
      </c>
    </row>
    <row r="112" spans="1:37" ht="12" customHeight="1">
      <c r="A112" s="12" t="s">
        <v>283</v>
      </c>
      <c r="B112" s="12"/>
      <c r="C112" s="12" t="s">
        <v>115</v>
      </c>
      <c r="D112" s="12"/>
      <c r="E112" s="32">
        <v>45328</v>
      </c>
      <c r="F112" s="7"/>
      <c r="G112" s="8">
        <v>1176861</v>
      </c>
      <c r="I112" s="8">
        <v>826166</v>
      </c>
      <c r="K112" s="8">
        <v>126272</v>
      </c>
      <c r="M112" s="8">
        <f t="shared" si="3"/>
        <v>2129299</v>
      </c>
      <c r="O112" s="8">
        <f>3170406+822907+26606</f>
        <v>4019919</v>
      </c>
      <c r="Q112" s="8">
        <v>1552857</v>
      </c>
      <c r="S112" s="8">
        <v>2758672</v>
      </c>
      <c r="U112" s="8">
        <v>183170</v>
      </c>
      <c r="W112" s="8">
        <v>0</v>
      </c>
      <c r="Y112" s="8">
        <v>0</v>
      </c>
      <c r="AA112" s="8">
        <f>2035+13137</f>
        <v>15172</v>
      </c>
      <c r="AB112" s="39"/>
      <c r="AC112" s="8">
        <v>0</v>
      </c>
      <c r="AE112" s="8">
        <v>0</v>
      </c>
      <c r="AG112" s="8">
        <f t="shared" si="4"/>
        <v>8529790</v>
      </c>
      <c r="AH112" s="8"/>
      <c r="AI112" s="8">
        <f t="shared" si="5"/>
        <v>10659089</v>
      </c>
    </row>
    <row r="113" spans="1:35" ht="12" customHeight="1">
      <c r="A113" s="12" t="s">
        <v>358</v>
      </c>
      <c r="B113" s="12"/>
      <c r="C113" s="12" t="s">
        <v>27</v>
      </c>
      <c r="D113" s="12"/>
      <c r="E113" s="32">
        <v>43802</v>
      </c>
      <c r="G113" s="8">
        <v>17730994</v>
      </c>
      <c r="I113" s="8">
        <v>222865323</v>
      </c>
      <c r="K113" s="8">
        <v>297044</v>
      </c>
      <c r="M113" s="8">
        <f t="shared" si="3"/>
        <v>240893361</v>
      </c>
      <c r="O113" s="8">
        <f>337697721+33383869+3541952</f>
        <v>374623542</v>
      </c>
      <c r="Q113" s="8">
        <v>0</v>
      </c>
      <c r="S113" s="8">
        <v>205809827</v>
      </c>
      <c r="U113" s="8">
        <v>18309812</v>
      </c>
      <c r="W113" s="8">
        <v>5992191</v>
      </c>
      <c r="Y113" s="8">
        <v>140000</v>
      </c>
      <c r="AA113" s="8">
        <f>896+9933524</f>
        <v>9934420</v>
      </c>
      <c r="AB113" s="39"/>
      <c r="AC113" s="8">
        <v>0</v>
      </c>
      <c r="AE113" s="8">
        <v>0</v>
      </c>
      <c r="AG113" s="8">
        <f t="shared" si="4"/>
        <v>614809792</v>
      </c>
      <c r="AH113" s="8"/>
      <c r="AI113" s="8">
        <f t="shared" si="5"/>
        <v>855703153</v>
      </c>
    </row>
    <row r="114" spans="1:35" ht="12" customHeight="1">
      <c r="A114" s="12" t="s">
        <v>220</v>
      </c>
      <c r="B114" s="12"/>
      <c r="C114" s="12" t="s">
        <v>12</v>
      </c>
      <c r="D114" s="12"/>
      <c r="E114" s="32">
        <v>43810</v>
      </c>
      <c r="F114" s="7"/>
      <c r="G114" s="8">
        <f>574914</f>
        <v>574914</v>
      </c>
      <c r="I114" s="8">
        <v>3980454</v>
      </c>
      <c r="K114" s="8">
        <v>13094</v>
      </c>
      <c r="M114" s="8">
        <f t="shared" si="3"/>
        <v>4568462</v>
      </c>
      <c r="O114" s="8">
        <f>3789275+552143+208685+69561</f>
        <v>4619664</v>
      </c>
      <c r="Q114" s="8">
        <v>0</v>
      </c>
      <c r="S114" s="8">
        <v>11907954</v>
      </c>
      <c r="U114" s="8">
        <v>300583</v>
      </c>
      <c r="W114" s="8">
        <v>0</v>
      </c>
      <c r="Y114" s="8">
        <v>0</v>
      </c>
      <c r="AA114" s="8">
        <v>232136</v>
      </c>
      <c r="AB114" s="39"/>
      <c r="AC114" s="8">
        <v>0</v>
      </c>
      <c r="AE114" s="8">
        <v>0</v>
      </c>
      <c r="AG114" s="8">
        <f t="shared" si="4"/>
        <v>17060337</v>
      </c>
      <c r="AH114" s="8"/>
      <c r="AI114" s="8">
        <f t="shared" si="5"/>
        <v>21628799</v>
      </c>
    </row>
    <row r="115" spans="1:35" ht="12" customHeight="1">
      <c r="A115" s="12" t="s">
        <v>432</v>
      </c>
      <c r="B115" s="12"/>
      <c r="C115" s="12" t="s">
        <v>433</v>
      </c>
      <c r="D115" s="12"/>
      <c r="E115" s="32">
        <v>47548</v>
      </c>
      <c r="G115" s="8">
        <v>385703</v>
      </c>
      <c r="I115" s="8">
        <v>741794</v>
      </c>
      <c r="K115" s="8">
        <v>3639</v>
      </c>
      <c r="M115" s="8">
        <f t="shared" si="3"/>
        <v>1131136</v>
      </c>
      <c r="O115" s="8">
        <f>2186372+60773</f>
        <v>2247145</v>
      </c>
      <c r="Q115" s="8">
        <v>0</v>
      </c>
      <c r="S115" s="8">
        <v>2508732</v>
      </c>
      <c r="U115" s="8">
        <v>85107</v>
      </c>
      <c r="W115" s="8">
        <v>0</v>
      </c>
      <c r="Y115" s="8">
        <v>0</v>
      </c>
      <c r="AA115" s="8">
        <v>27091</v>
      </c>
      <c r="AB115" s="39"/>
      <c r="AC115" s="8">
        <v>0</v>
      </c>
      <c r="AE115" s="8">
        <v>0</v>
      </c>
      <c r="AG115" s="8">
        <f t="shared" si="4"/>
        <v>4868075</v>
      </c>
      <c r="AH115" s="8"/>
      <c r="AI115" s="8">
        <f t="shared" si="5"/>
        <v>5999211</v>
      </c>
    </row>
    <row r="116" spans="1:35" ht="12" customHeight="1">
      <c r="A116" s="12" t="s">
        <v>669</v>
      </c>
      <c r="B116" s="12"/>
      <c r="C116" s="12" t="s">
        <v>63</v>
      </c>
      <c r="D116" s="12"/>
      <c r="E116" s="32">
        <v>49981</v>
      </c>
      <c r="G116" s="8">
        <v>1553070</v>
      </c>
      <c r="I116" s="8">
        <v>1869085</v>
      </c>
      <c r="K116" s="8">
        <v>16149</v>
      </c>
      <c r="M116" s="8">
        <f t="shared" si="3"/>
        <v>3438304</v>
      </c>
      <c r="O116" s="8">
        <f>22042557+1900345+268606</f>
        <v>24211508</v>
      </c>
      <c r="Q116" s="8">
        <v>0</v>
      </c>
      <c r="S116" s="8">
        <v>5855459</v>
      </c>
      <c r="U116" s="8">
        <v>618134</v>
      </c>
      <c r="W116" s="8">
        <v>0</v>
      </c>
      <c r="Y116" s="8">
        <v>0</v>
      </c>
      <c r="AA116" s="8">
        <v>214165</v>
      </c>
      <c r="AB116" s="39"/>
      <c r="AC116" s="8">
        <v>0</v>
      </c>
      <c r="AE116" s="8">
        <v>0</v>
      </c>
      <c r="AG116" s="8">
        <f t="shared" si="4"/>
        <v>30899266</v>
      </c>
      <c r="AH116" s="8"/>
      <c r="AI116" s="8">
        <f t="shared" si="5"/>
        <v>34337570</v>
      </c>
    </row>
    <row r="117" spans="1:35" ht="12" customHeight="1">
      <c r="A117" s="12" t="s">
        <v>420</v>
      </c>
      <c r="B117" s="12"/>
      <c r="C117" s="12" t="s">
        <v>33</v>
      </c>
      <c r="D117" s="12"/>
      <c r="E117" s="32">
        <v>47431</v>
      </c>
      <c r="G117" s="8">
        <v>521213</v>
      </c>
      <c r="I117" s="8">
        <v>599556</v>
      </c>
      <c r="K117" s="8">
        <v>3161</v>
      </c>
      <c r="M117" s="8">
        <f t="shared" si="3"/>
        <v>1123930</v>
      </c>
      <c r="O117" s="8">
        <f>1597688+83134</f>
        <v>1680822</v>
      </c>
      <c r="Q117" s="8">
        <v>1373912</v>
      </c>
      <c r="S117" s="8">
        <v>2903202</v>
      </c>
      <c r="U117" s="8">
        <v>48741</v>
      </c>
      <c r="W117" s="8">
        <v>0</v>
      </c>
      <c r="Y117" s="8">
        <v>13397</v>
      </c>
      <c r="AA117" s="8">
        <v>31613</v>
      </c>
      <c r="AB117" s="39"/>
      <c r="AC117" s="8">
        <v>0</v>
      </c>
      <c r="AE117" s="8">
        <v>0</v>
      </c>
      <c r="AG117" s="8">
        <f t="shared" si="4"/>
        <v>6051687</v>
      </c>
      <c r="AH117" s="8"/>
      <c r="AI117" s="8">
        <f t="shared" si="5"/>
        <v>7175617</v>
      </c>
    </row>
    <row r="118" spans="1:35" ht="12" customHeight="1">
      <c r="A118" s="12" t="s">
        <v>291</v>
      </c>
      <c r="B118" s="12"/>
      <c r="C118" s="12" t="s">
        <v>19</v>
      </c>
      <c r="D118" s="12"/>
      <c r="E118" s="32">
        <v>43828</v>
      </c>
      <c r="G118" s="8">
        <v>1339775</v>
      </c>
      <c r="I118" s="8">
        <v>2410632</v>
      </c>
      <c r="K118" s="8">
        <v>3684</v>
      </c>
      <c r="M118" s="8">
        <f t="shared" si="3"/>
        <v>3754091</v>
      </c>
      <c r="O118" s="8">
        <f>4645298+203409</f>
        <v>4848707</v>
      </c>
      <c r="Q118" s="8">
        <v>0</v>
      </c>
      <c r="S118" s="8">
        <v>8583235</v>
      </c>
      <c r="U118" s="8">
        <v>203314</v>
      </c>
      <c r="W118" s="8">
        <v>0</v>
      </c>
      <c r="Y118" s="8">
        <v>0</v>
      </c>
      <c r="AA118" s="8">
        <v>173771</v>
      </c>
      <c r="AB118" s="39"/>
      <c r="AC118" s="8">
        <v>0</v>
      </c>
      <c r="AE118" s="8">
        <v>0</v>
      </c>
      <c r="AG118" s="8">
        <f t="shared" si="4"/>
        <v>13809027</v>
      </c>
      <c r="AH118" s="8"/>
      <c r="AI118" s="8">
        <f t="shared" si="5"/>
        <v>17563118</v>
      </c>
    </row>
    <row r="119" spans="1:35" ht="12" customHeight="1">
      <c r="A119" s="12" t="s">
        <v>832</v>
      </c>
      <c r="B119" s="12"/>
      <c r="C119" s="12" t="s">
        <v>63</v>
      </c>
      <c r="D119" s="12"/>
      <c r="E119" s="32"/>
      <c r="G119" s="8">
        <v>5393763</v>
      </c>
      <c r="I119" s="8">
        <v>1778892</v>
      </c>
      <c r="K119" s="8">
        <v>16154</v>
      </c>
      <c r="M119" s="8">
        <f t="shared" si="3"/>
        <v>7188809</v>
      </c>
      <c r="O119" s="8">
        <f>8738382+306325</f>
        <v>9044707</v>
      </c>
      <c r="Q119" s="8">
        <v>0</v>
      </c>
      <c r="S119" s="8">
        <v>4890236</v>
      </c>
      <c r="U119" s="8">
        <v>123403</v>
      </c>
      <c r="W119" s="8">
        <v>0</v>
      </c>
      <c r="Y119" s="8">
        <v>0</v>
      </c>
      <c r="AA119" s="8">
        <v>86343</v>
      </c>
      <c r="AB119" s="39"/>
      <c r="AC119" s="8">
        <v>0</v>
      </c>
      <c r="AE119" s="8">
        <v>0</v>
      </c>
      <c r="AG119" s="8">
        <f t="shared" si="4"/>
        <v>14144689</v>
      </c>
      <c r="AH119" s="8"/>
      <c r="AI119" s="8">
        <f t="shared" si="5"/>
        <v>21333498</v>
      </c>
    </row>
    <row r="120" spans="1:35" ht="12" customHeight="1">
      <c r="A120" s="12" t="s">
        <v>544</v>
      </c>
      <c r="B120" s="12"/>
      <c r="C120" s="12" t="s">
        <v>48</v>
      </c>
      <c r="D120" s="12"/>
      <c r="E120" s="32">
        <v>45336</v>
      </c>
      <c r="G120" s="8">
        <v>760134</v>
      </c>
      <c r="I120" s="8">
        <v>833281</v>
      </c>
      <c r="K120" s="8">
        <v>2636</v>
      </c>
      <c r="M120" s="8">
        <f t="shared" si="3"/>
        <v>1596051</v>
      </c>
      <c r="O120" s="8">
        <v>1670216</v>
      </c>
      <c r="Q120" s="8">
        <v>1670057</v>
      </c>
      <c r="S120" s="8">
        <v>3148821</v>
      </c>
      <c r="U120" s="8">
        <v>61258</v>
      </c>
      <c r="W120" s="8">
        <v>0</v>
      </c>
      <c r="Y120" s="8">
        <v>0</v>
      </c>
      <c r="AA120" s="8">
        <v>78929</v>
      </c>
      <c r="AB120" s="39"/>
      <c r="AC120" s="8">
        <v>0</v>
      </c>
      <c r="AE120" s="8">
        <v>0</v>
      </c>
      <c r="AG120" s="8">
        <f t="shared" si="4"/>
        <v>6629281</v>
      </c>
      <c r="AH120" s="8"/>
      <c r="AI120" s="8">
        <f t="shared" si="5"/>
        <v>8225332</v>
      </c>
    </row>
    <row r="121" spans="1:35" ht="12" customHeight="1">
      <c r="A121" s="12" t="s">
        <v>297</v>
      </c>
      <c r="B121" s="12"/>
      <c r="C121" s="12" t="s">
        <v>114</v>
      </c>
      <c r="D121" s="12"/>
      <c r="E121" s="32">
        <v>45344</v>
      </c>
      <c r="G121" s="8">
        <v>463413</v>
      </c>
      <c r="I121" s="8">
        <v>1726023</v>
      </c>
      <c r="K121" s="8">
        <v>3709</v>
      </c>
      <c r="M121" s="8">
        <f t="shared" si="3"/>
        <v>2193145</v>
      </c>
      <c r="O121" s="8">
        <f>2587403+141239</f>
        <v>2728642</v>
      </c>
      <c r="S121" s="8">
        <v>3828599</v>
      </c>
      <c r="U121" s="8">
        <v>99067</v>
      </c>
      <c r="W121" s="8">
        <v>0</v>
      </c>
      <c r="Y121" s="8">
        <v>0</v>
      </c>
      <c r="AA121" s="8">
        <v>19852</v>
      </c>
      <c r="AB121" s="39"/>
      <c r="AC121" s="8">
        <v>0</v>
      </c>
      <c r="AE121" s="8">
        <v>0</v>
      </c>
      <c r="AG121" s="8">
        <f t="shared" si="4"/>
        <v>6676160</v>
      </c>
      <c r="AH121" s="8"/>
      <c r="AI121" s="8">
        <f t="shared" si="5"/>
        <v>8869305</v>
      </c>
    </row>
    <row r="122" spans="1:35" ht="12" customHeight="1">
      <c r="A122" s="12" t="s">
        <v>284</v>
      </c>
      <c r="B122" s="12"/>
      <c r="C122" s="12" t="s">
        <v>115</v>
      </c>
      <c r="D122" s="12"/>
      <c r="E122" s="32">
        <v>46433</v>
      </c>
      <c r="F122" s="7"/>
      <c r="G122" s="8">
        <v>1830010</v>
      </c>
      <c r="I122" s="8">
        <v>468426</v>
      </c>
      <c r="K122" s="8">
        <v>7998</v>
      </c>
      <c r="M122" s="8">
        <f t="shared" si="3"/>
        <v>2306434</v>
      </c>
      <c r="O122" s="8">
        <f>1875488+305284+177994+36815</f>
        <v>2395581</v>
      </c>
      <c r="Q122" s="8">
        <v>1231003</v>
      </c>
      <c r="S122" s="8">
        <v>5124921</v>
      </c>
      <c r="U122" s="8">
        <v>113264</v>
      </c>
      <c r="W122" s="8">
        <v>0</v>
      </c>
      <c r="Y122" s="8">
        <v>0</v>
      </c>
      <c r="AA122" s="8">
        <f>99401+2200</f>
        <v>101601</v>
      </c>
      <c r="AB122" s="39"/>
      <c r="AC122" s="8">
        <v>0</v>
      </c>
      <c r="AE122" s="8">
        <v>0</v>
      </c>
      <c r="AG122" s="8">
        <f t="shared" si="4"/>
        <v>8966370</v>
      </c>
      <c r="AH122" s="8"/>
      <c r="AI122" s="8">
        <f t="shared" si="5"/>
        <v>11272804</v>
      </c>
    </row>
    <row r="123" spans="1:35" ht="12" customHeight="1">
      <c r="A123" s="12" t="s">
        <v>284</v>
      </c>
      <c r="B123" s="12"/>
      <c r="C123" s="12" t="s">
        <v>113</v>
      </c>
      <c r="D123" s="12"/>
      <c r="E123" s="32">
        <v>49429</v>
      </c>
      <c r="G123" s="8">
        <v>550951</v>
      </c>
      <c r="I123" s="8">
        <v>1530122</v>
      </c>
      <c r="K123" s="8">
        <v>6571</v>
      </c>
      <c r="M123" s="8">
        <f t="shared" si="3"/>
        <v>2087644</v>
      </c>
      <c r="O123" s="8">
        <f>2248389+40703+391422+241023</f>
        <v>2921537</v>
      </c>
      <c r="Q123" s="8">
        <v>0</v>
      </c>
      <c r="S123" s="8">
        <v>6589737</v>
      </c>
      <c r="U123" s="8">
        <v>280378</v>
      </c>
      <c r="W123" s="8">
        <v>0</v>
      </c>
      <c r="Y123" s="8">
        <v>0</v>
      </c>
      <c r="AA123" s="8">
        <v>16849</v>
      </c>
      <c r="AB123" s="39"/>
      <c r="AC123" s="8">
        <v>0</v>
      </c>
      <c r="AE123" s="8">
        <v>0</v>
      </c>
      <c r="AG123" s="8">
        <f t="shared" si="4"/>
        <v>9808501</v>
      </c>
      <c r="AH123" s="8"/>
      <c r="AI123" s="8">
        <f t="shared" si="5"/>
        <v>11896145</v>
      </c>
    </row>
    <row r="124" spans="1:35" ht="12" customHeight="1">
      <c r="A124" s="12" t="s">
        <v>596</v>
      </c>
      <c r="B124" s="12"/>
      <c r="C124" s="12" t="s">
        <v>56</v>
      </c>
      <c r="D124" s="12"/>
      <c r="E124" s="32">
        <v>49189</v>
      </c>
      <c r="G124" s="8">
        <v>1829271</v>
      </c>
      <c r="I124" s="8">
        <v>2021365</v>
      </c>
      <c r="K124" s="8">
        <v>11337</v>
      </c>
      <c r="M124" s="8">
        <f t="shared" si="3"/>
        <v>3861973</v>
      </c>
      <c r="O124" s="8">
        <f>5804647+108507+573742+377930</f>
        <v>6864826</v>
      </c>
      <c r="Q124" s="8">
        <v>0</v>
      </c>
      <c r="S124" s="8">
        <v>12406113</v>
      </c>
      <c r="U124" s="8">
        <v>313007</v>
      </c>
      <c r="W124" s="8">
        <v>0</v>
      </c>
      <c r="Y124" s="8">
        <v>0</v>
      </c>
      <c r="AA124" s="8">
        <v>243814</v>
      </c>
      <c r="AB124" s="39"/>
      <c r="AC124" s="8">
        <v>0</v>
      </c>
      <c r="AE124" s="8">
        <v>0</v>
      </c>
      <c r="AG124" s="8">
        <f t="shared" si="4"/>
        <v>19827760</v>
      </c>
      <c r="AH124" s="8"/>
      <c r="AI124" s="8">
        <f t="shared" si="5"/>
        <v>23689733</v>
      </c>
    </row>
    <row r="125" spans="1:35" ht="12" customHeight="1">
      <c r="A125" s="12" t="s">
        <v>833</v>
      </c>
      <c r="B125" s="12"/>
      <c r="C125" s="12" t="s">
        <v>586</v>
      </c>
      <c r="D125" s="12"/>
      <c r="E125" s="32"/>
      <c r="G125" s="8">
        <v>884042</v>
      </c>
      <c r="I125" s="8">
        <v>1472902</v>
      </c>
      <c r="K125" s="8">
        <v>0</v>
      </c>
      <c r="M125" s="8">
        <f t="shared" si="3"/>
        <v>2356944</v>
      </c>
      <c r="O125" s="8">
        <f>852896+194313+15071</f>
        <v>1062280</v>
      </c>
      <c r="Q125" s="8">
        <v>0</v>
      </c>
      <c r="S125" s="8">
        <v>6888839</v>
      </c>
      <c r="U125" s="8">
        <v>138990</v>
      </c>
      <c r="W125" s="8">
        <v>0</v>
      </c>
      <c r="Y125" s="8">
        <v>0</v>
      </c>
      <c r="AA125" s="8">
        <v>48509</v>
      </c>
      <c r="AB125" s="39"/>
      <c r="AC125" s="8">
        <v>0</v>
      </c>
      <c r="AE125" s="8">
        <v>0</v>
      </c>
      <c r="AG125" s="8">
        <f t="shared" si="4"/>
        <v>8138618</v>
      </c>
      <c r="AH125" s="8"/>
      <c r="AI125" s="8">
        <f t="shared" si="5"/>
        <v>10495562</v>
      </c>
    </row>
    <row r="126" spans="1:35" ht="12" customHeight="1">
      <c r="A126" s="12" t="s">
        <v>670</v>
      </c>
      <c r="B126" s="12"/>
      <c r="C126" s="12" t="s">
        <v>63</v>
      </c>
      <c r="D126" s="12"/>
      <c r="E126" s="32">
        <v>43836</v>
      </c>
      <c r="G126" s="8">
        <v>5386130</v>
      </c>
      <c r="I126" s="8">
        <v>5955034</v>
      </c>
      <c r="K126" s="8">
        <v>8699</v>
      </c>
      <c r="M126" s="8">
        <f t="shared" si="3"/>
        <v>11349863</v>
      </c>
      <c r="O126" s="8">
        <f>25672497+662466</f>
        <v>26334963</v>
      </c>
      <c r="Q126" s="8">
        <v>0</v>
      </c>
      <c r="S126" s="8">
        <v>15435633</v>
      </c>
      <c r="U126" s="8">
        <v>491289</v>
      </c>
      <c r="W126" s="8">
        <v>26167</v>
      </c>
      <c r="Y126" s="8">
        <v>0</v>
      </c>
      <c r="AA126" s="8">
        <v>94625</v>
      </c>
      <c r="AB126" s="39"/>
      <c r="AC126" s="8">
        <v>0</v>
      </c>
      <c r="AE126" s="8">
        <v>0</v>
      </c>
      <c r="AG126" s="8">
        <f t="shared" si="4"/>
        <v>42382677</v>
      </c>
      <c r="AH126" s="8"/>
      <c r="AI126" s="8">
        <f t="shared" si="5"/>
        <v>53732540</v>
      </c>
    </row>
    <row r="127" spans="1:35" ht="12" customHeight="1">
      <c r="A127" s="12" t="s">
        <v>309</v>
      </c>
      <c r="B127" s="12"/>
      <c r="C127" s="12" t="s">
        <v>20</v>
      </c>
      <c r="D127" s="12"/>
      <c r="E127" s="32">
        <v>46557</v>
      </c>
      <c r="G127" s="8">
        <v>856994</v>
      </c>
      <c r="I127" s="8">
        <v>138246</v>
      </c>
      <c r="K127" s="8">
        <v>8564</v>
      </c>
      <c r="M127" s="8">
        <f t="shared" si="3"/>
        <v>1003804</v>
      </c>
      <c r="O127" s="8">
        <f>11221389+490050+1113668</f>
        <v>12825107</v>
      </c>
      <c r="Q127" s="8">
        <v>0</v>
      </c>
      <c r="S127" s="8">
        <v>3623298</v>
      </c>
      <c r="U127" s="8">
        <v>519398</v>
      </c>
      <c r="W127" s="8">
        <v>0</v>
      </c>
      <c r="Y127" s="8">
        <v>0</v>
      </c>
      <c r="AA127" s="8">
        <f>63353+1284</f>
        <v>64637</v>
      </c>
      <c r="AB127" s="39"/>
      <c r="AC127" s="8">
        <v>0</v>
      </c>
      <c r="AE127" s="8">
        <v>0</v>
      </c>
      <c r="AG127" s="8">
        <f t="shared" si="4"/>
        <v>17032440</v>
      </c>
      <c r="AH127" s="8"/>
      <c r="AI127" s="8">
        <f t="shared" si="5"/>
        <v>18036244</v>
      </c>
    </row>
    <row r="128" spans="1:35" ht="12" customHeight="1">
      <c r="A128" s="12" t="s">
        <v>846</v>
      </c>
      <c r="B128" s="12"/>
      <c r="C128" s="12" t="s">
        <v>71</v>
      </c>
      <c r="D128" s="12"/>
      <c r="E128" s="32">
        <v>48934</v>
      </c>
      <c r="G128" s="8">
        <v>367802</v>
      </c>
      <c r="I128" s="8">
        <v>1011440</v>
      </c>
      <c r="K128" s="8">
        <v>10539</v>
      </c>
      <c r="M128" s="8">
        <f t="shared" si="3"/>
        <v>1389781</v>
      </c>
      <c r="O128" s="8">
        <f>2665932+181565</f>
        <v>2847497</v>
      </c>
      <c r="Q128" s="8">
        <v>1021176</v>
      </c>
      <c r="S128" s="8">
        <v>3506525</v>
      </c>
      <c r="U128" s="8">
        <v>54881</v>
      </c>
      <c r="W128" s="8">
        <v>0</v>
      </c>
      <c r="Y128" s="8">
        <v>0</v>
      </c>
      <c r="AA128" s="8">
        <v>59865</v>
      </c>
      <c r="AB128" s="39"/>
      <c r="AC128" s="8">
        <v>0</v>
      </c>
      <c r="AE128" s="8">
        <v>0</v>
      </c>
      <c r="AG128" s="8">
        <f t="shared" si="4"/>
        <v>7489944</v>
      </c>
      <c r="AH128" s="8"/>
      <c r="AI128" s="8">
        <f t="shared" si="5"/>
        <v>8879725</v>
      </c>
    </row>
    <row r="129" spans="1:37" ht="12" customHeight="1">
      <c r="A129" s="12" t="s">
        <v>460</v>
      </c>
      <c r="B129" s="12"/>
      <c r="C129" s="12" t="s">
        <v>40</v>
      </c>
      <c r="D129" s="12"/>
      <c r="E129" s="32">
        <v>47837</v>
      </c>
      <c r="G129" s="8">
        <v>797912</v>
      </c>
      <c r="I129" s="8">
        <v>1106343</v>
      </c>
      <c r="K129" s="8">
        <v>3101</v>
      </c>
      <c r="M129" s="8">
        <f t="shared" si="3"/>
        <v>1907356</v>
      </c>
      <c r="O129" s="8">
        <f>884154+106531+19034</f>
        <v>1009719</v>
      </c>
      <c r="Q129" s="8">
        <v>1005922</v>
      </c>
      <c r="S129" s="8">
        <v>2774178</v>
      </c>
      <c r="U129" s="8">
        <v>126158</v>
      </c>
      <c r="W129" s="8">
        <v>0</v>
      </c>
      <c r="Y129" s="8">
        <v>0</v>
      </c>
      <c r="AA129" s="8">
        <v>94749</v>
      </c>
      <c r="AB129" s="39"/>
      <c r="AC129" s="8">
        <v>0</v>
      </c>
      <c r="AE129" s="8">
        <v>0</v>
      </c>
      <c r="AG129" s="8">
        <f t="shared" si="4"/>
        <v>5010726</v>
      </c>
      <c r="AH129" s="8"/>
      <c r="AI129" s="8">
        <f t="shared" si="5"/>
        <v>6918082</v>
      </c>
    </row>
    <row r="130" spans="1:37" ht="12" customHeight="1">
      <c r="A130" s="12" t="s">
        <v>472</v>
      </c>
      <c r="B130" s="12"/>
      <c r="C130" s="12" t="s">
        <v>471</v>
      </c>
      <c r="D130" s="12"/>
      <c r="E130" s="32">
        <v>47928</v>
      </c>
      <c r="G130" s="8">
        <v>1190140</v>
      </c>
      <c r="I130" s="8">
        <v>2947719</v>
      </c>
      <c r="K130" s="8">
        <v>72702</v>
      </c>
      <c r="M130" s="8">
        <f t="shared" si="3"/>
        <v>4210561</v>
      </c>
      <c r="O130" s="8">
        <f>1585796+292533+32740</f>
        <v>1911069</v>
      </c>
      <c r="Q130" s="8">
        <v>0</v>
      </c>
      <c r="S130" s="8">
        <v>7490393</v>
      </c>
      <c r="U130" s="8">
        <v>309259</v>
      </c>
      <c r="W130" s="8">
        <v>0</v>
      </c>
      <c r="Y130" s="8">
        <v>0</v>
      </c>
      <c r="AA130" s="8">
        <v>46323</v>
      </c>
      <c r="AB130" s="39"/>
      <c r="AC130" s="8">
        <v>0</v>
      </c>
      <c r="AE130" s="8">
        <v>0</v>
      </c>
      <c r="AG130" s="8">
        <f t="shared" si="4"/>
        <v>9757044</v>
      </c>
      <c r="AH130" s="8"/>
      <c r="AI130" s="8">
        <f t="shared" si="5"/>
        <v>13967605</v>
      </c>
    </row>
    <row r="131" spans="1:37" ht="12" customHeight="1">
      <c r="A131" s="12" t="s">
        <v>554</v>
      </c>
      <c r="B131" s="12"/>
      <c r="C131" s="12" t="s">
        <v>50</v>
      </c>
      <c r="D131" s="12"/>
      <c r="E131" s="32">
        <v>43844</v>
      </c>
      <c r="G131" s="8">
        <v>5160412</v>
      </c>
      <c r="I131" s="8">
        <v>59341676</v>
      </c>
      <c r="K131" s="8">
        <v>443277</v>
      </c>
      <c r="M131" s="8">
        <f t="shared" si="3"/>
        <v>64945365</v>
      </c>
      <c r="O131" s="8">
        <f>65646213+12834750+725811+725812</f>
        <v>79932586</v>
      </c>
      <c r="Q131" s="8">
        <v>0</v>
      </c>
      <c r="S131" s="8">
        <v>113682762</v>
      </c>
      <c r="U131" s="8">
        <v>14276257</v>
      </c>
      <c r="W131" s="8">
        <v>0</v>
      </c>
      <c r="Y131" s="8">
        <v>0</v>
      </c>
      <c r="AA131" s="8">
        <v>5422664</v>
      </c>
      <c r="AB131" s="39"/>
      <c r="AC131" s="8">
        <v>0</v>
      </c>
      <c r="AE131" s="8">
        <v>0</v>
      </c>
      <c r="AG131" s="8">
        <f t="shared" si="4"/>
        <v>213314269</v>
      </c>
      <c r="AH131" s="8"/>
      <c r="AI131" s="8">
        <f>+AG131+M131</f>
        <v>278259634</v>
      </c>
    </row>
    <row r="132" spans="1:37" ht="12" customHeight="1">
      <c r="A132" s="12" t="s">
        <v>397</v>
      </c>
      <c r="B132" s="12"/>
      <c r="C132" s="12" t="s">
        <v>32</v>
      </c>
      <c r="D132" s="12"/>
      <c r="E132" s="32">
        <v>43851</v>
      </c>
      <c r="G132" s="8">
        <v>588175</v>
      </c>
      <c r="I132" s="8">
        <v>1272638</v>
      </c>
      <c r="K132" s="8">
        <v>10544</v>
      </c>
      <c r="M132" s="8">
        <f t="shared" si="3"/>
        <v>1871357</v>
      </c>
      <c r="O132" s="8">
        <f>8803789+416829</f>
        <v>9220618</v>
      </c>
      <c r="Q132" s="8">
        <v>0</v>
      </c>
      <c r="S132" s="8">
        <v>4415390</v>
      </c>
      <c r="U132" s="8">
        <v>180050</v>
      </c>
      <c r="W132" s="8">
        <v>335189</v>
      </c>
      <c r="Y132" s="8">
        <v>49023</v>
      </c>
      <c r="AA132" s="8">
        <v>63519</v>
      </c>
      <c r="AB132" s="39"/>
      <c r="AC132" s="8">
        <v>0</v>
      </c>
      <c r="AE132" s="8">
        <v>0</v>
      </c>
      <c r="AG132" s="8">
        <f>SUM(O132:AE132)</f>
        <v>14263789</v>
      </c>
      <c r="AH132" s="8"/>
      <c r="AI132" s="8">
        <f>+AG132+M132</f>
        <v>16135146</v>
      </c>
    </row>
    <row r="133" spans="1:37" ht="12" customHeight="1">
      <c r="A133" s="12" t="s">
        <v>338</v>
      </c>
      <c r="B133" s="12"/>
      <c r="C133" s="12" t="s">
        <v>23</v>
      </c>
      <c r="D133" s="12"/>
      <c r="E133" s="32">
        <v>43877</v>
      </c>
      <c r="G133" s="8">
        <v>2592433</v>
      </c>
      <c r="I133" s="8">
        <v>5580763</v>
      </c>
      <c r="K133" s="8">
        <v>22002</v>
      </c>
      <c r="M133" s="8">
        <f t="shared" si="3"/>
        <v>8195198</v>
      </c>
      <c r="O133" s="8">
        <f>25398068+1896292+3515274</f>
        <v>30809634</v>
      </c>
      <c r="Q133" s="8">
        <v>0</v>
      </c>
      <c r="S133" s="8">
        <v>14927446</v>
      </c>
      <c r="U133" s="8">
        <v>653606</v>
      </c>
      <c r="W133" s="8">
        <v>0</v>
      </c>
      <c r="Y133" s="8">
        <v>0</v>
      </c>
      <c r="AA133" s="8">
        <v>376410</v>
      </c>
      <c r="AB133" s="39"/>
      <c r="AC133" s="8">
        <v>0</v>
      </c>
      <c r="AE133" s="8">
        <v>0</v>
      </c>
      <c r="AG133" s="8">
        <f>SUM(O133:AE133)</f>
        <v>46767096</v>
      </c>
      <c r="AH133" s="8"/>
      <c r="AI133" s="8">
        <f>+AG133+M133</f>
        <v>54962294</v>
      </c>
    </row>
    <row r="134" spans="1:37" s="8" customFormat="1" ht="12" customHeight="1">
      <c r="A134" s="13" t="s">
        <v>212</v>
      </c>
      <c r="B134" s="13"/>
      <c r="C134" s="13" t="s">
        <v>10</v>
      </c>
      <c r="D134" s="13"/>
      <c r="E134" s="13">
        <v>43885</v>
      </c>
      <c r="F134" s="11"/>
      <c r="G134" s="8">
        <v>996737</v>
      </c>
      <c r="I134" s="8">
        <v>1756709</v>
      </c>
      <c r="K134" s="8">
        <v>21007</v>
      </c>
      <c r="M134" s="8">
        <f t="shared" ref="M134:M198" si="6">SUM(G134:L134)</f>
        <v>2774453</v>
      </c>
      <c r="O134" s="8">
        <f>4106371+253830</f>
        <v>4360201</v>
      </c>
      <c r="Q134" s="8">
        <v>0</v>
      </c>
      <c r="S134" s="8">
        <v>3400680</v>
      </c>
      <c r="U134" s="8">
        <v>68429</v>
      </c>
      <c r="W134" s="8">
        <v>0</v>
      </c>
      <c r="Y134" s="8">
        <v>0</v>
      </c>
      <c r="AA134" s="8">
        <v>69500</v>
      </c>
      <c r="AB134" s="39"/>
      <c r="AC134" s="8">
        <v>0</v>
      </c>
      <c r="AE134" s="8">
        <v>0</v>
      </c>
      <c r="AG134" s="8">
        <f t="shared" ref="AG134:AG198" si="7">SUM(O134:AE134)</f>
        <v>7898810</v>
      </c>
      <c r="AI134" s="8">
        <f t="shared" ref="AI134:AI198" si="8">+AG134+M134</f>
        <v>10673263</v>
      </c>
    </row>
    <row r="135" spans="1:37" ht="12" customHeight="1">
      <c r="A135" s="12" t="s">
        <v>700</v>
      </c>
      <c r="B135" s="12"/>
      <c r="C135" s="12" t="s">
        <v>65</v>
      </c>
      <c r="D135" s="12"/>
      <c r="E135" s="32">
        <v>43893</v>
      </c>
      <c r="G135" s="8">
        <v>981068</v>
      </c>
      <c r="I135" s="8">
        <v>2024577</v>
      </c>
      <c r="K135" s="8">
        <v>32186</v>
      </c>
      <c r="M135" s="8">
        <f t="shared" si="6"/>
        <v>3037831</v>
      </c>
      <c r="O135" s="8">
        <f>9177639+528244+66497</f>
        <v>9772380</v>
      </c>
      <c r="Q135" s="8">
        <v>0</v>
      </c>
      <c r="S135" s="8">
        <v>8211440</v>
      </c>
      <c r="U135" s="8">
        <v>224749</v>
      </c>
      <c r="W135" s="8">
        <v>0</v>
      </c>
      <c r="Y135" s="8">
        <v>0</v>
      </c>
      <c r="AA135" s="8">
        <v>222124</v>
      </c>
      <c r="AB135" s="39"/>
      <c r="AC135" s="8">
        <v>0</v>
      </c>
      <c r="AE135" s="8">
        <v>0</v>
      </c>
      <c r="AG135" s="8">
        <f t="shared" si="7"/>
        <v>18430693</v>
      </c>
      <c r="AH135" s="8"/>
      <c r="AI135" s="8">
        <f t="shared" si="8"/>
        <v>21468524</v>
      </c>
      <c r="AJ135" s="10" t="s">
        <v>136</v>
      </c>
    </row>
    <row r="136" spans="1:37" s="8" customFormat="1" ht="12" customHeight="1">
      <c r="A136" s="13" t="s">
        <v>359</v>
      </c>
      <c r="B136" s="13"/>
      <c r="C136" s="13" t="s">
        <v>27</v>
      </c>
      <c r="D136" s="13"/>
      <c r="E136" s="32">
        <v>47027</v>
      </c>
      <c r="G136" s="8">
        <v>2808157</v>
      </c>
      <c r="I136" s="8">
        <v>4149961</v>
      </c>
      <c r="K136" s="8">
        <v>86182</v>
      </c>
      <c r="M136" s="8">
        <f t="shared" si="6"/>
        <v>7044300</v>
      </c>
      <c r="O136" s="8">
        <f>101152135+18406838</f>
        <v>119558973</v>
      </c>
      <c r="Q136" s="8">
        <v>0</v>
      </c>
      <c r="S136" s="8">
        <v>31098853</v>
      </c>
      <c r="U136" s="8">
        <v>3892282</v>
      </c>
      <c r="W136" s="8">
        <v>0</v>
      </c>
      <c r="Y136" s="8">
        <v>0</v>
      </c>
      <c r="AA136" s="8">
        <v>480017</v>
      </c>
      <c r="AB136" s="39"/>
      <c r="AC136" s="8">
        <v>0</v>
      </c>
      <c r="AE136" s="8">
        <v>0</v>
      </c>
      <c r="AG136" s="8">
        <f t="shared" si="7"/>
        <v>155030125</v>
      </c>
      <c r="AI136" s="8">
        <f t="shared" si="8"/>
        <v>162074425</v>
      </c>
    </row>
    <row r="137" spans="1:37" ht="12" customHeight="1">
      <c r="A137" s="12" t="s">
        <v>280</v>
      </c>
      <c r="B137" s="12"/>
      <c r="C137" s="12" t="s">
        <v>18</v>
      </c>
      <c r="D137" s="12"/>
      <c r="E137" s="32">
        <v>46409</v>
      </c>
      <c r="F137" s="7"/>
      <c r="G137" s="8">
        <v>919116</v>
      </c>
      <c r="I137" s="8">
        <v>1640600</v>
      </c>
      <c r="K137" s="8">
        <v>0</v>
      </c>
      <c r="M137" s="8">
        <f t="shared" si="6"/>
        <v>2559716</v>
      </c>
      <c r="O137" s="8">
        <f>2628098+392634+239655</f>
        <v>3260387</v>
      </c>
      <c r="Q137" s="8">
        <v>0</v>
      </c>
      <c r="S137" s="8">
        <v>7071227</v>
      </c>
      <c r="U137" s="8">
        <v>147591</v>
      </c>
      <c r="W137" s="8">
        <v>0</v>
      </c>
      <c r="Y137" s="8">
        <v>15525</v>
      </c>
      <c r="AA137" s="8">
        <v>102308</v>
      </c>
      <c r="AB137" s="39"/>
      <c r="AC137" s="8">
        <v>0</v>
      </c>
      <c r="AE137" s="8">
        <v>0</v>
      </c>
      <c r="AG137" s="8">
        <f t="shared" si="7"/>
        <v>10597038</v>
      </c>
      <c r="AH137" s="8"/>
      <c r="AI137" s="8">
        <f t="shared" si="8"/>
        <v>13156754</v>
      </c>
    </row>
    <row r="138" spans="1:37" ht="12.75" customHeight="1">
      <c r="A138" s="12" t="s">
        <v>394</v>
      </c>
      <c r="B138" s="12"/>
      <c r="C138" s="12" t="s">
        <v>31</v>
      </c>
      <c r="D138" s="12"/>
      <c r="E138" s="32">
        <v>69682</v>
      </c>
      <c r="G138" s="8">
        <v>1342597</v>
      </c>
      <c r="I138" s="8">
        <v>1645022</v>
      </c>
      <c r="K138" s="8">
        <v>15846</v>
      </c>
      <c r="M138" s="8">
        <f t="shared" si="6"/>
        <v>3003465</v>
      </c>
      <c r="O138" s="8">
        <f>1876632+34494+569590</f>
        <v>2480716</v>
      </c>
      <c r="Q138" s="8">
        <v>0</v>
      </c>
      <c r="S138" s="8">
        <v>6286284</v>
      </c>
      <c r="U138" s="8">
        <v>226208</v>
      </c>
      <c r="W138" s="8">
        <v>0</v>
      </c>
      <c r="Y138" s="8">
        <v>56</v>
      </c>
      <c r="AA138" s="8">
        <f>159+46806</f>
        <v>46965</v>
      </c>
      <c r="AB138" s="39"/>
      <c r="AC138" s="8">
        <v>0</v>
      </c>
      <c r="AE138" s="8">
        <v>0</v>
      </c>
      <c r="AG138" s="8">
        <f t="shared" si="7"/>
        <v>9040229</v>
      </c>
      <c r="AH138" s="8"/>
      <c r="AI138" s="8">
        <f t="shared" si="8"/>
        <v>12043694</v>
      </c>
      <c r="AK138" s="8"/>
    </row>
    <row r="139" spans="1:37" ht="12" customHeight="1">
      <c r="A139" s="12" t="s">
        <v>446</v>
      </c>
      <c r="B139" s="12"/>
      <c r="C139" s="12" t="s">
        <v>36</v>
      </c>
      <c r="D139" s="12"/>
      <c r="E139" s="32">
        <v>47688</v>
      </c>
      <c r="G139" s="8">
        <v>1337944</v>
      </c>
      <c r="I139" s="8">
        <v>2451934</v>
      </c>
      <c r="K139" s="8">
        <v>0</v>
      </c>
      <c r="M139" s="8">
        <f t="shared" si="6"/>
        <v>3789878</v>
      </c>
      <c r="O139" s="8">
        <f>6996646+273903+266732</f>
        <v>7537281</v>
      </c>
      <c r="Q139" s="8">
        <v>0</v>
      </c>
      <c r="S139" s="8">
        <v>6055823</v>
      </c>
      <c r="U139" s="8">
        <v>371619</v>
      </c>
      <c r="W139" s="8">
        <v>0</v>
      </c>
      <c r="Y139" s="8">
        <v>0</v>
      </c>
      <c r="AA139" s="8">
        <v>102253</v>
      </c>
      <c r="AB139" s="39"/>
      <c r="AC139" s="8">
        <v>0</v>
      </c>
      <c r="AE139" s="8">
        <v>0</v>
      </c>
      <c r="AG139" s="8">
        <f t="shared" si="7"/>
        <v>14066976</v>
      </c>
      <c r="AH139" s="8"/>
      <c r="AI139" s="8">
        <f t="shared" si="8"/>
        <v>17856854</v>
      </c>
    </row>
    <row r="140" spans="1:37" ht="12" customHeight="1">
      <c r="A140" s="12" t="s">
        <v>285</v>
      </c>
      <c r="B140" s="12"/>
      <c r="C140" s="12" t="s">
        <v>115</v>
      </c>
      <c r="D140" s="12"/>
      <c r="E140" s="32">
        <v>43919</v>
      </c>
      <c r="F140" s="7"/>
      <c r="G140" s="8">
        <v>977648</v>
      </c>
      <c r="I140" s="8">
        <v>6930299</v>
      </c>
      <c r="K140" s="8">
        <v>625112</v>
      </c>
      <c r="M140" s="8">
        <f t="shared" si="6"/>
        <v>8533059</v>
      </c>
      <c r="O140" s="8">
        <f>4509485+73764+295480</f>
        <v>4878729</v>
      </c>
      <c r="Q140" s="8">
        <v>0</v>
      </c>
      <c r="S140" s="8">
        <v>15449782</v>
      </c>
      <c r="U140" s="8">
        <v>252302</v>
      </c>
      <c r="W140" s="8">
        <v>0</v>
      </c>
      <c r="Y140" s="8">
        <v>0</v>
      </c>
      <c r="AA140" s="8">
        <v>62141</v>
      </c>
      <c r="AB140" s="39"/>
      <c r="AC140" s="8">
        <v>0</v>
      </c>
      <c r="AE140" s="8">
        <v>0</v>
      </c>
      <c r="AG140" s="8">
        <f t="shared" si="7"/>
        <v>20642954</v>
      </c>
      <c r="AH140" s="8"/>
      <c r="AI140" s="8">
        <f t="shared" si="8"/>
        <v>29176013</v>
      </c>
    </row>
    <row r="141" spans="1:37" ht="12" customHeight="1">
      <c r="A141" s="12" t="s">
        <v>571</v>
      </c>
      <c r="B141" s="12"/>
      <c r="C141" s="12" t="s">
        <v>51</v>
      </c>
      <c r="D141" s="12"/>
      <c r="E141" s="32">
        <v>48835</v>
      </c>
      <c r="G141" s="8">
        <v>1770258</v>
      </c>
      <c r="I141" s="8">
        <v>1955333</v>
      </c>
      <c r="K141" s="8">
        <v>123996</v>
      </c>
      <c r="M141" s="8">
        <f t="shared" si="6"/>
        <v>3849587</v>
      </c>
      <c r="O141" s="8">
        <f>3888471+392938+401837+68761</f>
        <v>4752007</v>
      </c>
      <c r="Q141" s="8">
        <v>0</v>
      </c>
      <c r="S141" s="8">
        <v>9314546</v>
      </c>
      <c r="U141" s="8">
        <v>224782</v>
      </c>
      <c r="W141" s="8">
        <v>0</v>
      </c>
      <c r="Y141" s="8">
        <v>0</v>
      </c>
      <c r="AA141" s="8">
        <f>5717+128691</f>
        <v>134408</v>
      </c>
      <c r="AB141" s="39"/>
      <c r="AC141" s="8">
        <v>0</v>
      </c>
      <c r="AE141" s="8">
        <v>0</v>
      </c>
      <c r="AG141" s="8">
        <f t="shared" si="7"/>
        <v>14425743</v>
      </c>
      <c r="AH141" s="8"/>
      <c r="AI141" s="8">
        <f t="shared" si="8"/>
        <v>18275330</v>
      </c>
    </row>
    <row r="142" spans="1:37" ht="12" customHeight="1">
      <c r="A142" s="12" t="s">
        <v>286</v>
      </c>
      <c r="B142" s="12"/>
      <c r="C142" s="12" t="s">
        <v>115</v>
      </c>
      <c r="D142" s="12"/>
      <c r="E142" s="32">
        <v>43927</v>
      </c>
      <c r="F142" s="7"/>
      <c r="G142" s="8">
        <v>678784</v>
      </c>
      <c r="I142" s="8">
        <v>1605550</v>
      </c>
      <c r="K142" s="8">
        <v>81808</v>
      </c>
      <c r="M142" s="8">
        <f t="shared" si="6"/>
        <v>2366142</v>
      </c>
      <c r="O142" s="8">
        <f>2346300+419907+560786</f>
        <v>3326993</v>
      </c>
      <c r="Q142" s="8">
        <v>0</v>
      </c>
      <c r="S142" s="8">
        <v>6867510</v>
      </c>
      <c r="U142" s="8">
        <v>79633</v>
      </c>
      <c r="W142" s="8">
        <v>0</v>
      </c>
      <c r="Y142" s="8">
        <v>0</v>
      </c>
      <c r="AA142" s="8">
        <f>24968+8152</f>
        <v>33120</v>
      </c>
      <c r="AB142" s="39"/>
      <c r="AC142" s="8">
        <v>0</v>
      </c>
      <c r="AE142" s="8">
        <v>0</v>
      </c>
      <c r="AG142" s="8">
        <f t="shared" si="7"/>
        <v>10307256</v>
      </c>
      <c r="AH142" s="8"/>
      <c r="AI142" s="8">
        <f t="shared" si="8"/>
        <v>12673398</v>
      </c>
    </row>
    <row r="143" spans="1:37" ht="12" customHeight="1">
      <c r="A143" s="12" t="s">
        <v>240</v>
      </c>
      <c r="B143" s="12"/>
      <c r="C143" s="12" t="s">
        <v>77</v>
      </c>
      <c r="D143" s="12"/>
      <c r="E143" s="32">
        <v>46037</v>
      </c>
      <c r="F143" s="7"/>
      <c r="G143" s="8">
        <v>857055</v>
      </c>
      <c r="I143" s="8">
        <v>2072944</v>
      </c>
      <c r="K143" s="8">
        <v>0</v>
      </c>
      <c r="M143" s="8">
        <f t="shared" si="6"/>
        <v>2929999</v>
      </c>
      <c r="O143" s="8">
        <f>3251985+63215+834783+82937</f>
        <v>4232920</v>
      </c>
      <c r="Q143" s="8">
        <v>0</v>
      </c>
      <c r="S143" s="8">
        <f>6738670+19974842</f>
        <v>26713512</v>
      </c>
      <c r="U143" s="8">
        <v>480571</v>
      </c>
      <c r="W143" s="8">
        <v>69576</v>
      </c>
      <c r="Y143" s="8">
        <v>6648</v>
      </c>
      <c r="AA143" s="8">
        <f>85998+13894</f>
        <v>99892</v>
      </c>
      <c r="AB143" s="39"/>
      <c r="AC143" s="8">
        <v>0</v>
      </c>
      <c r="AE143" s="8">
        <v>0</v>
      </c>
      <c r="AG143" s="8">
        <f t="shared" si="7"/>
        <v>31603119</v>
      </c>
      <c r="AH143" s="8"/>
      <c r="AI143" s="8">
        <f t="shared" si="8"/>
        <v>34533118</v>
      </c>
    </row>
    <row r="144" spans="1:37" ht="12" customHeight="1">
      <c r="A144" s="12" t="s">
        <v>740</v>
      </c>
      <c r="B144" s="12"/>
      <c r="C144" s="12" t="s">
        <v>72</v>
      </c>
      <c r="D144" s="12"/>
      <c r="E144" s="32">
        <v>50674</v>
      </c>
      <c r="G144" s="8">
        <v>1472748</v>
      </c>
      <c r="I144" s="8">
        <v>901099</v>
      </c>
      <c r="K144" s="8">
        <v>12166</v>
      </c>
      <c r="M144" s="8">
        <f t="shared" si="6"/>
        <v>2386013</v>
      </c>
      <c r="O144" s="8">
        <f>4252133+445526+219701</f>
        <v>4917360</v>
      </c>
      <c r="Q144" s="8">
        <v>1740398</v>
      </c>
      <c r="S144" s="8">
        <v>7468547</v>
      </c>
      <c r="U144" s="8">
        <v>220776</v>
      </c>
      <c r="W144" s="8">
        <v>480000</v>
      </c>
      <c r="Y144" s="8">
        <v>0</v>
      </c>
      <c r="AA144" s="8">
        <v>6008</v>
      </c>
      <c r="AB144" s="39"/>
      <c r="AC144" s="8">
        <v>0</v>
      </c>
      <c r="AE144" s="8">
        <v>0</v>
      </c>
      <c r="AG144" s="8">
        <f t="shared" si="7"/>
        <v>14833089</v>
      </c>
      <c r="AH144" s="8"/>
      <c r="AI144" s="8">
        <f t="shared" si="8"/>
        <v>17219102</v>
      </c>
    </row>
    <row r="145" spans="1:35" ht="12" customHeight="1">
      <c r="A145" s="12" t="s">
        <v>974</v>
      </c>
      <c r="B145" s="12"/>
      <c r="C145" s="12" t="s">
        <v>57</v>
      </c>
      <c r="D145" s="12"/>
      <c r="E145" s="32">
        <v>43935</v>
      </c>
      <c r="G145" s="8">
        <v>688172</v>
      </c>
      <c r="I145" s="8">
        <v>1038357</v>
      </c>
      <c r="K145" s="8">
        <v>0</v>
      </c>
      <c r="M145" s="8">
        <f t="shared" si="6"/>
        <v>1726529</v>
      </c>
      <c r="O145" s="8">
        <f>4791135+1623471</f>
        <v>6414606</v>
      </c>
      <c r="Q145" s="8">
        <v>5178596</v>
      </c>
      <c r="S145" s="8">
        <v>9052957</v>
      </c>
      <c r="U145" s="8">
        <v>496833</v>
      </c>
      <c r="W145" s="8">
        <v>0</v>
      </c>
      <c r="Y145" s="8">
        <v>0</v>
      </c>
      <c r="AA145" s="8">
        <v>168022</v>
      </c>
      <c r="AB145" s="39"/>
      <c r="AC145" s="8">
        <v>0</v>
      </c>
      <c r="AE145" s="8">
        <v>0</v>
      </c>
      <c r="AG145" s="8">
        <f t="shared" si="7"/>
        <v>21311014</v>
      </c>
      <c r="AH145" s="8"/>
      <c r="AI145" s="8">
        <f t="shared" si="8"/>
        <v>23037543</v>
      </c>
    </row>
    <row r="146" spans="1:35" ht="12" hidden="1" customHeight="1">
      <c r="A146" s="12" t="s">
        <v>734</v>
      </c>
      <c r="B146" s="12"/>
      <c r="C146" s="12" t="s">
        <v>733</v>
      </c>
      <c r="D146" s="12"/>
      <c r="E146" s="32">
        <v>50617</v>
      </c>
      <c r="M146" s="8">
        <f t="shared" si="6"/>
        <v>0</v>
      </c>
      <c r="O146" s="8">
        <v>0</v>
      </c>
      <c r="Q146" s="8">
        <v>0</v>
      </c>
      <c r="S146" s="8">
        <v>0</v>
      </c>
      <c r="U146" s="8">
        <v>0</v>
      </c>
      <c r="W146" s="8">
        <v>0</v>
      </c>
      <c r="Y146" s="8">
        <v>0</v>
      </c>
      <c r="AA146" s="8">
        <v>0</v>
      </c>
      <c r="AB146" s="39"/>
      <c r="AC146" s="8">
        <v>0</v>
      </c>
      <c r="AE146" s="8">
        <v>0</v>
      </c>
      <c r="AG146" s="8">
        <f t="shared" si="7"/>
        <v>0</v>
      </c>
      <c r="AH146" s="8"/>
      <c r="AI146" s="8">
        <f t="shared" si="8"/>
        <v>0</v>
      </c>
    </row>
    <row r="147" spans="1:35" ht="12" hidden="1" customHeight="1">
      <c r="A147" s="12" t="s">
        <v>245</v>
      </c>
      <c r="B147" s="12"/>
      <c r="C147" s="12" t="s">
        <v>246</v>
      </c>
      <c r="D147" s="12"/>
      <c r="E147" s="32">
        <v>46094</v>
      </c>
      <c r="F147" s="7"/>
      <c r="M147" s="8">
        <f t="shared" si="6"/>
        <v>0</v>
      </c>
      <c r="O147" s="8">
        <v>0</v>
      </c>
      <c r="Q147" s="8">
        <v>0</v>
      </c>
      <c r="S147" s="8">
        <v>0</v>
      </c>
      <c r="U147" s="8">
        <v>0</v>
      </c>
      <c r="W147" s="8">
        <v>0</v>
      </c>
      <c r="Y147" s="8">
        <v>0</v>
      </c>
      <c r="AA147" s="8">
        <v>0</v>
      </c>
      <c r="AB147" s="39"/>
      <c r="AC147" s="8">
        <v>0</v>
      </c>
      <c r="AE147" s="8">
        <v>0</v>
      </c>
      <c r="AG147" s="8">
        <f t="shared" si="7"/>
        <v>0</v>
      </c>
      <c r="AH147" s="8"/>
      <c r="AI147" s="8">
        <f t="shared" si="8"/>
        <v>0</v>
      </c>
    </row>
    <row r="148" spans="1:35" ht="12" customHeight="1">
      <c r="A148" s="12" t="s">
        <v>245</v>
      </c>
      <c r="B148" s="12"/>
      <c r="C148" s="12" t="s">
        <v>39</v>
      </c>
      <c r="D148" s="12"/>
      <c r="E148" s="32">
        <v>47795</v>
      </c>
      <c r="G148" s="8">
        <v>1434127</v>
      </c>
      <c r="I148" s="8">
        <v>3006647</v>
      </c>
      <c r="K148" s="8">
        <v>113104</v>
      </c>
      <c r="M148" s="8">
        <f>SUM(G148:L148)</f>
        <v>4553878</v>
      </c>
      <c r="O148" s="8">
        <f>11034646+2106217+842949</f>
        <v>13983812</v>
      </c>
      <c r="Q148" s="8">
        <v>0</v>
      </c>
      <c r="S148" s="8">
        <v>15858837</v>
      </c>
      <c r="U148" s="8">
        <v>405461</v>
      </c>
      <c r="W148" s="8">
        <v>730796</v>
      </c>
      <c r="Y148" s="8">
        <v>0</v>
      </c>
      <c r="AA148" s="8">
        <v>227914</v>
      </c>
      <c r="AB148" s="39"/>
      <c r="AC148" s="8">
        <v>0</v>
      </c>
      <c r="AE148" s="8">
        <v>0</v>
      </c>
      <c r="AG148" s="8">
        <f>SUM(O148:AE148)</f>
        <v>31206820</v>
      </c>
      <c r="AH148" s="8"/>
      <c r="AI148" s="8">
        <f>+AG148+M148</f>
        <v>35760698</v>
      </c>
    </row>
    <row r="149" spans="1:35" ht="12" customHeight="1">
      <c r="A149" s="12" t="s">
        <v>455</v>
      </c>
      <c r="B149" s="12"/>
      <c r="C149" s="12" t="s">
        <v>39</v>
      </c>
      <c r="D149" s="12"/>
      <c r="E149" s="32">
        <v>47795</v>
      </c>
      <c r="G149" s="8">
        <v>1228825</v>
      </c>
      <c r="I149" s="8">
        <v>3302817</v>
      </c>
      <c r="K149" s="8">
        <v>17080</v>
      </c>
      <c r="M149" s="8">
        <f t="shared" si="6"/>
        <v>4548722</v>
      </c>
      <c r="O149" s="8">
        <v>6653160</v>
      </c>
      <c r="Q149" s="8">
        <v>0</v>
      </c>
      <c r="S149" s="8">
        <v>8467803</v>
      </c>
      <c r="U149" s="8">
        <v>99288</v>
      </c>
      <c r="W149" s="8">
        <v>0</v>
      </c>
      <c r="Y149" s="8">
        <v>0</v>
      </c>
      <c r="AA149" s="8">
        <v>67953</v>
      </c>
      <c r="AB149" s="39"/>
      <c r="AC149" s="8">
        <v>0</v>
      </c>
      <c r="AE149" s="8">
        <v>0</v>
      </c>
      <c r="AG149" s="8">
        <f t="shared" si="7"/>
        <v>15288204</v>
      </c>
      <c r="AH149" s="8"/>
      <c r="AI149" s="8">
        <f t="shared" si="8"/>
        <v>19836926</v>
      </c>
    </row>
    <row r="150" spans="1:35" ht="12" customHeight="1">
      <c r="A150" s="12" t="s">
        <v>735</v>
      </c>
      <c r="B150" s="12"/>
      <c r="C150" s="12" t="s">
        <v>733</v>
      </c>
      <c r="D150" s="12"/>
      <c r="E150" s="32">
        <v>50625</v>
      </c>
      <c r="G150" s="8">
        <v>791739</v>
      </c>
      <c r="I150" s="8">
        <v>777900</v>
      </c>
      <c r="K150" s="8">
        <v>0</v>
      </c>
      <c r="M150" s="8">
        <f t="shared" si="6"/>
        <v>1569639</v>
      </c>
      <c r="O150" s="8">
        <f>1224511+92013+358022+25348</f>
        <v>1699894</v>
      </c>
      <c r="Q150" s="8">
        <v>0</v>
      </c>
      <c r="S150" s="8">
        <v>3220396</v>
      </c>
      <c r="U150" s="8">
        <v>214481</v>
      </c>
      <c r="W150" s="8">
        <v>0</v>
      </c>
      <c r="Y150" s="8">
        <v>18348</v>
      </c>
      <c r="AA150" s="8">
        <f>38615+685+6522</f>
        <v>45822</v>
      </c>
      <c r="AB150" s="39"/>
      <c r="AC150" s="8">
        <v>0</v>
      </c>
      <c r="AE150" s="8">
        <v>0</v>
      </c>
      <c r="AG150" s="8">
        <f t="shared" si="7"/>
        <v>5198941</v>
      </c>
      <c r="AH150" s="8"/>
      <c r="AI150" s="8">
        <f t="shared" si="8"/>
        <v>6768580</v>
      </c>
    </row>
    <row r="151" spans="1:35" ht="12" customHeight="1">
      <c r="A151" s="12" t="s">
        <v>526</v>
      </c>
      <c r="B151" s="12"/>
      <c r="C151" s="12" t="s">
        <v>46</v>
      </c>
      <c r="D151" s="12"/>
      <c r="E151" s="32">
        <v>48413</v>
      </c>
      <c r="G151" s="8">
        <v>1858992</v>
      </c>
      <c r="I151" s="8">
        <v>1573564</v>
      </c>
      <c r="K151" s="8">
        <v>29890</v>
      </c>
      <c r="M151" s="8">
        <f t="shared" si="6"/>
        <v>3462446</v>
      </c>
      <c r="O151" s="8">
        <v>3978197</v>
      </c>
      <c r="Q151" s="8">
        <v>0</v>
      </c>
      <c r="S151" s="8">
        <v>6663935</v>
      </c>
      <c r="U151" s="8">
        <v>98401</v>
      </c>
      <c r="W151" s="8">
        <v>0</v>
      </c>
      <c r="Y151" s="8">
        <v>0</v>
      </c>
      <c r="AA151" s="8">
        <f>159624+4259</f>
        <v>163883</v>
      </c>
      <c r="AB151" s="39"/>
      <c r="AC151" s="8">
        <v>0</v>
      </c>
      <c r="AE151" s="8">
        <v>0</v>
      </c>
      <c r="AG151" s="8">
        <f t="shared" si="7"/>
        <v>10904416</v>
      </c>
      <c r="AH151" s="8"/>
      <c r="AI151" s="8">
        <f t="shared" si="8"/>
        <v>14366862</v>
      </c>
    </row>
    <row r="152" spans="1:35" ht="12" customHeight="1">
      <c r="A152" s="12" t="s">
        <v>493</v>
      </c>
      <c r="B152" s="12"/>
      <c r="C152" s="12" t="s">
        <v>44</v>
      </c>
      <c r="D152" s="12"/>
      <c r="E152" s="32">
        <v>43943</v>
      </c>
      <c r="G152" s="8">
        <v>2432700</v>
      </c>
      <c r="I152" s="8">
        <v>12722702</v>
      </c>
      <c r="K152" s="8">
        <v>20837</v>
      </c>
      <c r="M152" s="8">
        <f t="shared" si="6"/>
        <v>15176239</v>
      </c>
      <c r="O152" s="8">
        <f>29463435+1750830</f>
        <v>31214265</v>
      </c>
      <c r="Q152" s="8">
        <v>0</v>
      </c>
      <c r="S152" s="8">
        <v>34636204</v>
      </c>
      <c r="U152" s="8">
        <v>2392798</v>
      </c>
      <c r="W152" s="8">
        <v>0</v>
      </c>
      <c r="Y152" s="8">
        <v>0</v>
      </c>
      <c r="AA152" s="8">
        <v>671330</v>
      </c>
      <c r="AB152" s="39"/>
      <c r="AC152" s="8">
        <v>0</v>
      </c>
      <c r="AE152" s="8">
        <v>0</v>
      </c>
      <c r="AG152" s="8">
        <f t="shared" si="7"/>
        <v>68914597</v>
      </c>
      <c r="AH152" s="8"/>
      <c r="AI152" s="8">
        <f t="shared" si="8"/>
        <v>84090836</v>
      </c>
    </row>
    <row r="153" spans="1:35" ht="12" customHeight="1">
      <c r="A153" s="12" t="s">
        <v>310</v>
      </c>
      <c r="B153" s="12"/>
      <c r="C153" s="12" t="s">
        <v>20</v>
      </c>
      <c r="D153" s="12"/>
      <c r="E153" s="32">
        <v>43950</v>
      </c>
      <c r="G153" s="8">
        <v>4925619</v>
      </c>
      <c r="I153" s="8">
        <v>8982476</v>
      </c>
      <c r="K153" s="8">
        <v>0</v>
      </c>
      <c r="M153" s="8">
        <f t="shared" si="6"/>
        <v>13908095</v>
      </c>
      <c r="O153" s="8">
        <f>33118052+2737174+882490</f>
        <v>36737716</v>
      </c>
      <c r="Q153" s="8">
        <v>6136900</v>
      </c>
      <c r="S153" s="8">
        <v>25281138</v>
      </c>
      <c r="U153" s="8">
        <v>966546</v>
      </c>
      <c r="W153" s="8">
        <v>23375</v>
      </c>
      <c r="Y153" s="8">
        <v>0</v>
      </c>
      <c r="AA153" s="8">
        <v>214511</v>
      </c>
      <c r="AB153" s="39"/>
      <c r="AC153" s="8">
        <v>-14000</v>
      </c>
      <c r="AE153" s="8">
        <v>0</v>
      </c>
      <c r="AG153" s="8">
        <f t="shared" si="7"/>
        <v>69346186</v>
      </c>
      <c r="AH153" s="8"/>
      <c r="AI153" s="8">
        <f t="shared" si="8"/>
        <v>83254281</v>
      </c>
    </row>
    <row r="154" spans="1:35" ht="12" hidden="1" customHeight="1">
      <c r="A154" s="12" t="s">
        <v>373</v>
      </c>
      <c r="B154" s="12"/>
      <c r="C154" s="12" t="s">
        <v>28</v>
      </c>
      <c r="D154" s="12"/>
      <c r="E154" s="32">
        <v>47050</v>
      </c>
      <c r="M154" s="8">
        <f t="shared" si="6"/>
        <v>0</v>
      </c>
      <c r="O154" s="8">
        <v>0</v>
      </c>
      <c r="Q154" s="8">
        <v>0</v>
      </c>
      <c r="S154" s="8">
        <v>0</v>
      </c>
      <c r="U154" s="8">
        <v>0</v>
      </c>
      <c r="W154" s="8">
        <v>0</v>
      </c>
      <c r="Y154" s="8">
        <v>0</v>
      </c>
      <c r="AA154" s="8">
        <v>0</v>
      </c>
      <c r="AB154" s="39"/>
      <c r="AC154" s="8">
        <v>0</v>
      </c>
      <c r="AE154" s="8">
        <v>0</v>
      </c>
      <c r="AG154" s="8">
        <f t="shared" si="7"/>
        <v>0</v>
      </c>
      <c r="AH154" s="8"/>
      <c r="AI154" s="8">
        <f t="shared" si="8"/>
        <v>0</v>
      </c>
    </row>
    <row r="155" spans="1:35" ht="12" customHeight="1">
      <c r="A155" s="12" t="s">
        <v>707</v>
      </c>
      <c r="B155" s="12"/>
      <c r="C155" s="12" t="s">
        <v>66</v>
      </c>
      <c r="D155" s="12"/>
      <c r="E155" s="32">
        <v>50328</v>
      </c>
      <c r="G155" s="8">
        <v>426149</v>
      </c>
      <c r="I155" s="8">
        <v>766440</v>
      </c>
      <c r="K155" s="8">
        <v>14686</v>
      </c>
      <c r="M155" s="8">
        <f t="shared" si="6"/>
        <v>1207275</v>
      </c>
      <c r="O155" s="8">
        <f>4878562+746404</f>
        <v>5624966</v>
      </c>
      <c r="Q155" s="8">
        <v>1704542</v>
      </c>
      <c r="S155" s="8">
        <v>2858008</v>
      </c>
      <c r="U155" s="8">
        <v>603597</v>
      </c>
      <c r="W155" s="8">
        <v>0</v>
      </c>
      <c r="Y155" s="8">
        <v>0</v>
      </c>
      <c r="AA155" s="8">
        <v>74317</v>
      </c>
      <c r="AB155" s="39"/>
      <c r="AC155" s="8">
        <v>0</v>
      </c>
      <c r="AE155" s="8">
        <v>0</v>
      </c>
      <c r="AG155" s="8">
        <f t="shared" si="7"/>
        <v>10865430</v>
      </c>
      <c r="AH155" s="8"/>
      <c r="AI155" s="8">
        <f t="shared" si="8"/>
        <v>12072705</v>
      </c>
    </row>
    <row r="156" spans="1:35" ht="12" customHeight="1">
      <c r="A156" s="12" t="s">
        <v>884</v>
      </c>
      <c r="B156" s="12"/>
      <c r="C156" s="12" t="s">
        <v>117</v>
      </c>
      <c r="D156" s="12"/>
      <c r="E156" s="32">
        <v>46102</v>
      </c>
      <c r="F156" s="7"/>
      <c r="G156" s="8">
        <v>1328263</v>
      </c>
      <c r="I156" s="8">
        <v>4066991</v>
      </c>
      <c r="K156" s="8">
        <v>0</v>
      </c>
      <c r="M156" s="8">
        <f>SUM(G156:L156)</f>
        <v>5395254</v>
      </c>
      <c r="O156" s="8">
        <f>16096260</f>
        <v>16096260</v>
      </c>
      <c r="Q156" s="8">
        <v>1896811</v>
      </c>
      <c r="S156" s="8">
        <v>21509794</v>
      </c>
      <c r="U156" s="8">
        <v>336931</v>
      </c>
      <c r="W156" s="8">
        <v>148712</v>
      </c>
      <c r="Y156" s="8">
        <v>0</v>
      </c>
      <c r="AA156" s="8">
        <v>182045</v>
      </c>
      <c r="AB156" s="39"/>
      <c r="AC156" s="8">
        <v>0</v>
      </c>
      <c r="AE156" s="8">
        <v>0</v>
      </c>
      <c r="AG156" s="8">
        <f>SUM(O156:AE156)</f>
        <v>40170553</v>
      </c>
      <c r="AH156" s="8"/>
      <c r="AI156" s="8">
        <f>+AG156+M156</f>
        <v>45565807</v>
      </c>
    </row>
    <row r="157" spans="1:35" ht="12" customHeight="1">
      <c r="A157" s="12" t="s">
        <v>247</v>
      </c>
      <c r="B157" s="12"/>
      <c r="C157" s="12" t="s">
        <v>246</v>
      </c>
      <c r="D157" s="12"/>
      <c r="E157" s="32">
        <v>46102</v>
      </c>
      <c r="F157" s="7"/>
      <c r="G157" s="8">
        <v>5372240</v>
      </c>
      <c r="I157" s="8">
        <v>7170760</v>
      </c>
      <c r="K157" s="8">
        <v>63346</v>
      </c>
      <c r="M157" s="8">
        <f t="shared" si="6"/>
        <v>12606346</v>
      </c>
      <c r="O157" s="8">
        <f>39598190+3930692+2561859</f>
        <v>46090741</v>
      </c>
      <c r="Q157" s="8">
        <v>0</v>
      </c>
      <c r="S157" s="8">
        <v>29692522</v>
      </c>
      <c r="U157" s="8">
        <v>997999</v>
      </c>
      <c r="W157" s="8">
        <v>1143259</v>
      </c>
      <c r="Y157" s="8">
        <v>2225</v>
      </c>
      <c r="AA157" s="8">
        <f>5478+687938</f>
        <v>693416</v>
      </c>
      <c r="AB157" s="39"/>
      <c r="AC157" s="8">
        <v>0</v>
      </c>
      <c r="AE157" s="8">
        <v>0</v>
      </c>
      <c r="AG157" s="8">
        <f t="shared" si="7"/>
        <v>78620162</v>
      </c>
      <c r="AH157" s="8"/>
      <c r="AI157" s="8">
        <f t="shared" si="8"/>
        <v>91226508</v>
      </c>
    </row>
    <row r="158" spans="1:35" ht="12" customHeight="1">
      <c r="A158" s="12" t="s">
        <v>441</v>
      </c>
      <c r="B158" s="12"/>
      <c r="C158" s="12" t="s">
        <v>440</v>
      </c>
      <c r="D158" s="12"/>
      <c r="E158" s="32">
        <v>47621</v>
      </c>
      <c r="G158" s="8">
        <v>589181</v>
      </c>
      <c r="I158" s="8">
        <v>785697</v>
      </c>
      <c r="K158" s="8">
        <v>0</v>
      </c>
      <c r="M158" s="8">
        <f t="shared" si="6"/>
        <v>1374878</v>
      </c>
      <c r="O158" s="8">
        <f>1338001+166411+28656</f>
        <v>1533068</v>
      </c>
      <c r="Q158" s="8">
        <v>0</v>
      </c>
      <c r="S158" s="8">
        <v>4852882</v>
      </c>
      <c r="U158" s="8">
        <v>54129</v>
      </c>
      <c r="W158" s="8">
        <v>0</v>
      </c>
      <c r="Y158" s="8">
        <v>20681</v>
      </c>
      <c r="AA158" s="8">
        <v>77829</v>
      </c>
      <c r="AB158" s="39"/>
      <c r="AC158" s="8">
        <v>0</v>
      </c>
      <c r="AE158" s="8">
        <v>0</v>
      </c>
      <c r="AG158" s="8">
        <f t="shared" si="7"/>
        <v>6538589</v>
      </c>
      <c r="AH158" s="8"/>
      <c r="AI158" s="8">
        <f t="shared" si="8"/>
        <v>7913467</v>
      </c>
    </row>
    <row r="159" spans="1:35" ht="12" customHeight="1">
      <c r="A159" s="12" t="s">
        <v>350</v>
      </c>
      <c r="B159" s="12"/>
      <c r="C159" s="12" t="s">
        <v>25</v>
      </c>
      <c r="D159" s="12"/>
      <c r="E159" s="32">
        <v>46870</v>
      </c>
      <c r="G159" s="8">
        <v>2137174</v>
      </c>
      <c r="I159" s="8">
        <v>1109954</v>
      </c>
      <c r="K159" s="8">
        <v>0</v>
      </c>
      <c r="M159" s="8">
        <f t="shared" si="6"/>
        <v>3247128</v>
      </c>
      <c r="O159" s="8">
        <f>3688632+484840+216014</f>
        <v>4389486</v>
      </c>
      <c r="Q159" s="8">
        <v>3553396</v>
      </c>
      <c r="S159" s="8">
        <v>24989273</v>
      </c>
      <c r="U159" s="8">
        <v>2405808</v>
      </c>
      <c r="W159" s="8">
        <v>0</v>
      </c>
      <c r="Y159" s="8">
        <v>0</v>
      </c>
      <c r="AA159" s="8">
        <v>878292</v>
      </c>
      <c r="AB159" s="39"/>
      <c r="AC159" s="8">
        <v>0</v>
      </c>
      <c r="AE159" s="8">
        <v>1147</v>
      </c>
      <c r="AG159" s="8">
        <f t="shared" si="7"/>
        <v>36217402</v>
      </c>
      <c r="AH159" s="8"/>
      <c r="AI159" s="8">
        <f t="shared" si="8"/>
        <v>39464530</v>
      </c>
    </row>
    <row r="160" spans="1:35" ht="12" customHeight="1">
      <c r="A160" s="12" t="s">
        <v>473</v>
      </c>
      <c r="B160" s="12"/>
      <c r="C160" s="12" t="s">
        <v>471</v>
      </c>
      <c r="D160" s="12"/>
      <c r="E160" s="32">
        <v>47936</v>
      </c>
      <c r="G160" s="8">
        <v>536688</v>
      </c>
      <c r="I160" s="8">
        <v>1978067</v>
      </c>
      <c r="K160" s="8">
        <v>15539</v>
      </c>
      <c r="M160" s="8">
        <f t="shared" si="6"/>
        <v>2530294</v>
      </c>
      <c r="O160" s="8">
        <f>3235065+383893+60865</f>
        <v>3679823</v>
      </c>
      <c r="Q160" s="8">
        <v>0</v>
      </c>
      <c r="S160" s="8">
        <v>10094624</v>
      </c>
      <c r="U160" s="8">
        <v>236714</v>
      </c>
      <c r="W160" s="8">
        <v>0</v>
      </c>
      <c r="Y160" s="8">
        <v>0</v>
      </c>
      <c r="AA160" s="8">
        <f>41093+10456</f>
        <v>51549</v>
      </c>
      <c r="AB160" s="39"/>
      <c r="AC160" s="8">
        <v>0</v>
      </c>
      <c r="AE160" s="8">
        <v>0</v>
      </c>
      <c r="AG160" s="8">
        <f t="shared" si="7"/>
        <v>14062710</v>
      </c>
      <c r="AH160" s="8"/>
      <c r="AI160" s="8">
        <f t="shared" si="8"/>
        <v>16593004</v>
      </c>
    </row>
    <row r="161" spans="1:37" ht="12" hidden="1" customHeight="1">
      <c r="A161" s="12" t="s">
        <v>648</v>
      </c>
      <c r="B161" s="12"/>
      <c r="C161" s="12" t="s">
        <v>61</v>
      </c>
      <c r="D161" s="12"/>
      <c r="E161" s="32">
        <v>49775</v>
      </c>
      <c r="M161" s="8">
        <f t="shared" si="6"/>
        <v>0</v>
      </c>
      <c r="Q161" s="8">
        <v>0</v>
      </c>
      <c r="S161" s="8">
        <v>0</v>
      </c>
      <c r="U161" s="8">
        <v>0</v>
      </c>
      <c r="W161" s="8">
        <v>0</v>
      </c>
      <c r="Y161" s="8">
        <v>0</v>
      </c>
      <c r="AB161" s="39"/>
      <c r="AC161" s="8">
        <v>0</v>
      </c>
      <c r="AE161" s="8">
        <v>0</v>
      </c>
      <c r="AG161" s="8">
        <f t="shared" si="7"/>
        <v>0</v>
      </c>
      <c r="AH161" s="8"/>
      <c r="AI161" s="8">
        <f t="shared" si="8"/>
        <v>0</v>
      </c>
    </row>
    <row r="162" spans="1:37" ht="12" customHeight="1">
      <c r="A162" s="12" t="s">
        <v>656</v>
      </c>
      <c r="B162" s="12"/>
      <c r="C162" s="12" t="s">
        <v>62</v>
      </c>
      <c r="D162" s="12"/>
      <c r="E162" s="32">
        <v>49841</v>
      </c>
      <c r="G162" s="8">
        <v>1126899</v>
      </c>
      <c r="I162" s="8">
        <v>1905880</v>
      </c>
      <c r="K162" s="8">
        <v>10945</v>
      </c>
      <c r="M162" s="8">
        <f t="shared" si="6"/>
        <v>3043724</v>
      </c>
      <c r="O162" s="8">
        <f>5042487+782890+76745</f>
        <v>5902122</v>
      </c>
      <c r="Q162" s="8">
        <v>0</v>
      </c>
      <c r="S162" s="8">
        <v>8117360</v>
      </c>
      <c r="U162" s="8">
        <v>394145</v>
      </c>
      <c r="W162" s="8">
        <v>0</v>
      </c>
      <c r="Y162" s="8">
        <v>0</v>
      </c>
      <c r="AA162" s="8">
        <v>70344</v>
      </c>
      <c r="AB162" s="39"/>
      <c r="AC162" s="8">
        <v>0</v>
      </c>
      <c r="AE162" s="8">
        <v>0</v>
      </c>
      <c r="AG162" s="8">
        <f t="shared" si="7"/>
        <v>14483971</v>
      </c>
      <c r="AH162" s="8"/>
      <c r="AI162" s="8">
        <f t="shared" si="8"/>
        <v>17527695</v>
      </c>
    </row>
    <row r="163" spans="1:37" ht="12" hidden="1" customHeight="1">
      <c r="A163" s="12" t="s">
        <v>463</v>
      </c>
      <c r="B163" s="12"/>
      <c r="C163" s="12" t="s">
        <v>41</v>
      </c>
      <c r="D163" s="12"/>
      <c r="E163" s="32">
        <v>45369</v>
      </c>
      <c r="M163" s="8">
        <f t="shared" si="6"/>
        <v>0</v>
      </c>
      <c r="Q163" s="8">
        <v>0</v>
      </c>
      <c r="S163" s="8">
        <v>0</v>
      </c>
      <c r="U163" s="8">
        <v>0</v>
      </c>
      <c r="W163" s="8">
        <v>0</v>
      </c>
      <c r="Y163" s="8">
        <v>0</v>
      </c>
      <c r="AB163" s="39"/>
      <c r="AC163" s="8">
        <v>0</v>
      </c>
      <c r="AE163" s="8">
        <v>0</v>
      </c>
      <c r="AG163" s="8">
        <f t="shared" si="7"/>
        <v>0</v>
      </c>
      <c r="AH163" s="8"/>
      <c r="AI163" s="8">
        <f t="shared" si="8"/>
        <v>0</v>
      </c>
    </row>
    <row r="164" spans="1:37" ht="12" customHeight="1">
      <c r="A164" s="12" t="s">
        <v>311</v>
      </c>
      <c r="B164" s="12"/>
      <c r="C164" s="12" t="s">
        <v>20</v>
      </c>
      <c r="D164" s="12"/>
      <c r="E164" s="32">
        <v>43976</v>
      </c>
      <c r="G164" s="8">
        <v>583687</v>
      </c>
      <c r="I164" s="8">
        <v>1256125</v>
      </c>
      <c r="K164" s="8">
        <v>6510</v>
      </c>
      <c r="M164" s="8">
        <f t="shared" si="6"/>
        <v>1846322</v>
      </c>
      <c r="O164" s="8">
        <f>16016359+2070148</f>
        <v>18086507</v>
      </c>
      <c r="Q164" s="8">
        <v>0</v>
      </c>
      <c r="S164" s="8">
        <v>4819377</v>
      </c>
      <c r="U164" s="8">
        <v>905764</v>
      </c>
      <c r="W164" s="8">
        <v>0</v>
      </c>
      <c r="Y164" s="8">
        <v>0</v>
      </c>
      <c r="AA164" s="8">
        <v>97534</v>
      </c>
      <c r="AB164" s="39"/>
      <c r="AC164" s="8">
        <v>-28992</v>
      </c>
      <c r="AE164" s="8">
        <v>0</v>
      </c>
      <c r="AG164" s="8">
        <f t="shared" si="7"/>
        <v>23880190</v>
      </c>
      <c r="AH164" s="8"/>
      <c r="AI164" s="8">
        <f t="shared" si="8"/>
        <v>25726512</v>
      </c>
    </row>
    <row r="165" spans="1:37" ht="12" customHeight="1">
      <c r="A165" s="12"/>
      <c r="B165" s="12"/>
      <c r="C165" s="12"/>
      <c r="D165" s="12"/>
      <c r="E165" s="32"/>
      <c r="AB165" s="39"/>
      <c r="AH165" s="8"/>
    </row>
    <row r="166" spans="1:37" ht="12" customHeight="1">
      <c r="A166" s="12"/>
      <c r="B166" s="12"/>
      <c r="C166" s="12"/>
      <c r="D166" s="12"/>
      <c r="E166" s="32"/>
      <c r="AB166" s="39"/>
      <c r="AH166" s="8"/>
      <c r="AI166" s="8" t="s">
        <v>819</v>
      </c>
    </row>
    <row r="167" spans="1:37" s="35" customFormat="1" ht="12" customHeight="1">
      <c r="A167" s="34" t="s">
        <v>241</v>
      </c>
      <c r="B167" s="34"/>
      <c r="C167" s="34" t="s">
        <v>77</v>
      </c>
      <c r="D167" s="34"/>
      <c r="E167" s="34">
        <v>46045</v>
      </c>
      <c r="F167" s="48"/>
      <c r="G167" s="35">
        <v>1113508</v>
      </c>
      <c r="I167" s="35">
        <v>956576</v>
      </c>
      <c r="K167" s="35">
        <v>0</v>
      </c>
      <c r="M167" s="35">
        <f t="shared" si="6"/>
        <v>2070084</v>
      </c>
      <c r="O167" s="35">
        <f>1538202+104965+635125</f>
        <v>2278292</v>
      </c>
      <c r="Q167" s="35">
        <v>0</v>
      </c>
      <c r="S167" s="35">
        <v>4703355</v>
      </c>
      <c r="U167" s="35">
        <v>579156</v>
      </c>
      <c r="W167" s="35">
        <v>0</v>
      </c>
      <c r="Y167" s="35">
        <v>3554</v>
      </c>
      <c r="AA167" s="35">
        <v>66219</v>
      </c>
      <c r="AB167" s="46"/>
      <c r="AC167" s="35">
        <v>0</v>
      </c>
      <c r="AE167" s="35">
        <v>0</v>
      </c>
      <c r="AG167" s="35">
        <f t="shared" si="7"/>
        <v>7630576</v>
      </c>
      <c r="AI167" s="35">
        <f t="shared" si="8"/>
        <v>9700660</v>
      </c>
    </row>
    <row r="168" spans="1:37" ht="12" customHeight="1">
      <c r="A168" s="12" t="s">
        <v>272</v>
      </c>
      <c r="B168" s="12"/>
      <c r="C168" s="12" t="s">
        <v>116</v>
      </c>
      <c r="D168" s="12"/>
      <c r="E168" s="32">
        <v>46334</v>
      </c>
      <c r="F168" s="7"/>
      <c r="G168" s="8">
        <v>693990</v>
      </c>
      <c r="I168" s="8">
        <v>1761952</v>
      </c>
      <c r="K168" s="8">
        <v>7714</v>
      </c>
      <c r="M168" s="8">
        <f t="shared" si="6"/>
        <v>2463656</v>
      </c>
      <c r="O168" s="8">
        <f>1523803+269191</f>
        <v>1792994</v>
      </c>
      <c r="Q168" s="8">
        <v>0</v>
      </c>
      <c r="S168" s="8">
        <v>6776967</v>
      </c>
      <c r="U168" s="8">
        <v>129540</v>
      </c>
      <c r="W168" s="8">
        <v>0</v>
      </c>
      <c r="Y168" s="8">
        <v>0</v>
      </c>
      <c r="AA168" s="8">
        <v>126824</v>
      </c>
      <c r="AB168" s="39"/>
      <c r="AC168" s="8">
        <v>0</v>
      </c>
      <c r="AE168" s="8">
        <v>0</v>
      </c>
      <c r="AG168" s="8">
        <f t="shared" si="7"/>
        <v>8826325</v>
      </c>
      <c r="AH168" s="8"/>
      <c r="AI168" s="8">
        <f t="shared" si="8"/>
        <v>11289981</v>
      </c>
    </row>
    <row r="169" spans="1:37" s="8" customFormat="1" ht="12" customHeight="1">
      <c r="A169" s="13" t="s">
        <v>597</v>
      </c>
      <c r="B169" s="13"/>
      <c r="C169" s="13" t="s">
        <v>56</v>
      </c>
      <c r="D169" s="13"/>
      <c r="E169" s="13">
        <v>49197</v>
      </c>
      <c r="G169" s="8">
        <v>1432750</v>
      </c>
      <c r="I169" s="8">
        <v>876041</v>
      </c>
      <c r="K169" s="8">
        <v>11547</v>
      </c>
      <c r="M169" s="8">
        <f t="shared" si="6"/>
        <v>2320338</v>
      </c>
      <c r="O169" s="8">
        <f>8848111+1077909</f>
        <v>9926020</v>
      </c>
      <c r="S169" s="8">
        <v>8263550</v>
      </c>
      <c r="U169" s="8">
        <v>176150</v>
      </c>
      <c r="W169" s="8">
        <v>0</v>
      </c>
      <c r="Y169" s="8">
        <v>0</v>
      </c>
      <c r="AA169" s="8">
        <v>846668</v>
      </c>
      <c r="AB169" s="39"/>
      <c r="AC169" s="8">
        <v>0</v>
      </c>
      <c r="AE169" s="8">
        <v>0</v>
      </c>
      <c r="AG169" s="8">
        <f t="shared" si="7"/>
        <v>19212388</v>
      </c>
      <c r="AI169" s="8">
        <f t="shared" si="8"/>
        <v>21532726</v>
      </c>
    </row>
    <row r="170" spans="1:37" ht="12" customHeight="1">
      <c r="A170" s="12" t="s">
        <v>421</v>
      </c>
      <c r="B170" s="12"/>
      <c r="C170" s="12" t="s">
        <v>33</v>
      </c>
      <c r="D170" s="12"/>
      <c r="E170" s="32">
        <v>43984</v>
      </c>
      <c r="G170" s="8">
        <v>4246275</v>
      </c>
      <c r="I170" s="8">
        <v>10548511</v>
      </c>
      <c r="K170" s="8">
        <v>207268</v>
      </c>
      <c r="M170" s="8">
        <f t="shared" si="6"/>
        <v>15002054</v>
      </c>
      <c r="O170" s="8">
        <f>27357581+108061+1995210</f>
        <v>29460852</v>
      </c>
      <c r="Q170" s="8">
        <v>0</v>
      </c>
      <c r="S170" s="8">
        <v>21149649</v>
      </c>
      <c r="U170" s="8">
        <v>637985</v>
      </c>
      <c r="W170" s="8">
        <v>0</v>
      </c>
      <c r="Y170" s="8">
        <v>0</v>
      </c>
      <c r="AA170" s="8">
        <v>1062082</v>
      </c>
      <c r="AB170" s="39"/>
      <c r="AC170" s="8">
        <v>0</v>
      </c>
      <c r="AE170" s="8">
        <v>0</v>
      </c>
      <c r="AG170" s="8">
        <f t="shared" si="7"/>
        <v>52310568</v>
      </c>
      <c r="AH170" s="8"/>
      <c r="AI170" s="8">
        <f t="shared" si="8"/>
        <v>67312622</v>
      </c>
    </row>
    <row r="171" spans="1:37" s="8" customFormat="1" ht="12" customHeight="1">
      <c r="A171" s="13" t="s">
        <v>398</v>
      </c>
      <c r="B171" s="13"/>
      <c r="C171" s="13" t="s">
        <v>32</v>
      </c>
      <c r="D171" s="13"/>
      <c r="E171" s="13">
        <v>47332</v>
      </c>
      <c r="G171" s="8">
        <v>803585</v>
      </c>
      <c r="I171" s="8">
        <v>3425876</v>
      </c>
      <c r="K171" s="8">
        <v>4799</v>
      </c>
      <c r="M171" s="8">
        <f t="shared" si="6"/>
        <v>4234260</v>
      </c>
      <c r="O171" s="8">
        <f>9493323+488547+227302</f>
        <v>10209172</v>
      </c>
      <c r="Q171" s="8">
        <v>0</v>
      </c>
      <c r="S171" s="8">
        <v>6924617</v>
      </c>
      <c r="U171" s="8">
        <v>253184</v>
      </c>
      <c r="W171" s="8">
        <v>0</v>
      </c>
      <c r="Y171" s="8">
        <v>68541</v>
      </c>
      <c r="AA171" s="8">
        <v>176814</v>
      </c>
      <c r="AB171" s="39"/>
      <c r="AC171" s="8">
        <v>0</v>
      </c>
      <c r="AE171" s="8">
        <v>0</v>
      </c>
      <c r="AG171" s="8">
        <f t="shared" si="7"/>
        <v>17632328</v>
      </c>
      <c r="AI171" s="8">
        <f t="shared" si="8"/>
        <v>21866588</v>
      </c>
    </row>
    <row r="172" spans="1:37" ht="12" customHeight="1">
      <c r="A172" s="12" t="s">
        <v>494</v>
      </c>
      <c r="B172" s="12"/>
      <c r="C172" s="12" t="s">
        <v>44</v>
      </c>
      <c r="D172" s="12"/>
      <c r="E172" s="32">
        <v>48157</v>
      </c>
      <c r="G172" s="8">
        <v>1477227</v>
      </c>
      <c r="I172" s="8">
        <v>1273649</v>
      </c>
      <c r="K172" s="8">
        <v>12386</v>
      </c>
      <c r="M172" s="8">
        <f t="shared" si="6"/>
        <v>2763262</v>
      </c>
      <c r="O172" s="8">
        <f>6064894+349723</f>
        <v>6414617</v>
      </c>
      <c r="Q172" s="8">
        <v>0</v>
      </c>
      <c r="S172" s="8">
        <v>8438829</v>
      </c>
      <c r="U172" s="8">
        <v>260916</v>
      </c>
      <c r="W172" s="8">
        <v>0</v>
      </c>
      <c r="Y172" s="8">
        <v>0</v>
      </c>
      <c r="AA172" s="8">
        <v>60076</v>
      </c>
      <c r="AB172" s="39"/>
      <c r="AC172" s="8">
        <v>0</v>
      </c>
      <c r="AE172" s="8">
        <v>0</v>
      </c>
      <c r="AG172" s="8">
        <f t="shared" si="7"/>
        <v>15174438</v>
      </c>
      <c r="AH172" s="8"/>
      <c r="AI172" s="8">
        <f t="shared" si="8"/>
        <v>17937700</v>
      </c>
      <c r="AK172" s="8"/>
    </row>
    <row r="173" spans="1:37" ht="12" customHeight="1">
      <c r="A173" s="12" t="s">
        <v>399</v>
      </c>
      <c r="B173" s="12"/>
      <c r="C173" s="12" t="s">
        <v>32</v>
      </c>
      <c r="D173" s="12"/>
      <c r="E173" s="32">
        <v>47340</v>
      </c>
      <c r="G173" s="8">
        <v>3134062</v>
      </c>
      <c r="I173" s="8">
        <v>3427635</v>
      </c>
      <c r="K173" s="8">
        <v>96070</v>
      </c>
      <c r="M173" s="8">
        <f t="shared" si="6"/>
        <v>6657767</v>
      </c>
      <c r="O173" s="8">
        <f>39678002+1757576</f>
        <v>41435578</v>
      </c>
      <c r="Q173" s="8">
        <v>0</v>
      </c>
      <c r="S173" s="8">
        <v>25005348</v>
      </c>
      <c r="U173" s="8">
        <v>1234092</v>
      </c>
      <c r="W173" s="8">
        <v>6196687</v>
      </c>
      <c r="Y173" s="8">
        <v>0</v>
      </c>
      <c r="AA173" s="8">
        <v>821996</v>
      </c>
      <c r="AB173" s="39"/>
      <c r="AC173" s="8">
        <v>0</v>
      </c>
      <c r="AE173" s="8">
        <v>0</v>
      </c>
      <c r="AG173" s="8">
        <f t="shared" si="7"/>
        <v>74693701</v>
      </c>
      <c r="AH173" s="8"/>
      <c r="AI173" s="8">
        <f t="shared" si="8"/>
        <v>81351468</v>
      </c>
    </row>
    <row r="174" spans="1:37" hidden="1">
      <c r="A174" s="12" t="s">
        <v>722</v>
      </c>
      <c r="B174" s="12"/>
      <c r="C174" s="12" t="s">
        <v>70</v>
      </c>
      <c r="D174" s="12"/>
      <c r="E174" s="32">
        <v>50484</v>
      </c>
      <c r="M174" s="8">
        <f t="shared" si="6"/>
        <v>0</v>
      </c>
      <c r="O174" s="8">
        <v>0</v>
      </c>
      <c r="Q174" s="8">
        <v>0</v>
      </c>
      <c r="S174" s="8">
        <v>0</v>
      </c>
      <c r="U174" s="8">
        <v>0</v>
      </c>
      <c r="W174" s="8">
        <v>0</v>
      </c>
      <c r="Y174" s="8">
        <v>0</v>
      </c>
      <c r="AB174" s="39"/>
      <c r="AC174" s="8">
        <v>0</v>
      </c>
      <c r="AE174" s="8">
        <v>0</v>
      </c>
      <c r="AG174" s="8">
        <f t="shared" si="7"/>
        <v>0</v>
      </c>
      <c r="AH174" s="8"/>
      <c r="AI174" s="8">
        <f t="shared" si="8"/>
        <v>0</v>
      </c>
    </row>
    <row r="175" spans="1:37">
      <c r="A175" s="12" t="s">
        <v>649</v>
      </c>
      <c r="B175" s="12"/>
      <c r="C175" s="12" t="s">
        <v>61</v>
      </c>
      <c r="D175" s="12"/>
      <c r="E175" s="32">
        <v>49783</v>
      </c>
      <c r="G175" s="8">
        <v>544945</v>
      </c>
      <c r="I175" s="8">
        <v>781099</v>
      </c>
      <c r="K175" s="8">
        <v>6782</v>
      </c>
      <c r="M175" s="8">
        <f t="shared" si="6"/>
        <v>1332826</v>
      </c>
      <c r="O175" s="8">
        <f>1648613+37736+717207+143399</f>
        <v>2546955</v>
      </c>
      <c r="Q175" s="8">
        <v>1581931</v>
      </c>
      <c r="S175" s="8">
        <v>3302314</v>
      </c>
      <c r="U175" s="8">
        <v>481610</v>
      </c>
      <c r="W175" s="8">
        <v>0</v>
      </c>
      <c r="Y175" s="8">
        <v>0</v>
      </c>
      <c r="AA175" s="8">
        <v>24089</v>
      </c>
      <c r="AB175" s="39"/>
      <c r="AC175" s="8">
        <v>0</v>
      </c>
      <c r="AE175" s="8">
        <v>0</v>
      </c>
      <c r="AG175" s="8">
        <f t="shared" si="7"/>
        <v>7936899</v>
      </c>
      <c r="AH175" s="8"/>
      <c r="AI175" s="8">
        <f t="shared" si="8"/>
        <v>9269725</v>
      </c>
    </row>
    <row r="176" spans="1:37" ht="12" customHeight="1">
      <c r="A176" s="12" t="s">
        <v>641</v>
      </c>
      <c r="B176" s="12"/>
      <c r="C176" s="12" t="s">
        <v>60</v>
      </c>
      <c r="D176" s="12"/>
      <c r="E176" s="32">
        <v>43992</v>
      </c>
      <c r="G176" s="8">
        <v>933009</v>
      </c>
      <c r="I176" s="8">
        <v>4775084</v>
      </c>
      <c r="K176" s="8">
        <v>7020</v>
      </c>
      <c r="M176" s="8">
        <f t="shared" si="6"/>
        <v>5715113</v>
      </c>
      <c r="O176" s="8">
        <f>7370079+595311+225578</f>
        <v>8190968</v>
      </c>
      <c r="Q176" s="8">
        <v>0</v>
      </c>
      <c r="S176" s="8">
        <v>10847028</v>
      </c>
      <c r="U176" s="8">
        <v>593335</v>
      </c>
      <c r="W176" s="8">
        <v>0</v>
      </c>
      <c r="Y176" s="8">
        <v>0</v>
      </c>
      <c r="AA176" s="8">
        <v>126147</v>
      </c>
      <c r="AB176" s="39"/>
      <c r="AC176" s="8">
        <v>0</v>
      </c>
      <c r="AE176" s="8">
        <v>0</v>
      </c>
      <c r="AG176" s="8">
        <f t="shared" si="7"/>
        <v>19757478</v>
      </c>
      <c r="AH176" s="8"/>
      <c r="AI176" s="8">
        <f t="shared" si="8"/>
        <v>25472591</v>
      </c>
    </row>
    <row r="177" spans="1:35" ht="12" customHeight="1">
      <c r="A177" s="12" t="s">
        <v>714</v>
      </c>
      <c r="B177" s="12"/>
      <c r="C177" s="12" t="s">
        <v>69</v>
      </c>
      <c r="D177" s="12"/>
      <c r="E177" s="32">
        <v>44008</v>
      </c>
      <c r="G177" s="8">
        <v>1325572</v>
      </c>
      <c r="I177" s="8">
        <v>2670962</v>
      </c>
      <c r="K177" s="8">
        <v>619295</v>
      </c>
      <c r="M177" s="8">
        <f t="shared" si="6"/>
        <v>4615829</v>
      </c>
      <c r="O177" s="8">
        <f>14736045+480292</f>
        <v>15216337</v>
      </c>
      <c r="Q177" s="8">
        <v>0</v>
      </c>
      <c r="S177" s="8">
        <v>13281038</v>
      </c>
      <c r="U177" s="8">
        <v>329611</v>
      </c>
      <c r="W177" s="8">
        <v>111665</v>
      </c>
      <c r="Y177" s="8">
        <v>0</v>
      </c>
      <c r="AA177" s="8">
        <v>10562</v>
      </c>
      <c r="AB177" s="39"/>
      <c r="AC177" s="8">
        <v>0</v>
      </c>
      <c r="AE177" s="8">
        <v>0</v>
      </c>
      <c r="AG177" s="8">
        <f t="shared" si="7"/>
        <v>28949213</v>
      </c>
      <c r="AH177" s="8"/>
      <c r="AI177" s="8">
        <f t="shared" si="8"/>
        <v>33565042</v>
      </c>
    </row>
    <row r="178" spans="1:35" ht="12" customHeight="1">
      <c r="A178" s="12" t="s">
        <v>572</v>
      </c>
      <c r="B178" s="12"/>
      <c r="C178" s="12" t="s">
        <v>51</v>
      </c>
      <c r="D178" s="12"/>
      <c r="E178" s="32">
        <v>48843</v>
      </c>
      <c r="G178" s="8">
        <v>1412354</v>
      </c>
      <c r="I178" s="8">
        <v>3314493</v>
      </c>
      <c r="K178" s="8">
        <v>31712</v>
      </c>
      <c r="M178" s="8">
        <f t="shared" si="6"/>
        <v>4758559</v>
      </c>
      <c r="O178" s="8">
        <f>2471002+449633+103814+48660</f>
        <v>3073109</v>
      </c>
      <c r="Q178" s="8">
        <v>0</v>
      </c>
      <c r="S178" s="8">
        <v>12570352</v>
      </c>
      <c r="U178" s="8">
        <v>454509</v>
      </c>
      <c r="W178" s="8">
        <v>4295</v>
      </c>
      <c r="Y178" s="8">
        <v>0</v>
      </c>
      <c r="AA178" s="8">
        <v>63088</v>
      </c>
      <c r="AB178" s="39"/>
      <c r="AC178" s="8">
        <v>0</v>
      </c>
      <c r="AE178" s="8">
        <v>0</v>
      </c>
      <c r="AG178" s="8">
        <f t="shared" si="7"/>
        <v>16165353</v>
      </c>
      <c r="AH178" s="8"/>
      <c r="AI178" s="8">
        <f t="shared" si="8"/>
        <v>20923912</v>
      </c>
    </row>
    <row r="179" spans="1:35" hidden="1">
      <c r="A179" s="12" t="s">
        <v>330</v>
      </c>
      <c r="B179" s="12"/>
      <c r="C179" s="12" t="s">
        <v>21</v>
      </c>
      <c r="D179" s="12"/>
      <c r="E179" s="32">
        <v>46649</v>
      </c>
      <c r="M179" s="8">
        <f t="shared" si="6"/>
        <v>0</v>
      </c>
      <c r="O179" s="8">
        <v>0</v>
      </c>
      <c r="Q179" s="8">
        <v>0</v>
      </c>
      <c r="W179" s="8">
        <v>0</v>
      </c>
      <c r="Y179" s="8">
        <v>0</v>
      </c>
      <c r="AB179" s="39"/>
      <c r="AC179" s="8">
        <v>0</v>
      </c>
      <c r="AE179" s="8">
        <v>0</v>
      </c>
      <c r="AG179" s="8">
        <f t="shared" si="7"/>
        <v>0</v>
      </c>
      <c r="AH179" s="8"/>
      <c r="AI179" s="8">
        <f t="shared" si="8"/>
        <v>0</v>
      </c>
    </row>
    <row r="180" spans="1:35" ht="12" customHeight="1">
      <c r="A180" s="12" t="s">
        <v>461</v>
      </c>
      <c r="B180" s="12"/>
      <c r="C180" s="12" t="s">
        <v>40</v>
      </c>
      <c r="D180" s="12"/>
      <c r="E180" s="32">
        <v>47852</v>
      </c>
      <c r="G180" s="8">
        <v>987587</v>
      </c>
      <c r="I180" s="8">
        <v>1516773</v>
      </c>
      <c r="K180" s="8">
        <v>5638</v>
      </c>
      <c r="M180" s="8">
        <f t="shared" si="6"/>
        <v>2509998</v>
      </c>
      <c r="O180" s="8">
        <f>2612199+470267+192235+48125</f>
        <v>3322826</v>
      </c>
      <c r="Q180" s="8">
        <v>0</v>
      </c>
      <c r="S180" s="8">
        <v>4192212</v>
      </c>
      <c r="U180" s="8">
        <v>407910</v>
      </c>
      <c r="W180" s="8">
        <v>0</v>
      </c>
      <c r="Y180" s="8">
        <v>0</v>
      </c>
      <c r="AA180" s="8">
        <v>443002</v>
      </c>
      <c r="AB180" s="39"/>
      <c r="AC180" s="8">
        <v>0</v>
      </c>
      <c r="AE180" s="8">
        <v>0</v>
      </c>
      <c r="AG180" s="8">
        <f t="shared" si="7"/>
        <v>8365950</v>
      </c>
      <c r="AH180" s="8"/>
      <c r="AI180" s="8">
        <f t="shared" si="8"/>
        <v>10875948</v>
      </c>
    </row>
    <row r="181" spans="1:35" ht="12" customHeight="1">
      <c r="A181" s="12" t="s">
        <v>628</v>
      </c>
      <c r="B181" s="12"/>
      <c r="C181" s="12" t="s">
        <v>79</v>
      </c>
      <c r="D181" s="12"/>
      <c r="E181" s="32">
        <v>44016</v>
      </c>
      <c r="G181" s="8">
        <v>1604206</v>
      </c>
      <c r="I181" s="8">
        <v>5418501</v>
      </c>
      <c r="K181" s="8">
        <v>16208</v>
      </c>
      <c r="M181" s="8">
        <f t="shared" si="6"/>
        <v>7038915</v>
      </c>
      <c r="O181" s="8">
        <f>10554497+862193</f>
        <v>11416690</v>
      </c>
      <c r="Q181" s="8">
        <v>6862519</v>
      </c>
      <c r="S181" s="8">
        <v>14937185</v>
      </c>
      <c r="U181" s="8">
        <v>414815</v>
      </c>
      <c r="W181" s="8">
        <v>1444249</v>
      </c>
      <c r="Y181" s="8">
        <v>0</v>
      </c>
      <c r="AA181" s="8">
        <v>373352</v>
      </c>
      <c r="AB181" s="39"/>
      <c r="AC181" s="8">
        <v>0</v>
      </c>
      <c r="AE181" s="8">
        <v>0</v>
      </c>
      <c r="AG181" s="8">
        <f t="shared" si="7"/>
        <v>35448810</v>
      </c>
      <c r="AH181" s="8"/>
      <c r="AI181" s="8">
        <f t="shared" si="8"/>
        <v>42487725</v>
      </c>
    </row>
    <row r="182" spans="1:35" ht="12" customHeight="1">
      <c r="A182" s="12" t="s">
        <v>723</v>
      </c>
      <c r="B182" s="12"/>
      <c r="C182" s="12" t="s">
        <v>70</v>
      </c>
      <c r="D182" s="12"/>
      <c r="E182" s="32">
        <v>50492</v>
      </c>
      <c r="G182" s="8">
        <v>405021</v>
      </c>
      <c r="I182" s="8">
        <v>2148042</v>
      </c>
      <c r="K182" s="8">
        <v>21963</v>
      </c>
      <c r="M182" s="8">
        <f t="shared" si="6"/>
        <v>2575026</v>
      </c>
      <c r="O182" s="8">
        <f>1230432+21542+171745</f>
        <v>1423719</v>
      </c>
      <c r="Q182" s="8">
        <v>0</v>
      </c>
      <c r="S182" s="8">
        <v>4893220</v>
      </c>
      <c r="U182" s="8">
        <v>21094</v>
      </c>
      <c r="W182" s="8">
        <v>0</v>
      </c>
      <c r="Y182" s="8">
        <v>0</v>
      </c>
      <c r="AA182" s="8">
        <f>14705+1113674</f>
        <v>1128379</v>
      </c>
      <c r="AB182" s="39"/>
      <c r="AC182" s="8">
        <v>0</v>
      </c>
      <c r="AE182" s="8">
        <v>0</v>
      </c>
      <c r="AG182" s="8">
        <f t="shared" si="7"/>
        <v>7466412</v>
      </c>
      <c r="AH182" s="8"/>
      <c r="AI182" s="8">
        <f t="shared" si="8"/>
        <v>10041438</v>
      </c>
    </row>
    <row r="183" spans="1:35" ht="12" customHeight="1">
      <c r="A183" s="12" t="s">
        <v>360</v>
      </c>
      <c r="B183" s="12"/>
      <c r="C183" s="12" t="s">
        <v>27</v>
      </c>
      <c r="D183" s="12"/>
      <c r="E183" s="32">
        <v>46961</v>
      </c>
      <c r="G183" s="8">
        <v>1199803</v>
      </c>
      <c r="I183" s="8">
        <v>4573343</v>
      </c>
      <c r="K183" s="8">
        <v>0</v>
      </c>
      <c r="M183" s="8">
        <f t="shared" si="6"/>
        <v>5773146</v>
      </c>
      <c r="O183" s="8">
        <f>46877562+1384065</f>
        <v>48261627</v>
      </c>
      <c r="Q183" s="8">
        <v>0</v>
      </c>
      <c r="S183" s="8">
        <v>19367447</v>
      </c>
      <c r="U183" s="8">
        <v>1152125</v>
      </c>
      <c r="W183" s="8">
        <v>1304735</v>
      </c>
      <c r="Y183" s="8">
        <v>0</v>
      </c>
      <c r="AA183" s="8">
        <v>58846</v>
      </c>
      <c r="AB183" s="39"/>
      <c r="AC183" s="8">
        <v>0</v>
      </c>
      <c r="AE183" s="8">
        <v>0</v>
      </c>
      <c r="AG183" s="8">
        <f t="shared" si="7"/>
        <v>70144780</v>
      </c>
      <c r="AH183" s="8"/>
      <c r="AI183" s="8">
        <f t="shared" si="8"/>
        <v>75917926</v>
      </c>
    </row>
    <row r="184" spans="1:35" ht="12" customHeight="1">
      <c r="A184" s="12" t="s">
        <v>298</v>
      </c>
      <c r="B184" s="12"/>
      <c r="C184" s="12" t="s">
        <v>114</v>
      </c>
      <c r="D184" s="12"/>
      <c r="E184" s="32">
        <v>44024</v>
      </c>
      <c r="G184" s="8">
        <v>771764</v>
      </c>
      <c r="I184" s="8">
        <v>2760451</v>
      </c>
      <c r="K184" s="8">
        <v>84991</v>
      </c>
      <c r="M184" s="8">
        <f t="shared" si="6"/>
        <v>3617206</v>
      </c>
      <c r="O184" s="8">
        <f>5005051+81993+779465</f>
        <v>5866509</v>
      </c>
      <c r="Q184" s="8">
        <v>0</v>
      </c>
      <c r="S184" s="8">
        <v>12585241</v>
      </c>
      <c r="U184" s="8">
        <v>544894</v>
      </c>
      <c r="W184" s="8">
        <v>491</v>
      </c>
      <c r="Y184" s="8">
        <v>55777</v>
      </c>
      <c r="AA184" s="8">
        <v>199210</v>
      </c>
      <c r="AB184" s="39"/>
      <c r="AC184" s="8">
        <v>0</v>
      </c>
      <c r="AE184" s="8">
        <v>235000</v>
      </c>
      <c r="AG184" s="8">
        <f t="shared" si="7"/>
        <v>19487122</v>
      </c>
      <c r="AH184" s="8"/>
      <c r="AI184" s="8">
        <f t="shared" si="8"/>
        <v>23104328</v>
      </c>
    </row>
    <row r="185" spans="1:35" ht="12" customHeight="1">
      <c r="A185" s="12" t="s">
        <v>379</v>
      </c>
      <c r="B185" s="12"/>
      <c r="C185" s="12" t="s">
        <v>29</v>
      </c>
      <c r="D185" s="12"/>
      <c r="E185" s="32">
        <v>65680</v>
      </c>
      <c r="G185" s="8">
        <v>1508802</v>
      </c>
      <c r="I185" s="8">
        <v>6411293</v>
      </c>
      <c r="K185" s="8">
        <v>130242</v>
      </c>
      <c r="M185" s="8">
        <f t="shared" si="6"/>
        <v>8050337</v>
      </c>
      <c r="O185" s="8">
        <f>7491393+2921555+369894</f>
        <v>10782842</v>
      </c>
      <c r="Q185" s="8">
        <v>0</v>
      </c>
      <c r="S185" s="8">
        <v>8701170</v>
      </c>
      <c r="U185" s="8">
        <v>2138282</v>
      </c>
      <c r="W185" s="8">
        <v>0</v>
      </c>
      <c r="Y185" s="8">
        <v>0</v>
      </c>
      <c r="AA185" s="8">
        <v>279112</v>
      </c>
      <c r="AB185" s="39"/>
      <c r="AC185" s="8">
        <v>0</v>
      </c>
      <c r="AE185" s="8">
        <v>0</v>
      </c>
      <c r="AG185" s="8">
        <f t="shared" si="7"/>
        <v>21901406</v>
      </c>
      <c r="AH185" s="8"/>
      <c r="AI185" s="8">
        <f t="shared" si="8"/>
        <v>29951743</v>
      </c>
    </row>
    <row r="186" spans="1:35" ht="12" customHeight="1">
      <c r="A186" s="12" t="s">
        <v>380</v>
      </c>
      <c r="B186" s="12"/>
      <c r="C186" s="12" t="s">
        <v>29</v>
      </c>
      <c r="D186" s="12"/>
      <c r="E186" s="32">
        <v>44032</v>
      </c>
      <c r="G186" s="8">
        <v>1071163</v>
      </c>
      <c r="I186" s="8">
        <v>3923662</v>
      </c>
      <c r="K186" s="8">
        <v>18048</v>
      </c>
      <c r="M186" s="8">
        <f t="shared" si="6"/>
        <v>5012873</v>
      </c>
      <c r="O186" s="8">
        <f>4714840+146846+1507365+209303</f>
        <v>6578354</v>
      </c>
      <c r="Q186" s="8">
        <v>0</v>
      </c>
      <c r="S186" s="8">
        <v>10509438</v>
      </c>
      <c r="U186" s="8">
        <v>2231036</v>
      </c>
      <c r="W186" s="8">
        <v>0</v>
      </c>
      <c r="Y186" s="8">
        <v>0</v>
      </c>
      <c r="AA186" s="8">
        <v>369036</v>
      </c>
      <c r="AB186" s="39"/>
      <c r="AC186" s="8">
        <v>0</v>
      </c>
      <c r="AE186" s="8">
        <v>0</v>
      </c>
      <c r="AG186" s="8">
        <f t="shared" si="7"/>
        <v>19687864</v>
      </c>
      <c r="AH186" s="8"/>
      <c r="AI186" s="8">
        <f t="shared" si="8"/>
        <v>24700737</v>
      </c>
    </row>
    <row r="187" spans="1:35" ht="12" customHeight="1">
      <c r="A187" s="12" t="s">
        <v>701</v>
      </c>
      <c r="B187" s="12"/>
      <c r="C187" s="12" t="s">
        <v>65</v>
      </c>
      <c r="D187" s="12"/>
      <c r="E187" s="32">
        <v>50278</v>
      </c>
      <c r="G187" s="8">
        <v>1019591</v>
      </c>
      <c r="I187" s="8">
        <v>982724</v>
      </c>
      <c r="K187" s="8">
        <v>19933</v>
      </c>
      <c r="M187" s="8">
        <f t="shared" si="6"/>
        <v>2022248</v>
      </c>
      <c r="O187" s="8">
        <f>4777807+191679+222822</f>
        <v>5192308</v>
      </c>
      <c r="Q187" s="8">
        <v>0</v>
      </c>
      <c r="S187" s="8">
        <v>4182725</v>
      </c>
      <c r="U187" s="8">
        <v>177386</v>
      </c>
      <c r="W187" s="8">
        <v>0</v>
      </c>
      <c r="Y187" s="8">
        <v>0</v>
      </c>
      <c r="AA187" s="8">
        <v>15782</v>
      </c>
      <c r="AB187" s="39"/>
      <c r="AC187" s="8">
        <v>0</v>
      </c>
      <c r="AE187" s="8">
        <v>0</v>
      </c>
      <c r="AG187" s="8">
        <f t="shared" si="7"/>
        <v>9568201</v>
      </c>
      <c r="AH187" s="8"/>
      <c r="AI187" s="8">
        <f t="shared" si="8"/>
        <v>11590449</v>
      </c>
    </row>
    <row r="188" spans="1:35" ht="12" hidden="1" customHeight="1">
      <c r="A188" s="12" t="s">
        <v>312</v>
      </c>
      <c r="B188" s="12"/>
      <c r="C188" s="12" t="s">
        <v>20</v>
      </c>
      <c r="D188" s="12"/>
      <c r="E188" s="32">
        <v>44040</v>
      </c>
      <c r="M188" s="8">
        <f t="shared" si="6"/>
        <v>0</v>
      </c>
      <c r="Q188" s="8">
        <v>0</v>
      </c>
      <c r="W188" s="8">
        <v>0</v>
      </c>
      <c r="Y188" s="8">
        <v>0</v>
      </c>
      <c r="AB188" s="39"/>
      <c r="AC188" s="8">
        <v>0</v>
      </c>
      <c r="AE188" s="8">
        <v>0</v>
      </c>
      <c r="AG188" s="8">
        <f t="shared" si="7"/>
        <v>0</v>
      </c>
      <c r="AH188" s="8"/>
      <c r="AI188" s="8">
        <f t="shared" si="8"/>
        <v>0</v>
      </c>
    </row>
    <row r="189" spans="1:35" ht="12" customHeight="1">
      <c r="A189" s="12" t="s">
        <v>936</v>
      </c>
      <c r="B189" s="12"/>
      <c r="C189" s="12" t="s">
        <v>12</v>
      </c>
      <c r="D189" s="12"/>
      <c r="E189" s="32">
        <v>44057</v>
      </c>
      <c r="F189" s="7"/>
      <c r="G189" s="8">
        <v>1755558</v>
      </c>
      <c r="I189" s="8">
        <v>2033552</v>
      </c>
      <c r="K189" s="8">
        <v>3062497</v>
      </c>
      <c r="M189" s="8">
        <f t="shared" si="6"/>
        <v>6851607</v>
      </c>
      <c r="O189" s="8">
        <f>6129386+1564047+248251</f>
        <v>7941684</v>
      </c>
      <c r="Q189" s="8">
        <v>0</v>
      </c>
      <c r="S189" s="8">
        <v>13814717</v>
      </c>
      <c r="U189" s="8">
        <v>396828</v>
      </c>
      <c r="W189" s="8">
        <v>141103</v>
      </c>
      <c r="Y189" s="8">
        <v>0</v>
      </c>
      <c r="AA189" s="8">
        <v>186239</v>
      </c>
      <c r="AB189" s="39"/>
      <c r="AC189" s="8">
        <v>0</v>
      </c>
      <c r="AE189" s="8">
        <v>0</v>
      </c>
      <c r="AG189" s="8">
        <f t="shared" si="7"/>
        <v>22480571</v>
      </c>
      <c r="AH189" s="8"/>
      <c r="AI189" s="8">
        <f t="shared" si="8"/>
        <v>29332178</v>
      </c>
    </row>
    <row r="190" spans="1:35" ht="12" customHeight="1">
      <c r="A190" s="12" t="s">
        <v>580</v>
      </c>
      <c r="B190" s="12"/>
      <c r="C190" s="12" t="s">
        <v>53</v>
      </c>
      <c r="D190" s="12"/>
      <c r="E190" s="32">
        <v>48942</v>
      </c>
      <c r="G190" s="8">
        <v>872069</v>
      </c>
      <c r="I190" s="8">
        <v>1031312</v>
      </c>
      <c r="K190" s="8">
        <v>65718</v>
      </c>
      <c r="M190" s="8">
        <f t="shared" si="6"/>
        <v>1969099</v>
      </c>
      <c r="O190" s="8">
        <f>3954942+419596+271152</f>
        <v>4645690</v>
      </c>
      <c r="Q190" s="8">
        <v>0</v>
      </c>
      <c r="S190" s="8">
        <v>6473031</v>
      </c>
      <c r="U190" s="8">
        <v>130572</v>
      </c>
      <c r="W190" s="8">
        <v>0</v>
      </c>
      <c r="Y190" s="8">
        <v>0</v>
      </c>
      <c r="AA190" s="8">
        <v>29688</v>
      </c>
      <c r="AB190" s="39"/>
      <c r="AC190" s="8">
        <v>0</v>
      </c>
      <c r="AE190" s="8">
        <v>0</v>
      </c>
      <c r="AG190" s="8">
        <f t="shared" si="7"/>
        <v>11278981</v>
      </c>
      <c r="AH190" s="8"/>
      <c r="AI190" s="8">
        <f t="shared" si="8"/>
        <v>13248080</v>
      </c>
    </row>
    <row r="191" spans="1:35" ht="12" customHeight="1">
      <c r="A191" s="12" t="s">
        <v>242</v>
      </c>
      <c r="B191" s="12"/>
      <c r="C191" s="12" t="s">
        <v>77</v>
      </c>
      <c r="D191" s="12"/>
      <c r="E191" s="32">
        <v>45377</v>
      </c>
      <c r="F191" s="7"/>
      <c r="G191" s="8">
        <v>672156</v>
      </c>
      <c r="I191" s="8">
        <v>1566971</v>
      </c>
      <c r="K191" s="8">
        <v>313544</v>
      </c>
      <c r="M191" s="8">
        <f t="shared" si="6"/>
        <v>2552671</v>
      </c>
      <c r="O191" s="8">
        <f>1396126+31212+232485+105904</f>
        <v>1765727</v>
      </c>
      <c r="Q191" s="8">
        <v>0</v>
      </c>
      <c r="S191" s="8">
        <v>4888005</v>
      </c>
      <c r="U191" s="8">
        <v>92891</v>
      </c>
      <c r="W191" s="8">
        <v>0</v>
      </c>
      <c r="Y191" s="8">
        <v>0</v>
      </c>
      <c r="AA191" s="8">
        <v>68791</v>
      </c>
      <c r="AB191" s="39"/>
      <c r="AC191" s="8">
        <v>0</v>
      </c>
      <c r="AE191" s="8">
        <v>-2383788</v>
      </c>
      <c r="AG191" s="8">
        <f t="shared" si="7"/>
        <v>4431626</v>
      </c>
      <c r="AH191" s="8"/>
      <c r="AI191" s="8">
        <f t="shared" si="8"/>
        <v>6984297</v>
      </c>
    </row>
    <row r="192" spans="1:35" ht="12" customHeight="1">
      <c r="A192" s="12" t="s">
        <v>629</v>
      </c>
      <c r="B192" s="12"/>
      <c r="C192" s="12" t="s">
        <v>79</v>
      </c>
      <c r="D192" s="12"/>
      <c r="E192" s="32">
        <v>45385</v>
      </c>
      <c r="G192" s="8">
        <v>815448</v>
      </c>
      <c r="I192" s="8">
        <v>1128989</v>
      </c>
      <c r="K192" s="8">
        <v>5906</v>
      </c>
      <c r="M192" s="8">
        <f t="shared" si="6"/>
        <v>1950343</v>
      </c>
      <c r="O192" s="8">
        <f>1919627+33080+562299+41945</f>
        <v>2556951</v>
      </c>
      <c r="Q192" s="8">
        <v>0</v>
      </c>
      <c r="S192" s="8">
        <v>5371753</v>
      </c>
      <c r="U192" s="8">
        <v>195284</v>
      </c>
      <c r="W192" s="8">
        <v>0</v>
      </c>
      <c r="Y192" s="8">
        <v>0</v>
      </c>
      <c r="AA192" s="8">
        <v>16806</v>
      </c>
      <c r="AB192" s="39"/>
      <c r="AC192" s="8">
        <v>0</v>
      </c>
      <c r="AE192" s="8">
        <v>0</v>
      </c>
      <c r="AG192" s="8">
        <f t="shared" si="7"/>
        <v>8140794</v>
      </c>
      <c r="AH192" s="8"/>
      <c r="AI192" s="8">
        <f t="shared" si="8"/>
        <v>10091137</v>
      </c>
    </row>
    <row r="193" spans="1:35" ht="12" customHeight="1">
      <c r="A193" s="12" t="s">
        <v>684</v>
      </c>
      <c r="B193" s="12"/>
      <c r="C193" s="12" t="s">
        <v>64</v>
      </c>
      <c r="D193" s="12"/>
      <c r="E193" s="32">
        <v>44065</v>
      </c>
      <c r="G193" s="8">
        <v>827803</v>
      </c>
      <c r="I193" s="8">
        <v>2989969</v>
      </c>
      <c r="K193" s="8">
        <v>7903</v>
      </c>
      <c r="M193" s="8">
        <f t="shared" si="6"/>
        <v>3825675</v>
      </c>
      <c r="O193" s="8">
        <f>4101040+719378+178562</f>
        <v>4998980</v>
      </c>
      <c r="Q193" s="8">
        <v>0</v>
      </c>
      <c r="S193" s="8">
        <f>7882590+20918632</f>
        <v>28801222</v>
      </c>
      <c r="U193" s="8">
        <v>480160</v>
      </c>
      <c r="W193" s="8">
        <v>0</v>
      </c>
      <c r="Y193" s="8">
        <v>0</v>
      </c>
      <c r="AA193" s="8">
        <v>96689</v>
      </c>
      <c r="AB193" s="39"/>
      <c r="AC193" s="8">
        <v>0</v>
      </c>
      <c r="AE193" s="8">
        <v>0</v>
      </c>
      <c r="AG193" s="8">
        <f t="shared" si="7"/>
        <v>34377051</v>
      </c>
      <c r="AH193" s="8"/>
      <c r="AI193" s="8">
        <f t="shared" si="8"/>
        <v>38202726</v>
      </c>
    </row>
    <row r="194" spans="1:35" ht="12" customHeight="1">
      <c r="A194" s="12" t="s">
        <v>374</v>
      </c>
      <c r="B194" s="12"/>
      <c r="C194" s="12" t="s">
        <v>28</v>
      </c>
      <c r="D194" s="12"/>
      <c r="E194" s="32">
        <v>47068</v>
      </c>
      <c r="G194" s="8">
        <v>279868</v>
      </c>
      <c r="I194" s="8">
        <v>664131</v>
      </c>
      <c r="K194" s="8">
        <v>64663</v>
      </c>
      <c r="M194" s="8">
        <f t="shared" si="6"/>
        <v>1008662</v>
      </c>
      <c r="O194" s="8">
        <f>1012855+290810+16604</f>
        <v>1320269</v>
      </c>
      <c r="Q194" s="8">
        <v>442977</v>
      </c>
      <c r="S194" s="8">
        <v>2497448</v>
      </c>
      <c r="U194" s="8">
        <v>481281</v>
      </c>
      <c r="W194" s="8">
        <v>0</v>
      </c>
      <c r="Y194" s="8">
        <v>677</v>
      </c>
      <c r="AA194" s="8">
        <v>111337</v>
      </c>
      <c r="AB194" s="39"/>
      <c r="AC194" s="8">
        <v>0</v>
      </c>
      <c r="AE194" s="8">
        <v>0</v>
      </c>
      <c r="AG194" s="8">
        <f t="shared" si="7"/>
        <v>4853989</v>
      </c>
      <c r="AH194" s="8"/>
      <c r="AI194" s="8">
        <f t="shared" si="8"/>
        <v>5862651</v>
      </c>
    </row>
    <row r="195" spans="1:35" ht="12" customHeight="1">
      <c r="A195" s="12" t="s">
        <v>273</v>
      </c>
      <c r="B195" s="12"/>
      <c r="C195" s="12" t="s">
        <v>116</v>
      </c>
      <c r="D195" s="12"/>
      <c r="E195" s="32">
        <v>46342</v>
      </c>
      <c r="F195" s="7"/>
      <c r="G195" s="8">
        <v>1465540</v>
      </c>
      <c r="I195" s="8">
        <v>3007359</v>
      </c>
      <c r="K195" s="8">
        <v>0</v>
      </c>
      <c r="M195" s="8">
        <f t="shared" si="6"/>
        <v>4472899</v>
      </c>
      <c r="O195" s="8">
        <f>4549548+569036+1041224+90099</f>
        <v>6249907</v>
      </c>
      <c r="Q195" s="8">
        <v>2863234</v>
      </c>
      <c r="S195" s="8">
        <v>11179655</v>
      </c>
      <c r="U195" s="8">
        <v>352093</v>
      </c>
      <c r="W195" s="8">
        <v>22560</v>
      </c>
      <c r="Y195" s="8">
        <v>0</v>
      </c>
      <c r="AA195" s="8">
        <f>226409+166071</f>
        <v>392480</v>
      </c>
      <c r="AB195" s="39"/>
      <c r="AC195" s="8">
        <v>0</v>
      </c>
      <c r="AE195" s="8">
        <v>0</v>
      </c>
      <c r="AG195" s="8">
        <f>SUM(O195:AE195)</f>
        <v>21059929</v>
      </c>
      <c r="AH195" s="8"/>
      <c r="AI195" s="8">
        <f t="shared" si="8"/>
        <v>25532828</v>
      </c>
    </row>
    <row r="196" spans="1:35" ht="12" customHeight="1">
      <c r="A196" s="12" t="s">
        <v>258</v>
      </c>
      <c r="B196" s="12"/>
      <c r="C196" s="12" t="s">
        <v>259</v>
      </c>
      <c r="D196" s="12"/>
      <c r="E196" s="32">
        <v>46193</v>
      </c>
      <c r="F196" s="7"/>
      <c r="G196" s="8">
        <v>1507784</v>
      </c>
      <c r="I196" s="8">
        <v>1080780</v>
      </c>
      <c r="K196" s="8">
        <v>0</v>
      </c>
      <c r="M196" s="8">
        <f t="shared" si="6"/>
        <v>2588564</v>
      </c>
      <c r="O196" s="8">
        <f>5004290+101493+1270484+292767</f>
        <v>6669034</v>
      </c>
      <c r="Q196" s="8">
        <v>0</v>
      </c>
      <c r="S196" s="8">
        <v>11658185</v>
      </c>
      <c r="U196" s="8">
        <v>204486</v>
      </c>
      <c r="W196" s="8">
        <v>0</v>
      </c>
      <c r="Y196" s="8">
        <v>0</v>
      </c>
      <c r="AA196" s="8">
        <v>361838</v>
      </c>
      <c r="AB196" s="39"/>
      <c r="AC196" s="8">
        <v>0</v>
      </c>
      <c r="AE196" s="8">
        <v>0</v>
      </c>
      <c r="AG196" s="8">
        <f t="shared" si="7"/>
        <v>18893543</v>
      </c>
      <c r="AH196" s="8"/>
      <c r="AI196" s="8">
        <f t="shared" si="8"/>
        <v>21482107</v>
      </c>
    </row>
    <row r="197" spans="1:35" ht="12" customHeight="1">
      <c r="A197" s="12" t="s">
        <v>222</v>
      </c>
      <c r="B197" s="12"/>
      <c r="C197" s="12" t="s">
        <v>12</v>
      </c>
      <c r="D197" s="12"/>
      <c r="E197" s="32">
        <v>45864</v>
      </c>
      <c r="F197" s="7"/>
      <c r="G197" s="8">
        <v>868539</v>
      </c>
      <c r="I197" s="8">
        <v>808828</v>
      </c>
      <c r="K197" s="8">
        <v>37760</v>
      </c>
      <c r="M197" s="8">
        <f t="shared" si="6"/>
        <v>1715127</v>
      </c>
      <c r="O197" s="8">
        <f>3139904+1032209+212457+55001</f>
        <v>4439571</v>
      </c>
      <c r="Q197" s="8">
        <v>0</v>
      </c>
      <c r="S197" s="8">
        <v>6690887</v>
      </c>
      <c r="U197" s="8">
        <v>535281</v>
      </c>
      <c r="W197" s="8">
        <v>0</v>
      </c>
      <c r="Y197" s="8">
        <v>0</v>
      </c>
      <c r="AA197" s="8">
        <v>115723</v>
      </c>
      <c r="AB197" s="39"/>
      <c r="AC197" s="8">
        <v>0</v>
      </c>
      <c r="AE197" s="8">
        <v>0</v>
      </c>
      <c r="AG197" s="8">
        <f t="shared" si="7"/>
        <v>11781462</v>
      </c>
      <c r="AH197" s="8"/>
      <c r="AI197" s="8">
        <f t="shared" si="8"/>
        <v>13496589</v>
      </c>
    </row>
    <row r="198" spans="1:35" ht="12" customHeight="1">
      <c r="A198" s="12" t="s">
        <v>361</v>
      </c>
      <c r="B198" s="12"/>
      <c r="C198" s="12" t="s">
        <v>27</v>
      </c>
      <c r="D198" s="12"/>
      <c r="E198" s="32">
        <v>44073</v>
      </c>
      <c r="G198" s="8">
        <v>431189</v>
      </c>
      <c r="I198" s="8">
        <v>547024</v>
      </c>
      <c r="K198" s="8">
        <v>0</v>
      </c>
      <c r="M198" s="8">
        <f t="shared" si="6"/>
        <v>978213</v>
      </c>
      <c r="O198" s="8">
        <f>10286263+860783+305518</f>
        <v>11452564</v>
      </c>
      <c r="Q198" s="8">
        <v>0</v>
      </c>
      <c r="S198" s="8">
        <v>0</v>
      </c>
      <c r="U198" s="8">
        <v>380320</v>
      </c>
      <c r="W198" s="8">
        <v>0</v>
      </c>
      <c r="Y198" s="8">
        <v>0</v>
      </c>
      <c r="AA198" s="8">
        <f>3811135+97435</f>
        <v>3908570</v>
      </c>
      <c r="AB198" s="39"/>
      <c r="AC198" s="8">
        <v>0</v>
      </c>
      <c r="AE198" s="8">
        <v>0</v>
      </c>
      <c r="AG198" s="8">
        <f t="shared" si="7"/>
        <v>15741454</v>
      </c>
      <c r="AH198" s="8"/>
      <c r="AI198" s="8">
        <f t="shared" si="8"/>
        <v>16719667</v>
      </c>
    </row>
    <row r="199" spans="1:35" ht="12" customHeight="1">
      <c r="A199" s="12" t="s">
        <v>478</v>
      </c>
      <c r="B199" s="12"/>
      <c r="C199" s="12" t="s">
        <v>42</v>
      </c>
      <c r="D199" s="12"/>
      <c r="E199" s="32">
        <v>45393</v>
      </c>
      <c r="G199" s="8">
        <v>627651</v>
      </c>
      <c r="I199" s="8">
        <v>1742492</v>
      </c>
      <c r="K199" s="8">
        <v>91695</v>
      </c>
      <c r="M199" s="8">
        <f>SUM(G199:L199)</f>
        <v>2461838</v>
      </c>
      <c r="O199" s="8">
        <f>12821992+2877982+437674+141129+677</f>
        <v>16279454</v>
      </c>
      <c r="Q199" s="8">
        <v>0</v>
      </c>
      <c r="S199" s="8">
        <v>6962249</v>
      </c>
      <c r="U199" s="8">
        <v>545488</v>
      </c>
      <c r="W199" s="8">
        <v>0</v>
      </c>
      <c r="Y199" s="8">
        <v>0</v>
      </c>
      <c r="AA199" s="8">
        <v>32966</v>
      </c>
      <c r="AB199" s="39"/>
      <c r="AC199" s="8">
        <v>0</v>
      </c>
      <c r="AE199" s="8">
        <v>0</v>
      </c>
      <c r="AG199" s="8">
        <f>SUM(O199:AE199)</f>
        <v>23820157</v>
      </c>
      <c r="AH199" s="8"/>
      <c r="AI199" s="8">
        <f>+AG199+M199</f>
        <v>26281995</v>
      </c>
    </row>
    <row r="200" spans="1:35" ht="12" customHeight="1">
      <c r="A200" s="12" t="s">
        <v>633</v>
      </c>
      <c r="B200" s="12"/>
      <c r="C200" s="12" t="s">
        <v>59</v>
      </c>
      <c r="D200" s="12"/>
      <c r="E200" s="32">
        <v>49619</v>
      </c>
      <c r="G200" s="8">
        <v>447979</v>
      </c>
      <c r="I200" s="8">
        <v>1527851</v>
      </c>
      <c r="K200" s="8">
        <v>0</v>
      </c>
      <c r="M200" s="8">
        <f>SUM(G200:L200)</f>
        <v>1975830</v>
      </c>
      <c r="O200" s="8">
        <v>1566904</v>
      </c>
      <c r="Q200" s="8">
        <v>0</v>
      </c>
      <c r="S200" s="8">
        <v>2674211</v>
      </c>
      <c r="U200" s="8">
        <v>53668</v>
      </c>
      <c r="W200" s="8">
        <v>253980</v>
      </c>
      <c r="Y200" s="8">
        <v>3650</v>
      </c>
      <c r="AA200" s="8">
        <f>174540+12050</f>
        <v>186590</v>
      </c>
      <c r="AB200" s="39"/>
      <c r="AC200" s="8">
        <v>0</v>
      </c>
      <c r="AE200" s="8">
        <v>0</v>
      </c>
      <c r="AG200" s="8">
        <f>SUM(O200:AE200)</f>
        <v>4739003</v>
      </c>
      <c r="AH200" s="8"/>
      <c r="AI200" s="8">
        <f>+AG200+M200</f>
        <v>6714833</v>
      </c>
    </row>
    <row r="201" spans="1:35" ht="12" customHeight="1">
      <c r="A201" s="12" t="s">
        <v>633</v>
      </c>
      <c r="B201" s="12"/>
      <c r="C201" s="12" t="s">
        <v>63</v>
      </c>
      <c r="D201" s="12"/>
      <c r="E201" s="32">
        <v>50013</v>
      </c>
      <c r="G201" s="8">
        <v>2090615</v>
      </c>
      <c r="I201" s="8">
        <v>2043893</v>
      </c>
      <c r="K201" s="8">
        <v>340615</v>
      </c>
      <c r="M201" s="8">
        <f>SUM(G201:L201)</f>
        <v>4475123</v>
      </c>
      <c r="O201" s="8">
        <f>16607411+3427708+1136678</f>
        <v>21171797</v>
      </c>
      <c r="Q201" s="8">
        <v>0</v>
      </c>
      <c r="S201" s="8">
        <v>14328672</v>
      </c>
      <c r="U201" s="8">
        <v>484812</v>
      </c>
      <c r="W201" s="8">
        <v>0</v>
      </c>
      <c r="Y201" s="8">
        <v>0</v>
      </c>
      <c r="AA201" s="8">
        <v>198084</v>
      </c>
      <c r="AB201" s="39"/>
      <c r="AC201" s="8">
        <v>0</v>
      </c>
      <c r="AE201" s="8">
        <v>0</v>
      </c>
      <c r="AG201" s="8">
        <f>SUM(O201:AE201)</f>
        <v>36183365</v>
      </c>
      <c r="AH201" s="8"/>
      <c r="AI201" s="8">
        <f>+AG201+M201</f>
        <v>40658488</v>
      </c>
    </row>
    <row r="202" spans="1:35" ht="12" customHeight="1">
      <c r="A202" s="12" t="s">
        <v>633</v>
      </c>
      <c r="B202" s="12"/>
      <c r="C202" s="12" t="s">
        <v>71</v>
      </c>
      <c r="D202" s="12"/>
      <c r="E202" s="32">
        <v>50559</v>
      </c>
      <c r="G202" s="8">
        <v>862185</v>
      </c>
      <c r="I202" s="8">
        <v>570011</v>
      </c>
      <c r="K202" s="8">
        <v>0</v>
      </c>
      <c r="M202" s="8">
        <f>SUM(G202:L202)</f>
        <v>1432196</v>
      </c>
      <c r="O202" s="8">
        <f>3893756+201437</f>
        <v>4095193</v>
      </c>
      <c r="Q202" s="8">
        <v>0</v>
      </c>
      <c r="S202" s="8">
        <v>6055192</v>
      </c>
      <c r="U202" s="8">
        <v>54588</v>
      </c>
      <c r="W202" s="8">
        <v>0</v>
      </c>
      <c r="Y202" s="8">
        <v>0</v>
      </c>
      <c r="AA202" s="8">
        <v>322495</v>
      </c>
      <c r="AB202" s="39"/>
      <c r="AC202" s="8">
        <v>0</v>
      </c>
      <c r="AE202" s="8">
        <v>0</v>
      </c>
      <c r="AG202" s="8">
        <f>SUM(O202:AE202)</f>
        <v>10527468</v>
      </c>
      <c r="AH202" s="8"/>
      <c r="AI202" s="8">
        <f>+AG202+M202</f>
        <v>11959664</v>
      </c>
    </row>
    <row r="203" spans="1:35" ht="12" customHeight="1">
      <c r="A203" s="12" t="s">
        <v>390</v>
      </c>
      <c r="B203" s="12"/>
      <c r="C203" s="12" t="s">
        <v>117</v>
      </c>
      <c r="D203" s="12"/>
      <c r="E203" s="32">
        <v>47266</v>
      </c>
      <c r="G203" s="8">
        <v>1103464</v>
      </c>
      <c r="I203" s="8">
        <v>715355</v>
      </c>
      <c r="K203" s="8">
        <v>0</v>
      </c>
      <c r="M203" s="8">
        <f>SUM(G203:L203)</f>
        <v>1818819</v>
      </c>
      <c r="O203" s="8">
        <f>3156428+578306+194558</f>
        <v>3929292</v>
      </c>
      <c r="Q203" s="8">
        <v>1665531</v>
      </c>
      <c r="S203" s="8">
        <v>6394736</v>
      </c>
      <c r="U203" s="8">
        <v>155436</v>
      </c>
      <c r="W203" s="8">
        <v>0</v>
      </c>
      <c r="Y203" s="8">
        <v>22840</v>
      </c>
      <c r="AA203" s="8">
        <f>43173+50712</f>
        <v>93885</v>
      </c>
      <c r="AB203" s="39"/>
      <c r="AC203" s="8">
        <v>0</v>
      </c>
      <c r="AE203" s="8">
        <v>0</v>
      </c>
      <c r="AG203" s="8">
        <f>SUM(O203:AE203)</f>
        <v>12261720</v>
      </c>
      <c r="AH203" s="8"/>
      <c r="AI203" s="8">
        <f>+AG203+M203</f>
        <v>14080539</v>
      </c>
    </row>
    <row r="204" spans="1:35" s="8" customFormat="1" ht="12" customHeight="1">
      <c r="A204" s="13" t="s">
        <v>442</v>
      </c>
      <c r="B204" s="13"/>
      <c r="C204" s="13" t="s">
        <v>440</v>
      </c>
      <c r="D204" s="13"/>
      <c r="E204" s="13">
        <v>45401</v>
      </c>
      <c r="G204" s="8">
        <v>970661</v>
      </c>
      <c r="I204" s="8">
        <v>2784886</v>
      </c>
      <c r="K204" s="8">
        <v>41610</v>
      </c>
      <c r="M204" s="8">
        <f t="shared" ref="M204:M269" si="9">SUM(G204:L204)</f>
        <v>3797157</v>
      </c>
      <c r="O204" s="8">
        <f>2950905+319710+62194</f>
        <v>3332809</v>
      </c>
      <c r="Q204" s="8">
        <v>1919052</v>
      </c>
      <c r="S204" s="8">
        <v>10852811</v>
      </c>
      <c r="U204" s="8">
        <v>136504</v>
      </c>
      <c r="W204" s="8">
        <v>0</v>
      </c>
      <c r="Y204" s="8">
        <v>0</v>
      </c>
      <c r="AA204" s="8">
        <v>221109</v>
      </c>
      <c r="AB204" s="39"/>
      <c r="AC204" s="8">
        <v>0</v>
      </c>
      <c r="AE204" s="8">
        <v>0</v>
      </c>
      <c r="AG204" s="8">
        <f t="shared" ref="AG204:AG270" si="10">SUM(O204:AE204)</f>
        <v>16462285</v>
      </c>
      <c r="AI204" s="8">
        <f t="shared" ref="AI204:AI269" si="11">+AG204+M204</f>
        <v>20259442</v>
      </c>
    </row>
    <row r="205" spans="1:35" s="8" customFormat="1" ht="12" customHeight="1">
      <c r="A205" s="13" t="s">
        <v>265</v>
      </c>
      <c r="B205" s="13"/>
      <c r="C205" s="13" t="s">
        <v>17</v>
      </c>
      <c r="D205" s="13"/>
      <c r="E205" s="13">
        <v>46235</v>
      </c>
      <c r="F205" s="11"/>
      <c r="G205" s="8">
        <v>1440747</v>
      </c>
      <c r="I205" s="8">
        <v>887758</v>
      </c>
      <c r="K205" s="8">
        <v>0</v>
      </c>
      <c r="M205" s="8">
        <f t="shared" si="9"/>
        <v>2328505</v>
      </c>
      <c r="O205" s="8">
        <v>5676227</v>
      </c>
      <c r="Q205" s="8">
        <v>0</v>
      </c>
      <c r="S205" s="8">
        <v>7904615</v>
      </c>
      <c r="U205" s="8">
        <v>167288</v>
      </c>
      <c r="W205" s="8">
        <v>10207</v>
      </c>
      <c r="Y205" s="8">
        <v>0</v>
      </c>
      <c r="AA205" s="8">
        <v>38571</v>
      </c>
      <c r="AB205" s="39"/>
      <c r="AC205" s="8">
        <v>0</v>
      </c>
      <c r="AE205" s="8">
        <v>0</v>
      </c>
      <c r="AG205" s="8">
        <f t="shared" si="10"/>
        <v>13796908</v>
      </c>
      <c r="AI205" s="8">
        <f t="shared" si="11"/>
        <v>16125413</v>
      </c>
    </row>
    <row r="206" spans="1:35" ht="12" customHeight="1">
      <c r="A206" s="12" t="s">
        <v>331</v>
      </c>
      <c r="B206" s="12"/>
      <c r="C206" s="12" t="s">
        <v>21</v>
      </c>
      <c r="D206" s="12"/>
      <c r="E206" s="32">
        <v>44099</v>
      </c>
      <c r="G206" s="8">
        <v>1381223</v>
      </c>
      <c r="I206" s="8">
        <v>3465458</v>
      </c>
      <c r="K206" s="8">
        <v>130802</v>
      </c>
      <c r="M206" s="8">
        <f t="shared" si="9"/>
        <v>4977483</v>
      </c>
      <c r="O206" s="8">
        <f>8642312+479540</f>
        <v>9121852</v>
      </c>
      <c r="Q206" s="8">
        <v>1964530</v>
      </c>
      <c r="S206" s="8">
        <v>12327239</v>
      </c>
      <c r="U206" s="8">
        <v>424570</v>
      </c>
      <c r="W206" s="8">
        <v>189095</v>
      </c>
      <c r="Y206" s="8">
        <v>0</v>
      </c>
      <c r="AA206" s="8">
        <v>96224</v>
      </c>
      <c r="AB206" s="39"/>
      <c r="AC206" s="8">
        <v>0</v>
      </c>
      <c r="AE206" s="8">
        <v>0</v>
      </c>
      <c r="AG206" s="8">
        <f t="shared" si="10"/>
        <v>24123510</v>
      </c>
      <c r="AH206" s="8"/>
      <c r="AI206" s="8">
        <f t="shared" si="11"/>
        <v>29100993</v>
      </c>
    </row>
    <row r="207" spans="1:35" ht="12" hidden="1" customHeight="1">
      <c r="A207" s="12" t="s">
        <v>362</v>
      </c>
      <c r="B207" s="12"/>
      <c r="C207" s="12" t="s">
        <v>27</v>
      </c>
      <c r="D207" s="12"/>
      <c r="E207" s="32">
        <v>46979</v>
      </c>
      <c r="M207" s="8">
        <f t="shared" si="9"/>
        <v>0</v>
      </c>
      <c r="W207" s="8">
        <v>0</v>
      </c>
      <c r="Y207" s="8">
        <v>0</v>
      </c>
      <c r="AA207" s="8">
        <v>0</v>
      </c>
      <c r="AB207" s="39"/>
      <c r="AC207" s="8">
        <v>0</v>
      </c>
      <c r="AE207" s="8">
        <v>0</v>
      </c>
      <c r="AG207" s="8">
        <f t="shared" si="10"/>
        <v>0</v>
      </c>
      <c r="AH207" s="8"/>
      <c r="AI207" s="8">
        <f t="shared" si="11"/>
        <v>0</v>
      </c>
    </row>
    <row r="208" spans="1:35" ht="12" customHeight="1">
      <c r="A208" s="12" t="s">
        <v>248</v>
      </c>
      <c r="B208" s="12"/>
      <c r="C208" s="12" t="s">
        <v>246</v>
      </c>
      <c r="D208" s="12"/>
      <c r="E208" s="32">
        <v>44107</v>
      </c>
      <c r="F208" s="7"/>
      <c r="G208" s="8">
        <v>996153</v>
      </c>
      <c r="I208" s="8">
        <v>17730797</v>
      </c>
      <c r="K208" s="8">
        <v>87386</v>
      </c>
      <c r="M208" s="8">
        <f>SUM(G208:L208)</f>
        <v>18814336</v>
      </c>
      <c r="O208" s="8">
        <f>19026683+7379543+3026260</f>
        <v>29432486</v>
      </c>
      <c r="Q208" s="8">
        <v>0</v>
      </c>
      <c r="S208" s="8">
        <f>124922187+47421169</f>
        <v>172343356</v>
      </c>
      <c r="U208" s="8">
        <v>3227422</v>
      </c>
      <c r="W208" s="8">
        <v>0</v>
      </c>
      <c r="Y208" s="8">
        <v>0</v>
      </c>
      <c r="AA208" s="8">
        <v>1695518</v>
      </c>
      <c r="AB208" s="39"/>
      <c r="AC208" s="8">
        <v>0</v>
      </c>
      <c r="AE208" s="8">
        <v>0</v>
      </c>
      <c r="AG208" s="8">
        <f>SUM(O208:AE208)</f>
        <v>206698782</v>
      </c>
      <c r="AH208" s="8"/>
      <c r="AI208" s="8">
        <f t="shared" si="11"/>
        <v>225513118</v>
      </c>
    </row>
    <row r="209" spans="1:35" ht="12" customHeight="1">
      <c r="A209" s="12" t="s">
        <v>363</v>
      </c>
      <c r="B209" s="12"/>
      <c r="C209" s="12" t="s">
        <v>27</v>
      </c>
      <c r="D209" s="12"/>
      <c r="E209" s="32">
        <v>46953</v>
      </c>
      <c r="G209" s="8">
        <v>890461</v>
      </c>
      <c r="I209" s="8">
        <v>2689433</v>
      </c>
      <c r="K209" s="8">
        <v>0</v>
      </c>
      <c r="M209" s="8">
        <f t="shared" si="9"/>
        <v>3579894</v>
      </c>
      <c r="O209" s="8">
        <f>4835679+1872096+387381</f>
        <v>7095156</v>
      </c>
      <c r="Q209" s="8">
        <v>0</v>
      </c>
      <c r="S209" s="8">
        <v>14840631</v>
      </c>
      <c r="U209" s="8">
        <v>1200506</v>
      </c>
      <c r="W209" s="8">
        <v>1732206</v>
      </c>
      <c r="Y209" s="8">
        <v>0</v>
      </c>
      <c r="AA209" s="8">
        <f>6552505+467470</f>
        <v>7019975</v>
      </c>
      <c r="AB209" s="39"/>
      <c r="AC209" s="8">
        <v>0</v>
      </c>
      <c r="AE209" s="8">
        <v>0</v>
      </c>
      <c r="AG209" s="8">
        <f t="shared" si="10"/>
        <v>31888474</v>
      </c>
      <c r="AH209" s="8"/>
      <c r="AI209" s="8">
        <f t="shared" si="11"/>
        <v>35468368</v>
      </c>
    </row>
    <row r="210" spans="1:35" ht="12" customHeight="1">
      <c r="A210" s="12" t="s">
        <v>427</v>
      </c>
      <c r="B210" s="12"/>
      <c r="C210" s="12" t="s">
        <v>426</v>
      </c>
      <c r="D210" s="12"/>
      <c r="E210" s="32">
        <v>47498</v>
      </c>
      <c r="G210" s="8">
        <v>491212</v>
      </c>
      <c r="I210" s="8">
        <v>184995</v>
      </c>
      <c r="K210" s="8">
        <v>16428</v>
      </c>
      <c r="M210" s="8">
        <f t="shared" si="9"/>
        <v>692635</v>
      </c>
      <c r="O210" s="8">
        <f>1001869+10139+124667+92885</f>
        <v>1229560</v>
      </c>
      <c r="Q210" s="8">
        <v>703136</v>
      </c>
      <c r="S210" s="8">
        <v>2406575</v>
      </c>
      <c r="U210" s="8">
        <v>134518</v>
      </c>
      <c r="W210" s="8">
        <v>0</v>
      </c>
      <c r="Y210" s="8">
        <v>0</v>
      </c>
      <c r="AA210" s="8">
        <v>9718</v>
      </c>
      <c r="AB210" s="39"/>
      <c r="AC210" s="8">
        <v>0</v>
      </c>
      <c r="AE210" s="8">
        <v>0</v>
      </c>
      <c r="AG210" s="8">
        <f t="shared" si="10"/>
        <v>4483507</v>
      </c>
      <c r="AH210" s="8"/>
      <c r="AI210" s="8">
        <f t="shared" si="11"/>
        <v>5176142</v>
      </c>
    </row>
    <row r="211" spans="1:35" ht="12" customHeight="1">
      <c r="A211" s="12" t="s">
        <v>650</v>
      </c>
      <c r="B211" s="12"/>
      <c r="C211" s="12" t="s">
        <v>61</v>
      </c>
      <c r="D211" s="12"/>
      <c r="E211" s="32">
        <v>49791</v>
      </c>
      <c r="G211" s="8">
        <v>900229</v>
      </c>
      <c r="I211" s="8">
        <v>534425</v>
      </c>
      <c r="K211" s="8">
        <v>9758</v>
      </c>
      <c r="M211" s="8">
        <f t="shared" si="9"/>
        <v>1444412</v>
      </c>
      <c r="O211" s="8">
        <f>1765690+18041</f>
        <v>1783731</v>
      </c>
      <c r="Q211" s="8">
        <f>464386+232193</f>
        <v>696579</v>
      </c>
      <c r="S211" s="8">
        <v>4364287</v>
      </c>
      <c r="U211" s="8">
        <v>135987</v>
      </c>
      <c r="W211" s="8">
        <v>0</v>
      </c>
      <c r="Y211" s="8">
        <v>2195</v>
      </c>
      <c r="AA211" s="8">
        <v>13651</v>
      </c>
      <c r="AB211" s="39"/>
      <c r="AC211" s="8">
        <v>0</v>
      </c>
      <c r="AE211" s="8">
        <v>0</v>
      </c>
      <c r="AG211" s="8">
        <f t="shared" si="10"/>
        <v>6996430</v>
      </c>
      <c r="AH211" s="8"/>
      <c r="AI211" s="8">
        <f t="shared" si="11"/>
        <v>8440842</v>
      </c>
    </row>
    <row r="212" spans="1:35" ht="12" customHeight="1">
      <c r="A212" s="12" t="s">
        <v>434</v>
      </c>
      <c r="B212" s="12"/>
      <c r="C212" s="12" t="s">
        <v>433</v>
      </c>
      <c r="D212" s="12"/>
      <c r="E212" s="32">
        <v>45245</v>
      </c>
      <c r="G212" s="8">
        <v>606708</v>
      </c>
      <c r="I212" s="8">
        <v>3483964</v>
      </c>
      <c r="K212" s="8">
        <v>22070</v>
      </c>
      <c r="M212" s="8">
        <f t="shared" si="9"/>
        <v>4112742</v>
      </c>
      <c r="O212" s="8">
        <f>4289568+373819</f>
        <v>4663387</v>
      </c>
      <c r="Q212" s="8">
        <v>0</v>
      </c>
      <c r="S212" s="8">
        <v>10435419</v>
      </c>
      <c r="U212" s="8">
        <v>356338</v>
      </c>
      <c r="W212" s="8">
        <v>0</v>
      </c>
      <c r="Y212" s="8">
        <v>0</v>
      </c>
      <c r="AA212" s="8">
        <v>33679</v>
      </c>
      <c r="AB212" s="39"/>
      <c r="AC212" s="8">
        <v>0</v>
      </c>
      <c r="AE212" s="8">
        <v>0</v>
      </c>
      <c r="AG212" s="8">
        <f t="shared" si="10"/>
        <v>15488823</v>
      </c>
      <c r="AH212" s="8"/>
      <c r="AI212" s="8">
        <f t="shared" si="11"/>
        <v>19601565</v>
      </c>
    </row>
    <row r="213" spans="1:35" ht="12" customHeight="1">
      <c r="A213" s="12" t="s">
        <v>479</v>
      </c>
      <c r="B213" s="12"/>
      <c r="C213" s="12" t="s">
        <v>42</v>
      </c>
      <c r="D213" s="12"/>
      <c r="E213" s="32">
        <v>44115</v>
      </c>
      <c r="G213" s="8">
        <v>573994</v>
      </c>
      <c r="I213" s="8">
        <v>975399</v>
      </c>
      <c r="K213" s="8">
        <v>5416</v>
      </c>
      <c r="M213" s="8">
        <f t="shared" si="9"/>
        <v>1554809</v>
      </c>
      <c r="O213" s="8">
        <f>7716065+1351190+212373</f>
        <v>9279628</v>
      </c>
      <c r="Q213" s="8">
        <v>0</v>
      </c>
      <c r="S213" s="8">
        <v>5871413</v>
      </c>
      <c r="U213" s="8">
        <v>189225</v>
      </c>
      <c r="W213" s="8">
        <v>0</v>
      </c>
      <c r="Y213" s="8">
        <v>0</v>
      </c>
      <c r="AA213" s="8">
        <v>377953</v>
      </c>
      <c r="AB213" s="39"/>
      <c r="AC213" s="8">
        <v>0</v>
      </c>
      <c r="AE213" s="8">
        <v>0</v>
      </c>
      <c r="AG213" s="8">
        <f t="shared" si="10"/>
        <v>15718219</v>
      </c>
      <c r="AH213" s="8"/>
      <c r="AI213" s="8">
        <f t="shared" si="11"/>
        <v>17273028</v>
      </c>
    </row>
    <row r="214" spans="1:35" ht="12" hidden="1" customHeight="1">
      <c r="A214" s="12" t="s">
        <v>335</v>
      </c>
      <c r="B214" s="12"/>
      <c r="C214" s="12" t="s">
        <v>22</v>
      </c>
      <c r="D214" s="12"/>
      <c r="E214" s="32">
        <v>45419</v>
      </c>
      <c r="M214" s="8">
        <f t="shared" si="9"/>
        <v>0</v>
      </c>
      <c r="O214" s="8">
        <v>0</v>
      </c>
      <c r="Q214" s="8">
        <v>0</v>
      </c>
      <c r="S214" s="8">
        <v>0</v>
      </c>
      <c r="U214" s="8">
        <v>0</v>
      </c>
      <c r="W214" s="8">
        <v>0</v>
      </c>
      <c r="Y214" s="8">
        <v>0</v>
      </c>
      <c r="AA214" s="8">
        <v>0</v>
      </c>
      <c r="AB214" s="39"/>
      <c r="AC214" s="8">
        <v>0</v>
      </c>
      <c r="AE214" s="8">
        <v>0</v>
      </c>
      <c r="AG214" s="8">
        <f t="shared" si="10"/>
        <v>0</v>
      </c>
      <c r="AH214" s="8"/>
      <c r="AI214" s="8">
        <f t="shared" si="11"/>
        <v>0</v>
      </c>
    </row>
    <row r="215" spans="1:35" ht="12" customHeight="1">
      <c r="A215" s="12" t="s">
        <v>534</v>
      </c>
      <c r="B215" s="12"/>
      <c r="C215" s="12" t="s">
        <v>47</v>
      </c>
      <c r="D215" s="12"/>
      <c r="E215" s="32">
        <v>48496</v>
      </c>
      <c r="G215" s="8">
        <v>1715014</v>
      </c>
      <c r="I215" s="8">
        <v>969348</v>
      </c>
      <c r="K215" s="8">
        <v>13013</v>
      </c>
      <c r="M215" s="8">
        <f t="shared" si="9"/>
        <v>2697375</v>
      </c>
      <c r="O215" s="8">
        <f>13853173+2673131</f>
        <v>16526304</v>
      </c>
      <c r="Q215" s="8">
        <v>0</v>
      </c>
      <c r="S215" s="8">
        <v>7639433</v>
      </c>
      <c r="U215" s="8">
        <v>710732</v>
      </c>
      <c r="W215" s="8">
        <v>0</v>
      </c>
      <c r="Y215" s="8">
        <v>9641</v>
      </c>
      <c r="AA215" s="8">
        <f>313020+489997</f>
        <v>803017</v>
      </c>
      <c r="AB215" s="39"/>
      <c r="AC215" s="8">
        <v>0</v>
      </c>
      <c r="AE215" s="8">
        <v>0</v>
      </c>
      <c r="AG215" s="8">
        <f t="shared" si="10"/>
        <v>25689127</v>
      </c>
      <c r="AH215" s="8"/>
      <c r="AI215" s="8">
        <f t="shared" si="11"/>
        <v>28386502</v>
      </c>
    </row>
    <row r="216" spans="1:35" ht="12" customHeight="1">
      <c r="A216" s="12" t="s">
        <v>534</v>
      </c>
      <c r="B216" s="12"/>
      <c r="C216" s="12" t="s">
        <v>78</v>
      </c>
      <c r="D216" s="12"/>
      <c r="E216" s="32">
        <v>48801</v>
      </c>
      <c r="G216" s="8">
        <v>506008</v>
      </c>
      <c r="I216" s="8">
        <v>2706792</v>
      </c>
      <c r="K216" s="8">
        <v>16702</v>
      </c>
      <c r="M216" s="8">
        <f t="shared" si="9"/>
        <v>3229502</v>
      </c>
      <c r="O216" s="8">
        <f>3555928+94529+448399+549232</f>
        <v>4648088</v>
      </c>
      <c r="Q216" s="8">
        <v>969498</v>
      </c>
      <c r="S216" s="8">
        <v>8018951</v>
      </c>
      <c r="U216" s="8">
        <v>308701</v>
      </c>
      <c r="W216" s="8">
        <v>0</v>
      </c>
      <c r="Y216" s="8">
        <v>0</v>
      </c>
      <c r="AA216" s="8">
        <v>309938</v>
      </c>
      <c r="AB216" s="39"/>
      <c r="AC216" s="8">
        <v>0</v>
      </c>
      <c r="AE216" s="8">
        <v>0</v>
      </c>
      <c r="AG216" s="8">
        <f t="shared" si="10"/>
        <v>14255176</v>
      </c>
      <c r="AH216" s="8"/>
      <c r="AI216" s="8">
        <f t="shared" si="11"/>
        <v>17484678</v>
      </c>
    </row>
    <row r="217" spans="1:35" ht="12" customHeight="1">
      <c r="A217" s="12" t="s">
        <v>364</v>
      </c>
      <c r="B217" s="12"/>
      <c r="C217" s="12" t="s">
        <v>27</v>
      </c>
      <c r="D217" s="12"/>
      <c r="E217" s="32">
        <v>47019</v>
      </c>
      <c r="G217" s="8">
        <v>7871847</v>
      </c>
      <c r="I217" s="8">
        <v>6712834</v>
      </c>
      <c r="K217" s="8">
        <v>0</v>
      </c>
      <c r="M217" s="8">
        <f t="shared" si="9"/>
        <v>14584681</v>
      </c>
      <c r="O217" s="8">
        <f>75988748+12438423+3954210</f>
        <v>92381381</v>
      </c>
      <c r="Q217" s="8">
        <v>0</v>
      </c>
      <c r="S217" s="8">
        <v>54444629</v>
      </c>
      <c r="U217" s="8">
        <v>5146726</v>
      </c>
      <c r="W217" s="8">
        <v>0</v>
      </c>
      <c r="Y217" s="8">
        <v>0</v>
      </c>
      <c r="AA217" s="8">
        <v>2457668</v>
      </c>
      <c r="AB217" s="39"/>
      <c r="AC217" s="8">
        <v>0</v>
      </c>
      <c r="AE217" s="8">
        <v>0</v>
      </c>
      <c r="AG217" s="8">
        <f t="shared" si="10"/>
        <v>154430404</v>
      </c>
      <c r="AH217" s="8"/>
      <c r="AI217" s="8">
        <f t="shared" si="11"/>
        <v>169015085</v>
      </c>
    </row>
    <row r="218" spans="1:35" ht="12" customHeight="1">
      <c r="A218" s="12" t="s">
        <v>443</v>
      </c>
      <c r="B218" s="12"/>
      <c r="C218" s="12" t="s">
        <v>440</v>
      </c>
      <c r="D218" s="12"/>
      <c r="E218" s="32">
        <v>44123</v>
      </c>
      <c r="G218" s="8">
        <v>1457216</v>
      </c>
      <c r="I218" s="8">
        <v>4316519</v>
      </c>
      <c r="K218" s="8">
        <v>16092</v>
      </c>
      <c r="M218" s="8">
        <f t="shared" si="9"/>
        <v>5789827</v>
      </c>
      <c r="O218" s="8">
        <f>5213200+123759+964621</f>
        <v>6301580</v>
      </c>
      <c r="Q218" s="8">
        <v>2604620</v>
      </c>
      <c r="S218" s="8">
        <v>13812327</v>
      </c>
      <c r="U218" s="8">
        <v>581820</v>
      </c>
      <c r="W218" s="8">
        <v>0</v>
      </c>
      <c r="Y218" s="8">
        <v>2564</v>
      </c>
      <c r="AA218" s="8">
        <f>86944+418385</f>
        <v>505329</v>
      </c>
      <c r="AB218" s="39"/>
      <c r="AC218" s="8">
        <v>0</v>
      </c>
      <c r="AE218" s="8">
        <v>314047</v>
      </c>
      <c r="AG218" s="8">
        <f t="shared" si="10"/>
        <v>24122287</v>
      </c>
      <c r="AH218" s="8"/>
      <c r="AI218" s="8">
        <f t="shared" si="11"/>
        <v>29912114</v>
      </c>
    </row>
    <row r="219" spans="1:35" ht="12" customHeight="1">
      <c r="A219" s="12" t="s">
        <v>216</v>
      </c>
      <c r="B219" s="12"/>
      <c r="C219" s="12" t="s">
        <v>11</v>
      </c>
      <c r="D219" s="12"/>
      <c r="E219" s="32">
        <v>45823</v>
      </c>
      <c r="F219" s="7"/>
      <c r="G219" s="8">
        <v>725254</v>
      </c>
      <c r="I219" s="8">
        <v>928627</v>
      </c>
      <c r="K219" s="8">
        <v>9571</v>
      </c>
      <c r="M219" s="8">
        <f t="shared" si="9"/>
        <v>1663452</v>
      </c>
      <c r="O219" s="8">
        <f>3830282+83316</f>
        <v>3913598</v>
      </c>
      <c r="Q219" s="8">
        <v>0</v>
      </c>
      <c r="S219" s="8">
        <v>4342278</v>
      </c>
      <c r="U219" s="8">
        <v>124696</v>
      </c>
      <c r="W219" s="8">
        <v>0</v>
      </c>
      <c r="Y219" s="8">
        <v>0</v>
      </c>
      <c r="AA219" s="8">
        <v>95850</v>
      </c>
      <c r="AB219" s="39"/>
      <c r="AC219" s="8">
        <v>0</v>
      </c>
      <c r="AE219" s="8">
        <v>0</v>
      </c>
      <c r="AG219" s="8">
        <f t="shared" si="10"/>
        <v>8476422</v>
      </c>
      <c r="AH219" s="8"/>
      <c r="AI219" s="8">
        <f t="shared" si="11"/>
        <v>10139874</v>
      </c>
    </row>
    <row r="220" spans="1:35" ht="12" customHeight="1">
      <c r="A220" s="12" t="s">
        <v>435</v>
      </c>
      <c r="B220" s="12"/>
      <c r="C220" s="12" t="s">
        <v>34</v>
      </c>
      <c r="D220" s="12"/>
      <c r="E220" s="32">
        <v>47571</v>
      </c>
      <c r="G220" s="8">
        <v>618332</v>
      </c>
      <c r="I220" s="8">
        <v>528308</v>
      </c>
      <c r="K220" s="8">
        <v>410568</v>
      </c>
      <c r="M220" s="8">
        <f t="shared" si="9"/>
        <v>1557208</v>
      </c>
      <c r="O220" s="8">
        <f>704812+15429+279283+55127</f>
        <v>1054651</v>
      </c>
      <c r="Q220" s="8">
        <v>706207</v>
      </c>
      <c r="S220" s="8">
        <v>2426010</v>
      </c>
      <c r="U220" s="8">
        <v>146088</v>
      </c>
      <c r="W220" s="8">
        <v>1586</v>
      </c>
      <c r="Y220" s="8">
        <v>0</v>
      </c>
      <c r="AA220" s="8">
        <f>52168+3565</f>
        <v>55733</v>
      </c>
      <c r="AB220" s="39"/>
      <c r="AC220" s="8">
        <v>0</v>
      </c>
      <c r="AE220" s="8">
        <v>0</v>
      </c>
      <c r="AG220" s="8">
        <f t="shared" si="10"/>
        <v>4390275</v>
      </c>
      <c r="AH220" s="8"/>
      <c r="AI220" s="8">
        <f t="shared" si="11"/>
        <v>5947483</v>
      </c>
    </row>
    <row r="221" spans="1:35" ht="12" customHeight="1">
      <c r="A221" s="12" t="s">
        <v>685</v>
      </c>
      <c r="B221" s="12"/>
      <c r="C221" s="12" t="s">
        <v>64</v>
      </c>
      <c r="D221" s="12"/>
      <c r="E221" s="32">
        <v>50161</v>
      </c>
      <c r="G221" s="8">
        <v>2046328</v>
      </c>
      <c r="I221" s="8">
        <v>2111502</v>
      </c>
      <c r="K221" s="8">
        <v>16938</v>
      </c>
      <c r="M221" s="8">
        <f t="shared" si="9"/>
        <v>4174768</v>
      </c>
      <c r="O221" s="8">
        <f>18713100+556533+521039</f>
        <v>19790672</v>
      </c>
      <c r="Q221" s="8">
        <v>0</v>
      </c>
      <c r="S221" s="8">
        <v>9559232</v>
      </c>
      <c r="U221" s="8">
        <v>292345</v>
      </c>
      <c r="W221" s="8">
        <v>84981</v>
      </c>
      <c r="Y221" s="8">
        <v>0</v>
      </c>
      <c r="AA221" s="8">
        <v>94269</v>
      </c>
      <c r="AB221" s="39"/>
      <c r="AC221" s="8">
        <v>0</v>
      </c>
      <c r="AE221" s="8">
        <v>0</v>
      </c>
      <c r="AG221" s="8">
        <f t="shared" si="10"/>
        <v>29821499</v>
      </c>
      <c r="AH221" s="8"/>
      <c r="AI221" s="8">
        <f t="shared" si="11"/>
        <v>33996267</v>
      </c>
    </row>
    <row r="222" spans="1:35" ht="12" customHeight="1">
      <c r="A222" s="12" t="s">
        <v>686</v>
      </c>
      <c r="B222" s="12"/>
      <c r="C222" s="12" t="s">
        <v>64</v>
      </c>
      <c r="D222" s="12"/>
      <c r="E222" s="32">
        <v>45427</v>
      </c>
      <c r="G222" s="8">
        <v>712425</v>
      </c>
      <c r="I222" s="8">
        <v>1517143</v>
      </c>
      <c r="K222" s="8">
        <v>301909</v>
      </c>
      <c r="M222" s="8">
        <f t="shared" si="9"/>
        <v>2531477</v>
      </c>
      <c r="O222" s="8">
        <f>6404990+1155572+106203</f>
        <v>7666765</v>
      </c>
      <c r="Q222" s="8">
        <v>0</v>
      </c>
      <c r="S222" s="8">
        <v>11643349</v>
      </c>
      <c r="U222" s="8">
        <v>2185789</v>
      </c>
      <c r="W222" s="8">
        <v>0</v>
      </c>
      <c r="Y222" s="8">
        <v>0</v>
      </c>
      <c r="AA222" s="8">
        <v>302051</v>
      </c>
      <c r="AB222" s="39"/>
      <c r="AC222" s="8">
        <v>0</v>
      </c>
      <c r="AE222" s="8">
        <v>0</v>
      </c>
      <c r="AG222" s="8">
        <f t="shared" si="10"/>
        <v>21797954</v>
      </c>
      <c r="AH222" s="8"/>
      <c r="AI222" s="8">
        <f t="shared" si="11"/>
        <v>24329431</v>
      </c>
    </row>
    <row r="223" spans="1:35" ht="12" customHeight="1">
      <c r="A223" s="12" t="s">
        <v>555</v>
      </c>
      <c r="B223" s="12"/>
      <c r="C223" s="12" t="s">
        <v>50</v>
      </c>
      <c r="D223" s="12"/>
      <c r="E223" s="32">
        <v>48751</v>
      </c>
      <c r="G223" s="8">
        <v>2833502</v>
      </c>
      <c r="I223" s="8">
        <v>4000415</v>
      </c>
      <c r="K223" s="8">
        <v>43649</v>
      </c>
      <c r="M223" s="8">
        <f t="shared" si="9"/>
        <v>6877566</v>
      </c>
      <c r="O223" s="8">
        <f>29826468+971568</f>
        <v>30798036</v>
      </c>
      <c r="Q223" s="8">
        <v>0</v>
      </c>
      <c r="S223" s="8">
        <v>31779840</v>
      </c>
      <c r="U223" s="8">
        <v>1052544</v>
      </c>
      <c r="W223" s="8">
        <v>0</v>
      </c>
      <c r="Y223" s="8">
        <v>0</v>
      </c>
      <c r="AA223" s="8">
        <v>366309</v>
      </c>
      <c r="AB223" s="39"/>
      <c r="AC223" s="8">
        <v>0</v>
      </c>
      <c r="AE223" s="8">
        <v>0</v>
      </c>
      <c r="AG223" s="8">
        <f t="shared" si="10"/>
        <v>63996729</v>
      </c>
      <c r="AH223" s="8"/>
      <c r="AI223" s="8">
        <f t="shared" si="11"/>
        <v>70874295</v>
      </c>
    </row>
    <row r="224" spans="1:35" ht="12" customHeight="1">
      <c r="A224" s="12" t="s">
        <v>671</v>
      </c>
      <c r="B224" s="12"/>
      <c r="C224" s="12" t="s">
        <v>63</v>
      </c>
      <c r="D224" s="12"/>
      <c r="E224" s="32">
        <v>50021</v>
      </c>
      <c r="G224" s="8">
        <v>2908482</v>
      </c>
      <c r="I224" s="8">
        <v>4619399</v>
      </c>
      <c r="K224" s="8">
        <v>61408</v>
      </c>
      <c r="M224" s="8">
        <f t="shared" si="9"/>
        <v>7589289</v>
      </c>
      <c r="O224" s="8">
        <f>36956647+3036407+1572169</f>
        <v>41565223</v>
      </c>
      <c r="Q224" s="8">
        <v>0</v>
      </c>
      <c r="S224" s="8">
        <v>18080264</v>
      </c>
      <c r="U224" s="8">
        <v>1286547</v>
      </c>
      <c r="W224" s="8">
        <v>0</v>
      </c>
      <c r="Y224" s="8">
        <v>0</v>
      </c>
      <c r="AA224" s="8">
        <v>105816</v>
      </c>
      <c r="AB224" s="39"/>
      <c r="AC224" s="8">
        <v>0</v>
      </c>
      <c r="AE224" s="8">
        <v>0</v>
      </c>
      <c r="AG224" s="8">
        <f t="shared" si="10"/>
        <v>61037850</v>
      </c>
      <c r="AH224" s="8"/>
      <c r="AI224" s="8">
        <f t="shared" si="11"/>
        <v>68627139</v>
      </c>
    </row>
    <row r="225" spans="1:35" ht="12" customHeight="1">
      <c r="A225" s="12" t="s">
        <v>623</v>
      </c>
      <c r="B225" s="12"/>
      <c r="C225" s="12" t="s">
        <v>58</v>
      </c>
      <c r="D225" s="12"/>
      <c r="E225" s="32">
        <v>49502</v>
      </c>
      <c r="G225" s="8">
        <v>343747</v>
      </c>
      <c r="I225" s="8">
        <v>1906331</v>
      </c>
      <c r="K225" s="8">
        <v>0</v>
      </c>
      <c r="M225" s="8">
        <f t="shared" si="9"/>
        <v>2250078</v>
      </c>
      <c r="O225" s="8">
        <f>1098467+81447+19519</f>
        <v>1199433</v>
      </c>
      <c r="Q225" s="8">
        <v>0</v>
      </c>
      <c r="S225" s="8">
        <v>8611590</v>
      </c>
      <c r="U225" s="8">
        <v>158771</v>
      </c>
      <c r="W225" s="8">
        <v>0</v>
      </c>
      <c r="Y225" s="8">
        <v>0</v>
      </c>
      <c r="AA225" s="8">
        <v>157778</v>
      </c>
      <c r="AB225" s="39"/>
      <c r="AC225" s="8">
        <v>0</v>
      </c>
      <c r="AE225" s="8">
        <v>0</v>
      </c>
      <c r="AG225" s="8">
        <f t="shared" si="10"/>
        <v>10127572</v>
      </c>
      <c r="AH225" s="8"/>
      <c r="AI225" s="8">
        <f t="shared" si="11"/>
        <v>12377650</v>
      </c>
    </row>
    <row r="226" spans="1:35" ht="12" customHeight="1">
      <c r="A226" s="12" t="s">
        <v>341</v>
      </c>
      <c r="B226" s="12"/>
      <c r="C226" s="12" t="s">
        <v>24</v>
      </c>
      <c r="D226" s="12"/>
      <c r="E226" s="32">
        <v>44131</v>
      </c>
      <c r="G226" s="8">
        <v>741419</v>
      </c>
      <c r="I226" s="8">
        <v>1082089</v>
      </c>
      <c r="K226" s="8">
        <v>160237</v>
      </c>
      <c r="M226" s="8">
        <f t="shared" si="9"/>
        <v>1983745</v>
      </c>
      <c r="O226" s="8">
        <f>10331581+403500+400891</f>
        <v>11135972</v>
      </c>
      <c r="Q226" s="8">
        <v>0</v>
      </c>
      <c r="S226" s="8">
        <v>4816276</v>
      </c>
      <c r="U226" s="8">
        <v>237166</v>
      </c>
      <c r="W226" s="8">
        <v>0</v>
      </c>
      <c r="Y226" s="8">
        <v>0</v>
      </c>
      <c r="AA226" s="8">
        <v>26478</v>
      </c>
      <c r="AB226" s="39"/>
      <c r="AC226" s="8">
        <v>0</v>
      </c>
      <c r="AE226" s="8">
        <v>0</v>
      </c>
      <c r="AG226" s="8">
        <f t="shared" si="10"/>
        <v>16215892</v>
      </c>
      <c r="AH226" s="8"/>
      <c r="AI226" s="8">
        <f t="shared" si="11"/>
        <v>18199637</v>
      </c>
    </row>
    <row r="227" spans="1:35" ht="12" customHeight="1">
      <c r="A227" s="12" t="s">
        <v>313</v>
      </c>
      <c r="B227" s="12"/>
      <c r="C227" s="12" t="s">
        <v>20</v>
      </c>
      <c r="D227" s="12"/>
      <c r="E227" s="32">
        <v>46565</v>
      </c>
      <c r="G227" s="8">
        <v>439311</v>
      </c>
      <c r="I227" s="8">
        <v>327723</v>
      </c>
      <c r="K227" s="8">
        <v>0</v>
      </c>
      <c r="M227" s="8">
        <f t="shared" si="9"/>
        <v>767034</v>
      </c>
      <c r="O227" s="8">
        <f>13855297+1371327+632510</f>
        <v>15859134</v>
      </c>
      <c r="Q227" s="8">
        <v>0</v>
      </c>
      <c r="S227" s="8">
        <v>2420236</v>
      </c>
      <c r="U227" s="8">
        <v>96236</v>
      </c>
      <c r="W227" s="8">
        <v>0</v>
      </c>
      <c r="Y227" s="8">
        <v>0</v>
      </c>
      <c r="AA227" s="8">
        <v>244093</v>
      </c>
      <c r="AB227" s="39"/>
      <c r="AC227" s="8">
        <v>0</v>
      </c>
      <c r="AE227" s="8">
        <v>0</v>
      </c>
      <c r="AG227" s="8">
        <f t="shared" si="10"/>
        <v>18619699</v>
      </c>
      <c r="AH227" s="8"/>
      <c r="AI227" s="8">
        <f t="shared" si="11"/>
        <v>19386733</v>
      </c>
    </row>
    <row r="228" spans="1:35" ht="12" customHeight="1">
      <c r="A228" s="12" t="s">
        <v>456</v>
      </c>
      <c r="B228" s="12"/>
      <c r="C228" s="12" t="s">
        <v>39</v>
      </c>
      <c r="D228" s="12"/>
      <c r="E228" s="32">
        <v>47803</v>
      </c>
      <c r="G228" s="8">
        <v>1990336</v>
      </c>
      <c r="I228" s="8">
        <v>4225432</v>
      </c>
      <c r="K228" s="8">
        <v>12547</v>
      </c>
      <c r="M228" s="8">
        <f t="shared" si="9"/>
        <v>6228315</v>
      </c>
      <c r="O228" s="8">
        <f>7725693+107130</f>
        <v>7832823</v>
      </c>
      <c r="Q228" s="8">
        <v>0</v>
      </c>
      <c r="S228" s="8">
        <v>7346080</v>
      </c>
      <c r="U228" s="8">
        <v>203964</v>
      </c>
      <c r="W228" s="8">
        <v>0</v>
      </c>
      <c r="Y228" s="8">
        <v>0</v>
      </c>
      <c r="AA228" s="8">
        <v>133440</v>
      </c>
      <c r="AB228" s="39"/>
      <c r="AC228" s="8">
        <v>0</v>
      </c>
      <c r="AE228" s="8">
        <v>0</v>
      </c>
      <c r="AG228" s="8">
        <f t="shared" si="10"/>
        <v>15516307</v>
      </c>
      <c r="AH228" s="8"/>
      <c r="AI228" s="8">
        <f t="shared" si="11"/>
        <v>21744622</v>
      </c>
    </row>
    <row r="229" spans="1:35" ht="12" customHeight="1">
      <c r="A229" s="12" t="s">
        <v>400</v>
      </c>
      <c r="B229" s="12"/>
      <c r="C229" s="12" t="s">
        <v>32</v>
      </c>
      <c r="D229" s="12"/>
      <c r="E229" s="32">
        <v>45435</v>
      </c>
      <c r="G229" s="8">
        <v>888495</v>
      </c>
      <c r="I229" s="8">
        <v>3505126</v>
      </c>
      <c r="K229" s="8">
        <v>0</v>
      </c>
      <c r="M229" s="8">
        <f t="shared" si="9"/>
        <v>4393621</v>
      </c>
      <c r="O229" s="8">
        <f>24743615+2967608</f>
        <v>27711223</v>
      </c>
      <c r="Q229" s="8">
        <v>0</v>
      </c>
      <c r="S229" s="8">
        <v>6208913</v>
      </c>
      <c r="U229" s="8">
        <v>914866</v>
      </c>
      <c r="W229" s="8">
        <v>0</v>
      </c>
      <c r="Y229" s="8">
        <v>0</v>
      </c>
      <c r="AA229" s="8">
        <v>38753</v>
      </c>
      <c r="AB229" s="39"/>
      <c r="AC229" s="8">
        <v>0</v>
      </c>
      <c r="AE229" s="8">
        <v>0</v>
      </c>
      <c r="AG229" s="8">
        <f t="shared" si="10"/>
        <v>34873755</v>
      </c>
      <c r="AH229" s="8"/>
      <c r="AI229" s="8">
        <f t="shared" si="11"/>
        <v>39267376</v>
      </c>
    </row>
    <row r="230" spans="1:35" ht="12" customHeight="1">
      <c r="A230" s="12" t="s">
        <v>702</v>
      </c>
      <c r="B230" s="12"/>
      <c r="C230" s="12" t="s">
        <v>65</v>
      </c>
      <c r="D230" s="12"/>
      <c r="E230" s="32">
        <v>50286</v>
      </c>
      <c r="G230" s="8">
        <v>1875424</v>
      </c>
      <c r="I230" s="8">
        <v>2153884</v>
      </c>
      <c r="K230" s="8">
        <v>27640</v>
      </c>
      <c r="M230" s="8">
        <f t="shared" si="9"/>
        <v>4056948</v>
      </c>
      <c r="O230" s="8">
        <f>3225200+882393+59930</f>
        <v>4167523</v>
      </c>
      <c r="Q230" s="8">
        <v>0</v>
      </c>
      <c r="S230" s="8">
        <v>9265187</v>
      </c>
      <c r="U230" s="8">
        <v>443545</v>
      </c>
      <c r="W230" s="8">
        <v>0</v>
      </c>
      <c r="Y230" s="8">
        <v>0</v>
      </c>
      <c r="AA230" s="8">
        <v>10068</v>
      </c>
      <c r="AB230" s="39"/>
      <c r="AC230" s="8">
        <v>0</v>
      </c>
      <c r="AE230" s="8">
        <v>0</v>
      </c>
      <c r="AG230" s="8">
        <f t="shared" si="10"/>
        <v>13886323</v>
      </c>
      <c r="AH230" s="8"/>
      <c r="AI230" s="8">
        <f t="shared" si="11"/>
        <v>17943271</v>
      </c>
    </row>
    <row r="231" spans="1:35" ht="12" customHeight="1">
      <c r="A231" s="12" t="s">
        <v>474</v>
      </c>
      <c r="B231" s="12"/>
      <c r="C231" s="12" t="s">
        <v>471</v>
      </c>
      <c r="D231" s="12"/>
      <c r="E231" s="32">
        <v>44149</v>
      </c>
      <c r="G231" s="8">
        <v>1255358</v>
      </c>
      <c r="I231" s="8">
        <v>4049168</v>
      </c>
      <c r="K231" s="8">
        <v>18392</v>
      </c>
      <c r="M231" s="8">
        <f t="shared" si="9"/>
        <v>5322918</v>
      </c>
      <c r="O231" s="8">
        <f>2675859+1071668+60859</f>
        <v>3808386</v>
      </c>
      <c r="Q231" s="8">
        <v>0</v>
      </c>
      <c r="S231" s="8">
        <v>7924030</v>
      </c>
      <c r="U231" s="8">
        <v>1158228</v>
      </c>
      <c r="W231" s="8">
        <v>0</v>
      </c>
      <c r="Y231" s="8">
        <v>0</v>
      </c>
      <c r="AA231" s="8">
        <v>47865</v>
      </c>
      <c r="AB231" s="39"/>
      <c r="AC231" s="8">
        <v>0</v>
      </c>
      <c r="AE231" s="8">
        <v>0</v>
      </c>
      <c r="AG231" s="8">
        <f t="shared" si="10"/>
        <v>12938509</v>
      </c>
      <c r="AH231" s="8"/>
      <c r="AI231" s="8">
        <f t="shared" si="11"/>
        <v>18261427</v>
      </c>
    </row>
    <row r="232" spans="1:35" ht="12" hidden="1" customHeight="1">
      <c r="A232" s="12" t="s">
        <v>942</v>
      </c>
      <c r="B232" s="12"/>
      <c r="C232" s="12" t="s">
        <v>61</v>
      </c>
      <c r="D232" s="12"/>
      <c r="E232" s="32">
        <v>49809</v>
      </c>
      <c r="G232" s="8">
        <v>0</v>
      </c>
      <c r="I232" s="8">
        <v>0</v>
      </c>
      <c r="K232" s="8">
        <v>0</v>
      </c>
      <c r="M232" s="8">
        <f t="shared" si="9"/>
        <v>0</v>
      </c>
      <c r="O232" s="8">
        <v>0</v>
      </c>
      <c r="Q232" s="8">
        <v>0</v>
      </c>
      <c r="S232" s="8">
        <v>0</v>
      </c>
      <c r="U232" s="8">
        <v>0</v>
      </c>
      <c r="W232" s="8">
        <v>0</v>
      </c>
      <c r="Y232" s="8">
        <v>0</v>
      </c>
      <c r="AA232" s="8">
        <v>0</v>
      </c>
      <c r="AB232" s="39"/>
      <c r="AC232" s="8">
        <v>0</v>
      </c>
      <c r="AE232" s="8">
        <v>0</v>
      </c>
      <c r="AG232" s="8">
        <f t="shared" si="10"/>
        <v>0</v>
      </c>
      <c r="AH232" s="8"/>
      <c r="AI232" s="8">
        <f t="shared" si="11"/>
        <v>0</v>
      </c>
    </row>
    <row r="233" spans="1:35" ht="12" hidden="1" customHeight="1">
      <c r="A233" s="12" t="s">
        <v>943</v>
      </c>
      <c r="B233" s="12"/>
      <c r="C233" s="12" t="s">
        <v>38</v>
      </c>
      <c r="D233" s="12"/>
      <c r="E233" s="32"/>
      <c r="G233" s="8">
        <v>0</v>
      </c>
      <c r="I233" s="8">
        <v>0</v>
      </c>
      <c r="K233" s="8">
        <v>0</v>
      </c>
      <c r="M233" s="8">
        <f>SUM(G233:L233)</f>
        <v>0</v>
      </c>
      <c r="O233" s="8">
        <v>0</v>
      </c>
      <c r="Q233" s="8">
        <v>0</v>
      </c>
      <c r="S233" s="8">
        <v>0</v>
      </c>
      <c r="U233" s="8">
        <v>0</v>
      </c>
      <c r="W233" s="8">
        <v>0</v>
      </c>
      <c r="Y233" s="8">
        <v>0</v>
      </c>
      <c r="AA233" s="8">
        <v>0</v>
      </c>
      <c r="AB233" s="39"/>
      <c r="AC233" s="8">
        <v>0</v>
      </c>
      <c r="AE233" s="8">
        <v>0</v>
      </c>
      <c r="AG233" s="8">
        <f t="shared" si="10"/>
        <v>0</v>
      </c>
      <c r="AH233" s="8"/>
      <c r="AI233" s="8">
        <f t="shared" si="11"/>
        <v>0</v>
      </c>
    </row>
    <row r="234" spans="1:35" ht="12" customHeight="1">
      <c r="A234" s="12" t="s">
        <v>657</v>
      </c>
      <c r="B234" s="12"/>
      <c r="C234" s="12" t="s">
        <v>62</v>
      </c>
      <c r="D234" s="12"/>
      <c r="E234" s="32">
        <v>49858</v>
      </c>
      <c r="G234" s="8">
        <v>3511162</v>
      </c>
      <c r="I234" s="8">
        <v>2603701</v>
      </c>
      <c r="K234" s="8">
        <v>61376</v>
      </c>
      <c r="M234" s="8">
        <f t="shared" si="9"/>
        <v>6176239</v>
      </c>
      <c r="O234" s="8">
        <f>33176607+7147927+1206922</f>
        <v>41531456</v>
      </c>
      <c r="Q234" s="8">
        <v>0</v>
      </c>
      <c r="S234" s="8">
        <v>12216747</v>
      </c>
      <c r="U234" s="8">
        <v>973959</v>
      </c>
      <c r="W234" s="8">
        <v>0</v>
      </c>
      <c r="Y234" s="8">
        <v>0</v>
      </c>
      <c r="AA234" s="8">
        <v>99743</v>
      </c>
      <c r="AB234" s="39"/>
      <c r="AC234" s="8">
        <v>0</v>
      </c>
      <c r="AE234" s="8">
        <v>0</v>
      </c>
      <c r="AG234" s="8">
        <f t="shared" si="10"/>
        <v>54821905</v>
      </c>
      <c r="AH234" s="8"/>
      <c r="AI234" s="8">
        <f t="shared" si="11"/>
        <v>60998144</v>
      </c>
    </row>
    <row r="235" spans="1:35" ht="12" customHeight="1">
      <c r="A235" s="12" t="s">
        <v>518</v>
      </c>
      <c r="B235" s="12"/>
      <c r="C235" s="12" t="s">
        <v>45</v>
      </c>
      <c r="D235" s="12"/>
      <c r="E235" s="32">
        <v>48322</v>
      </c>
      <c r="G235" s="8">
        <v>526380</v>
      </c>
      <c r="I235" s="8">
        <v>785336</v>
      </c>
      <c r="K235" s="8">
        <v>566045</v>
      </c>
      <c r="M235" s="8">
        <f t="shared" si="9"/>
        <v>1877761</v>
      </c>
      <c r="O235" s="8">
        <f>3406999+1262956+916432</f>
        <v>5586387</v>
      </c>
      <c r="Q235" s="8">
        <v>0</v>
      </c>
      <c r="S235" s="8">
        <v>3599340</v>
      </c>
      <c r="U235" s="8">
        <v>77269</v>
      </c>
      <c r="W235" s="8">
        <v>0</v>
      </c>
      <c r="Y235" s="8">
        <v>0</v>
      </c>
      <c r="AA235" s="8">
        <v>58462</v>
      </c>
      <c r="AB235" s="39"/>
      <c r="AC235" s="8">
        <v>0</v>
      </c>
      <c r="AE235" s="8">
        <v>0</v>
      </c>
      <c r="AG235" s="8">
        <f t="shared" si="10"/>
        <v>9321458</v>
      </c>
      <c r="AH235" s="8"/>
      <c r="AI235" s="8">
        <f t="shared" si="11"/>
        <v>11199219</v>
      </c>
    </row>
    <row r="236" spans="1:35" ht="12" customHeight="1">
      <c r="A236" s="12" t="s">
        <v>598</v>
      </c>
      <c r="B236" s="12"/>
      <c r="C236" s="12" t="s">
        <v>56</v>
      </c>
      <c r="D236" s="12"/>
      <c r="E236" s="32">
        <v>49205</v>
      </c>
      <c r="G236" s="8">
        <v>1462764</v>
      </c>
      <c r="I236" s="8">
        <v>1240533</v>
      </c>
      <c r="K236" s="8">
        <v>7145</v>
      </c>
      <c r="M236" s="8">
        <f t="shared" si="9"/>
        <v>2710442</v>
      </c>
      <c r="O236" s="8">
        <f>4180765+430721</f>
        <v>4611486</v>
      </c>
      <c r="Q236" s="8">
        <v>0</v>
      </c>
      <c r="S236" s="8">
        <v>6186368</v>
      </c>
      <c r="U236" s="8">
        <v>126241</v>
      </c>
      <c r="W236" s="8">
        <v>0</v>
      </c>
      <c r="Y236" s="8">
        <v>0</v>
      </c>
      <c r="AA236" s="8">
        <v>33761</v>
      </c>
      <c r="AB236" s="39"/>
      <c r="AC236" s="8">
        <v>0</v>
      </c>
      <c r="AE236" s="8">
        <v>0</v>
      </c>
      <c r="AG236" s="8">
        <f t="shared" si="10"/>
        <v>10957856</v>
      </c>
      <c r="AH236" s="8"/>
      <c r="AI236" s="8">
        <f t="shared" si="11"/>
        <v>13668298</v>
      </c>
    </row>
    <row r="237" spans="1:35" ht="12" customHeight="1">
      <c r="A237" s="12" t="s">
        <v>223</v>
      </c>
      <c r="B237" s="12"/>
      <c r="C237" s="12" t="s">
        <v>12</v>
      </c>
      <c r="D237" s="12"/>
      <c r="E237" s="32">
        <v>45872</v>
      </c>
      <c r="F237" s="7"/>
      <c r="G237" s="8">
        <v>834343</v>
      </c>
      <c r="I237" s="8">
        <v>734867</v>
      </c>
      <c r="K237" s="8">
        <v>21632</v>
      </c>
      <c r="M237" s="8">
        <f t="shared" si="9"/>
        <v>1590842</v>
      </c>
      <c r="O237" s="8">
        <f>5106313+1342544+344759+92641</f>
        <v>6886257</v>
      </c>
      <c r="Q237" s="8">
        <v>0</v>
      </c>
      <c r="S237" s="8">
        <v>25645534</v>
      </c>
      <c r="U237" s="8">
        <v>1510389</v>
      </c>
      <c r="W237" s="8">
        <v>0</v>
      </c>
      <c r="Y237" s="8">
        <v>0</v>
      </c>
      <c r="AA237" s="8">
        <v>245364</v>
      </c>
      <c r="AB237" s="39"/>
      <c r="AC237" s="8">
        <v>0</v>
      </c>
      <c r="AE237" s="8">
        <v>0</v>
      </c>
      <c r="AG237" s="8">
        <f t="shared" si="10"/>
        <v>34287544</v>
      </c>
      <c r="AH237" s="8"/>
      <c r="AI237" s="8">
        <f t="shared" si="11"/>
        <v>35878386</v>
      </c>
    </row>
    <row r="238" spans="1:35" ht="12" customHeight="1">
      <c r="A238" s="12" t="s">
        <v>510</v>
      </c>
      <c r="B238" s="12"/>
      <c r="C238" s="12" t="s">
        <v>511</v>
      </c>
      <c r="D238" s="12"/>
      <c r="E238" s="32">
        <v>48256</v>
      </c>
      <c r="G238" s="8">
        <v>1215701</v>
      </c>
      <c r="I238" s="8">
        <v>1041083</v>
      </c>
      <c r="K238" s="8">
        <v>11333</v>
      </c>
      <c r="M238" s="8">
        <f t="shared" si="9"/>
        <v>2268117</v>
      </c>
      <c r="O238" s="8">
        <f>5168158+79922+1271971</f>
        <v>6520051</v>
      </c>
      <c r="Q238" s="8">
        <v>877554</v>
      </c>
      <c r="S238" s="8">
        <v>4448418</v>
      </c>
      <c r="U238" s="8">
        <v>262945</v>
      </c>
      <c r="W238" s="8">
        <v>382513</v>
      </c>
      <c r="Y238" s="8">
        <v>0</v>
      </c>
      <c r="AA238" s="8">
        <v>6825</v>
      </c>
      <c r="AB238" s="39"/>
      <c r="AC238" s="8">
        <v>0</v>
      </c>
      <c r="AE238" s="8">
        <v>0</v>
      </c>
      <c r="AG238" s="8">
        <f t="shared" si="10"/>
        <v>12498306</v>
      </c>
      <c r="AH238" s="8"/>
      <c r="AI238" s="8">
        <f t="shared" si="11"/>
        <v>14766423</v>
      </c>
    </row>
    <row r="239" spans="1:35" ht="12" customHeight="1">
      <c r="A239" s="12" t="s">
        <v>556</v>
      </c>
      <c r="B239" s="12"/>
      <c r="C239" s="12" t="s">
        <v>50</v>
      </c>
      <c r="D239" s="12"/>
      <c r="E239" s="32">
        <v>48686</v>
      </c>
      <c r="G239" s="8">
        <v>731888</v>
      </c>
      <c r="I239" s="8">
        <v>1941001</v>
      </c>
      <c r="K239" s="8">
        <v>0</v>
      </c>
      <c r="M239" s="8">
        <f t="shared" si="9"/>
        <v>2672889</v>
      </c>
      <c r="O239" s="8">
        <v>3158580</v>
      </c>
      <c r="Q239" s="8">
        <v>0</v>
      </c>
      <c r="S239" s="8">
        <v>3586793</v>
      </c>
      <c r="U239" s="8">
        <v>31252</v>
      </c>
      <c r="W239" s="8">
        <v>0</v>
      </c>
      <c r="Y239" s="8">
        <v>0</v>
      </c>
      <c r="AA239" s="8">
        <v>33624</v>
      </c>
      <c r="AB239" s="39"/>
      <c r="AC239" s="8">
        <v>0</v>
      </c>
      <c r="AE239" s="8">
        <v>0</v>
      </c>
      <c r="AG239" s="8">
        <f t="shared" si="10"/>
        <v>6810249</v>
      </c>
      <c r="AH239" s="8"/>
      <c r="AI239" s="8">
        <f t="shared" si="11"/>
        <v>9483138</v>
      </c>
    </row>
    <row r="240" spans="1:35" ht="12" customHeight="1">
      <c r="A240" s="12" t="s">
        <v>480</v>
      </c>
      <c r="B240" s="12"/>
      <c r="C240" s="12" t="s">
        <v>42</v>
      </c>
      <c r="D240" s="12"/>
      <c r="E240" s="32">
        <v>47985</v>
      </c>
      <c r="G240" s="8">
        <v>821421</v>
      </c>
      <c r="I240" s="8">
        <v>1061071</v>
      </c>
      <c r="K240" s="8">
        <v>5627</v>
      </c>
      <c r="M240" s="8">
        <f t="shared" si="9"/>
        <v>1888119</v>
      </c>
      <c r="O240" s="8">
        <v>4246193</v>
      </c>
      <c r="Q240" s="8">
        <v>2142488</v>
      </c>
      <c r="S240" s="8">
        <v>5296804</v>
      </c>
      <c r="U240" s="8">
        <v>195258</v>
      </c>
      <c r="W240" s="8">
        <v>0</v>
      </c>
      <c r="Y240" s="8">
        <v>10166</v>
      </c>
      <c r="AA240" s="8">
        <v>14033</v>
      </c>
      <c r="AB240" s="39"/>
      <c r="AC240" s="8">
        <v>0</v>
      </c>
      <c r="AE240" s="8">
        <v>0</v>
      </c>
      <c r="AG240" s="8">
        <f t="shared" si="10"/>
        <v>11904942</v>
      </c>
      <c r="AH240" s="8"/>
      <c r="AI240" s="8">
        <f t="shared" si="11"/>
        <v>13793061</v>
      </c>
    </row>
    <row r="241" spans="1:35" ht="12" customHeight="1">
      <c r="A241" s="12" t="s">
        <v>512</v>
      </c>
      <c r="B241" s="12"/>
      <c r="C241" s="12" t="s">
        <v>511</v>
      </c>
      <c r="D241" s="12"/>
      <c r="E241" s="32">
        <v>48264</v>
      </c>
      <c r="G241" s="8">
        <v>1742244</v>
      </c>
      <c r="I241" s="8">
        <v>1390680</v>
      </c>
      <c r="K241" s="8">
        <v>107547</v>
      </c>
      <c r="M241" s="8">
        <f t="shared" si="9"/>
        <v>3240471</v>
      </c>
      <c r="O241" s="8">
        <f>5695858+1615873+459766</f>
        <v>7771497</v>
      </c>
      <c r="Q241" s="8">
        <v>1669973</v>
      </c>
      <c r="S241" s="8">
        <v>7424618</v>
      </c>
      <c r="U241" s="8">
        <v>102029</v>
      </c>
      <c r="W241" s="8">
        <v>0</v>
      </c>
      <c r="Y241" s="8">
        <v>0</v>
      </c>
      <c r="AA241" s="8">
        <v>97731</v>
      </c>
      <c r="AB241" s="39"/>
      <c r="AC241" s="8">
        <v>0</v>
      </c>
      <c r="AE241" s="8">
        <v>0</v>
      </c>
      <c r="AG241" s="8">
        <f t="shared" si="10"/>
        <v>17065848</v>
      </c>
      <c r="AH241" s="8"/>
      <c r="AI241" s="8">
        <f t="shared" si="11"/>
        <v>20306319</v>
      </c>
    </row>
    <row r="242" spans="1:35" ht="12" customHeight="1">
      <c r="A242" s="12" t="s">
        <v>687</v>
      </c>
      <c r="B242" s="12"/>
      <c r="C242" s="12" t="s">
        <v>64</v>
      </c>
      <c r="D242" s="12"/>
      <c r="E242" s="32">
        <v>50179</v>
      </c>
      <c r="G242" s="8">
        <v>289846</v>
      </c>
      <c r="I242" s="8">
        <v>442910</v>
      </c>
      <c r="K242" s="8">
        <v>10159</v>
      </c>
      <c r="M242" s="8">
        <f t="shared" si="9"/>
        <v>742915</v>
      </c>
      <c r="O242" s="8">
        <f>2912951+612604+72621</f>
        <v>3598176</v>
      </c>
      <c r="Q242" s="8">
        <v>0</v>
      </c>
      <c r="S242" s="8">
        <v>4869466</v>
      </c>
      <c r="U242" s="8">
        <v>156548</v>
      </c>
      <c r="W242" s="8">
        <v>0</v>
      </c>
      <c r="Y242" s="8">
        <v>0</v>
      </c>
      <c r="AA242" s="8">
        <v>21466</v>
      </c>
      <c r="AB242" s="39"/>
      <c r="AC242" s="8">
        <v>0</v>
      </c>
      <c r="AE242" s="8">
        <v>0</v>
      </c>
      <c r="AG242" s="8">
        <f t="shared" si="10"/>
        <v>8645656</v>
      </c>
      <c r="AH242" s="8"/>
      <c r="AI242" s="8">
        <f t="shared" si="11"/>
        <v>9388571</v>
      </c>
    </row>
    <row r="243" spans="1:35" ht="12" customHeight="1">
      <c r="A243" s="12" t="s">
        <v>342</v>
      </c>
      <c r="B243" s="12"/>
      <c r="C243" s="12" t="s">
        <v>24</v>
      </c>
      <c r="D243" s="12"/>
      <c r="E243" s="32">
        <v>46797</v>
      </c>
      <c r="G243" s="8">
        <v>50</v>
      </c>
      <c r="I243" s="8">
        <v>23032</v>
      </c>
      <c r="K243" s="8">
        <v>0</v>
      </c>
      <c r="M243" s="8">
        <f t="shared" si="9"/>
        <v>23082</v>
      </c>
      <c r="O243" s="8">
        <f>825878+95978+33172</f>
        <v>955028</v>
      </c>
      <c r="Q243" s="8">
        <v>0</v>
      </c>
      <c r="S243" s="8">
        <v>135151</v>
      </c>
      <c r="U243" s="8">
        <v>19752</v>
      </c>
      <c r="W243" s="8">
        <v>0</v>
      </c>
      <c r="Y243" s="8">
        <v>0</v>
      </c>
      <c r="AA243" s="8">
        <v>141</v>
      </c>
      <c r="AB243" s="39"/>
      <c r="AC243" s="8">
        <v>0</v>
      </c>
      <c r="AE243" s="8">
        <v>0</v>
      </c>
      <c r="AG243" s="8">
        <f t="shared" si="10"/>
        <v>1110072</v>
      </c>
      <c r="AH243" s="8"/>
      <c r="AI243" s="8">
        <f t="shared" si="11"/>
        <v>1133154</v>
      </c>
    </row>
    <row r="244" spans="1:35" ht="12" customHeight="1">
      <c r="A244" s="12" t="s">
        <v>384</v>
      </c>
      <c r="B244" s="12"/>
      <c r="C244" s="12" t="s">
        <v>30</v>
      </c>
      <c r="D244" s="12"/>
      <c r="E244" s="32">
        <v>47191</v>
      </c>
      <c r="G244" s="8">
        <v>1149862</v>
      </c>
      <c r="I244" s="8">
        <v>1352721</v>
      </c>
      <c r="K244" s="8">
        <v>220858</v>
      </c>
      <c r="M244" s="8">
        <f t="shared" si="9"/>
        <v>2723441</v>
      </c>
      <c r="O244" s="8">
        <f>23795613+3264943</f>
        <v>27060556</v>
      </c>
      <c r="Q244" s="8">
        <v>0</v>
      </c>
      <c r="S244" s="8">
        <v>9068613</v>
      </c>
      <c r="U244" s="8">
        <v>679708</v>
      </c>
      <c r="W244" s="8">
        <v>0</v>
      </c>
      <c r="Y244" s="8">
        <v>0</v>
      </c>
      <c r="AA244" s="8">
        <v>49368</v>
      </c>
      <c r="AB244" s="39"/>
      <c r="AC244" s="8">
        <v>0</v>
      </c>
      <c r="AE244" s="8">
        <v>0</v>
      </c>
      <c r="AG244" s="8">
        <f t="shared" si="10"/>
        <v>36858245</v>
      </c>
      <c r="AH244" s="8"/>
      <c r="AI244" s="8">
        <f t="shared" si="11"/>
        <v>39581686</v>
      </c>
    </row>
    <row r="245" spans="1:35" ht="12" customHeight="1">
      <c r="A245" s="12"/>
      <c r="B245" s="12"/>
      <c r="C245" s="12"/>
      <c r="D245" s="12"/>
      <c r="E245" s="32"/>
      <c r="AB245" s="39"/>
      <c r="AH245" s="8"/>
    </row>
    <row r="246" spans="1:35" ht="12" customHeight="1">
      <c r="A246" s="12"/>
      <c r="B246" s="12"/>
      <c r="C246" s="12"/>
      <c r="D246" s="12"/>
      <c r="E246" s="32"/>
      <c r="AB246" s="39"/>
      <c r="AH246" s="8"/>
      <c r="AI246" s="8" t="s">
        <v>819</v>
      </c>
    </row>
    <row r="247" spans="1:35" s="35" customFormat="1" ht="12" customHeight="1">
      <c r="A247" s="34" t="s">
        <v>599</v>
      </c>
      <c r="B247" s="34"/>
      <c r="C247" s="34" t="s">
        <v>56</v>
      </c>
      <c r="D247" s="34"/>
      <c r="E247" s="34">
        <v>44164</v>
      </c>
      <c r="G247" s="35">
        <v>4227258</v>
      </c>
      <c r="I247" s="35">
        <v>3351217</v>
      </c>
      <c r="K247" s="35">
        <v>14270</v>
      </c>
      <c r="M247" s="35">
        <f t="shared" si="9"/>
        <v>7592745</v>
      </c>
      <c r="O247" s="35">
        <v>0</v>
      </c>
      <c r="Q247" s="35">
        <f>21474291+2318652</f>
        <v>23792943</v>
      </c>
      <c r="S247" s="35">
        <v>16243597</v>
      </c>
      <c r="U247" s="35">
        <v>886493</v>
      </c>
      <c r="W247" s="35">
        <v>0</v>
      </c>
      <c r="Y247" s="35">
        <v>0</v>
      </c>
      <c r="AA247" s="35">
        <v>58238</v>
      </c>
      <c r="AB247" s="46"/>
      <c r="AC247" s="35">
        <v>0</v>
      </c>
      <c r="AE247" s="35">
        <v>0</v>
      </c>
      <c r="AG247" s="35">
        <f t="shared" si="10"/>
        <v>40981271</v>
      </c>
      <c r="AI247" s="35">
        <f t="shared" si="11"/>
        <v>48574016</v>
      </c>
    </row>
    <row r="248" spans="1:35" ht="12" customHeight="1">
      <c r="A248" s="12" t="s">
        <v>428</v>
      </c>
      <c r="B248" s="12"/>
      <c r="C248" s="12" t="s">
        <v>426</v>
      </c>
      <c r="D248" s="12"/>
      <c r="E248" s="32">
        <v>44172</v>
      </c>
      <c r="G248" s="8">
        <v>1277747</v>
      </c>
      <c r="I248" s="8">
        <v>2170972</v>
      </c>
      <c r="K248" s="8">
        <v>20305</v>
      </c>
      <c r="M248" s="8">
        <f t="shared" si="9"/>
        <v>3469024</v>
      </c>
      <c r="O248" s="8">
        <v>4294708</v>
      </c>
      <c r="Q248" s="8">
        <v>1859665</v>
      </c>
      <c r="S248" s="8">
        <v>8928407</v>
      </c>
      <c r="U248" s="8">
        <v>245567</v>
      </c>
      <c r="W248" s="8">
        <v>0</v>
      </c>
      <c r="Y248" s="8">
        <v>0</v>
      </c>
      <c r="AA248" s="8">
        <v>79856</v>
      </c>
      <c r="AB248" s="39"/>
      <c r="AC248" s="8">
        <v>0</v>
      </c>
      <c r="AE248" s="8">
        <v>0</v>
      </c>
      <c r="AG248" s="8">
        <f t="shared" si="10"/>
        <v>15408203</v>
      </c>
      <c r="AH248" s="8"/>
      <c r="AI248" s="8">
        <f t="shared" si="11"/>
        <v>18877227</v>
      </c>
    </row>
    <row r="249" spans="1:35" ht="12" customHeight="1">
      <c r="A249" s="12" t="s">
        <v>557</v>
      </c>
      <c r="B249" s="12"/>
      <c r="C249" s="12" t="s">
        <v>50</v>
      </c>
      <c r="D249" s="12"/>
      <c r="E249" s="32">
        <v>44180</v>
      </c>
      <c r="G249" s="8">
        <v>3833886</v>
      </c>
      <c r="I249" s="8">
        <v>8391295</v>
      </c>
      <c r="K249" s="8">
        <v>158018</v>
      </c>
      <c r="M249" s="8">
        <f t="shared" si="9"/>
        <v>12383199</v>
      </c>
      <c r="O249" s="8">
        <v>58323623</v>
      </c>
      <c r="Q249" s="8">
        <v>0</v>
      </c>
      <c r="S249" s="8">
        <v>21120885</v>
      </c>
      <c r="U249" s="8">
        <v>1215189</v>
      </c>
      <c r="W249" s="8">
        <v>0</v>
      </c>
      <c r="Y249" s="8">
        <v>0</v>
      </c>
      <c r="AA249" s="8">
        <v>899626</v>
      </c>
      <c r="AB249" s="39"/>
      <c r="AC249" s="8">
        <v>0</v>
      </c>
      <c r="AE249" s="8">
        <v>0</v>
      </c>
      <c r="AG249" s="8">
        <f t="shared" si="10"/>
        <v>81559323</v>
      </c>
      <c r="AH249" s="8"/>
      <c r="AI249" s="8">
        <f t="shared" si="11"/>
        <v>93942522</v>
      </c>
    </row>
    <row r="250" spans="1:35" ht="12" customHeight="1">
      <c r="A250" s="12" t="s">
        <v>495</v>
      </c>
      <c r="B250" s="12"/>
      <c r="C250" s="12" t="s">
        <v>44</v>
      </c>
      <c r="D250" s="12"/>
      <c r="E250" s="32">
        <v>48165</v>
      </c>
      <c r="G250" s="8">
        <v>930100</v>
      </c>
      <c r="I250" s="8">
        <v>1262086</v>
      </c>
      <c r="K250" s="8">
        <v>114562</v>
      </c>
      <c r="M250" s="8">
        <f t="shared" si="9"/>
        <v>2306748</v>
      </c>
      <c r="O250" s="8">
        <f>5459903+1323539+233573</f>
        <v>7017015</v>
      </c>
      <c r="Q250" s="8">
        <v>0</v>
      </c>
      <c r="S250" s="8">
        <v>7508424</v>
      </c>
      <c r="U250" s="8">
        <v>295028</v>
      </c>
      <c r="W250" s="8">
        <v>0</v>
      </c>
      <c r="Y250" s="8">
        <v>0</v>
      </c>
      <c r="AA250" s="8">
        <v>241290</v>
      </c>
      <c r="AB250" s="39"/>
      <c r="AC250" s="8">
        <v>0</v>
      </c>
      <c r="AE250" s="8">
        <v>0</v>
      </c>
      <c r="AG250" s="8">
        <f t="shared" si="10"/>
        <v>15061757</v>
      </c>
      <c r="AH250" s="8"/>
      <c r="AI250" s="8">
        <f t="shared" si="11"/>
        <v>17368505</v>
      </c>
    </row>
    <row r="251" spans="1:35" ht="12" customHeight="1">
      <c r="A251" s="12" t="s">
        <v>715</v>
      </c>
      <c r="B251" s="12"/>
      <c r="C251" s="12" t="s">
        <v>69</v>
      </c>
      <c r="D251" s="12"/>
      <c r="E251" s="32">
        <v>50435</v>
      </c>
      <c r="G251" s="8">
        <v>367449</v>
      </c>
      <c r="I251" s="8">
        <v>1763538</v>
      </c>
      <c r="K251" s="8">
        <v>12995</v>
      </c>
      <c r="M251" s="8">
        <f t="shared" si="9"/>
        <v>2143982</v>
      </c>
      <c r="O251" s="8">
        <f>21276005+4291493+1053773</f>
        <v>26621271</v>
      </c>
      <c r="Q251" s="8">
        <v>0</v>
      </c>
      <c r="S251" s="8">
        <v>12245711</v>
      </c>
      <c r="U251" s="8">
        <v>2042833</v>
      </c>
      <c r="W251" s="8">
        <v>1328948</v>
      </c>
      <c r="Y251" s="8">
        <v>0</v>
      </c>
      <c r="AA251" s="8">
        <v>602585</v>
      </c>
      <c r="AB251" s="39"/>
      <c r="AC251" s="8">
        <v>0</v>
      </c>
      <c r="AE251" s="8">
        <v>0</v>
      </c>
      <c r="AG251" s="8">
        <f t="shared" si="10"/>
        <v>42841348</v>
      </c>
      <c r="AH251" s="8"/>
      <c r="AI251" s="8">
        <f t="shared" si="11"/>
        <v>44985330</v>
      </c>
    </row>
    <row r="252" spans="1:35" ht="12" hidden="1" customHeight="1">
      <c r="A252" s="12" t="s">
        <v>464</v>
      </c>
      <c r="B252" s="12"/>
      <c r="C252" s="12" t="s">
        <v>41</v>
      </c>
      <c r="D252" s="12"/>
      <c r="E252" s="32">
        <v>47878</v>
      </c>
      <c r="M252" s="8">
        <f t="shared" si="9"/>
        <v>0</v>
      </c>
      <c r="Q252" s="8">
        <v>0</v>
      </c>
      <c r="W252" s="8">
        <v>0</v>
      </c>
      <c r="Y252" s="8">
        <v>0</v>
      </c>
      <c r="AB252" s="39"/>
      <c r="AC252" s="8">
        <v>0</v>
      </c>
      <c r="AE252" s="8">
        <v>0</v>
      </c>
      <c r="AG252" s="8">
        <f t="shared" si="10"/>
        <v>0</v>
      </c>
      <c r="AH252" s="8"/>
      <c r="AI252" s="8">
        <f t="shared" si="11"/>
        <v>0</v>
      </c>
    </row>
    <row r="253" spans="1:35" ht="12" customHeight="1">
      <c r="A253" s="12" t="s">
        <v>688</v>
      </c>
      <c r="B253" s="12"/>
      <c r="C253" s="12" t="s">
        <v>64</v>
      </c>
      <c r="D253" s="12"/>
      <c r="E253" s="32">
        <v>50245</v>
      </c>
      <c r="G253" s="8">
        <v>1441823</v>
      </c>
      <c r="I253" s="8">
        <v>2094381</v>
      </c>
      <c r="K253" s="8">
        <v>7559</v>
      </c>
      <c r="M253" s="8">
        <f t="shared" si="9"/>
        <v>3543763</v>
      </c>
      <c r="O253" s="8">
        <f>2724766+721724+47103+72759</f>
        <v>3566352</v>
      </c>
      <c r="Q253" s="8">
        <v>0</v>
      </c>
      <c r="S253" s="8">
        <v>7385276</v>
      </c>
      <c r="U253" s="8">
        <v>290850</v>
      </c>
      <c r="W253" s="8">
        <v>0</v>
      </c>
      <c r="Y253" s="8">
        <v>0</v>
      </c>
      <c r="AA253" s="8">
        <v>88148</v>
      </c>
      <c r="AB253" s="39"/>
      <c r="AC253" s="8">
        <v>0</v>
      </c>
      <c r="AE253" s="8">
        <v>0</v>
      </c>
      <c r="AG253" s="8">
        <f t="shared" si="10"/>
        <v>11330626</v>
      </c>
      <c r="AH253" s="8"/>
      <c r="AI253" s="8">
        <f t="shared" si="11"/>
        <v>14874389</v>
      </c>
    </row>
    <row r="254" spans="1:35" s="8" customFormat="1" ht="12" customHeight="1">
      <c r="A254" s="13" t="s">
        <v>658</v>
      </c>
      <c r="B254" s="13"/>
      <c r="C254" s="13" t="s">
        <v>62</v>
      </c>
      <c r="D254" s="13"/>
      <c r="E254" s="13">
        <v>49866</v>
      </c>
      <c r="G254" s="8">
        <v>767716</v>
      </c>
      <c r="I254" s="8">
        <v>2564795</v>
      </c>
      <c r="K254" s="8">
        <v>508</v>
      </c>
      <c r="M254" s="8">
        <f t="shared" si="9"/>
        <v>3333019</v>
      </c>
      <c r="O254" s="8">
        <f>13240451+1753873</f>
        <v>14994324</v>
      </c>
      <c r="Q254" s="8">
        <v>0</v>
      </c>
      <c r="S254" s="8">
        <v>15514645</v>
      </c>
      <c r="U254" s="8">
        <v>392897</v>
      </c>
      <c r="W254" s="8">
        <v>0</v>
      </c>
      <c r="Y254" s="8">
        <v>0</v>
      </c>
      <c r="AA254" s="8">
        <v>83367</v>
      </c>
      <c r="AB254" s="39"/>
      <c r="AC254" s="8">
        <v>1826</v>
      </c>
      <c r="AE254" s="8">
        <v>0</v>
      </c>
      <c r="AG254" s="8">
        <f t="shared" si="10"/>
        <v>30987059</v>
      </c>
      <c r="AI254" s="8">
        <f t="shared" si="11"/>
        <v>34320078</v>
      </c>
    </row>
    <row r="255" spans="1:35" ht="12" customHeight="1">
      <c r="A255" s="12" t="s">
        <v>658</v>
      </c>
      <c r="B255" s="12"/>
      <c r="C255" s="12" t="s">
        <v>72</v>
      </c>
      <c r="D255" s="12"/>
      <c r="E255" s="32">
        <v>50690</v>
      </c>
      <c r="G255" s="8">
        <v>1184190</v>
      </c>
      <c r="I255" s="8">
        <v>1194578</v>
      </c>
      <c r="K255" s="8">
        <v>10629</v>
      </c>
      <c r="M255" s="8">
        <f t="shared" si="9"/>
        <v>2389397</v>
      </c>
      <c r="O255" s="8">
        <f>6925747+267733+1238364</f>
        <v>8431844</v>
      </c>
      <c r="Q255" s="8">
        <v>0</v>
      </c>
      <c r="S255" s="8">
        <v>6111929</v>
      </c>
      <c r="U255" s="8">
        <v>254177</v>
      </c>
      <c r="W255" s="8">
        <v>53306</v>
      </c>
      <c r="Y255" s="8">
        <v>0</v>
      </c>
      <c r="AA255" s="8">
        <v>555</v>
      </c>
      <c r="AB255" s="39"/>
      <c r="AC255" s="8">
        <v>0</v>
      </c>
      <c r="AE255" s="8">
        <v>38202</v>
      </c>
      <c r="AG255" s="8">
        <f t="shared" si="10"/>
        <v>14890013</v>
      </c>
      <c r="AH255" s="8"/>
      <c r="AI255" s="8">
        <f t="shared" si="11"/>
        <v>17279410</v>
      </c>
    </row>
    <row r="256" spans="1:35" ht="12" customHeight="1">
      <c r="A256" s="12" t="s">
        <v>689</v>
      </c>
      <c r="B256" s="12"/>
      <c r="C256" s="12" t="s">
        <v>64</v>
      </c>
      <c r="D256" s="12"/>
      <c r="E256" s="32">
        <v>50187</v>
      </c>
      <c r="G256" s="8">
        <v>1038285</v>
      </c>
      <c r="I256" s="8">
        <v>961955</v>
      </c>
      <c r="K256" s="8">
        <v>9183</v>
      </c>
      <c r="M256" s="8">
        <f t="shared" si="9"/>
        <v>2009423</v>
      </c>
      <c r="O256" s="8">
        <f>6277324+530164+256886</f>
        <v>7064374</v>
      </c>
      <c r="Q256" s="8">
        <v>0</v>
      </c>
      <c r="S256" s="8">
        <v>8937741</v>
      </c>
      <c r="U256" s="8">
        <v>53064</v>
      </c>
      <c r="W256" s="8">
        <v>0</v>
      </c>
      <c r="Y256" s="8">
        <v>0</v>
      </c>
      <c r="AA256" s="8">
        <v>11830</v>
      </c>
      <c r="AB256" s="39"/>
      <c r="AC256" s="8">
        <v>0</v>
      </c>
      <c r="AE256" s="8">
        <v>0</v>
      </c>
      <c r="AG256" s="8">
        <f t="shared" si="10"/>
        <v>16067009</v>
      </c>
      <c r="AH256" s="8"/>
      <c r="AI256" s="8">
        <f t="shared" si="11"/>
        <v>18076432</v>
      </c>
    </row>
    <row r="257" spans="1:35" ht="12" customHeight="1">
      <c r="A257" s="12" t="s">
        <v>314</v>
      </c>
      <c r="B257" s="12"/>
      <c r="C257" s="12" t="s">
        <v>20</v>
      </c>
      <c r="D257" s="12"/>
      <c r="E257" s="32">
        <v>44198</v>
      </c>
      <c r="G257" s="8">
        <v>4599259</v>
      </c>
      <c r="I257" s="8">
        <v>7880587</v>
      </c>
      <c r="K257" s="8">
        <v>0</v>
      </c>
      <c r="M257" s="8">
        <f t="shared" si="9"/>
        <v>12479846</v>
      </c>
      <c r="O257" s="8">
        <f>36129344+7807531</f>
        <v>43936875</v>
      </c>
      <c r="Q257" s="8">
        <v>0</v>
      </c>
      <c r="S257" s="8">
        <v>24332260</v>
      </c>
      <c r="U257" s="8">
        <v>3811405</v>
      </c>
      <c r="W257" s="8">
        <v>0</v>
      </c>
      <c r="Y257" s="8">
        <v>0</v>
      </c>
      <c r="AA257" s="8">
        <v>230850</v>
      </c>
      <c r="AB257" s="39"/>
      <c r="AC257" s="8">
        <v>0</v>
      </c>
      <c r="AE257" s="8">
        <v>533631</v>
      </c>
      <c r="AG257" s="8">
        <f t="shared" si="10"/>
        <v>72845021</v>
      </c>
      <c r="AH257" s="8"/>
      <c r="AI257" s="8">
        <f t="shared" si="11"/>
        <v>85324867</v>
      </c>
    </row>
    <row r="258" spans="1:35" ht="12" customHeight="1">
      <c r="A258" s="12" t="s">
        <v>900</v>
      </c>
      <c r="B258" s="12"/>
      <c r="C258" s="12" t="s">
        <v>42</v>
      </c>
      <c r="D258" s="12"/>
      <c r="E258" s="32">
        <v>47993</v>
      </c>
      <c r="G258" s="8">
        <v>738396</v>
      </c>
      <c r="I258" s="8">
        <v>1095397</v>
      </c>
      <c r="K258" s="8">
        <v>13366</v>
      </c>
      <c r="M258" s="8">
        <f t="shared" si="9"/>
        <v>1847159</v>
      </c>
      <c r="O258" s="8">
        <f>10207940+1040662</f>
        <v>11248602</v>
      </c>
      <c r="Q258" s="8">
        <v>0</v>
      </c>
      <c r="S258" s="8">
        <v>7692375</v>
      </c>
      <c r="U258" s="8">
        <v>336879</v>
      </c>
      <c r="W258" s="8">
        <v>0</v>
      </c>
      <c r="Y258" s="8">
        <v>0</v>
      </c>
      <c r="AA258" s="8">
        <v>169480</v>
      </c>
      <c r="AB258" s="39"/>
      <c r="AC258" s="8">
        <v>0</v>
      </c>
      <c r="AE258" s="8">
        <v>0</v>
      </c>
      <c r="AG258" s="8">
        <f t="shared" si="10"/>
        <v>19447336</v>
      </c>
      <c r="AH258" s="8"/>
      <c r="AI258" s="8">
        <f t="shared" si="11"/>
        <v>21294495</v>
      </c>
    </row>
    <row r="259" spans="1:35" ht="12" customHeight="1">
      <c r="A259" s="12" t="s">
        <v>249</v>
      </c>
      <c r="B259" s="12"/>
      <c r="C259" s="12" t="s">
        <v>246</v>
      </c>
      <c r="D259" s="12"/>
      <c r="E259" s="32">
        <v>46110</v>
      </c>
      <c r="F259" s="7"/>
      <c r="G259" s="8">
        <v>3145008</v>
      </c>
      <c r="I259" s="8">
        <v>8866690</v>
      </c>
      <c r="K259" s="8">
        <v>139255</v>
      </c>
      <c r="M259" s="8">
        <f t="shared" si="9"/>
        <v>12150953</v>
      </c>
      <c r="O259" s="8">
        <f>80968922+12502843</f>
        <v>93471765</v>
      </c>
      <c r="Q259" s="8">
        <v>0</v>
      </c>
      <c r="S259" s="8">
        <v>57026114</v>
      </c>
      <c r="U259" s="8">
        <v>9019452</v>
      </c>
      <c r="W259" s="8">
        <v>1482251</v>
      </c>
      <c r="Y259" s="8">
        <v>55000</v>
      </c>
      <c r="AA259" s="8">
        <f>30915+226300</f>
        <v>257215</v>
      </c>
      <c r="AB259" s="39"/>
      <c r="AC259" s="8">
        <v>-56266</v>
      </c>
      <c r="AE259" s="8">
        <v>0</v>
      </c>
      <c r="AG259" s="8">
        <f t="shared" si="10"/>
        <v>161255531</v>
      </c>
      <c r="AH259" s="8"/>
      <c r="AI259" s="8">
        <f t="shared" si="11"/>
        <v>173406484</v>
      </c>
    </row>
    <row r="260" spans="1:35" s="8" customFormat="1" ht="12" customHeight="1">
      <c r="A260" s="13" t="s">
        <v>249</v>
      </c>
      <c r="B260" s="13"/>
      <c r="C260" s="13" t="s">
        <v>79</v>
      </c>
      <c r="D260" s="13"/>
      <c r="E260" s="13">
        <v>49569</v>
      </c>
      <c r="G260" s="8">
        <v>637424</v>
      </c>
      <c r="I260" s="8">
        <v>1583602</v>
      </c>
      <c r="K260" s="8">
        <v>10497</v>
      </c>
      <c r="M260" s="8">
        <f t="shared" si="9"/>
        <v>2231523</v>
      </c>
      <c r="O260" s="8">
        <f>2845219+387681</f>
        <v>3232900</v>
      </c>
      <c r="Q260" s="8">
        <v>1560894</v>
      </c>
      <c r="S260" s="8">
        <f>5114106+16778295</f>
        <v>21892401</v>
      </c>
      <c r="U260" s="8">
        <v>444085</v>
      </c>
      <c r="W260" s="8">
        <v>0</v>
      </c>
      <c r="Y260" s="8">
        <v>0</v>
      </c>
      <c r="AA260" s="8">
        <v>11746</v>
      </c>
      <c r="AB260" s="39"/>
      <c r="AC260" s="8">
        <v>0</v>
      </c>
      <c r="AE260" s="8">
        <v>0</v>
      </c>
      <c r="AG260" s="8">
        <f t="shared" si="10"/>
        <v>27142026</v>
      </c>
      <c r="AI260" s="8">
        <f t="shared" si="11"/>
        <v>29373549</v>
      </c>
    </row>
    <row r="261" spans="1:35" ht="12" customHeight="1">
      <c r="A261" s="12" t="s">
        <v>351</v>
      </c>
      <c r="B261" s="12"/>
      <c r="C261" s="12" t="s">
        <v>25</v>
      </c>
      <c r="D261" s="12"/>
      <c r="E261" s="32">
        <v>44206</v>
      </c>
      <c r="G261" s="8">
        <v>2531574</v>
      </c>
      <c r="I261" s="8">
        <v>9331612</v>
      </c>
      <c r="K261" s="8">
        <v>33471</v>
      </c>
      <c r="M261" s="8">
        <f t="shared" si="9"/>
        <v>11896657</v>
      </c>
      <c r="O261" s="8">
        <v>22331810</v>
      </c>
      <c r="Q261" s="8">
        <v>9260589</v>
      </c>
      <c r="S261" s="8">
        <v>21562900</v>
      </c>
      <c r="U261" s="8">
        <v>849581</v>
      </c>
      <c r="W261" s="8">
        <v>92612</v>
      </c>
      <c r="Y261" s="8">
        <v>0</v>
      </c>
      <c r="AA261" s="8">
        <f>2166+362</f>
        <v>2528</v>
      </c>
      <c r="AB261" s="39"/>
      <c r="AC261" s="8">
        <v>0</v>
      </c>
      <c r="AE261" s="8">
        <v>0</v>
      </c>
      <c r="AG261" s="8">
        <f t="shared" si="10"/>
        <v>54100020</v>
      </c>
      <c r="AH261" s="8"/>
      <c r="AI261" s="8">
        <f t="shared" si="11"/>
        <v>65996677</v>
      </c>
    </row>
    <row r="262" spans="1:35" ht="12" hidden="1" customHeight="1">
      <c r="A262" s="12" t="s">
        <v>716</v>
      </c>
      <c r="B262" s="12"/>
      <c r="C262" s="12" t="s">
        <v>69</v>
      </c>
      <c r="D262" s="12"/>
      <c r="E262" s="32">
        <v>44214</v>
      </c>
      <c r="M262" s="8">
        <f t="shared" si="9"/>
        <v>0</v>
      </c>
      <c r="W262" s="8">
        <v>0</v>
      </c>
      <c r="Y262" s="8">
        <v>0</v>
      </c>
      <c r="AA262" s="8">
        <v>0</v>
      </c>
      <c r="AB262" s="39"/>
      <c r="AC262" s="8">
        <v>0</v>
      </c>
      <c r="AE262" s="8">
        <v>0</v>
      </c>
      <c r="AG262" s="8">
        <f t="shared" si="10"/>
        <v>0</v>
      </c>
      <c r="AH262" s="8"/>
      <c r="AI262" s="8">
        <f t="shared" si="11"/>
        <v>0</v>
      </c>
    </row>
    <row r="263" spans="1:35" ht="12" customHeight="1">
      <c r="A263" s="12" t="s">
        <v>385</v>
      </c>
      <c r="B263" s="12"/>
      <c r="C263" s="12" t="s">
        <v>30</v>
      </c>
      <c r="D263" s="12"/>
      <c r="E263" s="32">
        <v>47209</v>
      </c>
      <c r="G263" s="8">
        <v>268578</v>
      </c>
      <c r="I263" s="8">
        <v>329971</v>
      </c>
      <c r="K263" s="8">
        <v>20534</v>
      </c>
      <c r="M263" s="8">
        <f t="shared" si="9"/>
        <v>619083</v>
      </c>
      <c r="O263" s="8">
        <v>2022332</v>
      </c>
      <c r="Q263" s="8">
        <v>700199</v>
      </c>
      <c r="S263" s="8">
        <v>2591086</v>
      </c>
      <c r="U263" s="8">
        <v>43608</v>
      </c>
      <c r="W263" s="8">
        <v>0</v>
      </c>
      <c r="Y263" s="8">
        <v>0</v>
      </c>
      <c r="AA263" s="8">
        <f>566+1239</f>
        <v>1805</v>
      </c>
      <c r="AB263" s="39"/>
      <c r="AC263" s="8">
        <v>0</v>
      </c>
      <c r="AE263" s="8">
        <v>0</v>
      </c>
      <c r="AG263" s="8">
        <f t="shared" si="10"/>
        <v>5359030</v>
      </c>
      <c r="AH263" s="8"/>
      <c r="AI263" s="8">
        <f t="shared" si="11"/>
        <v>5978113</v>
      </c>
    </row>
    <row r="264" spans="1:35" ht="12" hidden="1" customHeight="1">
      <c r="A264" s="12" t="s">
        <v>609</v>
      </c>
      <c r="B264" s="12"/>
      <c r="C264" s="12" t="s">
        <v>608</v>
      </c>
      <c r="D264" s="12"/>
      <c r="E264" s="32">
        <v>49353</v>
      </c>
      <c r="M264" s="8">
        <f t="shared" si="9"/>
        <v>0</v>
      </c>
      <c r="W264" s="8">
        <v>0</v>
      </c>
      <c r="Y264" s="8">
        <v>0</v>
      </c>
      <c r="AA264" s="8">
        <v>0</v>
      </c>
      <c r="AB264" s="39"/>
      <c r="AC264" s="8">
        <v>0</v>
      </c>
      <c r="AE264" s="8">
        <v>0</v>
      </c>
      <c r="AG264" s="8">
        <f t="shared" si="10"/>
        <v>0</v>
      </c>
      <c r="AH264" s="8"/>
      <c r="AI264" s="8">
        <f t="shared" si="11"/>
        <v>0</v>
      </c>
    </row>
    <row r="265" spans="1:35" ht="12" customHeight="1">
      <c r="A265" s="12" t="s">
        <v>615</v>
      </c>
      <c r="B265" s="12"/>
      <c r="C265" s="12" t="s">
        <v>113</v>
      </c>
      <c r="D265" s="12"/>
      <c r="E265" s="32">
        <v>49437</v>
      </c>
      <c r="G265" s="8">
        <v>951239</v>
      </c>
      <c r="I265" s="8">
        <v>2117613</v>
      </c>
      <c r="K265" s="8">
        <v>9629</v>
      </c>
      <c r="M265" s="8">
        <f t="shared" si="9"/>
        <v>3078481</v>
      </c>
      <c r="O265" s="8">
        <f>9755561+688450</f>
        <v>10444011</v>
      </c>
      <c r="Q265" s="8">
        <v>0</v>
      </c>
      <c r="S265" s="8">
        <v>10205287</v>
      </c>
      <c r="U265" s="8">
        <v>212213</v>
      </c>
      <c r="W265" s="8">
        <v>0</v>
      </c>
      <c r="Y265" s="8">
        <v>0</v>
      </c>
      <c r="AA265" s="8">
        <v>43459</v>
      </c>
      <c r="AB265" s="39"/>
      <c r="AC265" s="8">
        <v>0</v>
      </c>
      <c r="AE265" s="8">
        <v>0</v>
      </c>
      <c r="AG265" s="8">
        <f t="shared" si="10"/>
        <v>20904970</v>
      </c>
      <c r="AH265" s="8"/>
      <c r="AI265" s="8">
        <f t="shared" si="11"/>
        <v>23983451</v>
      </c>
    </row>
    <row r="266" spans="1:35" ht="12" customHeight="1">
      <c r="A266" s="12" t="s">
        <v>436</v>
      </c>
      <c r="B266" s="12"/>
      <c r="C266" s="12" t="s">
        <v>34</v>
      </c>
      <c r="D266" s="12"/>
      <c r="E266" s="32">
        <v>47589</v>
      </c>
      <c r="G266" s="8">
        <v>1659937</v>
      </c>
      <c r="I266" s="8">
        <v>1435994</v>
      </c>
      <c r="K266" s="8">
        <v>0</v>
      </c>
      <c r="M266" s="8">
        <f t="shared" si="9"/>
        <v>3095931</v>
      </c>
      <c r="O266" s="8">
        <f>2323775+120719+287835</f>
        <v>2732329</v>
      </c>
      <c r="Q266" s="8">
        <v>2177536</v>
      </c>
      <c r="S266" s="8">
        <v>5217428</v>
      </c>
      <c r="U266" s="8">
        <v>145572</v>
      </c>
      <c r="W266" s="8">
        <v>0</v>
      </c>
      <c r="Y266" s="8">
        <v>67646</v>
      </c>
      <c r="AA266" s="8">
        <v>60901</v>
      </c>
      <c r="AB266" s="39"/>
      <c r="AC266" s="8">
        <v>0</v>
      </c>
      <c r="AE266" s="8">
        <v>0</v>
      </c>
      <c r="AG266" s="8">
        <f t="shared" si="10"/>
        <v>10401412</v>
      </c>
      <c r="AH266" s="8"/>
      <c r="AI266" s="8">
        <f t="shared" si="11"/>
        <v>13497343</v>
      </c>
    </row>
    <row r="267" spans="1:35" ht="12" customHeight="1">
      <c r="A267" s="12" t="s">
        <v>690</v>
      </c>
      <c r="B267" s="12"/>
      <c r="C267" s="12" t="s">
        <v>64</v>
      </c>
      <c r="D267" s="12"/>
      <c r="E267" s="32">
        <v>50195</v>
      </c>
      <c r="G267" s="8">
        <v>1256602</v>
      </c>
      <c r="I267" s="8">
        <v>2020449</v>
      </c>
      <c r="K267" s="8">
        <v>12254</v>
      </c>
      <c r="M267" s="8">
        <f t="shared" si="9"/>
        <v>3289305</v>
      </c>
      <c r="O267" s="8">
        <f>4979596+2903364+817985+137350</f>
        <v>8838295</v>
      </c>
      <c r="Q267" s="8">
        <v>0</v>
      </c>
      <c r="S267" s="8">
        <v>6386883</v>
      </c>
      <c r="U267" s="8">
        <v>109001</v>
      </c>
      <c r="W267" s="8">
        <v>0</v>
      </c>
      <c r="Y267" s="8">
        <v>0</v>
      </c>
      <c r="AA267" s="8">
        <v>134954</v>
      </c>
      <c r="AB267" s="39"/>
      <c r="AC267" s="8">
        <v>0</v>
      </c>
      <c r="AE267" s="8">
        <v>0</v>
      </c>
      <c r="AG267" s="8">
        <f t="shared" si="10"/>
        <v>15469133</v>
      </c>
      <c r="AH267" s="8"/>
      <c r="AI267" s="8">
        <f t="shared" si="11"/>
        <v>18758438</v>
      </c>
    </row>
    <row r="268" spans="1:35" ht="12" customHeight="1">
      <c r="A268" s="12" t="s">
        <v>906</v>
      </c>
      <c r="B268" s="12"/>
      <c r="C268" s="12" t="s">
        <v>25</v>
      </c>
      <c r="D268" s="12"/>
      <c r="E268" s="32">
        <v>46888</v>
      </c>
      <c r="G268" s="8">
        <v>572801</v>
      </c>
      <c r="I268" s="8">
        <v>950689</v>
      </c>
      <c r="K268" s="8">
        <v>0</v>
      </c>
      <c r="M268" s="8">
        <f t="shared" si="9"/>
        <v>1523490</v>
      </c>
      <c r="O268" s="8">
        <f>3015078+754403+51234</f>
        <v>3820715</v>
      </c>
      <c r="Q268" s="8">
        <v>2904526</v>
      </c>
      <c r="S268" s="8">
        <v>6192939</v>
      </c>
      <c r="U268" s="8">
        <v>294359</v>
      </c>
      <c r="W268" s="8">
        <v>0</v>
      </c>
      <c r="Y268" s="8">
        <v>0</v>
      </c>
      <c r="AA268" s="8">
        <f>336757+108398</f>
        <v>445155</v>
      </c>
      <c r="AB268" s="39"/>
      <c r="AC268" s="8">
        <v>0</v>
      </c>
      <c r="AE268" s="8">
        <v>0</v>
      </c>
      <c r="AG268" s="8">
        <f t="shared" si="10"/>
        <v>13657694</v>
      </c>
      <c r="AH268" s="8"/>
      <c r="AI268" s="8">
        <f t="shared" si="11"/>
        <v>15181184</v>
      </c>
    </row>
    <row r="269" spans="1:35" ht="12" customHeight="1">
      <c r="A269" s="12" t="s">
        <v>422</v>
      </c>
      <c r="B269" s="12"/>
      <c r="C269" s="12" t="s">
        <v>33</v>
      </c>
      <c r="D269" s="12"/>
      <c r="E269" s="32">
        <v>47449</v>
      </c>
      <c r="G269" s="8">
        <v>555238</v>
      </c>
      <c r="I269" s="8">
        <v>1077385</v>
      </c>
      <c r="K269" s="8">
        <v>6825</v>
      </c>
      <c r="M269" s="8">
        <f t="shared" si="9"/>
        <v>1639448</v>
      </c>
      <c r="O269" s="8">
        <f>3863456+580575</f>
        <v>4444031</v>
      </c>
      <c r="Q269" s="8">
        <v>1380019</v>
      </c>
      <c r="S269" s="8">
        <v>5595718</v>
      </c>
      <c r="U269" s="8">
        <v>312753</v>
      </c>
      <c r="W269" s="8">
        <v>20212</v>
      </c>
      <c r="Y269" s="8">
        <v>2918</v>
      </c>
      <c r="AA269" s="8">
        <v>85612</v>
      </c>
      <c r="AB269" s="39"/>
      <c r="AC269" s="8">
        <v>0</v>
      </c>
      <c r="AE269" s="8">
        <v>0</v>
      </c>
      <c r="AG269" s="8">
        <f t="shared" si="10"/>
        <v>11841263</v>
      </c>
      <c r="AH269" s="8"/>
      <c r="AI269" s="8">
        <f t="shared" si="11"/>
        <v>13480711</v>
      </c>
    </row>
    <row r="270" spans="1:35" ht="12" customHeight="1">
      <c r="A270" s="12" t="s">
        <v>482</v>
      </c>
      <c r="B270" s="12"/>
      <c r="C270" s="12" t="s">
        <v>42</v>
      </c>
      <c r="D270" s="12"/>
      <c r="E270" s="32">
        <v>48009</v>
      </c>
      <c r="G270" s="8">
        <v>1175545</v>
      </c>
      <c r="I270" s="8">
        <v>1834557</v>
      </c>
      <c r="K270" s="8">
        <v>14268</v>
      </c>
      <c r="M270" s="8">
        <f>SUM(G270:L270)</f>
        <v>3024370</v>
      </c>
      <c r="O270" s="8">
        <f>12246468+3980859</f>
        <v>16227327</v>
      </c>
      <c r="Q270" s="8">
        <v>0</v>
      </c>
      <c r="S270" s="8">
        <v>9052274</v>
      </c>
      <c r="U270" s="8">
        <v>960074</v>
      </c>
      <c r="W270" s="8">
        <v>833</v>
      </c>
      <c r="Y270" s="8">
        <v>0</v>
      </c>
      <c r="AA270" s="8">
        <v>156073</v>
      </c>
      <c r="AB270" s="39"/>
      <c r="AC270" s="8">
        <v>0</v>
      </c>
      <c r="AE270" s="8">
        <v>0</v>
      </c>
      <c r="AG270" s="8">
        <f t="shared" si="10"/>
        <v>26396581</v>
      </c>
      <c r="AH270" s="8"/>
      <c r="AI270" s="8">
        <f>+AG270+M270</f>
        <v>29420951</v>
      </c>
    </row>
    <row r="271" spans="1:35" ht="12" customHeight="1">
      <c r="A271" s="12" t="s">
        <v>483</v>
      </c>
      <c r="B271" s="12"/>
      <c r="C271" s="12" t="s">
        <v>42</v>
      </c>
      <c r="D271" s="12"/>
      <c r="E271" s="32">
        <v>48017</v>
      </c>
      <c r="G271" s="8">
        <v>1044682</v>
      </c>
      <c r="I271" s="8">
        <v>1919252</v>
      </c>
      <c r="K271" s="8">
        <v>10778239</v>
      </c>
      <c r="M271" s="8">
        <f>SUM(G271:L271)</f>
        <v>13742173</v>
      </c>
      <c r="O271" s="8">
        <f>3993566+961673</f>
        <v>4955239</v>
      </c>
      <c r="Q271" s="8">
        <v>1935180</v>
      </c>
      <c r="S271" s="8">
        <v>5990239</v>
      </c>
      <c r="U271" s="8">
        <v>875192</v>
      </c>
      <c r="W271" s="8">
        <v>0</v>
      </c>
      <c r="Y271" s="8">
        <v>0</v>
      </c>
      <c r="AA271" s="8">
        <v>318584</v>
      </c>
      <c r="AB271" s="39"/>
      <c r="AC271" s="8">
        <v>0</v>
      </c>
      <c r="AE271" s="8">
        <v>808017</v>
      </c>
      <c r="AG271" s="8">
        <f>SUM(O271:AE271)</f>
        <v>14882451</v>
      </c>
      <c r="AH271" s="8"/>
      <c r="AI271" s="8">
        <f>+AG271+M271</f>
        <v>28624624</v>
      </c>
    </row>
    <row r="272" spans="1:35" ht="12" customHeight="1">
      <c r="A272" s="12" t="s">
        <v>710</v>
      </c>
      <c r="B272" s="12"/>
      <c r="C272" s="12" t="s">
        <v>67</v>
      </c>
      <c r="D272" s="12"/>
      <c r="E272" s="32">
        <v>50369</v>
      </c>
      <c r="G272" s="8">
        <v>2313311</v>
      </c>
      <c r="I272" s="8">
        <v>785403</v>
      </c>
      <c r="K272" s="8">
        <v>84031</v>
      </c>
      <c r="M272" s="8">
        <f>SUM(G272:L272)</f>
        <v>3182745</v>
      </c>
      <c r="O272" s="8">
        <f>1999926+782185+30801+133515</f>
        <v>2946427</v>
      </c>
      <c r="Q272" s="8">
        <v>0</v>
      </c>
      <c r="S272" s="8">
        <v>4270861</v>
      </c>
      <c r="U272" s="8">
        <v>741084</v>
      </c>
      <c r="W272" s="8">
        <v>0</v>
      </c>
      <c r="Y272" s="8">
        <v>0</v>
      </c>
      <c r="AA272" s="8">
        <v>164450</v>
      </c>
      <c r="AB272" s="39"/>
      <c r="AC272" s="8">
        <v>0</v>
      </c>
      <c r="AE272" s="8">
        <v>0</v>
      </c>
      <c r="AG272" s="8">
        <f>SUM(O272:AE272)</f>
        <v>8122822</v>
      </c>
      <c r="AH272" s="8"/>
      <c r="AI272" s="8">
        <f>+AG272+M272</f>
        <v>11305567</v>
      </c>
    </row>
    <row r="273" spans="1:35" ht="12" customHeight="1">
      <c r="A273" s="12" t="s">
        <v>287</v>
      </c>
      <c r="B273" s="12"/>
      <c r="C273" s="12" t="s">
        <v>115</v>
      </c>
      <c r="D273" s="12"/>
      <c r="E273" s="32">
        <v>45450</v>
      </c>
      <c r="F273" s="48"/>
      <c r="G273" s="8">
        <v>1621046</v>
      </c>
      <c r="I273" s="8">
        <v>1873312</v>
      </c>
      <c r="K273" s="8">
        <v>4234</v>
      </c>
      <c r="M273" s="8">
        <f>SUM(G273:L273)</f>
        <v>3498592</v>
      </c>
      <c r="O273" s="8">
        <f>1559564+288748+379071</f>
        <v>2227383</v>
      </c>
      <c r="Q273" s="8">
        <v>0</v>
      </c>
      <c r="S273" s="8">
        <v>4658244</v>
      </c>
      <c r="U273" s="8">
        <v>188868</v>
      </c>
      <c r="W273" s="8">
        <v>0</v>
      </c>
      <c r="Y273" s="8">
        <v>0</v>
      </c>
      <c r="AA273" s="8">
        <v>0</v>
      </c>
      <c r="AB273" s="39"/>
      <c r="AC273" s="8">
        <v>0</v>
      </c>
      <c r="AE273" s="8">
        <v>0</v>
      </c>
      <c r="AG273" s="8">
        <f>SUM(O273:AE273)</f>
        <v>7074495</v>
      </c>
      <c r="AH273" s="8"/>
      <c r="AI273" s="8">
        <f>+AG273+M273</f>
        <v>10573087</v>
      </c>
    </row>
    <row r="274" spans="1:35" s="8" customFormat="1" ht="12" customHeight="1">
      <c r="A274" s="13" t="s">
        <v>717</v>
      </c>
      <c r="B274" s="13"/>
      <c r="C274" s="13" t="s">
        <v>69</v>
      </c>
      <c r="D274" s="13"/>
      <c r="E274" s="13">
        <v>50443</v>
      </c>
      <c r="G274" s="8">
        <v>1825291</v>
      </c>
      <c r="I274" s="8">
        <v>1882104</v>
      </c>
      <c r="K274" s="8">
        <v>87221</v>
      </c>
      <c r="M274" s="8">
        <f t="shared" ref="M274:M286" si="12">SUM(G274:L274)</f>
        <v>3794616</v>
      </c>
      <c r="O274" s="8">
        <f>11856898+4437645+2131128</f>
        <v>18425671</v>
      </c>
      <c r="Q274" s="8">
        <v>0</v>
      </c>
      <c r="S274" s="8">
        <v>10885644</v>
      </c>
      <c r="U274" s="8">
        <v>3104294</v>
      </c>
      <c r="W274" s="8">
        <v>15276</v>
      </c>
      <c r="Y274" s="8">
        <v>23000</v>
      </c>
      <c r="AA274" s="8">
        <v>10774</v>
      </c>
      <c r="AB274" s="39"/>
      <c r="AC274" s="8">
        <v>0</v>
      </c>
      <c r="AE274" s="8">
        <v>0</v>
      </c>
      <c r="AG274" s="8">
        <f t="shared" ref="AG274:AG286" si="13">SUM(O274:AE274)</f>
        <v>32464659</v>
      </c>
      <c r="AI274" s="8">
        <f t="shared" ref="AI274:AI286" si="14">+AG274+M274</f>
        <v>36259275</v>
      </c>
    </row>
    <row r="275" spans="1:35" ht="12" hidden="1" customHeight="1">
      <c r="A275" s="12" t="s">
        <v>401</v>
      </c>
      <c r="B275" s="12"/>
      <c r="C275" s="12" t="s">
        <v>32</v>
      </c>
      <c r="D275" s="12"/>
      <c r="E275" s="32">
        <v>44230</v>
      </c>
      <c r="M275" s="8">
        <f t="shared" si="12"/>
        <v>0</v>
      </c>
      <c r="Q275" s="8">
        <v>0</v>
      </c>
      <c r="W275" s="8">
        <v>0</v>
      </c>
      <c r="AB275" s="39"/>
      <c r="AC275" s="8">
        <v>0</v>
      </c>
      <c r="AE275" s="8">
        <v>0</v>
      </c>
      <c r="AG275" s="8">
        <f t="shared" si="13"/>
        <v>0</v>
      </c>
      <c r="AH275" s="8"/>
      <c r="AI275" s="8">
        <f t="shared" si="14"/>
        <v>0</v>
      </c>
    </row>
    <row r="276" spans="1:35" ht="12" customHeight="1">
      <c r="A276" s="12" t="s">
        <v>589</v>
      </c>
      <c r="B276" s="12"/>
      <c r="C276" s="12" t="s">
        <v>54</v>
      </c>
      <c r="D276" s="12"/>
      <c r="E276" s="32">
        <v>49080</v>
      </c>
      <c r="G276" s="8">
        <v>1302980</v>
      </c>
      <c r="I276" s="8">
        <v>2062936</v>
      </c>
      <c r="K276" s="8">
        <v>0</v>
      </c>
      <c r="M276" s="8">
        <f t="shared" si="12"/>
        <v>3365916</v>
      </c>
      <c r="O276" s="8">
        <f>7003613+191205</f>
        <v>7194818</v>
      </c>
      <c r="Q276" s="8">
        <v>2368586</v>
      </c>
      <c r="S276" s="8">
        <v>8791531</v>
      </c>
      <c r="U276" s="8">
        <v>253917</v>
      </c>
      <c r="W276" s="8">
        <v>0</v>
      </c>
      <c r="Y276" s="8">
        <v>0</v>
      </c>
      <c r="AA276" s="8">
        <v>58175</v>
      </c>
      <c r="AB276" s="39"/>
      <c r="AC276" s="8">
        <v>0</v>
      </c>
      <c r="AE276" s="8">
        <v>0</v>
      </c>
      <c r="AG276" s="8">
        <f t="shared" si="13"/>
        <v>18667027</v>
      </c>
      <c r="AH276" s="8"/>
      <c r="AI276" s="8">
        <f t="shared" si="14"/>
        <v>22032943</v>
      </c>
    </row>
    <row r="277" spans="1:35" ht="12" customHeight="1">
      <c r="A277" s="12" t="s">
        <v>445</v>
      </c>
      <c r="B277" s="12"/>
      <c r="C277" s="12" t="s">
        <v>35</v>
      </c>
      <c r="D277" s="12"/>
      <c r="E277" s="32">
        <v>44248</v>
      </c>
      <c r="G277" s="8">
        <v>1195131</v>
      </c>
      <c r="I277" s="8">
        <v>4639660</v>
      </c>
      <c r="K277" s="8">
        <v>20568062</v>
      </c>
      <c r="M277" s="8">
        <f t="shared" si="12"/>
        <v>26402853</v>
      </c>
      <c r="O277" s="8">
        <f>9376334+2952780+621349+167226</f>
        <v>13117689</v>
      </c>
      <c r="Q277" s="8">
        <v>0</v>
      </c>
      <c r="S277" s="8">
        <v>20938841</v>
      </c>
      <c r="U277" s="8">
        <v>1665954</v>
      </c>
      <c r="W277" s="8">
        <v>0</v>
      </c>
      <c r="Y277" s="8">
        <v>0</v>
      </c>
      <c r="AA277" s="8">
        <v>139791</v>
      </c>
      <c r="AB277" s="39"/>
      <c r="AC277" s="8">
        <v>0</v>
      </c>
      <c r="AE277" s="8">
        <v>0</v>
      </c>
      <c r="AG277" s="8">
        <f t="shared" si="13"/>
        <v>35862275</v>
      </c>
      <c r="AH277" s="8"/>
      <c r="AI277" s="8">
        <f t="shared" si="14"/>
        <v>62265128</v>
      </c>
    </row>
    <row r="278" spans="1:35" s="8" customFormat="1" ht="12" customHeight="1">
      <c r="A278" s="13" t="s">
        <v>513</v>
      </c>
      <c r="B278" s="13"/>
      <c r="C278" s="13" t="s">
        <v>511</v>
      </c>
      <c r="D278" s="13"/>
      <c r="E278" s="32">
        <v>44255</v>
      </c>
      <c r="G278" s="8">
        <v>3201367</v>
      </c>
      <c r="I278" s="8">
        <v>2787915</v>
      </c>
      <c r="K278" s="8">
        <v>10234</v>
      </c>
      <c r="M278" s="8">
        <f t="shared" si="12"/>
        <v>5999516</v>
      </c>
      <c r="O278" s="8">
        <f>5229375+1867559</f>
        <v>7096934</v>
      </c>
      <c r="Q278" s="8">
        <v>3033446</v>
      </c>
      <c r="S278" s="8">
        <v>8520340</v>
      </c>
      <c r="U278" s="8">
        <v>226579</v>
      </c>
      <c r="W278" s="8">
        <v>153597</v>
      </c>
      <c r="Y278" s="8">
        <v>21423</v>
      </c>
      <c r="AA278" s="8">
        <v>54827</v>
      </c>
      <c r="AB278" s="39"/>
      <c r="AC278" s="8">
        <v>0</v>
      </c>
      <c r="AE278" s="8">
        <v>0</v>
      </c>
      <c r="AG278" s="8">
        <f t="shared" si="13"/>
        <v>19107146</v>
      </c>
      <c r="AI278" s="8">
        <f t="shared" si="14"/>
        <v>25106662</v>
      </c>
    </row>
    <row r="279" spans="1:35" ht="12" customHeight="1">
      <c r="A279" s="12" t="s">
        <v>496</v>
      </c>
      <c r="B279" s="12"/>
      <c r="C279" s="12" t="s">
        <v>44</v>
      </c>
      <c r="D279" s="12"/>
      <c r="E279" s="32">
        <v>44263</v>
      </c>
      <c r="G279" s="8">
        <v>2652416</v>
      </c>
      <c r="I279" s="8">
        <v>29855842</v>
      </c>
      <c r="K279" s="8">
        <v>2130075</v>
      </c>
      <c r="M279" s="8">
        <f t="shared" si="12"/>
        <v>34638333</v>
      </c>
      <c r="O279" s="8">
        <f>17946457+2272384</f>
        <v>20218841</v>
      </c>
      <c r="Q279" s="8">
        <v>0</v>
      </c>
      <c r="S279" s="8">
        <v>57880096</v>
      </c>
      <c r="U279" s="8">
        <v>246764</v>
      </c>
      <c r="W279" s="8">
        <v>0</v>
      </c>
      <c r="Y279" s="8">
        <v>0</v>
      </c>
      <c r="AA279" s="8">
        <v>487303</v>
      </c>
      <c r="AB279" s="39"/>
      <c r="AC279" s="8">
        <v>0</v>
      </c>
      <c r="AE279" s="8">
        <v>0</v>
      </c>
      <c r="AG279" s="8">
        <f t="shared" si="13"/>
        <v>78833004</v>
      </c>
      <c r="AH279" s="8"/>
      <c r="AI279" s="8">
        <f t="shared" si="14"/>
        <v>113471337</v>
      </c>
    </row>
    <row r="280" spans="1:35" ht="12" customHeight="1">
      <c r="A280" s="12" t="s">
        <v>691</v>
      </c>
      <c r="B280" s="12"/>
      <c r="C280" s="12" t="s">
        <v>64</v>
      </c>
      <c r="D280" s="12"/>
      <c r="E280" s="32">
        <v>50203</v>
      </c>
      <c r="G280" s="8">
        <v>335461</v>
      </c>
      <c r="I280" s="8">
        <v>258599</v>
      </c>
      <c r="K280" s="8">
        <v>4536</v>
      </c>
      <c r="M280" s="8">
        <f t="shared" si="12"/>
        <v>598596</v>
      </c>
      <c r="O280" s="8">
        <f>3586642+117527</f>
        <v>3704169</v>
      </c>
      <c r="Q280" s="8">
        <v>0</v>
      </c>
      <c r="S280" s="8">
        <v>2066127</v>
      </c>
      <c r="U280" s="8">
        <v>90304</v>
      </c>
      <c r="W280" s="8">
        <v>0</v>
      </c>
      <c r="Y280" s="8">
        <v>0</v>
      </c>
      <c r="AA280" s="8">
        <v>738959</v>
      </c>
      <c r="AB280" s="39"/>
      <c r="AC280" s="8">
        <v>0</v>
      </c>
      <c r="AE280" s="8">
        <v>0</v>
      </c>
      <c r="AG280" s="8">
        <f t="shared" si="13"/>
        <v>6599559</v>
      </c>
      <c r="AH280" s="8"/>
      <c r="AI280" s="8">
        <f t="shared" si="14"/>
        <v>7198155</v>
      </c>
    </row>
    <row r="281" spans="1:35" ht="12" customHeight="1">
      <c r="A281" s="12" t="s">
        <v>907</v>
      </c>
      <c r="B281" s="12"/>
      <c r="C281" s="12" t="s">
        <v>11</v>
      </c>
      <c r="D281" s="12"/>
      <c r="E281" s="32">
        <v>45468</v>
      </c>
      <c r="F281" s="7"/>
      <c r="G281" s="8">
        <v>922376</v>
      </c>
      <c r="I281" s="8">
        <v>1366274</v>
      </c>
      <c r="K281" s="8">
        <v>5821</v>
      </c>
      <c r="M281" s="8">
        <f t="shared" si="12"/>
        <v>2294471</v>
      </c>
      <c r="O281" s="8">
        <f>3739097+81400</f>
        <v>3820497</v>
      </c>
      <c r="Q281" s="8">
        <v>1628218</v>
      </c>
      <c r="S281" s="8">
        <v>4786248</v>
      </c>
      <c r="U281" s="8">
        <v>176530</v>
      </c>
      <c r="W281" s="8">
        <v>0</v>
      </c>
      <c r="Y281" s="8">
        <v>0</v>
      </c>
      <c r="AA281" s="8">
        <v>63251</v>
      </c>
      <c r="AB281" s="39"/>
      <c r="AC281" s="8">
        <v>0</v>
      </c>
      <c r="AE281" s="8">
        <v>0</v>
      </c>
      <c r="AG281" s="8">
        <f t="shared" si="13"/>
        <v>10474744</v>
      </c>
      <c r="AH281" s="8"/>
      <c r="AI281" s="8">
        <f t="shared" si="14"/>
        <v>12769215</v>
      </c>
    </row>
    <row r="282" spans="1:35" ht="12" customHeight="1">
      <c r="A282" s="12" t="s">
        <v>659</v>
      </c>
      <c r="B282" s="12"/>
      <c r="C282" s="12" t="s">
        <v>62</v>
      </c>
      <c r="D282" s="12"/>
      <c r="E282" s="32">
        <v>49874</v>
      </c>
      <c r="G282" s="8">
        <v>2009603</v>
      </c>
      <c r="I282" s="8">
        <v>3458991</v>
      </c>
      <c r="K282" s="8">
        <v>17311</v>
      </c>
      <c r="M282" s="8">
        <f t="shared" si="12"/>
        <v>5485905</v>
      </c>
      <c r="O282" s="8">
        <f>6902315+1619412+373259</f>
        <v>8894986</v>
      </c>
      <c r="Q282" s="8">
        <v>0</v>
      </c>
      <c r="S282" s="8">
        <v>14304853</v>
      </c>
      <c r="U282" s="8">
        <v>316361</v>
      </c>
      <c r="W282" s="8">
        <v>0</v>
      </c>
      <c r="Y282" s="8">
        <v>0</v>
      </c>
      <c r="AA282" s="8">
        <v>70730</v>
      </c>
      <c r="AB282" s="39"/>
      <c r="AC282" s="8">
        <v>0</v>
      </c>
      <c r="AE282" s="8">
        <v>0</v>
      </c>
      <c r="AG282" s="8">
        <f t="shared" si="13"/>
        <v>23586930</v>
      </c>
      <c r="AH282" s="8"/>
      <c r="AI282" s="8">
        <f t="shared" si="14"/>
        <v>29072835</v>
      </c>
    </row>
    <row r="283" spans="1:35" ht="12" customHeight="1">
      <c r="A283" s="12" t="s">
        <v>402</v>
      </c>
      <c r="B283" s="12"/>
      <c r="C283" s="12" t="s">
        <v>32</v>
      </c>
      <c r="D283" s="12"/>
      <c r="E283" s="32">
        <v>44271</v>
      </c>
      <c r="G283" s="8">
        <v>1982841</v>
      </c>
      <c r="I283" s="8">
        <v>2906291</v>
      </c>
      <c r="K283" s="8">
        <v>61900</v>
      </c>
      <c r="M283" s="8">
        <f t="shared" si="12"/>
        <v>4951032</v>
      </c>
      <c r="O283" s="8">
        <f>20606788+4439187+2987667</f>
        <v>28033642</v>
      </c>
      <c r="Q283" s="8">
        <v>0</v>
      </c>
      <c r="S283" s="8">
        <v>14627046</v>
      </c>
      <c r="U283" s="8">
        <v>946817</v>
      </c>
      <c r="W283" s="8">
        <v>0</v>
      </c>
      <c r="Y283" s="8">
        <v>6601</v>
      </c>
      <c r="AA283" s="8">
        <v>127678</v>
      </c>
      <c r="AB283" s="39"/>
      <c r="AC283" s="8">
        <v>0</v>
      </c>
      <c r="AE283" s="8">
        <v>0</v>
      </c>
      <c r="AG283" s="8">
        <f t="shared" si="13"/>
        <v>43741784</v>
      </c>
      <c r="AH283" s="8"/>
      <c r="AI283" s="8">
        <f t="shared" si="14"/>
        <v>48692816</v>
      </c>
    </row>
    <row r="284" spans="1:35" ht="12" customHeight="1">
      <c r="A284" s="12" t="s">
        <v>519</v>
      </c>
      <c r="B284" s="12"/>
      <c r="C284" s="12" t="s">
        <v>45</v>
      </c>
      <c r="D284" s="12"/>
      <c r="E284" s="32">
        <v>48330</v>
      </c>
      <c r="G284" s="8">
        <v>1451181</v>
      </c>
      <c r="I284" s="8">
        <v>509977</v>
      </c>
      <c r="K284" s="8">
        <v>1282</v>
      </c>
      <c r="M284" s="8">
        <f t="shared" si="12"/>
        <v>1962440</v>
      </c>
      <c r="O284" s="8">
        <f>968266+13515+159970</f>
        <v>1141751</v>
      </c>
      <c r="Q284" s="8">
        <v>0</v>
      </c>
      <c r="S284" s="8">
        <v>2282578</v>
      </c>
      <c r="U284" s="8">
        <v>90843</v>
      </c>
      <c r="W284" s="8">
        <v>0</v>
      </c>
      <c r="Y284" s="8">
        <v>0</v>
      </c>
      <c r="AA284" s="8">
        <v>11061</v>
      </c>
      <c r="AB284" s="39"/>
      <c r="AC284" s="8">
        <v>0</v>
      </c>
      <c r="AE284" s="8">
        <v>0</v>
      </c>
      <c r="AG284" s="8">
        <f t="shared" si="13"/>
        <v>3526233</v>
      </c>
      <c r="AH284" s="8"/>
      <c r="AI284" s="8">
        <f t="shared" si="14"/>
        <v>5488673</v>
      </c>
    </row>
    <row r="285" spans="1:35" ht="12" customHeight="1">
      <c r="A285" s="12" t="s">
        <v>616</v>
      </c>
      <c r="B285" s="12"/>
      <c r="C285" s="12" t="s">
        <v>113</v>
      </c>
      <c r="D285" s="12"/>
      <c r="E285" s="32">
        <v>49445</v>
      </c>
      <c r="G285" s="8">
        <v>250516</v>
      </c>
      <c r="I285" s="8">
        <v>475200</v>
      </c>
      <c r="K285" s="8">
        <v>3281</v>
      </c>
      <c r="M285" s="8">
        <f t="shared" si="12"/>
        <v>728997</v>
      </c>
      <c r="O285" s="8">
        <v>2576268</v>
      </c>
      <c r="Q285" s="8">
        <v>0</v>
      </c>
      <c r="S285" s="8">
        <v>2361544</v>
      </c>
      <c r="U285" s="8">
        <v>74570</v>
      </c>
      <c r="W285" s="8">
        <v>0</v>
      </c>
      <c r="Y285" s="8">
        <v>0</v>
      </c>
      <c r="AA285" s="8">
        <v>16334</v>
      </c>
      <c r="AB285" s="39"/>
      <c r="AC285" s="8">
        <v>0</v>
      </c>
      <c r="AE285" s="8">
        <v>0</v>
      </c>
      <c r="AG285" s="8">
        <f t="shared" si="13"/>
        <v>5028716</v>
      </c>
      <c r="AH285" s="8"/>
      <c r="AI285" s="8">
        <f t="shared" si="14"/>
        <v>5757713</v>
      </c>
    </row>
    <row r="286" spans="1:35" ht="12" customHeight="1">
      <c r="A286" s="12" t="s">
        <v>444</v>
      </c>
      <c r="B286" s="12"/>
      <c r="C286" s="12" t="s">
        <v>440</v>
      </c>
      <c r="D286" s="12"/>
      <c r="E286" s="32">
        <v>47639</v>
      </c>
      <c r="G286" s="8">
        <v>1001109</v>
      </c>
      <c r="I286" s="8">
        <v>1328848</v>
      </c>
      <c r="K286" s="8">
        <v>20475</v>
      </c>
      <c r="M286" s="8">
        <f t="shared" si="12"/>
        <v>2350432</v>
      </c>
      <c r="O286" s="8">
        <f>1665054+164253+37965</f>
        <v>1867272</v>
      </c>
      <c r="Q286" s="8">
        <v>0</v>
      </c>
      <c r="S286" s="8">
        <v>7518436</v>
      </c>
      <c r="U286" s="8">
        <v>405296</v>
      </c>
      <c r="W286" s="8">
        <v>0</v>
      </c>
      <c r="Y286" s="8">
        <v>19144</v>
      </c>
      <c r="AA286" s="8">
        <v>107237</v>
      </c>
      <c r="AB286" s="39"/>
      <c r="AC286" s="8">
        <v>0</v>
      </c>
      <c r="AE286" s="8">
        <v>0</v>
      </c>
      <c r="AG286" s="8">
        <f t="shared" si="13"/>
        <v>9917385</v>
      </c>
      <c r="AH286" s="8"/>
      <c r="AI286" s="8">
        <f t="shared" si="14"/>
        <v>12267817</v>
      </c>
    </row>
    <row r="287" spans="1:35" ht="12" customHeight="1">
      <c r="A287" s="12" t="s">
        <v>558</v>
      </c>
      <c r="B287" s="12"/>
      <c r="C287" s="12" t="s">
        <v>50</v>
      </c>
      <c r="D287" s="12"/>
      <c r="E287" s="32">
        <v>48702</v>
      </c>
      <c r="G287" s="8">
        <v>1999784</v>
      </c>
      <c r="I287" s="8">
        <v>5425689</v>
      </c>
      <c r="K287" s="8">
        <v>0</v>
      </c>
      <c r="M287" s="8">
        <f t="shared" ref="M287:M339" si="15">SUM(G287:L287)</f>
        <v>7425473</v>
      </c>
      <c r="O287" s="8">
        <f>9254723+1270862+103463</f>
        <v>10629048</v>
      </c>
      <c r="Q287" s="8">
        <v>0</v>
      </c>
      <c r="S287" s="8">
        <v>22217928</v>
      </c>
      <c r="U287" s="8">
        <v>1038917</v>
      </c>
      <c r="W287" s="8">
        <v>0</v>
      </c>
      <c r="Y287" s="8">
        <v>0</v>
      </c>
      <c r="AA287" s="8">
        <v>629562</v>
      </c>
      <c r="AB287" s="39"/>
      <c r="AC287" s="8">
        <v>0</v>
      </c>
      <c r="AE287" s="8">
        <v>0</v>
      </c>
      <c r="AG287" s="8">
        <f t="shared" ref="AG287:AG339" si="16">SUM(O287:AE287)</f>
        <v>34515455</v>
      </c>
      <c r="AH287" s="8"/>
      <c r="AI287" s="8">
        <f t="shared" ref="AI287:AI339" si="17">+AG287+M287</f>
        <v>41940928</v>
      </c>
    </row>
    <row r="288" spans="1:35" ht="12" customHeight="1">
      <c r="A288" s="12" t="s">
        <v>403</v>
      </c>
      <c r="B288" s="12"/>
      <c r="C288" s="12" t="s">
        <v>32</v>
      </c>
      <c r="D288" s="12"/>
      <c r="E288" s="32">
        <v>44289</v>
      </c>
      <c r="G288" s="8">
        <v>1123996</v>
      </c>
      <c r="I288" s="8">
        <v>858932</v>
      </c>
      <c r="K288" s="8">
        <v>17579</v>
      </c>
      <c r="M288" s="8">
        <f t="shared" si="15"/>
        <v>2000507</v>
      </c>
      <c r="O288" s="8">
        <f>11645533+1866533</f>
        <v>13512066</v>
      </c>
      <c r="Q288" s="8">
        <v>0</v>
      </c>
      <c r="S288" s="8">
        <v>4858982</v>
      </c>
      <c r="U288" s="8">
        <v>245199</v>
      </c>
      <c r="W288" s="8">
        <v>0</v>
      </c>
      <c r="Y288" s="8">
        <v>30000</v>
      </c>
      <c r="AA288" s="8">
        <f>273881+20000</f>
        <v>293881</v>
      </c>
      <c r="AB288" s="39"/>
      <c r="AC288" s="8">
        <v>0</v>
      </c>
      <c r="AE288" s="8">
        <v>0</v>
      </c>
      <c r="AG288" s="8">
        <f t="shared" si="16"/>
        <v>18940128</v>
      </c>
      <c r="AH288" s="8"/>
      <c r="AI288" s="8">
        <f t="shared" si="17"/>
        <v>20940635</v>
      </c>
    </row>
    <row r="289" spans="1:38" ht="12" customHeight="1">
      <c r="A289" s="12" t="s">
        <v>250</v>
      </c>
      <c r="B289" s="12"/>
      <c r="C289" s="12" t="s">
        <v>246</v>
      </c>
      <c r="D289" s="12"/>
      <c r="E289" s="32">
        <v>46128</v>
      </c>
      <c r="G289" s="8">
        <v>1429672</v>
      </c>
      <c r="I289" s="8">
        <v>900245</v>
      </c>
      <c r="K289" s="8">
        <v>17224566</v>
      </c>
      <c r="M289" s="8">
        <f t="shared" si="15"/>
        <v>19554483</v>
      </c>
      <c r="O289" s="8">
        <v>5424737</v>
      </c>
      <c r="Q289" s="8">
        <v>921767</v>
      </c>
      <c r="S289" s="8">
        <v>7019001</v>
      </c>
      <c r="U289" s="8">
        <v>212867</v>
      </c>
      <c r="W289" s="8">
        <v>0</v>
      </c>
      <c r="Y289" s="8">
        <v>0</v>
      </c>
      <c r="AA289" s="8">
        <v>11280</v>
      </c>
      <c r="AB289" s="39"/>
      <c r="AC289" s="8">
        <v>0</v>
      </c>
      <c r="AE289" s="8">
        <v>0</v>
      </c>
      <c r="AG289" s="8">
        <f t="shared" si="16"/>
        <v>13589652</v>
      </c>
      <c r="AH289" s="8"/>
      <c r="AI289" s="8">
        <f t="shared" si="17"/>
        <v>33144135</v>
      </c>
    </row>
    <row r="290" spans="1:38" ht="12" customHeight="1">
      <c r="A290" s="12" t="s">
        <v>250</v>
      </c>
      <c r="B290" s="12"/>
      <c r="C290" s="12" t="s">
        <v>113</v>
      </c>
      <c r="D290" s="12"/>
      <c r="E290" s="32">
        <v>49452</v>
      </c>
      <c r="F290" s="7"/>
      <c r="G290" s="8">
        <v>2431999</v>
      </c>
      <c r="I290" s="8">
        <v>5242755</v>
      </c>
      <c r="K290" s="8">
        <v>12952</v>
      </c>
      <c r="M290" s="8">
        <f t="shared" si="15"/>
        <v>7687706</v>
      </c>
      <c r="O290" s="8">
        <v>13214610</v>
      </c>
      <c r="Q290" s="8">
        <v>0</v>
      </c>
      <c r="S290" s="8">
        <v>14443036</v>
      </c>
      <c r="U290" s="8">
        <v>536574</v>
      </c>
      <c r="W290" s="8">
        <v>217014</v>
      </c>
      <c r="Y290" s="8">
        <v>0</v>
      </c>
      <c r="AA290" s="8">
        <v>65916</v>
      </c>
      <c r="AB290" s="39"/>
      <c r="AC290" s="8">
        <v>-25000</v>
      </c>
      <c r="AE290" s="8">
        <v>0</v>
      </c>
      <c r="AG290" s="8">
        <f t="shared" si="16"/>
        <v>28452150</v>
      </c>
      <c r="AH290" s="8"/>
      <c r="AI290" s="8">
        <f t="shared" si="17"/>
        <v>36139856</v>
      </c>
    </row>
    <row r="291" spans="1:38" ht="12" customHeight="1">
      <c r="A291" s="12" t="s">
        <v>835</v>
      </c>
      <c r="B291" s="12"/>
      <c r="C291" s="12" t="s">
        <v>210</v>
      </c>
      <c r="D291" s="12"/>
      <c r="E291" s="32"/>
      <c r="F291" s="7"/>
      <c r="G291" s="8">
        <v>654916</v>
      </c>
      <c r="I291" s="8">
        <v>1094860</v>
      </c>
      <c r="K291" s="8">
        <v>0</v>
      </c>
      <c r="M291" s="8">
        <f t="shared" si="15"/>
        <v>1749776</v>
      </c>
      <c r="O291" s="8">
        <f>5965102+1196749</f>
        <v>7161851</v>
      </c>
      <c r="Q291" s="8">
        <v>0</v>
      </c>
      <c r="S291" s="8">
        <v>6561394</v>
      </c>
      <c r="U291" s="8">
        <v>451411</v>
      </c>
      <c r="W291" s="8">
        <v>0</v>
      </c>
      <c r="Y291" s="8">
        <v>681</v>
      </c>
      <c r="AA291" s="8">
        <v>27931</v>
      </c>
      <c r="AB291" s="39"/>
      <c r="AC291" s="8">
        <v>0</v>
      </c>
      <c r="AE291" s="8">
        <v>0</v>
      </c>
      <c r="AG291" s="8">
        <f t="shared" si="16"/>
        <v>14203268</v>
      </c>
      <c r="AH291" s="8"/>
      <c r="AI291" s="8">
        <f t="shared" si="17"/>
        <v>15953044</v>
      </c>
    </row>
    <row r="292" spans="1:38" ht="12" customHeight="1">
      <c r="A292" s="12" t="s">
        <v>617</v>
      </c>
      <c r="B292" s="12"/>
      <c r="C292" s="12" t="s">
        <v>113</v>
      </c>
      <c r="D292" s="12"/>
      <c r="E292" s="32">
        <v>44297</v>
      </c>
      <c r="G292" s="8">
        <v>3237164</v>
      </c>
      <c r="I292" s="8">
        <v>15301939</v>
      </c>
      <c r="K292" s="8">
        <v>27754</v>
      </c>
      <c r="M292" s="8">
        <f t="shared" si="15"/>
        <v>18566857</v>
      </c>
      <c r="O292" s="8">
        <f>18609820+203035+1256496+979707</f>
        <v>21049058</v>
      </c>
      <c r="Q292" s="8">
        <v>0</v>
      </c>
      <c r="S292" s="8">
        <v>26863911</v>
      </c>
      <c r="U292" s="8">
        <v>739165</v>
      </c>
      <c r="W292" s="8">
        <v>0</v>
      </c>
      <c r="Y292" s="8">
        <v>0</v>
      </c>
      <c r="AA292" s="8">
        <v>729090</v>
      </c>
      <c r="AB292" s="39"/>
      <c r="AC292" s="8">
        <v>0</v>
      </c>
      <c r="AE292" s="8">
        <v>996726</v>
      </c>
      <c r="AG292" s="8">
        <f t="shared" si="16"/>
        <v>50377950</v>
      </c>
      <c r="AH292" s="8"/>
      <c r="AI292" s="8">
        <f t="shared" si="17"/>
        <v>68944807</v>
      </c>
    </row>
    <row r="293" spans="1:38" ht="12" customHeight="1">
      <c r="A293" s="12" t="s">
        <v>315</v>
      </c>
      <c r="B293" s="12"/>
      <c r="C293" s="12" t="s">
        <v>20</v>
      </c>
      <c r="D293" s="12"/>
      <c r="E293" s="32">
        <v>44305</v>
      </c>
      <c r="G293" s="8">
        <v>2866203</v>
      </c>
      <c r="I293" s="8">
        <v>7339590</v>
      </c>
      <c r="K293" s="8">
        <v>9210</v>
      </c>
      <c r="M293" s="8">
        <f t="shared" si="15"/>
        <v>10215003</v>
      </c>
      <c r="O293" s="8">
        <f>17666641+287048+165264</f>
        <v>18118953</v>
      </c>
      <c r="Q293" s="8">
        <v>0</v>
      </c>
      <c r="S293" s="8">
        <v>17312641</v>
      </c>
      <c r="U293" s="8">
        <v>383523</v>
      </c>
      <c r="W293" s="8">
        <v>0</v>
      </c>
      <c r="Y293" s="8">
        <v>0</v>
      </c>
      <c r="AA293" s="8">
        <v>660724</v>
      </c>
      <c r="AB293" s="39"/>
      <c r="AC293" s="8">
        <v>0</v>
      </c>
      <c r="AE293" s="8">
        <v>0</v>
      </c>
      <c r="AG293" s="8">
        <f t="shared" si="16"/>
        <v>36475841</v>
      </c>
      <c r="AH293" s="8"/>
      <c r="AI293" s="8">
        <f t="shared" si="17"/>
        <v>46690844</v>
      </c>
    </row>
    <row r="294" spans="1:38" ht="12" customHeight="1">
      <c r="A294" s="12" t="s">
        <v>218</v>
      </c>
      <c r="B294" s="12"/>
      <c r="C294" s="12" t="s">
        <v>11</v>
      </c>
      <c r="D294" s="12"/>
      <c r="E294" s="32">
        <v>45831</v>
      </c>
      <c r="F294" s="7"/>
      <c r="G294" s="8">
        <v>941379</v>
      </c>
      <c r="I294" s="8">
        <v>745350</v>
      </c>
      <c r="K294" s="8">
        <v>18556</v>
      </c>
      <c r="M294" s="8">
        <f t="shared" si="15"/>
        <v>1705285</v>
      </c>
      <c r="O294" s="8">
        <f>1615405+29634+236880+163243</f>
        <v>2045162</v>
      </c>
      <c r="Q294" s="8">
        <v>0</v>
      </c>
      <c r="S294" s="8">
        <v>4591091</v>
      </c>
      <c r="U294" s="8">
        <v>134232</v>
      </c>
      <c r="W294" s="8">
        <v>0</v>
      </c>
      <c r="Y294" s="8">
        <v>0</v>
      </c>
      <c r="AA294" s="8">
        <v>9731</v>
      </c>
      <c r="AB294" s="39"/>
      <c r="AC294" s="8">
        <v>0</v>
      </c>
      <c r="AE294" s="8">
        <v>0</v>
      </c>
      <c r="AG294" s="8">
        <f t="shared" si="16"/>
        <v>6780216</v>
      </c>
      <c r="AH294" s="8"/>
      <c r="AI294" s="8">
        <f t="shared" si="17"/>
        <v>8485501</v>
      </c>
    </row>
    <row r="295" spans="1:38" ht="12" customHeight="1">
      <c r="A295" s="12" t="s">
        <v>692</v>
      </c>
      <c r="B295" s="12"/>
      <c r="C295" s="12" t="s">
        <v>64</v>
      </c>
      <c r="D295" s="12"/>
      <c r="E295" s="32">
        <v>50211</v>
      </c>
      <c r="G295" s="8">
        <v>568388</v>
      </c>
      <c r="I295" s="8">
        <v>868485</v>
      </c>
      <c r="K295" s="8">
        <v>7086</v>
      </c>
      <c r="M295" s="8">
        <f t="shared" si="15"/>
        <v>1443959</v>
      </c>
      <c r="O295" s="8">
        <f>2235146+32737+322954+151980</f>
        <v>2742817</v>
      </c>
      <c r="Q295" s="8">
        <v>0</v>
      </c>
      <c r="S295" s="8">
        <v>5674478</v>
      </c>
      <c r="U295" s="8">
        <v>145263</v>
      </c>
      <c r="W295" s="8">
        <v>0</v>
      </c>
      <c r="Y295" s="8">
        <v>0</v>
      </c>
      <c r="AA295" s="8">
        <v>73049</v>
      </c>
      <c r="AB295" s="39"/>
      <c r="AC295" s="8">
        <v>0</v>
      </c>
      <c r="AE295" s="8">
        <v>0</v>
      </c>
      <c r="AG295" s="8">
        <f t="shared" si="16"/>
        <v>8635607</v>
      </c>
      <c r="AH295" s="8"/>
      <c r="AI295" s="8">
        <f t="shared" si="17"/>
        <v>10079566</v>
      </c>
    </row>
    <row r="296" spans="1:38" ht="12" customHeight="1">
      <c r="A296" s="12" t="s">
        <v>343</v>
      </c>
      <c r="B296" s="12"/>
      <c r="C296" s="12" t="s">
        <v>24</v>
      </c>
      <c r="D296" s="12"/>
      <c r="E296" s="32">
        <v>46805</v>
      </c>
      <c r="G296" s="8">
        <v>1081829</v>
      </c>
      <c r="I296" s="8">
        <v>974990</v>
      </c>
      <c r="K296" s="8">
        <v>6596</v>
      </c>
      <c r="M296" s="8">
        <f t="shared" si="15"/>
        <v>2063415</v>
      </c>
      <c r="O296" s="8">
        <f>5891584+198081</f>
        <v>6089665</v>
      </c>
      <c r="Q296" s="8">
        <v>0</v>
      </c>
      <c r="S296" s="8">
        <v>5597340</v>
      </c>
      <c r="U296" s="8">
        <v>179212</v>
      </c>
      <c r="W296" s="8">
        <v>0</v>
      </c>
      <c r="Y296" s="8">
        <v>0</v>
      </c>
      <c r="AA296" s="8">
        <v>81222</v>
      </c>
      <c r="AB296" s="39"/>
      <c r="AC296" s="8">
        <v>0</v>
      </c>
      <c r="AE296" s="8">
        <v>0</v>
      </c>
      <c r="AG296" s="8">
        <f t="shared" si="16"/>
        <v>11947439</v>
      </c>
      <c r="AH296" s="8"/>
      <c r="AI296" s="8">
        <f t="shared" si="17"/>
        <v>14010854</v>
      </c>
    </row>
    <row r="297" spans="1:38" ht="12" customHeight="1">
      <c r="A297" s="12" t="s">
        <v>404</v>
      </c>
      <c r="B297" s="12"/>
      <c r="C297" s="12" t="s">
        <v>32</v>
      </c>
      <c r="D297" s="12"/>
      <c r="E297" s="32">
        <v>44313</v>
      </c>
      <c r="G297" s="8">
        <v>683602</v>
      </c>
      <c r="I297" s="8">
        <v>620246</v>
      </c>
      <c r="K297" s="8">
        <v>3620</v>
      </c>
      <c r="M297" s="8">
        <f t="shared" si="15"/>
        <v>1307468</v>
      </c>
      <c r="O297" s="8">
        <f>13308160+592044</f>
        <v>13900204</v>
      </c>
      <c r="Q297" s="8">
        <v>0</v>
      </c>
      <c r="S297" s="8">
        <v>5732965</v>
      </c>
      <c r="U297" s="8">
        <v>373196</v>
      </c>
      <c r="W297" s="8">
        <v>0</v>
      </c>
      <c r="Y297" s="8">
        <v>0</v>
      </c>
      <c r="AA297" s="8">
        <v>61879</v>
      </c>
      <c r="AB297" s="39"/>
      <c r="AC297" s="8">
        <v>0</v>
      </c>
      <c r="AE297" s="8">
        <v>0</v>
      </c>
      <c r="AG297" s="8">
        <f t="shared" si="16"/>
        <v>20068244</v>
      </c>
      <c r="AH297" s="8"/>
      <c r="AI297" s="8">
        <f t="shared" si="17"/>
        <v>21375712</v>
      </c>
    </row>
    <row r="298" spans="1:38" ht="12" hidden="1" customHeight="1">
      <c r="A298" s="12" t="s">
        <v>724</v>
      </c>
      <c r="B298" s="12"/>
      <c r="C298" s="12" t="s">
        <v>70</v>
      </c>
      <c r="D298" s="12"/>
      <c r="E298" s="32">
        <v>44321</v>
      </c>
      <c r="M298" s="8">
        <f t="shared" si="15"/>
        <v>0</v>
      </c>
      <c r="AB298" s="39"/>
      <c r="AC298" s="8">
        <v>0</v>
      </c>
      <c r="AE298" s="8">
        <v>0</v>
      </c>
      <c r="AG298" s="8">
        <f t="shared" si="16"/>
        <v>0</v>
      </c>
      <c r="AH298" s="8"/>
      <c r="AI298" s="8">
        <f t="shared" si="17"/>
        <v>0</v>
      </c>
      <c r="AJ298" s="8"/>
      <c r="AK298" s="8"/>
      <c r="AL298" s="8"/>
    </row>
    <row r="299" spans="1:38" ht="12" customHeight="1">
      <c r="A299" s="12" t="s">
        <v>527</v>
      </c>
      <c r="B299" s="12"/>
      <c r="C299" s="12" t="s">
        <v>46</v>
      </c>
      <c r="D299" s="12"/>
      <c r="E299" s="32">
        <v>44339</v>
      </c>
      <c r="G299" s="8">
        <v>2397779</v>
      </c>
      <c r="I299" s="8">
        <v>13102579</v>
      </c>
      <c r="K299" s="8">
        <v>17340</v>
      </c>
      <c r="M299" s="8">
        <f t="shared" si="15"/>
        <v>15517698</v>
      </c>
      <c r="O299" s="8">
        <f>9285398+133030+1095418</f>
        <v>10513846</v>
      </c>
      <c r="Q299" s="8">
        <v>0</v>
      </c>
      <c r="S299" s="8">
        <v>25744939</v>
      </c>
      <c r="U299" s="8">
        <v>640835</v>
      </c>
      <c r="W299" s="8">
        <v>73694</v>
      </c>
      <c r="Y299" s="8">
        <v>5968</v>
      </c>
      <c r="AA299" s="8">
        <v>323085</v>
      </c>
      <c r="AB299" s="39"/>
      <c r="AC299" s="8">
        <v>0</v>
      </c>
      <c r="AE299" s="8">
        <v>0</v>
      </c>
      <c r="AG299" s="8">
        <f t="shared" si="16"/>
        <v>37302367</v>
      </c>
      <c r="AH299" s="8"/>
      <c r="AI299" s="8">
        <f t="shared" si="17"/>
        <v>52820065</v>
      </c>
    </row>
    <row r="300" spans="1:38" ht="12" customHeight="1">
      <c r="A300" s="12" t="s">
        <v>660</v>
      </c>
      <c r="B300" s="12"/>
      <c r="C300" s="12" t="s">
        <v>62</v>
      </c>
      <c r="D300" s="12"/>
      <c r="E300" s="32">
        <v>49882</v>
      </c>
      <c r="G300" s="8">
        <v>1348861</v>
      </c>
      <c r="I300" s="8">
        <v>2530491</v>
      </c>
      <c r="K300" s="8">
        <v>19630</v>
      </c>
      <c r="M300" s="8">
        <f t="shared" si="15"/>
        <v>3898982</v>
      </c>
      <c r="O300" s="8">
        <f>8869620+455501</f>
        <v>9325121</v>
      </c>
      <c r="Q300" s="8">
        <v>0</v>
      </c>
      <c r="S300" s="8">
        <v>11128527</v>
      </c>
      <c r="U300" s="8">
        <v>250993</v>
      </c>
      <c r="W300" s="8">
        <v>0</v>
      </c>
      <c r="Y300" s="8">
        <v>0</v>
      </c>
      <c r="AA300" s="8">
        <v>76804</v>
      </c>
      <c r="AB300" s="39"/>
      <c r="AC300" s="8">
        <v>0</v>
      </c>
      <c r="AE300" s="8">
        <v>0</v>
      </c>
      <c r="AG300" s="8">
        <f t="shared" si="16"/>
        <v>20781445</v>
      </c>
      <c r="AH300" s="8"/>
      <c r="AI300" s="8">
        <f t="shared" si="17"/>
        <v>24680427</v>
      </c>
    </row>
    <row r="301" spans="1:38" ht="12" customHeight="1">
      <c r="A301" s="12" t="s">
        <v>236</v>
      </c>
      <c r="B301" s="12"/>
      <c r="C301" s="12" t="s">
        <v>15</v>
      </c>
      <c r="D301" s="12"/>
      <c r="E301" s="32">
        <v>44347</v>
      </c>
      <c r="F301" s="7"/>
      <c r="G301" s="8">
        <v>1052463</v>
      </c>
      <c r="I301" s="8">
        <v>3267280</v>
      </c>
      <c r="K301" s="8">
        <v>9850</v>
      </c>
      <c r="M301" s="8">
        <f t="shared" si="15"/>
        <v>4329593</v>
      </c>
      <c r="O301" s="8">
        <f>2499168+85435+587547+65602</f>
        <v>3237752</v>
      </c>
      <c r="Q301" s="8">
        <v>0</v>
      </c>
      <c r="S301" s="8">
        <v>7122084</v>
      </c>
      <c r="U301" s="8">
        <v>403315</v>
      </c>
      <c r="W301" s="8">
        <v>0</v>
      </c>
      <c r="Y301" s="8">
        <v>6760</v>
      </c>
      <c r="AA301" s="8">
        <v>1386</v>
      </c>
      <c r="AB301" s="39"/>
      <c r="AC301" s="8">
        <v>0</v>
      </c>
      <c r="AE301" s="8">
        <v>82571</v>
      </c>
      <c r="AG301" s="8">
        <f t="shared" si="16"/>
        <v>10853868</v>
      </c>
      <c r="AH301" s="8"/>
      <c r="AI301" s="8">
        <f t="shared" si="17"/>
        <v>15183461</v>
      </c>
    </row>
    <row r="302" spans="1:38" ht="12" customHeight="1">
      <c r="A302" s="12" t="s">
        <v>708</v>
      </c>
      <c r="B302" s="12"/>
      <c r="C302" s="12" t="s">
        <v>66</v>
      </c>
      <c r="D302" s="12"/>
      <c r="E302" s="32">
        <v>45476</v>
      </c>
      <c r="G302" s="8">
        <v>781924</v>
      </c>
      <c r="I302" s="8">
        <v>1905108</v>
      </c>
      <c r="K302" s="8">
        <v>48907</v>
      </c>
      <c r="M302" s="8">
        <f t="shared" si="15"/>
        <v>2735939</v>
      </c>
      <c r="O302" s="8">
        <f>21302998+3777583+2550095</f>
        <v>27630676</v>
      </c>
      <c r="Q302" s="8">
        <v>0</v>
      </c>
      <c r="S302" s="8">
        <v>23119537</v>
      </c>
      <c r="U302" s="8">
        <v>1780673</v>
      </c>
      <c r="W302" s="8">
        <v>0</v>
      </c>
      <c r="Y302" s="8">
        <v>0</v>
      </c>
      <c r="AA302" s="8">
        <v>517094</v>
      </c>
      <c r="AB302" s="39"/>
      <c r="AC302" s="8">
        <v>-447367</v>
      </c>
      <c r="AE302" s="8">
        <v>0</v>
      </c>
      <c r="AG302" s="8">
        <f t="shared" si="16"/>
        <v>52600613</v>
      </c>
      <c r="AH302" s="8"/>
      <c r="AI302" s="8">
        <f t="shared" si="17"/>
        <v>55336552</v>
      </c>
    </row>
    <row r="303" spans="1:38" ht="12" customHeight="1">
      <c r="A303" s="12" t="s">
        <v>718</v>
      </c>
      <c r="B303" s="12"/>
      <c r="C303" s="12" t="s">
        <v>69</v>
      </c>
      <c r="D303" s="12"/>
      <c r="E303" s="32">
        <v>50450</v>
      </c>
      <c r="G303" s="8">
        <v>8031496</v>
      </c>
      <c r="I303" s="8">
        <v>5812292</v>
      </c>
      <c r="K303" s="8">
        <v>61192</v>
      </c>
      <c r="M303" s="8">
        <f t="shared" si="15"/>
        <v>13904980</v>
      </c>
      <c r="O303" s="8">
        <f>59678421+13348993+706642</f>
        <v>73734056</v>
      </c>
      <c r="Q303" s="8">
        <v>0</v>
      </c>
      <c r="S303" s="8">
        <v>34292967</v>
      </c>
      <c r="U303" s="8">
        <v>3718075</v>
      </c>
      <c r="W303" s="8">
        <v>2328775</v>
      </c>
      <c r="Y303" s="8">
        <v>0</v>
      </c>
      <c r="AA303" s="8">
        <f>275505+72056</f>
        <v>347561</v>
      </c>
      <c r="AB303" s="39"/>
      <c r="AC303" s="8">
        <v>0</v>
      </c>
      <c r="AE303" s="8">
        <v>0</v>
      </c>
      <c r="AG303" s="8">
        <f t="shared" si="16"/>
        <v>114421434</v>
      </c>
      <c r="AH303" s="8"/>
      <c r="AI303" s="8">
        <f t="shared" si="17"/>
        <v>128326414</v>
      </c>
    </row>
    <row r="304" spans="1:38" ht="12" customHeight="1">
      <c r="A304" s="12" t="s">
        <v>661</v>
      </c>
      <c r="B304" s="12"/>
      <c r="C304" s="12" t="s">
        <v>62</v>
      </c>
      <c r="D304" s="12"/>
      <c r="E304" s="32">
        <v>44354</v>
      </c>
      <c r="G304" s="8">
        <v>2789875</v>
      </c>
      <c r="I304" s="8">
        <v>8160334</v>
      </c>
      <c r="K304" s="8">
        <v>63506</v>
      </c>
      <c r="M304" s="8">
        <f t="shared" si="15"/>
        <v>11013715</v>
      </c>
      <c r="O304" s="8">
        <f>13295192+2436481+168684</f>
        <v>15900357</v>
      </c>
      <c r="Q304" s="8">
        <v>34464</v>
      </c>
      <c r="S304" s="8">
        <v>21893493</v>
      </c>
      <c r="U304" s="8">
        <v>790703</v>
      </c>
      <c r="W304" s="8">
        <v>0</v>
      </c>
      <c r="Y304" s="8">
        <v>0</v>
      </c>
      <c r="AA304" s="8">
        <v>253887</v>
      </c>
      <c r="AB304" s="39"/>
      <c r="AC304" s="8">
        <v>0</v>
      </c>
      <c r="AE304" s="8">
        <v>1510</v>
      </c>
      <c r="AG304" s="8">
        <f t="shared" si="16"/>
        <v>38874414</v>
      </c>
      <c r="AH304" s="8"/>
      <c r="AI304" s="8">
        <f t="shared" si="17"/>
        <v>49888129</v>
      </c>
    </row>
    <row r="305" spans="1:37" ht="12" customHeight="1">
      <c r="A305" s="12" t="s">
        <v>693</v>
      </c>
      <c r="B305" s="12"/>
      <c r="C305" s="12" t="s">
        <v>64</v>
      </c>
      <c r="D305" s="12"/>
      <c r="E305" s="32">
        <v>50153</v>
      </c>
      <c r="G305" s="8">
        <v>699618</v>
      </c>
      <c r="I305" s="8">
        <v>497909</v>
      </c>
      <c r="K305" s="8">
        <v>11542</v>
      </c>
      <c r="M305" s="8">
        <f t="shared" si="15"/>
        <v>1209069</v>
      </c>
      <c r="O305" s="8">
        <f>4325807+152153</f>
        <v>4477960</v>
      </c>
      <c r="Q305" s="8">
        <v>0</v>
      </c>
      <c r="S305" s="8">
        <v>3510781</v>
      </c>
      <c r="U305" s="8">
        <v>117982</v>
      </c>
      <c r="W305" s="8">
        <v>20740</v>
      </c>
      <c r="Y305" s="8">
        <v>0</v>
      </c>
      <c r="AA305" s="8">
        <v>10840</v>
      </c>
      <c r="AB305" s="39"/>
      <c r="AC305" s="8">
        <v>0</v>
      </c>
      <c r="AE305" s="8">
        <v>0</v>
      </c>
      <c r="AG305" s="8">
        <f t="shared" si="16"/>
        <v>8138303</v>
      </c>
      <c r="AH305" s="8"/>
      <c r="AI305" s="8">
        <f t="shared" si="17"/>
        <v>9347372</v>
      </c>
    </row>
    <row r="306" spans="1:37" ht="12" customHeight="1">
      <c r="A306" s="12" t="s">
        <v>503</v>
      </c>
      <c r="B306" s="12"/>
      <c r="C306" s="12" t="s">
        <v>118</v>
      </c>
      <c r="D306" s="12"/>
      <c r="E306" s="32">
        <v>44362</v>
      </c>
      <c r="G306" s="8">
        <v>1611458</v>
      </c>
      <c r="I306" s="8">
        <v>2760594</v>
      </c>
      <c r="K306" s="8">
        <v>119678</v>
      </c>
      <c r="M306" s="8">
        <f t="shared" si="15"/>
        <v>4491730</v>
      </c>
      <c r="O306" s="8">
        <f>18256556+2832123+343809</f>
        <v>21432488</v>
      </c>
      <c r="Q306" s="8">
        <v>0</v>
      </c>
      <c r="S306" s="8">
        <v>8125027</v>
      </c>
      <c r="U306" s="8">
        <v>313307</v>
      </c>
      <c r="W306" s="8">
        <v>0</v>
      </c>
      <c r="Y306" s="8">
        <v>0</v>
      </c>
      <c r="AA306" s="8">
        <v>320096</v>
      </c>
      <c r="AB306" s="39"/>
      <c r="AC306" s="8">
        <v>0</v>
      </c>
      <c r="AE306" s="8">
        <v>111944</v>
      </c>
      <c r="AG306" s="8">
        <f t="shared" si="16"/>
        <v>30302862</v>
      </c>
      <c r="AH306" s="8"/>
      <c r="AI306" s="8">
        <f t="shared" si="17"/>
        <v>34794592</v>
      </c>
    </row>
    <row r="307" spans="1:37" ht="12" customHeight="1">
      <c r="A307" s="12" t="s">
        <v>316</v>
      </c>
      <c r="B307" s="12"/>
      <c r="C307" s="12" t="s">
        <v>20</v>
      </c>
      <c r="D307" s="12"/>
      <c r="E307" s="32">
        <v>44370</v>
      </c>
      <c r="G307" s="8">
        <v>10415776</v>
      </c>
      <c r="I307" s="8">
        <v>6729580</v>
      </c>
      <c r="K307" s="8">
        <v>43243</v>
      </c>
      <c r="M307" s="8">
        <f t="shared" si="15"/>
        <v>17188599</v>
      </c>
      <c r="O307" s="8">
        <f>42923849+1079511</f>
        <v>44003360</v>
      </c>
      <c r="Q307" s="8">
        <v>734805</v>
      </c>
      <c r="S307" s="8">
        <v>9908182</v>
      </c>
      <c r="U307" s="8">
        <v>1865966</v>
      </c>
      <c r="W307" s="8">
        <v>1692234</v>
      </c>
      <c r="Y307" s="8">
        <v>0</v>
      </c>
      <c r="AA307" s="8">
        <v>572502</v>
      </c>
      <c r="AB307" s="39"/>
      <c r="AC307" s="8">
        <v>0</v>
      </c>
      <c r="AE307" s="8">
        <v>0</v>
      </c>
      <c r="AG307" s="8">
        <f t="shared" si="16"/>
        <v>58777049</v>
      </c>
      <c r="AH307" s="8"/>
      <c r="AI307" s="8">
        <f t="shared" si="17"/>
        <v>75965648</v>
      </c>
    </row>
    <row r="308" spans="1:37" ht="12" customHeight="1">
      <c r="A308" s="12" t="s">
        <v>573</v>
      </c>
      <c r="B308" s="12"/>
      <c r="C308" s="12" t="s">
        <v>51</v>
      </c>
      <c r="D308" s="12"/>
      <c r="E308" s="32">
        <v>48850</v>
      </c>
      <c r="G308" s="8">
        <v>2444632</v>
      </c>
      <c r="I308" s="8">
        <v>3555859</v>
      </c>
      <c r="K308" s="8">
        <v>23739</v>
      </c>
      <c r="M308" s="8">
        <f t="shared" si="15"/>
        <v>6024230</v>
      </c>
      <c r="O308" s="8">
        <f>2235390+223682+41969</f>
        <v>2501041</v>
      </c>
      <c r="Q308" s="8">
        <v>0</v>
      </c>
      <c r="S308" s="8">
        <v>10231432</v>
      </c>
      <c r="U308" s="8">
        <v>432737</v>
      </c>
      <c r="W308" s="8">
        <v>26232</v>
      </c>
      <c r="Y308" s="8">
        <v>0</v>
      </c>
      <c r="AA308" s="8">
        <v>3767</v>
      </c>
      <c r="AB308" s="39"/>
      <c r="AC308" s="8">
        <v>0</v>
      </c>
      <c r="AE308" s="8">
        <v>67233</v>
      </c>
      <c r="AG308" s="8">
        <f t="shared" si="16"/>
        <v>13262442</v>
      </c>
      <c r="AH308" s="8"/>
      <c r="AI308" s="8">
        <f t="shared" si="17"/>
        <v>19286672</v>
      </c>
    </row>
    <row r="309" spans="1:37" ht="12" hidden="1" customHeight="1">
      <c r="A309" s="12" t="s">
        <v>830</v>
      </c>
      <c r="B309" s="12"/>
      <c r="C309" s="12" t="s">
        <v>33</v>
      </c>
      <c r="D309" s="12"/>
      <c r="E309" s="32">
        <v>47456</v>
      </c>
      <c r="M309" s="8">
        <f t="shared" si="15"/>
        <v>0</v>
      </c>
      <c r="AB309" s="39"/>
      <c r="AC309" s="8">
        <v>0</v>
      </c>
      <c r="AE309" s="8">
        <v>0</v>
      </c>
      <c r="AG309" s="8">
        <f t="shared" si="16"/>
        <v>0</v>
      </c>
      <c r="AH309" s="8"/>
      <c r="AI309" s="8">
        <f t="shared" si="17"/>
        <v>0</v>
      </c>
    </row>
    <row r="310" spans="1:37" ht="12" customHeight="1">
      <c r="A310" s="12" t="s">
        <v>928</v>
      </c>
      <c r="B310" s="12"/>
      <c r="C310" s="12" t="s">
        <v>64</v>
      </c>
      <c r="D310" s="12"/>
      <c r="E310" s="32">
        <v>50229</v>
      </c>
      <c r="G310" s="8">
        <v>1176830</v>
      </c>
      <c r="I310" s="8">
        <v>379644</v>
      </c>
      <c r="K310" s="8">
        <v>35597</v>
      </c>
      <c r="M310" s="8">
        <f t="shared" si="15"/>
        <v>1592071</v>
      </c>
      <c r="O310" s="8">
        <f>1103464+196325+147161+54278</f>
        <v>1501228</v>
      </c>
      <c r="Q310" s="8">
        <v>0</v>
      </c>
      <c r="S310" s="8">
        <v>4024955</v>
      </c>
      <c r="U310" s="8">
        <v>6337</v>
      </c>
      <c r="W310" s="8">
        <v>0</v>
      </c>
      <c r="Y310" s="8">
        <v>0</v>
      </c>
      <c r="AA310" s="8">
        <v>30895</v>
      </c>
      <c r="AB310" s="39"/>
      <c r="AC310" s="8">
        <v>0</v>
      </c>
      <c r="AE310" s="8">
        <v>0</v>
      </c>
      <c r="AG310" s="8">
        <f t="shared" si="16"/>
        <v>5563415</v>
      </c>
      <c r="AH310" s="8"/>
      <c r="AI310" s="8">
        <f t="shared" si="17"/>
        <v>7155486</v>
      </c>
    </row>
    <row r="311" spans="1:37" ht="12" customHeight="1">
      <c r="A311" s="12" t="s">
        <v>260</v>
      </c>
      <c r="B311" s="12"/>
      <c r="C311" s="12" t="s">
        <v>259</v>
      </c>
      <c r="D311" s="12"/>
      <c r="E311" s="32">
        <v>45484</v>
      </c>
      <c r="F311" s="7"/>
      <c r="G311" s="8">
        <v>926366</v>
      </c>
      <c r="I311" s="8">
        <v>1093437</v>
      </c>
      <c r="K311" s="8">
        <v>4708</v>
      </c>
      <c r="M311" s="8">
        <f t="shared" si="15"/>
        <v>2024511</v>
      </c>
      <c r="O311" s="8">
        <f>1590585+461774+33092+135681</f>
        <v>2221132</v>
      </c>
      <c r="Q311" s="8">
        <v>1390207</v>
      </c>
      <c r="S311" s="8">
        <f>4258222+113017</f>
        <v>4371239</v>
      </c>
      <c r="U311" s="8">
        <v>169802</v>
      </c>
      <c r="W311" s="8">
        <v>0</v>
      </c>
      <c r="Y311" s="8">
        <v>0</v>
      </c>
      <c r="AA311" s="8">
        <v>31302</v>
      </c>
      <c r="AB311" s="39"/>
      <c r="AC311" s="8">
        <v>0</v>
      </c>
      <c r="AE311" s="8">
        <v>0</v>
      </c>
      <c r="AG311" s="8">
        <f t="shared" si="16"/>
        <v>8183682</v>
      </c>
      <c r="AH311" s="8"/>
      <c r="AI311" s="8">
        <f t="shared" si="17"/>
        <v>10208193</v>
      </c>
    </row>
    <row r="312" spans="1:37" ht="12" customHeight="1">
      <c r="A312" s="12" t="s">
        <v>535</v>
      </c>
      <c r="B312" s="12"/>
      <c r="C312" s="12" t="s">
        <v>47</v>
      </c>
      <c r="D312" s="12"/>
      <c r="E312" s="32">
        <v>44388</v>
      </c>
      <c r="G312" s="8">
        <v>3966455</v>
      </c>
      <c r="I312" s="8">
        <v>6977440</v>
      </c>
      <c r="K312" s="8">
        <v>32178</v>
      </c>
      <c r="M312" s="8">
        <f t="shared" si="15"/>
        <v>10976073</v>
      </c>
      <c r="O312" s="8">
        <f>40064362+6896827+541958</f>
        <v>47503147</v>
      </c>
      <c r="Q312" s="8">
        <v>0</v>
      </c>
      <c r="S312" s="8">
        <f>23235176+2433225</f>
        <v>25668401</v>
      </c>
      <c r="U312" s="8">
        <v>1558210</v>
      </c>
      <c r="W312" s="8">
        <v>0</v>
      </c>
      <c r="Y312" s="8">
        <v>0</v>
      </c>
      <c r="AA312" s="8">
        <v>492347</v>
      </c>
      <c r="AB312" s="39"/>
      <c r="AC312" s="8">
        <v>0</v>
      </c>
      <c r="AE312" s="8">
        <v>0</v>
      </c>
      <c r="AG312" s="8">
        <f t="shared" si="16"/>
        <v>75222105</v>
      </c>
      <c r="AH312" s="8"/>
      <c r="AI312" s="8">
        <f t="shared" si="17"/>
        <v>86198178</v>
      </c>
    </row>
    <row r="313" spans="1:37" ht="12" customHeight="1">
      <c r="A313" s="12" t="s">
        <v>538</v>
      </c>
      <c r="B313" s="12"/>
      <c r="C313" s="12" t="s">
        <v>537</v>
      </c>
      <c r="D313" s="12"/>
      <c r="E313" s="32">
        <v>48520</v>
      </c>
      <c r="G313" s="8">
        <v>997121</v>
      </c>
      <c r="I313" s="8">
        <v>4822536</v>
      </c>
      <c r="K313" s="8">
        <v>0</v>
      </c>
      <c r="M313" s="8">
        <f t="shared" si="15"/>
        <v>5819657</v>
      </c>
      <c r="O313" s="8">
        <f>1763135+435310+35197</f>
        <v>2233642</v>
      </c>
      <c r="Q313" s="8">
        <v>0</v>
      </c>
      <c r="S313" s="8">
        <f>12855828</f>
        <v>12855828</v>
      </c>
      <c r="U313" s="8">
        <v>151308</v>
      </c>
      <c r="W313" s="8">
        <v>0</v>
      </c>
      <c r="Y313" s="8">
        <v>31597</v>
      </c>
      <c r="AA313" s="8">
        <v>14353</v>
      </c>
      <c r="AB313" s="39"/>
      <c r="AC313" s="8">
        <v>0</v>
      </c>
      <c r="AE313" s="8">
        <f>2610+5239</f>
        <v>7849</v>
      </c>
      <c r="AG313" s="8">
        <f t="shared" si="16"/>
        <v>15294577</v>
      </c>
      <c r="AH313" s="8"/>
      <c r="AI313" s="8">
        <f t="shared" si="17"/>
        <v>21114234</v>
      </c>
    </row>
    <row r="314" spans="1:37" ht="12" customHeight="1">
      <c r="A314" s="12" t="s">
        <v>465</v>
      </c>
      <c r="B314" s="12"/>
      <c r="C314" s="12" t="s">
        <v>41</v>
      </c>
      <c r="D314" s="12"/>
      <c r="E314" s="32">
        <v>45492</v>
      </c>
      <c r="G314" s="8">
        <v>2479490</v>
      </c>
      <c r="I314" s="8">
        <v>5516183</v>
      </c>
      <c r="K314" s="8">
        <v>500000</v>
      </c>
      <c r="M314" s="8">
        <f t="shared" si="15"/>
        <v>8495673</v>
      </c>
      <c r="O314" s="8">
        <f>65257692+3557490+975018</f>
        <v>69790200</v>
      </c>
      <c r="Q314" s="8">
        <v>0</v>
      </c>
      <c r="S314" s="8">
        <v>31027122</v>
      </c>
      <c r="U314" s="8">
        <v>2179800</v>
      </c>
      <c r="W314" s="8">
        <v>0</v>
      </c>
      <c r="Y314" s="8">
        <v>0</v>
      </c>
      <c r="AA314" s="8">
        <v>730592</v>
      </c>
      <c r="AB314" s="39"/>
      <c r="AC314" s="8">
        <v>-164000</v>
      </c>
      <c r="AE314" s="8">
        <v>0</v>
      </c>
      <c r="AG314" s="8">
        <f t="shared" si="16"/>
        <v>103563714</v>
      </c>
      <c r="AH314" s="8"/>
      <c r="AI314" s="8">
        <f t="shared" si="17"/>
        <v>112059387</v>
      </c>
    </row>
    <row r="315" spans="1:37" ht="12" customHeight="1">
      <c r="A315" s="12" t="s">
        <v>545</v>
      </c>
      <c r="B315" s="12"/>
      <c r="C315" s="12" t="s">
        <v>48</v>
      </c>
      <c r="D315" s="12"/>
      <c r="E315" s="32">
        <v>48629</v>
      </c>
      <c r="G315" s="8">
        <v>1022593</v>
      </c>
      <c r="I315" s="8">
        <v>863938</v>
      </c>
      <c r="K315" s="8">
        <v>43307</v>
      </c>
      <c r="M315" s="8">
        <f t="shared" si="15"/>
        <v>1929838</v>
      </c>
      <c r="O315" s="8">
        <f>2969352+357179+711886</f>
        <v>4038417</v>
      </c>
      <c r="Q315" s="8">
        <v>1914804</v>
      </c>
      <c r="S315" s="8">
        <v>5261671</v>
      </c>
      <c r="U315" s="8">
        <v>64959</v>
      </c>
      <c r="W315" s="8">
        <v>0</v>
      </c>
      <c r="Y315" s="8">
        <v>23749</v>
      </c>
      <c r="AA315" s="8">
        <v>55442</v>
      </c>
      <c r="AB315" s="39"/>
      <c r="AC315" s="8">
        <v>0</v>
      </c>
      <c r="AE315" s="8">
        <v>0</v>
      </c>
      <c r="AG315" s="8">
        <f t="shared" si="16"/>
        <v>11359042</v>
      </c>
      <c r="AH315" s="8"/>
      <c r="AI315" s="8">
        <f t="shared" si="17"/>
        <v>13288880</v>
      </c>
    </row>
    <row r="316" spans="1:37" ht="12" customHeight="1">
      <c r="A316" s="12" t="s">
        <v>354</v>
      </c>
      <c r="B316" s="12"/>
      <c r="C316" s="12" t="s">
        <v>26</v>
      </c>
      <c r="D316" s="12"/>
      <c r="E316" s="32">
        <v>46920</v>
      </c>
      <c r="G316" s="8">
        <v>2137089</v>
      </c>
      <c r="I316" s="8">
        <v>1691455</v>
      </c>
      <c r="K316" s="8">
        <v>848194</v>
      </c>
      <c r="M316" s="8">
        <f t="shared" si="15"/>
        <v>4676738</v>
      </c>
      <c r="O316" s="8">
        <f>9225138+148661+1093957+191694</f>
        <v>10659450</v>
      </c>
      <c r="Q316" s="8">
        <v>0</v>
      </c>
      <c r="S316" s="8">
        <v>10810007</v>
      </c>
      <c r="U316" s="8">
        <v>1164152</v>
      </c>
      <c r="W316" s="8">
        <v>467103</v>
      </c>
      <c r="Y316" s="8">
        <v>25228</v>
      </c>
      <c r="AA316" s="8">
        <v>147109</v>
      </c>
      <c r="AB316" s="39"/>
      <c r="AC316" s="8">
        <v>0</v>
      </c>
      <c r="AE316" s="8">
        <v>1208420</v>
      </c>
      <c r="AG316" s="8">
        <f t="shared" si="16"/>
        <v>24481469</v>
      </c>
      <c r="AH316" s="8"/>
      <c r="AI316" s="8">
        <f t="shared" si="17"/>
        <v>29158207</v>
      </c>
    </row>
    <row r="317" spans="1:37" ht="12" customHeight="1">
      <c r="A317" s="12" t="s">
        <v>559</v>
      </c>
      <c r="B317" s="12"/>
      <c r="C317" s="12" t="s">
        <v>50</v>
      </c>
      <c r="D317" s="12"/>
      <c r="E317" s="32">
        <v>44396</v>
      </c>
      <c r="G317" s="8">
        <v>2019479</v>
      </c>
      <c r="I317" s="8">
        <v>5255698</v>
      </c>
      <c r="K317" s="8">
        <v>0</v>
      </c>
      <c r="M317" s="8">
        <f t="shared" si="15"/>
        <v>7275177</v>
      </c>
      <c r="O317" s="8">
        <f>24722398+563979+2821308</f>
        <v>28107685</v>
      </c>
      <c r="Q317" s="8">
        <v>0</v>
      </c>
      <c r="S317" s="8">
        <v>14347506</v>
      </c>
      <c r="U317" s="8">
        <v>781663</v>
      </c>
      <c r="W317" s="8">
        <v>261496</v>
      </c>
      <c r="Y317" s="8">
        <v>0</v>
      </c>
      <c r="AA317" s="8">
        <v>396677</v>
      </c>
      <c r="AB317" s="39"/>
      <c r="AC317" s="8">
        <v>0</v>
      </c>
      <c r="AE317" s="8">
        <v>0</v>
      </c>
      <c r="AG317" s="8">
        <f t="shared" si="16"/>
        <v>43895027</v>
      </c>
      <c r="AH317" s="8"/>
      <c r="AI317" s="8">
        <f t="shared" si="17"/>
        <v>51170204</v>
      </c>
      <c r="AK317" s="80"/>
    </row>
    <row r="318" spans="1:37" ht="12" customHeight="1">
      <c r="A318" s="12" t="s">
        <v>251</v>
      </c>
      <c r="B318" s="12"/>
      <c r="C318" s="12" t="s">
        <v>246</v>
      </c>
      <c r="D318" s="12"/>
      <c r="E318" s="32">
        <v>44404</v>
      </c>
      <c r="F318" s="7"/>
      <c r="G318" s="8">
        <v>1928069</v>
      </c>
      <c r="I318" s="8">
        <v>21245312</v>
      </c>
      <c r="K318" s="8">
        <v>14078</v>
      </c>
      <c r="M318" s="8">
        <f t="shared" si="15"/>
        <v>23187459</v>
      </c>
      <c r="O318" s="8">
        <f>19017594+15925322+4373040</f>
        <v>39315956</v>
      </c>
      <c r="Q318" s="8">
        <v>0</v>
      </c>
      <c r="S318" s="8">
        <v>21419027</v>
      </c>
      <c r="U318" s="8">
        <v>1391914</v>
      </c>
      <c r="W318" s="8">
        <v>0</v>
      </c>
      <c r="Y318" s="8">
        <v>24728</v>
      </c>
      <c r="AA318" s="8">
        <v>139122</v>
      </c>
      <c r="AB318" s="39"/>
      <c r="AC318" s="8">
        <v>0</v>
      </c>
      <c r="AE318" s="8">
        <v>0</v>
      </c>
      <c r="AG318" s="8">
        <f t="shared" si="16"/>
        <v>62290747</v>
      </c>
      <c r="AH318" s="8"/>
      <c r="AI318" s="8">
        <f t="shared" si="17"/>
        <v>85478206</v>
      </c>
    </row>
    <row r="319" spans="1:37" ht="12" customHeight="1">
      <c r="A319" s="12" t="s">
        <v>497</v>
      </c>
      <c r="B319" s="12"/>
      <c r="C319" s="12" t="s">
        <v>44</v>
      </c>
      <c r="D319" s="12"/>
      <c r="E319" s="32">
        <v>48173</v>
      </c>
      <c r="G319" s="8">
        <v>354868</v>
      </c>
      <c r="I319" s="8">
        <v>722773</v>
      </c>
      <c r="K319" s="8">
        <v>0</v>
      </c>
      <c r="M319" s="8">
        <f t="shared" si="15"/>
        <v>1077641</v>
      </c>
      <c r="O319" s="8">
        <f>10163382+1458185</f>
        <v>11621567</v>
      </c>
      <c r="Q319" s="8">
        <v>0</v>
      </c>
      <c r="S319" s="8">
        <v>15036114</v>
      </c>
      <c r="U319" s="8">
        <v>408828</v>
      </c>
      <c r="W319" s="8">
        <v>401195</v>
      </c>
      <c r="Y319" s="8">
        <v>0</v>
      </c>
      <c r="AA319" s="8">
        <v>0</v>
      </c>
      <c r="AB319" s="39"/>
      <c r="AC319" s="8">
        <v>-19400</v>
      </c>
      <c r="AE319" s="8">
        <v>670768</v>
      </c>
      <c r="AG319" s="8">
        <f t="shared" si="16"/>
        <v>28119072</v>
      </c>
      <c r="AH319" s="8"/>
      <c r="AI319" s="8">
        <f t="shared" si="17"/>
        <v>29196713</v>
      </c>
    </row>
    <row r="320" spans="1:37" ht="12" customHeight="1">
      <c r="A320" s="12" t="s">
        <v>274</v>
      </c>
      <c r="B320" s="12"/>
      <c r="C320" s="12" t="s">
        <v>116</v>
      </c>
      <c r="D320" s="12"/>
      <c r="E320" s="32">
        <v>45500</v>
      </c>
      <c r="F320" s="7"/>
      <c r="G320" s="8">
        <v>2930562</v>
      </c>
      <c r="I320" s="8">
        <v>2911746</v>
      </c>
      <c r="K320" s="8">
        <v>0</v>
      </c>
      <c r="M320" s="8">
        <f t="shared" si="15"/>
        <v>5842308</v>
      </c>
      <c r="O320" s="8">
        <v>33954983</v>
      </c>
      <c r="Q320" s="8">
        <v>0</v>
      </c>
      <c r="S320" s="8">
        <v>22864043</v>
      </c>
      <c r="U320" s="8">
        <v>519622</v>
      </c>
      <c r="W320" s="8">
        <v>644694</v>
      </c>
      <c r="Y320" s="8">
        <v>0</v>
      </c>
      <c r="AA320" s="8">
        <v>415703</v>
      </c>
      <c r="AB320" s="39"/>
      <c r="AC320" s="8">
        <v>0</v>
      </c>
      <c r="AE320" s="8">
        <v>0</v>
      </c>
      <c r="AG320" s="8">
        <f t="shared" si="16"/>
        <v>58399045</v>
      </c>
      <c r="AH320" s="8"/>
      <c r="AI320" s="8">
        <f t="shared" si="17"/>
        <v>64241353</v>
      </c>
    </row>
    <row r="321" spans="1:35" ht="12" hidden="1" customHeight="1">
      <c r="A321" s="12" t="s">
        <v>854</v>
      </c>
      <c r="B321" s="12"/>
      <c r="C321" s="12" t="s">
        <v>733</v>
      </c>
      <c r="D321" s="12"/>
      <c r="E321" s="32">
        <v>50633</v>
      </c>
      <c r="M321" s="8">
        <f t="shared" si="15"/>
        <v>0</v>
      </c>
      <c r="AB321" s="39"/>
      <c r="AC321" s="8">
        <v>0</v>
      </c>
      <c r="AE321" s="8">
        <v>0</v>
      </c>
      <c r="AG321" s="8">
        <f t="shared" si="16"/>
        <v>0</v>
      </c>
      <c r="AH321" s="8"/>
      <c r="AI321" s="8">
        <f t="shared" si="17"/>
        <v>0</v>
      </c>
    </row>
    <row r="322" spans="1:35" ht="12" hidden="1" customHeight="1">
      <c r="A322" s="12" t="s">
        <v>610</v>
      </c>
      <c r="B322" s="12"/>
      <c r="C322" s="12" t="s">
        <v>608</v>
      </c>
      <c r="D322" s="12"/>
      <c r="E322" s="32">
        <v>49361</v>
      </c>
      <c r="M322" s="8">
        <f t="shared" si="15"/>
        <v>0</v>
      </c>
      <c r="AB322" s="39"/>
      <c r="AC322" s="8">
        <v>0</v>
      </c>
      <c r="AE322" s="8">
        <v>0</v>
      </c>
      <c r="AG322" s="8">
        <f t="shared" si="16"/>
        <v>0</v>
      </c>
      <c r="AH322" s="8"/>
      <c r="AI322" s="8">
        <f t="shared" si="17"/>
        <v>0</v>
      </c>
    </row>
    <row r="323" spans="1:35" ht="12" customHeight="1">
      <c r="A323" s="12" t="s">
        <v>546</v>
      </c>
      <c r="B323" s="12"/>
      <c r="C323" s="12" t="s">
        <v>48</v>
      </c>
      <c r="D323" s="12"/>
      <c r="E323" s="32">
        <v>45518</v>
      </c>
      <c r="G323" s="8">
        <v>1305301</v>
      </c>
      <c r="I323" s="8">
        <v>987489</v>
      </c>
      <c r="K323" s="8">
        <v>7069</v>
      </c>
      <c r="M323" s="8">
        <f t="shared" si="15"/>
        <v>2299859</v>
      </c>
      <c r="O323" s="8">
        <f>5055039+342385</f>
        <v>5397424</v>
      </c>
      <c r="Q323" s="8">
        <v>0</v>
      </c>
      <c r="S323" s="8">
        <v>7218487</v>
      </c>
      <c r="U323" s="8">
        <v>258992</v>
      </c>
      <c r="W323" s="8">
        <v>0</v>
      </c>
      <c r="Y323" s="8">
        <v>0</v>
      </c>
      <c r="AA323" s="8">
        <v>63577</v>
      </c>
      <c r="AB323" s="39"/>
      <c r="AC323" s="8">
        <v>0</v>
      </c>
      <c r="AE323" s="8">
        <v>0</v>
      </c>
      <c r="AG323" s="8">
        <f t="shared" si="16"/>
        <v>12938480</v>
      </c>
      <c r="AH323" s="8"/>
      <c r="AI323" s="8">
        <f t="shared" si="17"/>
        <v>15238339</v>
      </c>
    </row>
    <row r="324" spans="1:35" ht="12" customHeight="1">
      <c r="A324" s="12" t="s">
        <v>662</v>
      </c>
      <c r="B324" s="12"/>
      <c r="C324" s="12" t="s">
        <v>62</v>
      </c>
      <c r="D324" s="12"/>
      <c r="E324" s="32">
        <v>49890</v>
      </c>
      <c r="G324" s="8">
        <v>1371814</v>
      </c>
      <c r="I324" s="8">
        <v>2353266</v>
      </c>
      <c r="K324" s="8">
        <v>114572</v>
      </c>
      <c r="M324" s="8">
        <f t="shared" si="15"/>
        <v>3839652</v>
      </c>
      <c r="O324" s="8">
        <f>5660516+846731+91773</f>
        <v>6599020</v>
      </c>
      <c r="Q324" s="8">
        <v>0</v>
      </c>
      <c r="S324" s="8">
        <v>9348015</v>
      </c>
      <c r="U324" s="8">
        <v>318897</v>
      </c>
      <c r="W324" s="8">
        <v>0</v>
      </c>
      <c r="Y324" s="8">
        <v>0</v>
      </c>
      <c r="AA324" s="8">
        <v>103496</v>
      </c>
      <c r="AB324" s="39"/>
      <c r="AC324" s="8">
        <v>0</v>
      </c>
      <c r="AE324" s="8">
        <v>0</v>
      </c>
      <c r="AG324" s="8">
        <f t="shared" si="16"/>
        <v>16369428</v>
      </c>
      <c r="AH324" s="8"/>
      <c r="AI324" s="8">
        <f t="shared" si="17"/>
        <v>20209080</v>
      </c>
    </row>
    <row r="325" spans="1:35" ht="12" customHeight="1">
      <c r="A325" s="12" t="s">
        <v>634</v>
      </c>
      <c r="B325" s="12"/>
      <c r="C325" s="12" t="s">
        <v>59</v>
      </c>
      <c r="D325" s="12"/>
      <c r="E325" s="32">
        <v>49627</v>
      </c>
      <c r="G325" s="8">
        <v>2087793</v>
      </c>
      <c r="I325" s="8">
        <v>2943973</v>
      </c>
      <c r="K325" s="8">
        <v>0</v>
      </c>
      <c r="M325" s="8">
        <f t="shared" si="15"/>
        <v>5031766</v>
      </c>
      <c r="O325" s="8">
        <f>1569035+21857+219927</f>
        <v>1810819</v>
      </c>
      <c r="Q325" s="8">
        <v>0</v>
      </c>
      <c r="S325" s="8">
        <v>8210088</v>
      </c>
      <c r="U325" s="8">
        <v>33112</v>
      </c>
      <c r="W325" s="8">
        <v>0</v>
      </c>
      <c r="Y325" s="8">
        <v>23908</v>
      </c>
      <c r="AA325" s="8">
        <v>103500</v>
      </c>
      <c r="AB325" s="39"/>
      <c r="AC325" s="8">
        <v>0</v>
      </c>
      <c r="AE325" s="8">
        <v>4044</v>
      </c>
      <c r="AG325" s="8">
        <f t="shared" si="16"/>
        <v>10185471</v>
      </c>
      <c r="AH325" s="8"/>
      <c r="AI325" s="8">
        <f t="shared" si="17"/>
        <v>15217237</v>
      </c>
    </row>
    <row r="326" spans="1:35" ht="12" customHeight="1">
      <c r="A326" s="12"/>
      <c r="B326" s="12"/>
      <c r="C326" s="12"/>
      <c r="D326" s="12"/>
      <c r="E326" s="32"/>
      <c r="AB326" s="39"/>
      <c r="AH326" s="8"/>
    </row>
    <row r="327" spans="1:35" ht="12" customHeight="1">
      <c r="A327" s="12"/>
      <c r="B327" s="12"/>
      <c r="C327" s="12"/>
      <c r="D327" s="12"/>
      <c r="E327" s="32"/>
      <c r="AB327" s="39"/>
      <c r="AH327" s="8"/>
      <c r="AI327" s="8" t="s">
        <v>819</v>
      </c>
    </row>
    <row r="328" spans="1:35" s="35" customFormat="1" ht="12" customHeight="1">
      <c r="A328" s="34" t="s">
        <v>229</v>
      </c>
      <c r="B328" s="34"/>
      <c r="C328" s="34" t="s">
        <v>14</v>
      </c>
      <c r="D328" s="34"/>
      <c r="E328" s="34">
        <v>45948</v>
      </c>
      <c r="F328" s="48"/>
      <c r="G328" s="35">
        <v>483787</v>
      </c>
      <c r="I328" s="35">
        <v>478434</v>
      </c>
      <c r="K328" s="35">
        <v>8849</v>
      </c>
      <c r="M328" s="35">
        <f t="shared" si="15"/>
        <v>971070</v>
      </c>
      <c r="O328" s="35">
        <f>3822091+11576+757825+45164</f>
        <v>4636656</v>
      </c>
      <c r="Q328" s="35">
        <v>756918</v>
      </c>
      <c r="S328" s="35">
        <v>3472779</v>
      </c>
      <c r="U328" s="35">
        <v>58090</v>
      </c>
      <c r="W328" s="35">
        <v>0</v>
      </c>
      <c r="Y328" s="35">
        <v>0</v>
      </c>
      <c r="AA328" s="35">
        <v>130618</v>
      </c>
      <c r="AB328" s="46"/>
      <c r="AC328" s="35">
        <v>0</v>
      </c>
      <c r="AE328" s="35">
        <v>0</v>
      </c>
      <c r="AG328" s="35">
        <f t="shared" si="16"/>
        <v>9055061</v>
      </c>
      <c r="AI328" s="35">
        <f t="shared" si="17"/>
        <v>10026131</v>
      </c>
    </row>
    <row r="329" spans="1:35" ht="12" hidden="1" customHeight="1">
      <c r="A329" s="12" t="s">
        <v>332</v>
      </c>
      <c r="B329" s="12"/>
      <c r="C329" s="12" t="s">
        <v>21</v>
      </c>
      <c r="D329" s="12"/>
      <c r="E329" s="32">
        <v>46672</v>
      </c>
      <c r="M329" s="8">
        <f t="shared" si="15"/>
        <v>0</v>
      </c>
      <c r="AB329" s="39"/>
      <c r="AC329" s="8">
        <v>0</v>
      </c>
      <c r="AE329" s="8">
        <v>0</v>
      </c>
      <c r="AG329" s="8">
        <f t="shared" si="16"/>
        <v>0</v>
      </c>
      <c r="AH329" s="8"/>
      <c r="AI329" s="8">
        <f t="shared" si="17"/>
        <v>0</v>
      </c>
    </row>
    <row r="330" spans="1:35" ht="12" customHeight="1">
      <c r="A330" s="12" t="s">
        <v>672</v>
      </c>
      <c r="B330" s="12"/>
      <c r="C330" s="12" t="s">
        <v>63</v>
      </c>
      <c r="D330" s="12"/>
      <c r="E330" s="32">
        <v>50039</v>
      </c>
      <c r="G330" s="8">
        <v>1329258</v>
      </c>
      <c r="I330" s="8">
        <v>373657</v>
      </c>
      <c r="K330" s="8">
        <v>0</v>
      </c>
      <c r="M330" s="8">
        <f t="shared" si="15"/>
        <v>1702915</v>
      </c>
      <c r="O330" s="8">
        <f>2971726+201190+523448</f>
        <v>3696364</v>
      </c>
      <c r="Q330" s="8">
        <v>0</v>
      </c>
      <c r="S330" s="8">
        <v>3692666</v>
      </c>
      <c r="U330" s="8">
        <v>370674</v>
      </c>
      <c r="W330" s="8">
        <v>0</v>
      </c>
      <c r="Y330" s="8">
        <v>0</v>
      </c>
      <c r="AA330" s="8">
        <v>151588</v>
      </c>
      <c r="AB330" s="39"/>
      <c r="AC330" s="8">
        <v>0</v>
      </c>
      <c r="AE330" s="8">
        <v>0</v>
      </c>
      <c r="AG330" s="8">
        <f t="shared" si="16"/>
        <v>7911292</v>
      </c>
      <c r="AH330" s="8"/>
      <c r="AI330" s="8">
        <f t="shared" si="17"/>
        <v>9614207</v>
      </c>
    </row>
    <row r="331" spans="1:35" ht="12" hidden="1" customHeight="1">
      <c r="A331" s="12" t="s">
        <v>748</v>
      </c>
      <c r="B331" s="12"/>
      <c r="C331" s="12" t="s">
        <v>747</v>
      </c>
      <c r="D331" s="12"/>
      <c r="E331" s="32">
        <v>50740</v>
      </c>
      <c r="M331" s="8">
        <f t="shared" si="15"/>
        <v>0</v>
      </c>
      <c r="Q331" s="8">
        <v>0</v>
      </c>
      <c r="AB331" s="39"/>
      <c r="AC331" s="8">
        <v>0</v>
      </c>
      <c r="AE331" s="8">
        <v>0</v>
      </c>
      <c r="AG331" s="8">
        <f t="shared" si="16"/>
        <v>0</v>
      </c>
      <c r="AH331" s="8"/>
      <c r="AI331" s="8">
        <f t="shared" si="17"/>
        <v>0</v>
      </c>
    </row>
    <row r="332" spans="1:35" ht="12" customHeight="1">
      <c r="A332" s="12" t="s">
        <v>252</v>
      </c>
      <c r="B332" s="12"/>
      <c r="C332" s="12" t="s">
        <v>246</v>
      </c>
      <c r="D332" s="12"/>
      <c r="E332" s="32">
        <v>139303</v>
      </c>
      <c r="F332" s="7"/>
      <c r="G332" s="8">
        <v>2051445</v>
      </c>
      <c r="I332" s="8">
        <v>1086059</v>
      </c>
      <c r="K332" s="8">
        <v>0</v>
      </c>
      <c r="M332" s="8">
        <f t="shared" si="15"/>
        <v>3137504</v>
      </c>
      <c r="O332" s="8">
        <v>11080062</v>
      </c>
      <c r="Q332" s="8">
        <v>0</v>
      </c>
      <c r="S332" s="8">
        <v>6070229</v>
      </c>
      <c r="U332" s="8">
        <v>113977</v>
      </c>
      <c r="W332" s="8">
        <v>384064</v>
      </c>
      <c r="Y332" s="8">
        <v>0</v>
      </c>
      <c r="AA332" s="8">
        <v>152963</v>
      </c>
      <c r="AB332" s="39"/>
      <c r="AC332" s="8">
        <v>0</v>
      </c>
      <c r="AE332" s="8">
        <v>0</v>
      </c>
      <c r="AG332" s="8">
        <f t="shared" si="16"/>
        <v>17801295</v>
      </c>
      <c r="AH332" s="8"/>
      <c r="AI332" s="8">
        <f t="shared" si="17"/>
        <v>20938799</v>
      </c>
    </row>
    <row r="333" spans="1:35" ht="12" customHeight="1">
      <c r="A333" s="12" t="s">
        <v>449</v>
      </c>
      <c r="B333" s="12"/>
      <c r="C333" s="12" t="s">
        <v>37</v>
      </c>
      <c r="D333" s="12"/>
      <c r="E333" s="32">
        <v>47712</v>
      </c>
      <c r="G333" s="8">
        <v>520321</v>
      </c>
      <c r="I333" s="8">
        <v>641365</v>
      </c>
      <c r="K333" s="8">
        <v>30455</v>
      </c>
      <c r="M333" s="8">
        <f t="shared" si="15"/>
        <v>1192141</v>
      </c>
      <c r="O333" s="8">
        <f>2551312+80615</f>
        <v>2631927</v>
      </c>
      <c r="Q333" s="8">
        <v>0</v>
      </c>
      <c r="S333" s="8">
        <v>2661324</v>
      </c>
      <c r="U333" s="8">
        <v>95684</v>
      </c>
      <c r="W333" s="8">
        <v>0</v>
      </c>
      <c r="Y333" s="8">
        <v>0</v>
      </c>
      <c r="AA333" s="8">
        <v>25661</v>
      </c>
      <c r="AB333" s="39"/>
      <c r="AC333" s="8">
        <v>0</v>
      </c>
      <c r="AE333" s="8">
        <v>0</v>
      </c>
      <c r="AG333" s="8">
        <f t="shared" si="16"/>
        <v>5414596</v>
      </c>
      <c r="AH333" s="8"/>
      <c r="AI333" s="8">
        <f t="shared" si="17"/>
        <v>6606737</v>
      </c>
    </row>
    <row r="334" spans="1:35" ht="12" customHeight="1">
      <c r="A334" s="12" t="s">
        <v>737</v>
      </c>
      <c r="B334" s="12"/>
      <c r="C334" s="12" t="s">
        <v>733</v>
      </c>
      <c r="D334" s="12"/>
      <c r="E334" s="32">
        <v>45526</v>
      </c>
      <c r="G334" s="8">
        <v>922688</v>
      </c>
      <c r="I334" s="8">
        <v>1079146</v>
      </c>
      <c r="K334" s="8">
        <v>0</v>
      </c>
      <c r="M334" s="8">
        <f t="shared" si="15"/>
        <v>2001834</v>
      </c>
      <c r="O334" s="8">
        <f>1985556+337741+61128</f>
        <v>2384425</v>
      </c>
      <c r="Q334" s="8">
        <v>708569</v>
      </c>
      <c r="S334" s="8">
        <v>5261046</v>
      </c>
      <c r="U334" s="8">
        <v>198699</v>
      </c>
      <c r="W334" s="8">
        <v>0</v>
      </c>
      <c r="Y334" s="8">
        <v>58093</v>
      </c>
      <c r="AA334" s="8">
        <v>164384</v>
      </c>
      <c r="AB334" s="39"/>
      <c r="AC334" s="8">
        <v>0</v>
      </c>
      <c r="AE334" s="8">
        <f>325+11742</f>
        <v>12067</v>
      </c>
      <c r="AG334" s="8">
        <f t="shared" si="16"/>
        <v>8787283</v>
      </c>
      <c r="AH334" s="8"/>
      <c r="AI334" s="8">
        <f t="shared" si="17"/>
        <v>10789117</v>
      </c>
    </row>
    <row r="335" spans="1:35" ht="12" customHeight="1">
      <c r="A335" s="12" t="s">
        <v>566</v>
      </c>
      <c r="B335" s="12"/>
      <c r="C335" s="12" t="s">
        <v>567</v>
      </c>
      <c r="D335" s="12"/>
      <c r="E335" s="32">
        <v>48777</v>
      </c>
      <c r="G335" s="8">
        <v>726885</v>
      </c>
      <c r="I335" s="8">
        <v>4239617</v>
      </c>
      <c r="K335" s="8">
        <v>61483</v>
      </c>
      <c r="M335" s="8">
        <f t="shared" si="15"/>
        <v>5027985</v>
      </c>
      <c r="O335" s="8">
        <f>3442793+983575+143095</f>
        <v>4569463</v>
      </c>
      <c r="Q335" s="8">
        <v>0</v>
      </c>
      <c r="S335" s="8">
        <v>34330892</v>
      </c>
      <c r="U335" s="8">
        <v>553124</v>
      </c>
      <c r="W335" s="8">
        <v>0</v>
      </c>
      <c r="Y335" s="8">
        <v>0</v>
      </c>
      <c r="AA335" s="8">
        <f>123709+892</f>
        <v>124601</v>
      </c>
      <c r="AB335" s="39"/>
      <c r="AC335" s="8">
        <v>0</v>
      </c>
      <c r="AE335" s="8">
        <v>9604</v>
      </c>
      <c r="AG335" s="8">
        <f t="shared" si="16"/>
        <v>39587684</v>
      </c>
      <c r="AH335" s="8"/>
      <c r="AI335" s="8">
        <f t="shared" si="17"/>
        <v>44615669</v>
      </c>
    </row>
    <row r="336" spans="1:35" ht="12" customHeight="1">
      <c r="A336" s="13" t="s">
        <v>894</v>
      </c>
      <c r="B336" s="12"/>
      <c r="C336" s="12" t="s">
        <v>78</v>
      </c>
      <c r="D336" s="12"/>
      <c r="E336" s="32">
        <v>45534</v>
      </c>
      <c r="G336" s="8">
        <v>1444087</v>
      </c>
      <c r="I336" s="8">
        <v>1741141</v>
      </c>
      <c r="K336" s="8">
        <v>5117</v>
      </c>
      <c r="M336" s="8">
        <f t="shared" si="15"/>
        <v>3190345</v>
      </c>
      <c r="O336" s="8">
        <f>3010590+809946+39482+56594</f>
        <v>3916612</v>
      </c>
      <c r="Q336" s="8">
        <v>1011522</v>
      </c>
      <c r="S336" s="8">
        <v>5696040</v>
      </c>
      <c r="U336" s="8">
        <v>283286</v>
      </c>
      <c r="W336" s="8">
        <v>0</v>
      </c>
      <c r="Y336" s="8">
        <v>0</v>
      </c>
      <c r="AA336" s="8">
        <v>317669</v>
      </c>
      <c r="AB336" s="39"/>
      <c r="AC336" s="8">
        <v>0</v>
      </c>
      <c r="AE336" s="8">
        <v>0</v>
      </c>
      <c r="AG336" s="8">
        <f t="shared" si="16"/>
        <v>11225129</v>
      </c>
      <c r="AH336" s="8"/>
      <c r="AI336" s="8">
        <f t="shared" si="17"/>
        <v>14415474</v>
      </c>
    </row>
    <row r="337" spans="1:41" ht="12" customHeight="1">
      <c r="A337" s="12" t="s">
        <v>462</v>
      </c>
      <c r="B337" s="12"/>
      <c r="C337" s="12" t="s">
        <v>40</v>
      </c>
      <c r="D337" s="12"/>
      <c r="E337" s="32">
        <v>44420</v>
      </c>
      <c r="G337" s="8">
        <v>1953267</v>
      </c>
      <c r="I337" s="8">
        <v>4772889</v>
      </c>
      <c r="K337" s="8">
        <v>0</v>
      </c>
      <c r="M337" s="8">
        <f t="shared" si="15"/>
        <v>6726156</v>
      </c>
      <c r="O337" s="8">
        <f>10536482+783030+1072666</f>
        <v>12392178</v>
      </c>
      <c r="Q337" s="8">
        <v>0</v>
      </c>
      <c r="S337" s="8">
        <v>15003758</v>
      </c>
      <c r="U337" s="8">
        <v>630559</v>
      </c>
      <c r="W337" s="8">
        <v>795330</v>
      </c>
      <c r="Y337" s="8">
        <v>16664</v>
      </c>
      <c r="AA337" s="8">
        <v>35566</v>
      </c>
      <c r="AB337" s="39"/>
      <c r="AC337" s="8">
        <v>0</v>
      </c>
      <c r="AE337" s="8">
        <v>140</v>
      </c>
      <c r="AG337" s="8">
        <f t="shared" si="16"/>
        <v>28874195</v>
      </c>
      <c r="AH337" s="8"/>
      <c r="AI337" s="8">
        <f t="shared" si="17"/>
        <v>35600351</v>
      </c>
      <c r="AK337" s="8"/>
    </row>
    <row r="338" spans="1:41" s="8" customFormat="1" ht="12" customHeight="1">
      <c r="A338" s="13" t="s">
        <v>898</v>
      </c>
      <c r="B338" s="13"/>
      <c r="C338" s="13" t="s">
        <v>32</v>
      </c>
      <c r="D338" s="13"/>
      <c r="E338" s="13">
        <v>44412</v>
      </c>
      <c r="G338" s="8">
        <v>1161466</v>
      </c>
      <c r="I338" s="8">
        <v>9690791</v>
      </c>
      <c r="K338" s="8">
        <v>6226528</v>
      </c>
      <c r="M338" s="8">
        <f t="shared" si="15"/>
        <v>17078785</v>
      </c>
      <c r="O338" s="8">
        <f>12146853+156420+1753920</f>
        <v>14057193</v>
      </c>
      <c r="Q338" s="8">
        <v>0</v>
      </c>
      <c r="S338" s="8">
        <v>16496509</v>
      </c>
      <c r="U338" s="8">
        <v>2495237</v>
      </c>
      <c r="W338" s="8">
        <v>0</v>
      </c>
      <c r="Y338" s="8">
        <v>0</v>
      </c>
      <c r="AA338" s="8">
        <v>63369</v>
      </c>
      <c r="AB338" s="39"/>
      <c r="AC338" s="8">
        <v>0</v>
      </c>
      <c r="AE338" s="8">
        <v>0</v>
      </c>
      <c r="AG338" s="8">
        <f t="shared" si="16"/>
        <v>33112308</v>
      </c>
      <c r="AI338" s="8">
        <f t="shared" si="17"/>
        <v>50191093</v>
      </c>
    </row>
    <row r="339" spans="1:41" ht="12" customHeight="1">
      <c r="A339" s="12" t="s">
        <v>437</v>
      </c>
      <c r="B339" s="12"/>
      <c r="C339" s="12" t="s">
        <v>34</v>
      </c>
      <c r="D339" s="12"/>
      <c r="E339" s="32">
        <v>44438</v>
      </c>
      <c r="G339" s="8">
        <v>1701166</v>
      </c>
      <c r="I339" s="8">
        <v>2577561</v>
      </c>
      <c r="K339" s="8">
        <v>0</v>
      </c>
      <c r="M339" s="8">
        <f t="shared" si="15"/>
        <v>4278727</v>
      </c>
      <c r="O339" s="8">
        <f>8694812+413000+527035</f>
        <v>9634847</v>
      </c>
      <c r="Q339" s="8">
        <v>0</v>
      </c>
      <c r="S339" s="8">
        <v>9409688</v>
      </c>
      <c r="U339" s="8">
        <v>469612</v>
      </c>
      <c r="W339" s="8">
        <v>507560</v>
      </c>
      <c r="Y339" s="8">
        <v>30279</v>
      </c>
      <c r="AA339" s="8">
        <v>55787</v>
      </c>
      <c r="AB339" s="39"/>
      <c r="AC339" s="8">
        <v>0</v>
      </c>
      <c r="AE339" s="8">
        <f>1485+39852</f>
        <v>41337</v>
      </c>
      <c r="AG339" s="8">
        <f t="shared" si="16"/>
        <v>20149110</v>
      </c>
      <c r="AH339" s="8"/>
      <c r="AI339" s="8">
        <f t="shared" si="17"/>
        <v>24427837</v>
      </c>
    </row>
    <row r="340" spans="1:41" ht="12" customHeight="1">
      <c r="A340" s="12" t="s">
        <v>227</v>
      </c>
      <c r="B340" s="12"/>
      <c r="C340" s="12" t="s">
        <v>13</v>
      </c>
      <c r="D340" s="12"/>
      <c r="E340" s="32">
        <v>44446</v>
      </c>
      <c r="F340" s="7"/>
      <c r="G340" s="8">
        <v>714677</v>
      </c>
      <c r="I340" s="8">
        <v>3926706</v>
      </c>
      <c r="K340" s="8">
        <v>0</v>
      </c>
      <c r="M340" s="8">
        <f>SUM(G340:L340)</f>
        <v>4641383</v>
      </c>
      <c r="O340" s="8">
        <f>1786999+504505+54246</f>
        <v>2345750</v>
      </c>
      <c r="Q340" s="8">
        <v>0</v>
      </c>
      <c r="S340" s="8">
        <v>6806232</v>
      </c>
      <c r="U340" s="8">
        <v>460458</v>
      </c>
      <c r="W340" s="8">
        <v>0</v>
      </c>
      <c r="Y340" s="8">
        <v>0</v>
      </c>
      <c r="AA340" s="8">
        <v>50713</v>
      </c>
      <c r="AB340" s="39"/>
      <c r="AC340" s="8">
        <v>0</v>
      </c>
      <c r="AE340" s="8">
        <v>0</v>
      </c>
      <c r="AG340" s="8">
        <f>SUM(O340:AE340)</f>
        <v>9663153</v>
      </c>
      <c r="AH340" s="8"/>
      <c r="AI340" s="8">
        <f>+AG340+M340</f>
        <v>14304536</v>
      </c>
    </row>
    <row r="341" spans="1:41" ht="12" customHeight="1">
      <c r="A341" s="12" t="s">
        <v>842</v>
      </c>
      <c r="B341" s="12"/>
      <c r="C341" s="12" t="s">
        <v>27</v>
      </c>
      <c r="D341" s="12"/>
      <c r="E341" s="32">
        <v>44461</v>
      </c>
      <c r="G341" s="8">
        <v>2298795</v>
      </c>
      <c r="I341" s="8">
        <v>1743778</v>
      </c>
      <c r="K341" s="8">
        <v>0</v>
      </c>
      <c r="M341" s="8">
        <f>SUM(G341:L341)</f>
        <v>4042573</v>
      </c>
      <c r="O341" s="8">
        <v>42123696</v>
      </c>
      <c r="Q341" s="8">
        <v>0</v>
      </c>
      <c r="S341" s="8">
        <v>6127026</v>
      </c>
      <c r="U341" s="8">
        <v>914844</v>
      </c>
      <c r="W341" s="8">
        <v>0</v>
      </c>
      <c r="Y341" s="8">
        <v>0</v>
      </c>
      <c r="AA341" s="8">
        <v>1212671</v>
      </c>
      <c r="AB341" s="39"/>
      <c r="AC341" s="8">
        <v>0</v>
      </c>
      <c r="AE341" s="8">
        <v>5290365</v>
      </c>
      <c r="AG341" s="8">
        <f>SUM(O341:AE341)</f>
        <v>55668602</v>
      </c>
      <c r="AH341" s="8"/>
      <c r="AI341" s="8">
        <f>+AG341+M341</f>
        <v>59711175</v>
      </c>
    </row>
    <row r="342" spans="1:41" ht="12" customHeight="1">
      <c r="A342" s="12" t="s">
        <v>635</v>
      </c>
      <c r="B342" s="12"/>
      <c r="C342" s="12" t="s">
        <v>59</v>
      </c>
      <c r="D342" s="12"/>
      <c r="E342" s="32">
        <v>44461</v>
      </c>
      <c r="G342" s="8">
        <v>858668</v>
      </c>
      <c r="I342" s="8">
        <v>1562112</v>
      </c>
      <c r="K342" s="8">
        <v>6437</v>
      </c>
      <c r="M342" s="8">
        <f>SUM(G342:L342)</f>
        <v>2427217</v>
      </c>
      <c r="O342" s="8">
        <v>1107836</v>
      </c>
      <c r="Q342" s="8">
        <v>0</v>
      </c>
      <c r="S342" s="8">
        <v>1411316</v>
      </c>
      <c r="U342" s="8">
        <v>35334</v>
      </c>
      <c r="W342" s="8">
        <v>0</v>
      </c>
      <c r="Y342" s="8">
        <v>10807</v>
      </c>
      <c r="AA342" s="8">
        <v>153538</v>
      </c>
      <c r="AB342" s="39"/>
      <c r="AC342" s="8">
        <v>0</v>
      </c>
      <c r="AE342" s="8">
        <v>0</v>
      </c>
      <c r="AG342" s="8">
        <f>SUM(O342:AE342)</f>
        <v>2718831</v>
      </c>
      <c r="AH342" s="8"/>
      <c r="AI342" s="8">
        <f>+AG342+M342</f>
        <v>5146048</v>
      </c>
    </row>
    <row r="343" spans="1:41" ht="12" customHeight="1">
      <c r="A343" s="12" t="s">
        <v>230</v>
      </c>
      <c r="B343" s="12"/>
      <c r="C343" s="12" t="s">
        <v>14</v>
      </c>
      <c r="D343" s="12"/>
      <c r="E343" s="32">
        <v>45955</v>
      </c>
      <c r="F343" s="7"/>
      <c r="G343" s="8">
        <v>477618</v>
      </c>
      <c r="I343" s="8">
        <v>816021</v>
      </c>
      <c r="K343" s="8">
        <v>5037</v>
      </c>
      <c r="M343" s="8">
        <f>SUM(G343:L343)</f>
        <v>1298676</v>
      </c>
      <c r="O343" s="8">
        <f>2267088+701865+80840</f>
        <v>3049793</v>
      </c>
      <c r="Q343" s="8">
        <v>1623801</v>
      </c>
      <c r="S343" s="8">
        <v>4082488</v>
      </c>
      <c r="U343" s="8">
        <v>241871</v>
      </c>
      <c r="W343" s="8">
        <v>0</v>
      </c>
      <c r="Y343" s="8">
        <v>0</v>
      </c>
      <c r="AA343" s="8">
        <v>40446</v>
      </c>
      <c r="AB343" s="39"/>
      <c r="AC343" s="8">
        <v>0</v>
      </c>
      <c r="AE343" s="8">
        <v>0</v>
      </c>
      <c r="AG343" s="8">
        <f>SUM(O343:AE343)</f>
        <v>9038399</v>
      </c>
      <c r="AH343" s="8"/>
      <c r="AI343" s="8">
        <f>+AG343+M343</f>
        <v>10337075</v>
      </c>
    </row>
    <row r="344" spans="1:41" ht="12" hidden="1" customHeight="1">
      <c r="A344" s="12" t="s">
        <v>231</v>
      </c>
      <c r="B344" s="12"/>
      <c r="C344" s="12" t="s">
        <v>14</v>
      </c>
      <c r="D344" s="12"/>
      <c r="E344" s="32">
        <v>45963</v>
      </c>
      <c r="F344" s="7"/>
      <c r="G344" s="35"/>
      <c r="H344" s="35"/>
      <c r="I344" s="35"/>
      <c r="J344" s="35"/>
      <c r="K344" s="35"/>
      <c r="L344" s="35"/>
      <c r="M344" s="35">
        <f t="shared" ref="M344:M407" si="18">SUM(G344:L344)</f>
        <v>0</v>
      </c>
      <c r="N344" s="35"/>
      <c r="O344" s="35"/>
      <c r="P344" s="35"/>
      <c r="Q344" s="35"/>
      <c r="R344" s="35"/>
      <c r="S344" s="35"/>
      <c r="T344" s="35"/>
      <c r="U344" s="35"/>
      <c r="V344" s="35"/>
      <c r="W344" s="8">
        <v>0</v>
      </c>
      <c r="X344" s="35"/>
      <c r="Y344" s="8">
        <v>0</v>
      </c>
      <c r="Z344" s="35"/>
      <c r="AA344" s="8">
        <v>0</v>
      </c>
      <c r="AB344" s="46"/>
      <c r="AC344" s="35"/>
      <c r="AD344" s="35"/>
      <c r="AE344" s="35"/>
      <c r="AF344" s="35"/>
      <c r="AG344" s="35">
        <f t="shared" ref="AG344:AG407" si="19">SUM(O344:AE344)</f>
        <v>0</v>
      </c>
      <c r="AH344" s="35"/>
      <c r="AI344" s="35">
        <f t="shared" ref="AI344:AI407" si="20">+AG344+M344</f>
        <v>0</v>
      </c>
    </row>
    <row r="345" spans="1:41" ht="12" customHeight="1">
      <c r="A345" s="12" t="s">
        <v>560</v>
      </c>
      <c r="B345" s="12"/>
      <c r="C345" s="12" t="s">
        <v>50</v>
      </c>
      <c r="D345" s="12"/>
      <c r="E345" s="32">
        <v>48710</v>
      </c>
      <c r="G345" s="8">
        <v>450297</v>
      </c>
      <c r="I345" s="8">
        <v>1205896</v>
      </c>
      <c r="K345" s="8">
        <v>2025</v>
      </c>
      <c r="M345" s="8">
        <f t="shared" si="18"/>
        <v>1658218</v>
      </c>
      <c r="O345" s="8">
        <f>2125199+36920+337097+228339</f>
        <v>2727555</v>
      </c>
      <c r="Q345" s="8">
        <v>1512866</v>
      </c>
      <c r="S345" s="8">
        <v>6020750</v>
      </c>
      <c r="U345" s="8">
        <v>183750</v>
      </c>
      <c r="W345" s="8">
        <v>0</v>
      </c>
      <c r="Y345" s="8">
        <v>0</v>
      </c>
      <c r="AA345" s="8">
        <v>9184</v>
      </c>
      <c r="AB345" s="39"/>
      <c r="AC345" s="8">
        <v>0</v>
      </c>
      <c r="AE345" s="8">
        <v>0</v>
      </c>
      <c r="AG345" s="8">
        <f t="shared" si="19"/>
        <v>10454105</v>
      </c>
      <c r="AH345" s="8"/>
      <c r="AI345" s="8">
        <f t="shared" si="20"/>
        <v>12112323</v>
      </c>
    </row>
    <row r="346" spans="1:41" ht="12" hidden="1" customHeight="1">
      <c r="A346" s="12" t="s">
        <v>587</v>
      </c>
      <c r="B346" s="12"/>
      <c r="C346" s="12" t="s">
        <v>586</v>
      </c>
      <c r="D346" s="12"/>
      <c r="E346" s="32">
        <v>44479</v>
      </c>
      <c r="G346" s="35"/>
      <c r="H346" s="35"/>
      <c r="I346" s="35"/>
      <c r="J346" s="35"/>
      <c r="K346" s="35"/>
      <c r="L346" s="35"/>
      <c r="M346" s="35">
        <f t="shared" si="18"/>
        <v>0</v>
      </c>
      <c r="N346" s="35"/>
      <c r="O346" s="35"/>
      <c r="P346" s="35"/>
      <c r="Q346" s="35"/>
      <c r="R346" s="35"/>
      <c r="S346" s="35"/>
      <c r="T346" s="35"/>
      <c r="U346" s="35"/>
      <c r="V346" s="35"/>
      <c r="W346" s="8">
        <v>0</v>
      </c>
      <c r="X346" s="35"/>
      <c r="Y346" s="8">
        <v>0</v>
      </c>
      <c r="Z346" s="35"/>
      <c r="AA346" s="8">
        <v>0</v>
      </c>
      <c r="AB346" s="46"/>
      <c r="AC346" s="8">
        <v>0</v>
      </c>
      <c r="AD346" s="35"/>
      <c r="AE346" s="8">
        <v>0</v>
      </c>
      <c r="AF346" s="35"/>
      <c r="AG346" s="35">
        <f t="shared" si="19"/>
        <v>0</v>
      </c>
      <c r="AH346" s="35"/>
      <c r="AI346" s="35">
        <f t="shared" si="20"/>
        <v>0</v>
      </c>
      <c r="AJ346" s="35"/>
      <c r="AK346" s="35"/>
      <c r="AL346" s="35"/>
      <c r="AM346" s="35"/>
      <c r="AN346" s="35"/>
      <c r="AO346" s="35"/>
    </row>
    <row r="347" spans="1:41" s="8" customFormat="1" ht="12" customHeight="1">
      <c r="A347" s="13" t="s">
        <v>450</v>
      </c>
      <c r="B347" s="13"/>
      <c r="C347" s="13" t="s">
        <v>37</v>
      </c>
      <c r="D347" s="13"/>
      <c r="E347" s="13">
        <v>47720</v>
      </c>
      <c r="G347" s="8">
        <v>815900</v>
      </c>
      <c r="I347" s="8">
        <v>1184186</v>
      </c>
      <c r="K347" s="8">
        <v>5972</v>
      </c>
      <c r="M347" s="8">
        <f t="shared" si="18"/>
        <v>2006058</v>
      </c>
      <c r="O347" s="8">
        <f>2068169+25285+266362</f>
        <v>2359816</v>
      </c>
      <c r="Q347" s="8">
        <v>1027237</v>
      </c>
      <c r="S347" s="8">
        <v>5317777</v>
      </c>
      <c r="U347" s="8">
        <v>105366</v>
      </c>
      <c r="W347" s="8">
        <v>0</v>
      </c>
      <c r="Y347" s="8">
        <v>0</v>
      </c>
      <c r="AA347" s="8">
        <v>4909</v>
      </c>
      <c r="AB347" s="39"/>
      <c r="AC347" s="8">
        <v>0</v>
      </c>
      <c r="AE347" s="8">
        <v>0</v>
      </c>
      <c r="AG347" s="8">
        <f t="shared" si="19"/>
        <v>8815105</v>
      </c>
      <c r="AI347" s="8">
        <f t="shared" si="20"/>
        <v>10821163</v>
      </c>
    </row>
    <row r="348" spans="1:41" ht="12" customHeight="1">
      <c r="A348" s="12" t="s">
        <v>253</v>
      </c>
      <c r="B348" s="12"/>
      <c r="C348" s="12" t="s">
        <v>246</v>
      </c>
      <c r="D348" s="12"/>
      <c r="E348" s="32">
        <v>46136</v>
      </c>
      <c r="F348" s="7"/>
      <c r="G348" s="8">
        <v>215941</v>
      </c>
      <c r="I348" s="8">
        <v>1380359</v>
      </c>
      <c r="K348" s="8">
        <v>0</v>
      </c>
      <c r="M348" s="8">
        <f t="shared" si="18"/>
        <v>1596300</v>
      </c>
      <c r="O348" s="8">
        <f>979032+176356</f>
        <v>1155388</v>
      </c>
      <c r="Q348" s="8">
        <v>566893</v>
      </c>
      <c r="S348" s="8">
        <v>4246091</v>
      </c>
      <c r="U348" s="8">
        <v>99805</v>
      </c>
      <c r="W348" s="8">
        <v>0</v>
      </c>
      <c r="Y348" s="8">
        <v>0</v>
      </c>
      <c r="AA348" s="8">
        <v>135481</v>
      </c>
      <c r="AB348" s="39"/>
      <c r="AC348" s="8">
        <v>0</v>
      </c>
      <c r="AE348" s="8">
        <v>0</v>
      </c>
      <c r="AG348" s="8">
        <f t="shared" si="19"/>
        <v>6203658</v>
      </c>
      <c r="AH348" s="8"/>
      <c r="AI348" s="8">
        <f t="shared" si="20"/>
        <v>7799958</v>
      </c>
    </row>
    <row r="349" spans="1:41" s="8" customFormat="1" ht="12" customHeight="1">
      <c r="A349" s="13" t="s">
        <v>703</v>
      </c>
      <c r="B349" s="13"/>
      <c r="C349" s="13" t="s">
        <v>65</v>
      </c>
      <c r="D349" s="13"/>
      <c r="E349" s="32">
        <v>44487</v>
      </c>
      <c r="G349" s="8">
        <v>1579727</v>
      </c>
      <c r="I349" s="8">
        <v>2150249</v>
      </c>
      <c r="K349" s="8">
        <v>21000</v>
      </c>
      <c r="M349" s="8">
        <f t="shared" si="18"/>
        <v>3750976</v>
      </c>
      <c r="O349" s="8">
        <f>9380499+531542+147090</f>
        <v>10059131</v>
      </c>
      <c r="Q349" s="8">
        <v>0</v>
      </c>
      <c r="S349" s="8">
        <v>9938941</v>
      </c>
      <c r="U349" s="8">
        <v>316818</v>
      </c>
      <c r="W349" s="8">
        <v>0</v>
      </c>
      <c r="Y349" s="8">
        <v>0</v>
      </c>
      <c r="AA349" s="8">
        <v>877959</v>
      </c>
      <c r="AB349" s="39"/>
      <c r="AC349" s="8">
        <v>0</v>
      </c>
      <c r="AE349" s="8">
        <v>0</v>
      </c>
      <c r="AG349" s="8">
        <f t="shared" si="19"/>
        <v>21192849</v>
      </c>
      <c r="AI349" s="8">
        <f t="shared" si="20"/>
        <v>24943825</v>
      </c>
    </row>
    <row r="350" spans="1:41" ht="12" customHeight="1">
      <c r="A350" s="12" t="s">
        <v>275</v>
      </c>
      <c r="B350" s="12"/>
      <c r="C350" s="12" t="s">
        <v>116</v>
      </c>
      <c r="D350" s="12"/>
      <c r="E350" s="32">
        <v>45559</v>
      </c>
      <c r="F350" s="7"/>
      <c r="G350" s="8">
        <v>1013734</v>
      </c>
      <c r="I350" s="8">
        <v>1586323</v>
      </c>
      <c r="K350" s="8">
        <v>31277</v>
      </c>
      <c r="M350" s="8">
        <f t="shared" si="18"/>
        <v>2631334</v>
      </c>
      <c r="O350" s="8">
        <v>11805038</v>
      </c>
      <c r="Q350" s="8">
        <v>0</v>
      </c>
      <c r="S350" s="8">
        <v>13060418</v>
      </c>
      <c r="U350" s="8">
        <v>786782</v>
      </c>
      <c r="W350" s="8">
        <v>0</v>
      </c>
      <c r="Y350" s="8">
        <v>0</v>
      </c>
      <c r="AA350" s="8">
        <v>353464</v>
      </c>
      <c r="AB350" s="39"/>
      <c r="AC350" s="8">
        <v>-16298</v>
      </c>
      <c r="AE350" s="8">
        <v>0</v>
      </c>
      <c r="AG350" s="8">
        <f t="shared" si="19"/>
        <v>25989404</v>
      </c>
      <c r="AH350" s="8"/>
      <c r="AI350" s="8">
        <f t="shared" si="20"/>
        <v>28620738</v>
      </c>
    </row>
    <row r="351" spans="1:41" ht="12" hidden="1" customHeight="1">
      <c r="A351" s="12" t="s">
        <v>642</v>
      </c>
      <c r="B351" s="12"/>
      <c r="C351" s="12" t="s">
        <v>60</v>
      </c>
      <c r="D351" s="12"/>
      <c r="E351" s="32">
        <v>49718</v>
      </c>
      <c r="M351" s="8">
        <f t="shared" si="18"/>
        <v>0</v>
      </c>
      <c r="W351" s="8">
        <v>0</v>
      </c>
      <c r="Y351" s="8">
        <v>0</v>
      </c>
      <c r="AA351" s="8">
        <v>0</v>
      </c>
      <c r="AB351" s="39"/>
      <c r="AC351" s="8">
        <v>0</v>
      </c>
      <c r="AE351" s="8">
        <v>0</v>
      </c>
      <c r="AG351" s="8">
        <f t="shared" si="19"/>
        <v>0</v>
      </c>
      <c r="AH351" s="8"/>
      <c r="AI351" s="8">
        <f t="shared" si="20"/>
        <v>0</v>
      </c>
    </row>
    <row r="352" spans="1:41" ht="12" customHeight="1">
      <c r="A352" s="12" t="s">
        <v>484</v>
      </c>
      <c r="B352" s="12"/>
      <c r="C352" s="12" t="s">
        <v>42</v>
      </c>
      <c r="D352" s="12"/>
      <c r="E352" s="32">
        <v>44453</v>
      </c>
      <c r="G352" s="8">
        <v>2384763</v>
      </c>
      <c r="I352" s="8">
        <v>12507193</v>
      </c>
      <c r="K352" s="8">
        <v>125564</v>
      </c>
      <c r="M352" s="8">
        <f t="shared" si="18"/>
        <v>15017520</v>
      </c>
      <c r="O352" s="8">
        <f>15244558+4432573+1463426</f>
        <v>21140557</v>
      </c>
      <c r="Q352" s="8">
        <v>8297755</v>
      </c>
      <c r="S352" s="8">
        <v>23464963</v>
      </c>
      <c r="U352" s="8">
        <v>1911762</v>
      </c>
      <c r="W352" s="8">
        <v>0</v>
      </c>
      <c r="Y352" s="8">
        <v>0</v>
      </c>
      <c r="AA352" s="8">
        <v>551039</v>
      </c>
      <c r="AB352" s="39"/>
      <c r="AC352" s="8">
        <v>0</v>
      </c>
      <c r="AE352" s="8">
        <v>0</v>
      </c>
      <c r="AG352" s="8">
        <f t="shared" si="19"/>
        <v>55366076</v>
      </c>
      <c r="AH352" s="8"/>
      <c r="AI352" s="8">
        <f t="shared" si="20"/>
        <v>70383596</v>
      </c>
    </row>
    <row r="353" spans="1:35" ht="12" customHeight="1">
      <c r="A353" s="12" t="s">
        <v>386</v>
      </c>
      <c r="B353" s="12"/>
      <c r="C353" s="12" t="s">
        <v>30</v>
      </c>
      <c r="D353" s="12"/>
      <c r="E353" s="32">
        <v>47217</v>
      </c>
      <c r="G353" s="8">
        <v>476743</v>
      </c>
      <c r="I353" s="8">
        <v>548593</v>
      </c>
      <c r="K353" s="8">
        <v>4672</v>
      </c>
      <c r="M353" s="8">
        <f t="shared" si="18"/>
        <v>1030008</v>
      </c>
      <c r="O353" s="8">
        <f>3963103+81274+113376</f>
        <v>4157753</v>
      </c>
      <c r="Q353" s="8">
        <v>0</v>
      </c>
      <c r="S353" s="8">
        <v>1875813</v>
      </c>
      <c r="U353" s="8">
        <v>85486</v>
      </c>
      <c r="W353" s="8">
        <v>0</v>
      </c>
      <c r="Y353" s="8">
        <v>0</v>
      </c>
      <c r="AA353" s="8">
        <v>79517</v>
      </c>
      <c r="AB353" s="39"/>
      <c r="AC353" s="8">
        <v>0</v>
      </c>
      <c r="AE353" s="8">
        <v>0</v>
      </c>
      <c r="AG353" s="8">
        <f t="shared" si="19"/>
        <v>6198569</v>
      </c>
      <c r="AH353" s="8"/>
      <c r="AI353" s="8">
        <f t="shared" si="20"/>
        <v>7228577</v>
      </c>
    </row>
    <row r="354" spans="1:35" ht="12" customHeight="1">
      <c r="A354" s="12" t="s">
        <v>704</v>
      </c>
      <c r="B354" s="12"/>
      <c r="C354" s="12" t="s">
        <v>65</v>
      </c>
      <c r="D354" s="12"/>
      <c r="E354" s="32">
        <v>45542</v>
      </c>
      <c r="G354" s="8">
        <v>1199454</v>
      </c>
      <c r="I354" s="8">
        <v>2418646</v>
      </c>
      <c r="K354" s="8">
        <v>5162</v>
      </c>
      <c r="M354" s="8">
        <f t="shared" si="18"/>
        <v>3623262</v>
      </c>
      <c r="O354" s="8">
        <f>2497537+31504+219993+8264</f>
        <v>2757298</v>
      </c>
      <c r="Q354" s="8">
        <v>0</v>
      </c>
      <c r="S354" s="8">
        <v>5359309</v>
      </c>
      <c r="U354" s="8">
        <v>95545</v>
      </c>
      <c r="W354" s="8">
        <v>0</v>
      </c>
      <c r="Y354" s="8">
        <v>0</v>
      </c>
      <c r="AA354" s="8">
        <v>89567</v>
      </c>
      <c r="AB354" s="39"/>
      <c r="AC354" s="8">
        <v>0</v>
      </c>
      <c r="AE354" s="8">
        <v>0</v>
      </c>
      <c r="AG354" s="8">
        <f t="shared" si="19"/>
        <v>8301719</v>
      </c>
      <c r="AH354" s="8"/>
      <c r="AI354" s="8">
        <f t="shared" si="20"/>
        <v>11924981</v>
      </c>
    </row>
    <row r="355" spans="1:35" ht="12" customHeight="1">
      <c r="A355" s="12" t="s">
        <v>695</v>
      </c>
      <c r="B355" s="12"/>
      <c r="C355" s="12" t="s">
        <v>64</v>
      </c>
      <c r="D355" s="12"/>
      <c r="E355" s="32">
        <v>45567</v>
      </c>
      <c r="G355" s="8">
        <v>760089</v>
      </c>
      <c r="I355" s="8">
        <v>1098400</v>
      </c>
      <c r="K355" s="8">
        <v>7005</v>
      </c>
      <c r="M355" s="8">
        <f t="shared" si="18"/>
        <v>1865494</v>
      </c>
      <c r="O355" s="8">
        <f>2764186+855057+91745</f>
        <v>3710988</v>
      </c>
      <c r="Q355" s="8">
        <v>0</v>
      </c>
      <c r="S355" s="8">
        <v>7448155</v>
      </c>
      <c r="U355" s="8">
        <v>115695</v>
      </c>
      <c r="W355" s="8">
        <v>0</v>
      </c>
      <c r="Y355" s="8">
        <v>0</v>
      </c>
      <c r="AA355" s="8">
        <v>295108</v>
      </c>
      <c r="AB355" s="39"/>
      <c r="AC355" s="8">
        <v>0</v>
      </c>
      <c r="AE355" s="8">
        <v>0</v>
      </c>
      <c r="AG355" s="8">
        <f t="shared" si="19"/>
        <v>11569946</v>
      </c>
      <c r="AH355" s="8"/>
      <c r="AI355" s="8">
        <f t="shared" si="20"/>
        <v>13435440</v>
      </c>
    </row>
    <row r="356" spans="1:35" ht="12" customHeight="1">
      <c r="A356" s="12" t="s">
        <v>547</v>
      </c>
      <c r="B356" s="12"/>
      <c r="C356" s="12" t="s">
        <v>48</v>
      </c>
      <c r="D356" s="12"/>
      <c r="E356" s="32">
        <v>48637</v>
      </c>
      <c r="G356" s="8">
        <v>522898</v>
      </c>
      <c r="I356" s="8">
        <v>585310</v>
      </c>
      <c r="K356" s="8">
        <v>164104</v>
      </c>
      <c r="M356" s="8">
        <f t="shared" si="18"/>
        <v>1272312</v>
      </c>
      <c r="O356" s="8">
        <f>1033435+381141+53091</f>
        <v>1467667</v>
      </c>
      <c r="Q356" s="8">
        <v>1173260</v>
      </c>
      <c r="S356" s="8">
        <f>2396172+11005787</f>
        <v>13401959</v>
      </c>
      <c r="U356" s="8">
        <v>89839</v>
      </c>
      <c r="W356" s="8">
        <v>0</v>
      </c>
      <c r="Y356" s="8">
        <v>0</v>
      </c>
      <c r="AA356" s="8">
        <v>2497</v>
      </c>
      <c r="AB356" s="39"/>
      <c r="AC356" s="8">
        <v>0</v>
      </c>
      <c r="AE356" s="8">
        <v>0</v>
      </c>
      <c r="AG356" s="8">
        <f t="shared" si="19"/>
        <v>16135222</v>
      </c>
      <c r="AH356" s="8"/>
      <c r="AI356" s="8">
        <f t="shared" si="20"/>
        <v>17407534</v>
      </c>
    </row>
    <row r="357" spans="1:35" ht="12" customHeight="1">
      <c r="A357" s="12" t="s">
        <v>836</v>
      </c>
      <c r="B357" s="12"/>
      <c r="C357" s="12" t="s">
        <v>64</v>
      </c>
      <c r="D357" s="12"/>
      <c r="E357" s="32"/>
      <c r="G357" s="8">
        <v>1429507</v>
      </c>
      <c r="I357" s="8">
        <v>4611742</v>
      </c>
      <c r="K357" s="8">
        <v>32323</v>
      </c>
      <c r="M357" s="8">
        <f t="shared" si="18"/>
        <v>6073572</v>
      </c>
      <c r="O357" s="8">
        <f>7917108+107783+425445</f>
        <v>8450336</v>
      </c>
      <c r="Q357" s="8">
        <v>0</v>
      </c>
      <c r="S357" s="8">
        <v>12354390</v>
      </c>
      <c r="U357" s="8">
        <v>223384</v>
      </c>
      <c r="W357" s="8">
        <v>0</v>
      </c>
      <c r="Y357" s="8">
        <v>0</v>
      </c>
      <c r="AA357" s="8">
        <v>667911</v>
      </c>
      <c r="AB357" s="39"/>
      <c r="AC357" s="8">
        <v>0</v>
      </c>
      <c r="AE357" s="8">
        <v>0</v>
      </c>
      <c r="AG357" s="8">
        <f t="shared" si="19"/>
        <v>21696021</v>
      </c>
      <c r="AH357" s="8"/>
      <c r="AI357" s="8">
        <f t="shared" si="20"/>
        <v>27769593</v>
      </c>
    </row>
    <row r="358" spans="1:35" ht="12" customHeight="1">
      <c r="A358" s="12" t="s">
        <v>578</v>
      </c>
      <c r="B358" s="12"/>
      <c r="C358" s="12" t="s">
        <v>52</v>
      </c>
      <c r="D358" s="12"/>
      <c r="E358" s="32">
        <v>48900</v>
      </c>
      <c r="G358" s="8">
        <v>1126552</v>
      </c>
      <c r="I358" s="8">
        <v>1065847</v>
      </c>
      <c r="K358" s="8">
        <v>19071</v>
      </c>
      <c r="M358" s="8">
        <f t="shared" si="18"/>
        <v>2211470</v>
      </c>
      <c r="O358" s="8">
        <v>2261610</v>
      </c>
      <c r="Q358" s="8">
        <v>0</v>
      </c>
      <c r="S358" s="8">
        <v>5504221</v>
      </c>
      <c r="U358" s="8">
        <v>93728</v>
      </c>
      <c r="W358" s="8">
        <v>0</v>
      </c>
      <c r="Y358" s="8">
        <v>0</v>
      </c>
      <c r="AA358" s="8">
        <f>3525+90945</f>
        <v>94470</v>
      </c>
      <c r="AB358" s="39"/>
      <c r="AC358" s="8">
        <v>0</v>
      </c>
      <c r="AE358" s="8">
        <v>0</v>
      </c>
      <c r="AG358" s="8">
        <f t="shared" si="19"/>
        <v>7954029</v>
      </c>
      <c r="AH358" s="8"/>
      <c r="AI358" s="8">
        <f t="shared" si="20"/>
        <v>10165499</v>
      </c>
    </row>
    <row r="359" spans="1:35" ht="12" customHeight="1">
      <c r="A359" s="12" t="s">
        <v>673</v>
      </c>
      <c r="B359" s="12"/>
      <c r="C359" s="12" t="s">
        <v>63</v>
      </c>
      <c r="D359" s="12"/>
      <c r="E359" s="32">
        <v>50047</v>
      </c>
      <c r="G359" s="8">
        <v>1749531</v>
      </c>
      <c r="I359" s="8">
        <v>2146191</v>
      </c>
      <c r="K359" s="8">
        <v>39274</v>
      </c>
      <c r="M359" s="8">
        <f t="shared" si="18"/>
        <v>3934996</v>
      </c>
      <c r="O359" s="8">
        <f>27085576+2657346+659559</f>
        <v>30402481</v>
      </c>
      <c r="Q359" s="8">
        <v>0</v>
      </c>
      <c r="S359" s="8">
        <v>9711340</v>
      </c>
      <c r="U359" s="8">
        <v>959633</v>
      </c>
      <c r="W359" s="8">
        <v>0</v>
      </c>
      <c r="Y359" s="8">
        <v>0</v>
      </c>
      <c r="AA359" s="8">
        <v>39286</v>
      </c>
      <c r="AB359" s="39"/>
      <c r="AC359" s="8">
        <v>0</v>
      </c>
      <c r="AE359" s="8">
        <v>0</v>
      </c>
      <c r="AG359" s="8">
        <f t="shared" si="19"/>
        <v>41112740</v>
      </c>
      <c r="AH359" s="8"/>
      <c r="AI359" s="8">
        <f t="shared" si="20"/>
        <v>45047736</v>
      </c>
    </row>
    <row r="360" spans="1:35" ht="12" customHeight="1">
      <c r="A360" s="12" t="s">
        <v>741</v>
      </c>
      <c r="B360" s="12"/>
      <c r="C360" s="12" t="s">
        <v>72</v>
      </c>
      <c r="D360" s="12"/>
      <c r="E360" s="32">
        <v>50708</v>
      </c>
      <c r="G360" s="8">
        <v>394919</v>
      </c>
      <c r="I360" s="8">
        <v>616722</v>
      </c>
      <c r="K360" s="8">
        <v>3111</v>
      </c>
      <c r="M360" s="8">
        <f t="shared" si="18"/>
        <v>1014752</v>
      </c>
      <c r="O360" s="8">
        <f>2177833+233816+99640</f>
        <v>2511289</v>
      </c>
      <c r="Q360" s="8">
        <v>163820</v>
      </c>
      <c r="S360" s="8">
        <v>3951643</v>
      </c>
      <c r="U360" s="8">
        <v>95074</v>
      </c>
      <c r="W360" s="8">
        <v>0</v>
      </c>
      <c r="Y360" s="8">
        <v>0</v>
      </c>
      <c r="AA360" s="8">
        <v>112922</v>
      </c>
      <c r="AB360" s="39"/>
      <c r="AC360" s="8">
        <v>0</v>
      </c>
      <c r="AE360" s="8">
        <v>0</v>
      </c>
      <c r="AG360" s="8">
        <f t="shared" si="19"/>
        <v>6834748</v>
      </c>
      <c r="AH360" s="8"/>
      <c r="AI360" s="8">
        <f t="shared" si="20"/>
        <v>7849500</v>
      </c>
    </row>
    <row r="361" spans="1:35" ht="12" hidden="1" customHeight="1">
      <c r="A361" s="12" t="s">
        <v>581</v>
      </c>
      <c r="B361" s="12"/>
      <c r="C361" s="12" t="s">
        <v>53</v>
      </c>
      <c r="D361" s="12"/>
      <c r="E361" s="32">
        <v>48967</v>
      </c>
      <c r="M361" s="8">
        <f t="shared" si="18"/>
        <v>0</v>
      </c>
      <c r="Q361" s="8">
        <v>0</v>
      </c>
      <c r="W361" s="8">
        <v>0</v>
      </c>
      <c r="Y361" s="8">
        <v>0</v>
      </c>
      <c r="AA361" s="8">
        <v>0</v>
      </c>
      <c r="AB361" s="39"/>
      <c r="AC361" s="8">
        <v>0</v>
      </c>
      <c r="AE361" s="8">
        <v>0</v>
      </c>
      <c r="AG361" s="8">
        <f t="shared" si="19"/>
        <v>0</v>
      </c>
      <c r="AH361" s="8"/>
      <c r="AI361" s="8">
        <f t="shared" si="20"/>
        <v>0</v>
      </c>
    </row>
    <row r="362" spans="1:35" ht="12" customHeight="1">
      <c r="A362" s="12" t="s">
        <v>663</v>
      </c>
      <c r="B362" s="12"/>
      <c r="C362" s="12" t="s">
        <v>62</v>
      </c>
      <c r="D362" s="12"/>
      <c r="E362" s="32">
        <v>44503</v>
      </c>
      <c r="G362" s="8">
        <v>2860190</v>
      </c>
      <c r="I362" s="8">
        <v>3357874</v>
      </c>
      <c r="K362" s="8">
        <v>21262</v>
      </c>
      <c r="M362" s="8">
        <f t="shared" si="18"/>
        <v>6239326</v>
      </c>
      <c r="O362" s="8">
        <f>21744216+2205783</f>
        <v>23949999</v>
      </c>
      <c r="Q362" s="8">
        <v>0</v>
      </c>
      <c r="S362" s="8">
        <v>16482162</v>
      </c>
      <c r="U362" s="8">
        <v>297417</v>
      </c>
      <c r="W362" s="8">
        <v>0</v>
      </c>
      <c r="Y362" s="8">
        <v>0</v>
      </c>
      <c r="AA362" s="8">
        <v>285596</v>
      </c>
      <c r="AB362" s="39"/>
      <c r="AC362" s="8">
        <v>0</v>
      </c>
      <c r="AE362" s="8">
        <v>0</v>
      </c>
      <c r="AG362" s="8">
        <f t="shared" si="19"/>
        <v>41015174</v>
      </c>
      <c r="AH362" s="8"/>
      <c r="AI362" s="8">
        <f t="shared" si="20"/>
        <v>47254500</v>
      </c>
    </row>
    <row r="363" spans="1:35" ht="12" hidden="1" customHeight="1">
      <c r="A363" s="12" t="s">
        <v>728</v>
      </c>
      <c r="B363" s="12"/>
      <c r="C363" s="12" t="s">
        <v>733</v>
      </c>
      <c r="D363" s="12"/>
      <c r="E363" s="32">
        <v>50641</v>
      </c>
      <c r="M363" s="8">
        <f t="shared" si="18"/>
        <v>0</v>
      </c>
      <c r="Q363" s="8">
        <v>0</v>
      </c>
      <c r="W363" s="8">
        <v>0</v>
      </c>
      <c r="Y363" s="8">
        <v>0</v>
      </c>
      <c r="AA363" s="8">
        <v>0</v>
      </c>
      <c r="AB363" s="39"/>
      <c r="AC363" s="8">
        <v>0</v>
      </c>
      <c r="AE363" s="8">
        <v>0</v>
      </c>
      <c r="AG363" s="8">
        <f t="shared" si="19"/>
        <v>0</v>
      </c>
      <c r="AH363" s="8"/>
      <c r="AI363" s="8">
        <f t="shared" si="20"/>
        <v>0</v>
      </c>
    </row>
    <row r="364" spans="1:35" ht="12" hidden="1" customHeight="1">
      <c r="A364" s="12" t="s">
        <v>406</v>
      </c>
      <c r="B364" s="12"/>
      <c r="C364" s="12" t="s">
        <v>32</v>
      </c>
      <c r="D364" s="12"/>
      <c r="E364" s="32">
        <v>44511</v>
      </c>
      <c r="M364" s="8">
        <f t="shared" si="18"/>
        <v>0</v>
      </c>
      <c r="Q364" s="8">
        <v>0</v>
      </c>
      <c r="W364" s="8">
        <v>0</v>
      </c>
      <c r="Y364" s="8">
        <v>0</v>
      </c>
      <c r="AA364" s="8">
        <v>0</v>
      </c>
      <c r="AB364" s="39"/>
      <c r="AC364" s="8">
        <v>0</v>
      </c>
      <c r="AE364" s="8">
        <v>0</v>
      </c>
      <c r="AG364" s="8">
        <f t="shared" si="19"/>
        <v>0</v>
      </c>
      <c r="AH364" s="8"/>
      <c r="AI364" s="8">
        <f t="shared" si="20"/>
        <v>0</v>
      </c>
    </row>
    <row r="365" spans="1:35" ht="12" customHeight="1">
      <c r="A365" s="12" t="s">
        <v>485</v>
      </c>
      <c r="B365" s="12"/>
      <c r="C365" s="12" t="s">
        <v>42</v>
      </c>
      <c r="D365" s="12"/>
      <c r="E365" s="32">
        <v>48025</v>
      </c>
      <c r="G365" s="8">
        <v>1316102</v>
      </c>
      <c r="I365" s="8">
        <v>1676101</v>
      </c>
      <c r="K365" s="8">
        <v>13302</v>
      </c>
      <c r="M365" s="8">
        <f t="shared" si="18"/>
        <v>3005505</v>
      </c>
      <c r="O365" s="8">
        <f>3853059+85250+769229+94300</f>
        <v>4801838</v>
      </c>
      <c r="Q365" s="8">
        <v>0</v>
      </c>
      <c r="S365" s="8">
        <v>8689810</v>
      </c>
      <c r="U365" s="8">
        <v>394745</v>
      </c>
      <c r="W365" s="8">
        <v>0</v>
      </c>
      <c r="Y365" s="8">
        <v>0</v>
      </c>
      <c r="AA365" s="8">
        <v>215650</v>
      </c>
      <c r="AB365" s="39"/>
      <c r="AC365" s="8">
        <v>0</v>
      </c>
      <c r="AE365" s="8">
        <v>0</v>
      </c>
      <c r="AG365" s="8">
        <f t="shared" si="19"/>
        <v>14102043</v>
      </c>
      <c r="AH365" s="8"/>
      <c r="AI365" s="8">
        <f t="shared" si="20"/>
        <v>17107548</v>
      </c>
    </row>
    <row r="366" spans="1:35" ht="12" customHeight="1">
      <c r="A366" s="12" t="s">
        <v>317</v>
      </c>
      <c r="B366" s="12"/>
      <c r="C366" s="12" t="s">
        <v>20</v>
      </c>
      <c r="D366" s="12"/>
      <c r="E366" s="32">
        <v>44529</v>
      </c>
      <c r="G366" s="8">
        <v>2361654</v>
      </c>
      <c r="I366" s="8">
        <v>2453717</v>
      </c>
      <c r="K366" s="8">
        <v>83815</v>
      </c>
      <c r="M366" s="8">
        <f t="shared" si="18"/>
        <v>4899186</v>
      </c>
      <c r="O366" s="8">
        <f>34800124+1049604</f>
        <v>35849728</v>
      </c>
      <c r="Q366" s="8">
        <v>0</v>
      </c>
      <c r="S366" s="8">
        <v>13223960</v>
      </c>
      <c r="U366" s="8">
        <v>733560</v>
      </c>
      <c r="W366" s="8">
        <v>0</v>
      </c>
      <c r="Y366" s="8">
        <v>0</v>
      </c>
      <c r="AA366" s="8">
        <v>560047</v>
      </c>
      <c r="AB366" s="39"/>
      <c r="AC366" s="8">
        <v>0</v>
      </c>
      <c r="AE366" s="8">
        <v>0</v>
      </c>
      <c r="AG366" s="8">
        <f t="shared" si="19"/>
        <v>50367295</v>
      </c>
      <c r="AH366" s="8"/>
      <c r="AI366" s="8">
        <f t="shared" si="20"/>
        <v>55266481</v>
      </c>
    </row>
    <row r="367" spans="1:35" ht="12" customHeight="1">
      <c r="A367" s="12" t="s">
        <v>498</v>
      </c>
      <c r="B367" s="12"/>
      <c r="C367" s="12" t="s">
        <v>44</v>
      </c>
      <c r="D367" s="12"/>
      <c r="E367" s="32">
        <v>44537</v>
      </c>
      <c r="G367" s="8">
        <v>1637110</v>
      </c>
      <c r="I367" s="8">
        <v>1962965</v>
      </c>
      <c r="K367" s="8">
        <v>0</v>
      </c>
      <c r="M367" s="8">
        <f t="shared" si="18"/>
        <v>3600075</v>
      </c>
      <c r="O367" s="8">
        <f>15331424+260637+592046</f>
        <v>16184107</v>
      </c>
      <c r="Q367" s="8">
        <v>0</v>
      </c>
      <c r="S367" s="8">
        <v>11593096</v>
      </c>
      <c r="U367" s="8">
        <v>425740</v>
      </c>
      <c r="W367" s="8">
        <v>0</v>
      </c>
      <c r="Y367" s="8">
        <v>0</v>
      </c>
      <c r="AA367" s="8">
        <v>881326</v>
      </c>
      <c r="AB367" s="39"/>
      <c r="AC367" s="8">
        <v>0</v>
      </c>
      <c r="AE367" s="8">
        <v>0</v>
      </c>
      <c r="AG367" s="8">
        <f t="shared" si="19"/>
        <v>29084269</v>
      </c>
      <c r="AH367" s="8"/>
      <c r="AI367" s="8">
        <f t="shared" si="20"/>
        <v>32684344</v>
      </c>
    </row>
    <row r="368" spans="1:35" ht="12" customHeight="1">
      <c r="A368" s="12" t="s">
        <v>318</v>
      </c>
      <c r="B368" s="12"/>
      <c r="C368" s="12" t="s">
        <v>20</v>
      </c>
      <c r="D368" s="12"/>
      <c r="E368" s="32">
        <v>44545</v>
      </c>
      <c r="G368" s="8">
        <v>1902709</v>
      </c>
      <c r="I368" s="8">
        <v>2160289</v>
      </c>
      <c r="K368" s="8">
        <v>75317</v>
      </c>
      <c r="M368" s="8">
        <f t="shared" si="18"/>
        <v>4138315</v>
      </c>
      <c r="O368" s="8">
        <f>31273337+2558605+998619</f>
        <v>34830561</v>
      </c>
      <c r="Q368" s="8">
        <v>0</v>
      </c>
      <c r="S368" s="8">
        <v>10435570</v>
      </c>
      <c r="U368" s="8">
        <v>814931</v>
      </c>
      <c r="W368" s="8">
        <v>0</v>
      </c>
      <c r="Y368" s="8">
        <v>0</v>
      </c>
      <c r="AA368" s="8">
        <f>358462+179473</f>
        <v>537935</v>
      </c>
      <c r="AB368" s="39"/>
      <c r="AC368" s="8">
        <v>0</v>
      </c>
      <c r="AE368" s="8">
        <v>0</v>
      </c>
      <c r="AG368" s="8">
        <f t="shared" si="19"/>
        <v>46618997</v>
      </c>
      <c r="AH368" s="8"/>
      <c r="AI368" s="8">
        <f t="shared" si="20"/>
        <v>50757312</v>
      </c>
    </row>
    <row r="369" spans="1:35" ht="12" customHeight="1">
      <c r="A369" s="12" t="s">
        <v>709</v>
      </c>
      <c r="B369" s="12"/>
      <c r="C369" s="12" t="s">
        <v>66</v>
      </c>
      <c r="D369" s="12"/>
      <c r="E369" s="32">
        <v>50336</v>
      </c>
      <c r="G369" s="8">
        <v>858263</v>
      </c>
      <c r="I369" s="8">
        <v>1531166</v>
      </c>
      <c r="K369" s="8">
        <v>20995</v>
      </c>
      <c r="M369" s="8">
        <f t="shared" si="18"/>
        <v>2410424</v>
      </c>
      <c r="O369" s="8">
        <f>3393180+56716+907130+127720</f>
        <v>4484746</v>
      </c>
      <c r="Q369" s="8">
        <v>1617906</v>
      </c>
      <c r="S369" s="8">
        <v>7464345</v>
      </c>
      <c r="U369" s="8">
        <v>880161</v>
      </c>
      <c r="W369" s="8">
        <v>0</v>
      </c>
      <c r="Y369" s="8">
        <v>0</v>
      </c>
      <c r="AA369" s="8">
        <v>101300</v>
      </c>
      <c r="AB369" s="39"/>
      <c r="AC369" s="8">
        <v>0</v>
      </c>
      <c r="AE369" s="8">
        <v>0</v>
      </c>
      <c r="AG369" s="8">
        <f t="shared" si="19"/>
        <v>14548458</v>
      </c>
      <c r="AH369" s="8"/>
      <c r="AI369" s="8">
        <f t="shared" si="20"/>
        <v>16958882</v>
      </c>
    </row>
    <row r="370" spans="1:35" ht="12" customHeight="1">
      <c r="A370" s="12" t="s">
        <v>266</v>
      </c>
      <c r="B370" s="12"/>
      <c r="C370" s="12" t="s">
        <v>17</v>
      </c>
      <c r="D370" s="12"/>
      <c r="E370" s="32">
        <v>46250</v>
      </c>
      <c r="F370" s="7"/>
      <c r="G370" s="8">
        <v>2847177</v>
      </c>
      <c r="I370" s="8">
        <v>2003784</v>
      </c>
      <c r="K370" s="8">
        <v>0</v>
      </c>
      <c r="M370" s="8">
        <f t="shared" si="18"/>
        <v>4850961</v>
      </c>
      <c r="O370" s="8">
        <v>10870644</v>
      </c>
      <c r="Q370" s="8">
        <v>0</v>
      </c>
      <c r="S370" s="8">
        <v>15238878</v>
      </c>
      <c r="U370" s="8">
        <v>410745</v>
      </c>
      <c r="W370" s="8">
        <v>0</v>
      </c>
      <c r="Y370" s="8">
        <v>35038</v>
      </c>
      <c r="AA370" s="8">
        <v>30495</v>
      </c>
      <c r="AB370" s="39"/>
      <c r="AC370" s="8">
        <v>0</v>
      </c>
      <c r="AE370" s="8">
        <f>980+1025+775+13852</f>
        <v>16632</v>
      </c>
      <c r="AG370" s="8">
        <f t="shared" si="19"/>
        <v>26602432</v>
      </c>
      <c r="AH370" s="8"/>
      <c r="AI370" s="8">
        <f t="shared" si="20"/>
        <v>31453393</v>
      </c>
    </row>
    <row r="371" spans="1:35" ht="12" hidden="1" customHeight="1">
      <c r="A371" s="12" t="s">
        <v>266</v>
      </c>
      <c r="B371" s="12"/>
      <c r="C371" s="12" t="s">
        <v>22</v>
      </c>
      <c r="D371" s="12"/>
      <c r="E371" s="32">
        <v>46722</v>
      </c>
      <c r="M371" s="8">
        <f t="shared" si="18"/>
        <v>0</v>
      </c>
      <c r="W371" s="8">
        <v>0</v>
      </c>
      <c r="Y371" s="8">
        <v>0</v>
      </c>
      <c r="AB371" s="39"/>
      <c r="AC371" s="8">
        <v>0</v>
      </c>
      <c r="AE371" s="8">
        <v>0</v>
      </c>
      <c r="AG371" s="8">
        <f t="shared" si="19"/>
        <v>0</v>
      </c>
      <c r="AH371" s="8"/>
      <c r="AI371" s="8">
        <f t="shared" si="20"/>
        <v>0</v>
      </c>
    </row>
    <row r="372" spans="1:35" ht="12" customHeight="1">
      <c r="A372" s="12" t="s">
        <v>561</v>
      </c>
      <c r="B372" s="12"/>
      <c r="C372" s="12" t="s">
        <v>50</v>
      </c>
      <c r="D372" s="12"/>
      <c r="E372" s="32">
        <v>48728</v>
      </c>
      <c r="G372" s="8">
        <v>4235077</v>
      </c>
      <c r="I372" s="8">
        <v>4416809</v>
      </c>
      <c r="K372" s="8">
        <v>21141</v>
      </c>
      <c r="M372" s="8">
        <f t="shared" si="18"/>
        <v>8673027</v>
      </c>
      <c r="O372" s="8">
        <f>22584877+220592</f>
        <v>22805469</v>
      </c>
      <c r="Q372" s="8">
        <v>0</v>
      </c>
      <c r="S372" s="8">
        <v>22889221</v>
      </c>
      <c r="U372" s="8">
        <v>443539</v>
      </c>
      <c r="W372" s="8">
        <v>0</v>
      </c>
      <c r="Y372" s="8">
        <v>0</v>
      </c>
      <c r="AA372" s="8">
        <v>378567</v>
      </c>
      <c r="AB372" s="39"/>
      <c r="AC372" s="8">
        <v>0</v>
      </c>
      <c r="AE372" s="8">
        <v>0</v>
      </c>
      <c r="AG372" s="8">
        <f t="shared" si="19"/>
        <v>46516796</v>
      </c>
      <c r="AH372" s="8"/>
      <c r="AI372" s="8">
        <f t="shared" si="20"/>
        <v>55189823</v>
      </c>
    </row>
    <row r="373" spans="1:35" ht="12" customHeight="1">
      <c r="A373" s="12" t="s">
        <v>570</v>
      </c>
      <c r="B373" s="12"/>
      <c r="C373" s="12" t="s">
        <v>78</v>
      </c>
      <c r="D373" s="12"/>
      <c r="E373" s="32">
        <v>48819</v>
      </c>
      <c r="G373" s="8">
        <v>1057067</v>
      </c>
      <c r="I373" s="8">
        <v>1334993</v>
      </c>
      <c r="K373" s="8">
        <v>9247</v>
      </c>
      <c r="M373" s="8">
        <f t="shared" si="18"/>
        <v>2401307</v>
      </c>
      <c r="O373" s="8">
        <v>3302319</v>
      </c>
      <c r="Q373" s="8">
        <v>1615567</v>
      </c>
      <c r="S373" s="8">
        <v>5019109</v>
      </c>
      <c r="U373" s="8">
        <v>101573</v>
      </c>
      <c r="W373" s="8">
        <v>0</v>
      </c>
      <c r="Y373" s="8">
        <v>0</v>
      </c>
      <c r="AA373" s="8">
        <v>13867</v>
      </c>
      <c r="AB373" s="39"/>
      <c r="AC373" s="8">
        <v>0</v>
      </c>
      <c r="AE373" s="8">
        <v>0</v>
      </c>
      <c r="AG373" s="8">
        <f t="shared" si="19"/>
        <v>10052435</v>
      </c>
      <c r="AH373" s="8"/>
      <c r="AI373" s="8">
        <f t="shared" si="20"/>
        <v>12453742</v>
      </c>
    </row>
    <row r="374" spans="1:35" ht="12" customHeight="1">
      <c r="A374" s="12" t="s">
        <v>486</v>
      </c>
      <c r="B374" s="12"/>
      <c r="C374" s="12" t="s">
        <v>50</v>
      </c>
      <c r="D374" s="12"/>
      <c r="E374" s="32">
        <v>48033</v>
      </c>
      <c r="G374" s="8">
        <v>619557</v>
      </c>
      <c r="I374" s="8">
        <v>4648554</v>
      </c>
      <c r="K374" s="8">
        <v>19758</v>
      </c>
      <c r="M374" s="8">
        <f t="shared" si="18"/>
        <v>5287869</v>
      </c>
      <c r="O374" s="8">
        <f>8488404+416821</f>
        <v>8905225</v>
      </c>
      <c r="Q374" s="8">
        <v>0</v>
      </c>
      <c r="S374" s="8">
        <v>7672622</v>
      </c>
      <c r="U374" s="8">
        <v>365691</v>
      </c>
      <c r="W374" s="8">
        <v>0</v>
      </c>
      <c r="Y374" s="8">
        <v>0</v>
      </c>
      <c r="AA374" s="8">
        <v>0</v>
      </c>
      <c r="AB374" s="39"/>
      <c r="AC374" s="8">
        <v>0</v>
      </c>
      <c r="AE374" s="8">
        <v>41942</v>
      </c>
      <c r="AG374" s="8">
        <f t="shared" si="19"/>
        <v>16985480</v>
      </c>
      <c r="AH374" s="8"/>
      <c r="AI374" s="8">
        <f t="shared" si="20"/>
        <v>22273349</v>
      </c>
    </row>
    <row r="375" spans="1:35" ht="12" customHeight="1">
      <c r="A375" s="12" t="s">
        <v>486</v>
      </c>
      <c r="B375" s="12"/>
      <c r="C375" s="12" t="s">
        <v>42</v>
      </c>
      <c r="D375" s="12"/>
      <c r="E375" s="32">
        <v>48736</v>
      </c>
      <c r="G375" s="8">
        <v>1080461</v>
      </c>
      <c r="I375" s="8">
        <v>1101870</v>
      </c>
      <c r="K375" s="8">
        <v>18202</v>
      </c>
      <c r="M375" s="8">
        <f t="shared" si="18"/>
        <v>2200533</v>
      </c>
      <c r="O375" s="8">
        <f>3824334+799382+78188</f>
        <v>4701904</v>
      </c>
      <c r="Q375" s="8">
        <v>1927526</v>
      </c>
      <c r="S375" s="8">
        <v>4890466</v>
      </c>
      <c r="U375" s="8">
        <v>68302</v>
      </c>
      <c r="W375" s="8">
        <v>0</v>
      </c>
      <c r="Y375" s="8">
        <v>0</v>
      </c>
      <c r="AA375" s="8">
        <v>6884</v>
      </c>
      <c r="AB375" s="39"/>
      <c r="AC375" s="8">
        <v>0</v>
      </c>
      <c r="AE375" s="8">
        <v>0</v>
      </c>
      <c r="AG375" s="8">
        <f t="shared" si="19"/>
        <v>11595082</v>
      </c>
      <c r="AH375" s="8"/>
      <c r="AI375" s="8">
        <f t="shared" si="20"/>
        <v>13795615</v>
      </c>
    </row>
    <row r="376" spans="1:35" ht="12" customHeight="1">
      <c r="A376" s="12" t="s">
        <v>407</v>
      </c>
      <c r="B376" s="12"/>
      <c r="C376" s="12" t="s">
        <v>32</v>
      </c>
      <c r="D376" s="12"/>
      <c r="E376" s="32">
        <v>47365</v>
      </c>
      <c r="G376" s="8">
        <v>4544544</v>
      </c>
      <c r="I376" s="8">
        <v>10087921</v>
      </c>
      <c r="K376" s="8">
        <v>193001</v>
      </c>
      <c r="M376" s="8">
        <f t="shared" si="18"/>
        <v>14825466</v>
      </c>
      <c r="O376" s="8">
        <f>43685645+1475539</f>
        <v>45161184</v>
      </c>
      <c r="Q376" s="8">
        <v>0</v>
      </c>
      <c r="S376" s="8">
        <v>33156736</v>
      </c>
      <c r="U376" s="8">
        <v>923168</v>
      </c>
      <c r="W376" s="8">
        <v>2541812</v>
      </c>
      <c r="Y376" s="8">
        <v>206874</v>
      </c>
      <c r="AA376" s="8">
        <f>10900+253666</f>
        <v>264566</v>
      </c>
      <c r="AB376" s="39"/>
      <c r="AC376" s="8">
        <v>0</v>
      </c>
      <c r="AE376" s="8">
        <v>0</v>
      </c>
      <c r="AG376" s="8">
        <f t="shared" si="19"/>
        <v>82254340</v>
      </c>
      <c r="AH376" s="8"/>
      <c r="AI376" s="8">
        <f t="shared" si="20"/>
        <v>97079806</v>
      </c>
    </row>
    <row r="377" spans="1:35" ht="12" customHeight="1">
      <c r="A377" s="12" t="s">
        <v>407</v>
      </c>
      <c r="B377" s="12"/>
      <c r="C377" s="12" t="s">
        <v>59</v>
      </c>
      <c r="D377" s="12"/>
      <c r="E377" s="32">
        <v>49635</v>
      </c>
      <c r="G377" s="8">
        <v>586494</v>
      </c>
      <c r="I377" s="8">
        <v>4734160</v>
      </c>
      <c r="K377" s="8">
        <v>0</v>
      </c>
      <c r="M377" s="8">
        <f t="shared" si="18"/>
        <v>5320654</v>
      </c>
      <c r="O377" s="8">
        <f>1703771+34361+346634</f>
        <v>2084766</v>
      </c>
      <c r="Q377" s="8">
        <v>0</v>
      </c>
      <c r="S377" s="8">
        <f>9907362+126215</f>
        <v>10033577</v>
      </c>
      <c r="U377" s="8">
        <v>217021</v>
      </c>
      <c r="W377" s="8">
        <v>0</v>
      </c>
      <c r="Y377" s="8">
        <v>2147</v>
      </c>
      <c r="AA377" s="8">
        <v>6444</v>
      </c>
      <c r="AB377" s="39"/>
      <c r="AC377" s="8">
        <v>0</v>
      </c>
      <c r="AE377" s="8">
        <v>0</v>
      </c>
      <c r="AG377" s="8">
        <f t="shared" si="19"/>
        <v>12343955</v>
      </c>
      <c r="AH377" s="8"/>
      <c r="AI377" s="8">
        <f t="shared" si="20"/>
        <v>17664609</v>
      </c>
    </row>
    <row r="378" spans="1:35" ht="12" customHeight="1">
      <c r="A378" s="12" t="s">
        <v>407</v>
      </c>
      <c r="B378" s="12"/>
      <c r="C378" s="12" t="s">
        <v>62</v>
      </c>
      <c r="D378" s="12"/>
      <c r="E378" s="32">
        <v>49908</v>
      </c>
      <c r="G378" s="8">
        <v>1361905</v>
      </c>
      <c r="I378" s="8">
        <v>2054115</v>
      </c>
      <c r="K378" s="8">
        <v>36207</v>
      </c>
      <c r="M378" s="8">
        <f t="shared" si="18"/>
        <v>3452227</v>
      </c>
      <c r="O378" s="8">
        <f>6713136+1570852+160829</f>
        <v>8444817</v>
      </c>
      <c r="Q378" s="8">
        <v>0</v>
      </c>
      <c r="S378" s="8">
        <v>9751082</v>
      </c>
      <c r="U378" s="8">
        <v>67737</v>
      </c>
      <c r="W378" s="8">
        <v>0</v>
      </c>
      <c r="Y378" s="8">
        <v>0</v>
      </c>
      <c r="AA378" s="8">
        <v>41164</v>
      </c>
      <c r="AB378" s="39"/>
      <c r="AC378" s="8">
        <v>0</v>
      </c>
      <c r="AE378" s="8">
        <v>0</v>
      </c>
      <c r="AG378" s="8">
        <f t="shared" si="19"/>
        <v>18304800</v>
      </c>
      <c r="AH378" s="8"/>
      <c r="AI378" s="8">
        <f t="shared" si="20"/>
        <v>21757027</v>
      </c>
    </row>
    <row r="379" spans="1:35" ht="12" customHeight="1">
      <c r="A379" s="12" t="s">
        <v>267</v>
      </c>
      <c r="B379" s="12"/>
      <c r="C379" s="12" t="s">
        <v>17</v>
      </c>
      <c r="D379" s="12"/>
      <c r="E379" s="32">
        <v>46268</v>
      </c>
      <c r="F379" s="7"/>
      <c r="G379" s="8">
        <v>1618537</v>
      </c>
      <c r="I379" s="8">
        <v>886921</v>
      </c>
      <c r="K379" s="8">
        <v>0</v>
      </c>
      <c r="M379" s="8">
        <f t="shared" si="18"/>
        <v>2505458</v>
      </c>
      <c r="O379" s="8">
        <v>5307371</v>
      </c>
      <c r="Q379" s="8">
        <v>0</v>
      </c>
      <c r="S379" s="8">
        <v>7338125</v>
      </c>
      <c r="U379" s="8">
        <v>235826</v>
      </c>
      <c r="W379" s="8">
        <v>0</v>
      </c>
      <c r="Y379" s="8">
        <v>0</v>
      </c>
      <c r="AA379" s="8">
        <v>97061</v>
      </c>
      <c r="AB379" s="39"/>
      <c r="AC379" s="8">
        <v>0</v>
      </c>
      <c r="AE379" s="8">
        <v>0</v>
      </c>
      <c r="AG379" s="8">
        <f t="shared" si="19"/>
        <v>12978383</v>
      </c>
      <c r="AH379" s="8"/>
      <c r="AI379" s="8">
        <f t="shared" si="20"/>
        <v>15483841</v>
      </c>
    </row>
    <row r="380" spans="1:35" ht="12" customHeight="1">
      <c r="A380" s="12" t="s">
        <v>742</v>
      </c>
      <c r="B380" s="12"/>
      <c r="C380" s="12" t="s">
        <v>72</v>
      </c>
      <c r="D380" s="12"/>
      <c r="E380" s="32">
        <v>50716</v>
      </c>
      <c r="G380" s="8">
        <v>307300</v>
      </c>
      <c r="I380" s="8">
        <v>929384</v>
      </c>
      <c r="K380" s="8">
        <v>3913</v>
      </c>
      <c r="M380" s="8">
        <f t="shared" si="18"/>
        <v>1240597</v>
      </c>
      <c r="O380" s="8">
        <f>4319060+223104+216769</f>
        <v>4758933</v>
      </c>
      <c r="Q380" s="8">
        <v>0</v>
      </c>
      <c r="S380" s="8">
        <v>3347015</v>
      </c>
      <c r="U380" s="8">
        <v>99798</v>
      </c>
      <c r="W380" s="8">
        <v>30000</v>
      </c>
      <c r="Y380" s="8">
        <v>4134</v>
      </c>
      <c r="AA380" s="8">
        <v>154594</v>
      </c>
      <c r="AB380" s="39"/>
      <c r="AC380" s="8">
        <v>0</v>
      </c>
      <c r="AE380" s="8">
        <v>0</v>
      </c>
      <c r="AG380" s="8">
        <f t="shared" si="19"/>
        <v>8394474</v>
      </c>
      <c r="AH380" s="8"/>
      <c r="AI380" s="8">
        <f t="shared" si="20"/>
        <v>9635071</v>
      </c>
    </row>
    <row r="381" spans="1:35" ht="12" customHeight="1">
      <c r="A381" s="12" t="s">
        <v>674</v>
      </c>
      <c r="B381" s="12"/>
      <c r="C381" s="12" t="s">
        <v>63</v>
      </c>
      <c r="D381" s="12"/>
      <c r="E381" s="32">
        <v>44552</v>
      </c>
      <c r="G381" s="8">
        <v>3203278</v>
      </c>
      <c r="I381" s="8">
        <v>1129637</v>
      </c>
      <c r="K381" s="8">
        <v>12456</v>
      </c>
      <c r="M381" s="8">
        <f t="shared" si="18"/>
        <v>4345371</v>
      </c>
      <c r="O381" s="8">
        <f>8558045+619430</f>
        <v>9177475</v>
      </c>
      <c r="Q381" s="8">
        <v>0</v>
      </c>
      <c r="S381" s="8">
        <v>8734624</v>
      </c>
      <c r="U381" s="8">
        <v>458823</v>
      </c>
      <c r="W381" s="8">
        <v>0</v>
      </c>
      <c r="Y381" s="8">
        <v>0</v>
      </c>
      <c r="AA381" s="8">
        <v>253432</v>
      </c>
      <c r="AB381" s="39"/>
      <c r="AC381" s="8">
        <v>0</v>
      </c>
      <c r="AE381" s="8">
        <v>0</v>
      </c>
      <c r="AG381" s="8">
        <f t="shared" si="19"/>
        <v>18624354</v>
      </c>
      <c r="AH381" s="8"/>
      <c r="AI381" s="8">
        <f t="shared" si="20"/>
        <v>22969725</v>
      </c>
    </row>
    <row r="382" spans="1:35" ht="12" customHeight="1">
      <c r="A382" s="12" t="s">
        <v>451</v>
      </c>
      <c r="B382" s="12"/>
      <c r="C382" s="12" t="s">
        <v>37</v>
      </c>
      <c r="D382" s="12"/>
      <c r="E382" s="32">
        <v>44560</v>
      </c>
      <c r="G382" s="8">
        <v>817130</v>
      </c>
      <c r="I382" s="8">
        <v>3093067</v>
      </c>
      <c r="K382" s="8">
        <v>0</v>
      </c>
      <c r="M382" s="8">
        <f t="shared" si="18"/>
        <v>3910197</v>
      </c>
      <c r="O382" s="8">
        <f>6782032+1072919+451993</f>
        <v>8306944</v>
      </c>
      <c r="Q382" s="8">
        <v>1926029</v>
      </c>
      <c r="S382" s="8">
        <v>13469620</v>
      </c>
      <c r="U382" s="8">
        <v>723672</v>
      </c>
      <c r="W382" s="8">
        <v>0</v>
      </c>
      <c r="Y382" s="8">
        <v>0</v>
      </c>
      <c r="AA382" s="8">
        <v>47731</v>
      </c>
      <c r="AB382" s="39"/>
      <c r="AC382" s="8">
        <v>0</v>
      </c>
      <c r="AE382" s="8">
        <v>0</v>
      </c>
      <c r="AG382" s="8">
        <f t="shared" si="19"/>
        <v>24473996</v>
      </c>
      <c r="AH382" s="8"/>
      <c r="AI382" s="8">
        <f t="shared" si="20"/>
        <v>28384193</v>
      </c>
    </row>
    <row r="383" spans="1:35" ht="12" customHeight="1">
      <c r="A383" s="12" t="s">
        <v>902</v>
      </c>
      <c r="B383" s="12"/>
      <c r="C383" s="12" t="s">
        <v>32</v>
      </c>
      <c r="D383" s="12"/>
      <c r="E383" s="32">
        <v>44578</v>
      </c>
      <c r="G383" s="8">
        <v>472657</v>
      </c>
      <c r="I383" s="8">
        <v>4058086</v>
      </c>
      <c r="K383" s="8">
        <v>18122</v>
      </c>
      <c r="M383" s="8">
        <f t="shared" si="18"/>
        <v>4548865</v>
      </c>
      <c r="O383" s="8">
        <v>12855278</v>
      </c>
      <c r="Q383" s="8">
        <v>0</v>
      </c>
      <c r="S383" s="8">
        <v>9531796</v>
      </c>
      <c r="U383" s="8">
        <v>418333</v>
      </c>
      <c r="W383" s="8">
        <v>82266</v>
      </c>
      <c r="Y383" s="8">
        <v>0</v>
      </c>
      <c r="AA383" s="8">
        <v>183083</v>
      </c>
      <c r="AB383" s="39"/>
      <c r="AC383" s="8">
        <v>0</v>
      </c>
      <c r="AE383" s="8">
        <v>0</v>
      </c>
      <c r="AG383" s="8">
        <f t="shared" si="19"/>
        <v>23070756</v>
      </c>
      <c r="AH383" s="8"/>
      <c r="AI383" s="8">
        <f t="shared" si="20"/>
        <v>27619621</v>
      </c>
    </row>
    <row r="384" spans="1:35" ht="12" customHeight="1">
      <c r="A384" s="12" t="s">
        <v>409</v>
      </c>
      <c r="B384" s="12"/>
      <c r="C384" s="12" t="s">
        <v>32</v>
      </c>
      <c r="D384" s="12"/>
      <c r="E384" s="32">
        <v>47373</v>
      </c>
      <c r="G384" s="8">
        <v>5333215</v>
      </c>
      <c r="I384" s="8">
        <v>6856642</v>
      </c>
      <c r="K384" s="8">
        <v>21882</v>
      </c>
      <c r="M384" s="8">
        <f t="shared" si="18"/>
        <v>12211739</v>
      </c>
      <c r="O384" s="8">
        <f>23040762+180803+3421172+4260588</f>
        <v>30903325</v>
      </c>
      <c r="Q384" s="8">
        <v>0</v>
      </c>
      <c r="S384" s="8">
        <v>24903123</v>
      </c>
      <c r="U384" s="8">
        <v>1543598</v>
      </c>
      <c r="W384" s="8">
        <v>7884327</v>
      </c>
      <c r="Y384" s="8">
        <v>308447</v>
      </c>
      <c r="AA384" s="8">
        <v>486993</v>
      </c>
      <c r="AB384" s="39"/>
      <c r="AC384" s="8">
        <v>0</v>
      </c>
      <c r="AE384" s="8">
        <v>0</v>
      </c>
      <c r="AG384" s="8">
        <f t="shared" si="19"/>
        <v>66029813</v>
      </c>
      <c r="AH384" s="8"/>
      <c r="AI384" s="8">
        <f t="shared" si="20"/>
        <v>78241552</v>
      </c>
    </row>
    <row r="385" spans="1:35" ht="12" customHeight="1">
      <c r="A385" s="12" t="s">
        <v>562</v>
      </c>
      <c r="B385" s="12"/>
      <c r="C385" s="12" t="s">
        <v>50</v>
      </c>
      <c r="D385" s="12"/>
      <c r="E385" s="32">
        <v>44586</v>
      </c>
      <c r="G385" s="8">
        <v>1083742</v>
      </c>
      <c r="I385" s="8">
        <v>1136139</v>
      </c>
      <c r="K385" s="8">
        <v>0</v>
      </c>
      <c r="M385" s="8">
        <f t="shared" si="18"/>
        <v>2219881</v>
      </c>
      <c r="O385" s="8">
        <f>12999630+370535+1004600</f>
        <v>14374765</v>
      </c>
      <c r="Q385" s="8">
        <v>0</v>
      </c>
      <c r="S385" s="8">
        <v>7173234</v>
      </c>
      <c r="U385" s="8">
        <v>186722</v>
      </c>
      <c r="W385" s="8">
        <v>0</v>
      </c>
      <c r="Y385" s="8">
        <v>0</v>
      </c>
      <c r="AA385" s="8">
        <v>112117</v>
      </c>
      <c r="AB385" s="39"/>
      <c r="AC385" s="8">
        <v>0</v>
      </c>
      <c r="AE385" s="8">
        <v>0</v>
      </c>
      <c r="AG385" s="8">
        <f t="shared" si="19"/>
        <v>21846838</v>
      </c>
      <c r="AH385" s="8"/>
      <c r="AI385" s="8">
        <f t="shared" si="20"/>
        <v>24066719</v>
      </c>
    </row>
    <row r="386" spans="1:35" ht="12" customHeight="1">
      <c r="A386" s="12" t="s">
        <v>499</v>
      </c>
      <c r="B386" s="12"/>
      <c r="C386" s="12" t="s">
        <v>44</v>
      </c>
      <c r="D386" s="12"/>
      <c r="E386" s="32">
        <v>44594</v>
      </c>
      <c r="G386" s="8">
        <v>562641</v>
      </c>
      <c r="I386" s="8">
        <v>1347903</v>
      </c>
      <c r="K386" s="8">
        <v>0</v>
      </c>
      <c r="M386" s="8">
        <f t="shared" si="18"/>
        <v>1910544</v>
      </c>
      <c r="O386" s="8">
        <f>5013436+326614</f>
        <v>5340050</v>
      </c>
      <c r="Q386" s="8">
        <v>2582207</v>
      </c>
      <c r="S386" s="8">
        <v>4105719</v>
      </c>
      <c r="U386" s="8">
        <v>93189</v>
      </c>
      <c r="W386" s="8">
        <v>0</v>
      </c>
      <c r="Y386" s="8">
        <v>0</v>
      </c>
      <c r="AA386" s="8">
        <v>128476</v>
      </c>
      <c r="AB386" s="39"/>
      <c r="AC386" s="8">
        <v>0</v>
      </c>
      <c r="AE386" s="8">
        <v>0</v>
      </c>
      <c r="AG386" s="8">
        <f t="shared" si="19"/>
        <v>12249641</v>
      </c>
      <c r="AH386" s="8"/>
      <c r="AI386" s="8">
        <f t="shared" si="20"/>
        <v>14160185</v>
      </c>
    </row>
    <row r="387" spans="1:35" ht="12" hidden="1" customHeight="1">
      <c r="A387" s="12" t="s">
        <v>643</v>
      </c>
      <c r="B387" s="12"/>
      <c r="C387" s="12" t="s">
        <v>60</v>
      </c>
      <c r="D387" s="12"/>
      <c r="E387" s="32">
        <v>49726</v>
      </c>
      <c r="K387" s="8">
        <v>0</v>
      </c>
      <c r="M387" s="8">
        <f t="shared" si="18"/>
        <v>0</v>
      </c>
      <c r="W387" s="8">
        <v>0</v>
      </c>
      <c r="Y387" s="8">
        <v>0</v>
      </c>
      <c r="AB387" s="39"/>
      <c r="AC387" s="8">
        <v>0</v>
      </c>
      <c r="AE387" s="8">
        <v>0</v>
      </c>
      <c r="AG387" s="8">
        <f t="shared" si="19"/>
        <v>0</v>
      </c>
      <c r="AH387" s="8"/>
      <c r="AI387" s="8">
        <f t="shared" si="20"/>
        <v>0</v>
      </c>
    </row>
    <row r="388" spans="1:35" ht="12" customHeight="1">
      <c r="A388" s="12" t="s">
        <v>339</v>
      </c>
      <c r="B388" s="12"/>
      <c r="C388" s="12" t="s">
        <v>23</v>
      </c>
      <c r="D388" s="12"/>
      <c r="E388" s="32">
        <v>46763</v>
      </c>
      <c r="G388" s="8">
        <v>6445441</v>
      </c>
      <c r="I388" s="8">
        <v>6382771</v>
      </c>
      <c r="K388" s="8">
        <v>0</v>
      </c>
      <c r="M388" s="8">
        <f t="shared" si="18"/>
        <v>12828212</v>
      </c>
      <c r="O388" s="8">
        <v>114673843</v>
      </c>
      <c r="Q388" s="8">
        <v>0</v>
      </c>
      <c r="S388" s="8">
        <v>17973698</v>
      </c>
      <c r="U388" s="8">
        <v>4474517</v>
      </c>
      <c r="W388" s="8">
        <v>0</v>
      </c>
      <c r="Y388" s="8">
        <v>0</v>
      </c>
      <c r="AA388" s="8">
        <v>934434</v>
      </c>
      <c r="AB388" s="39"/>
      <c r="AC388" s="8">
        <v>0</v>
      </c>
      <c r="AE388" s="8">
        <v>0</v>
      </c>
      <c r="AG388" s="8">
        <f t="shared" si="19"/>
        <v>138056492</v>
      </c>
      <c r="AH388" s="8"/>
      <c r="AI388" s="8">
        <f t="shared" si="20"/>
        <v>150884704</v>
      </c>
    </row>
    <row r="389" spans="1:35" ht="12" customHeight="1">
      <c r="A389" s="12" t="s">
        <v>319</v>
      </c>
      <c r="B389" s="12"/>
      <c r="C389" s="12" t="s">
        <v>20</v>
      </c>
      <c r="D389" s="12"/>
      <c r="E389" s="32">
        <v>46573</v>
      </c>
      <c r="G389" s="8">
        <v>1907875</v>
      </c>
      <c r="I389" s="8">
        <v>1324046</v>
      </c>
      <c r="K389" s="8">
        <v>30676</v>
      </c>
      <c r="M389" s="8">
        <f t="shared" si="18"/>
        <v>3262597</v>
      </c>
      <c r="O389" s="8">
        <f>19080828+2381189+208348</f>
        <v>21670365</v>
      </c>
      <c r="Q389" s="8">
        <v>0</v>
      </c>
      <c r="S389" s="8">
        <v>14739430</v>
      </c>
      <c r="U389" s="8">
        <v>1281793</v>
      </c>
      <c r="W389" s="8">
        <v>0</v>
      </c>
      <c r="Y389" s="8">
        <v>0</v>
      </c>
      <c r="AA389" s="8">
        <v>323919</v>
      </c>
      <c r="AB389" s="39"/>
      <c r="AC389" s="8">
        <v>0</v>
      </c>
      <c r="AE389" s="8">
        <v>0</v>
      </c>
      <c r="AG389" s="8">
        <f t="shared" si="19"/>
        <v>38015507</v>
      </c>
      <c r="AH389" s="8"/>
      <c r="AI389" s="8">
        <f t="shared" si="20"/>
        <v>41278104</v>
      </c>
    </row>
    <row r="390" spans="1:35" ht="12" customHeight="1">
      <c r="A390" s="12" t="s">
        <v>618</v>
      </c>
      <c r="B390" s="12"/>
      <c r="C390" s="12" t="s">
        <v>113</v>
      </c>
      <c r="D390" s="12"/>
      <c r="E390" s="32">
        <v>49478</v>
      </c>
      <c r="G390" s="8">
        <v>1087782</v>
      </c>
      <c r="I390" s="8">
        <v>898836</v>
      </c>
      <c r="K390" s="8">
        <v>46799</v>
      </c>
      <c r="M390" s="8">
        <f t="shared" si="18"/>
        <v>2033417</v>
      </c>
      <c r="O390" s="8">
        <f>10799685+1457900+321430</f>
        <v>12579015</v>
      </c>
      <c r="Q390" s="8">
        <v>0</v>
      </c>
      <c r="S390" s="8">
        <v>4663419</v>
      </c>
      <c r="U390" s="8">
        <v>393115</v>
      </c>
      <c r="W390" s="8">
        <v>0</v>
      </c>
      <c r="Y390" s="8">
        <v>0</v>
      </c>
      <c r="AA390" s="8">
        <v>19119</v>
      </c>
      <c r="AB390" s="39"/>
      <c r="AC390" s="8">
        <v>0</v>
      </c>
      <c r="AE390" s="8">
        <v>0</v>
      </c>
      <c r="AG390" s="8">
        <f t="shared" si="19"/>
        <v>17654668</v>
      </c>
      <c r="AH390" s="8"/>
      <c r="AI390" s="8">
        <f t="shared" si="20"/>
        <v>19688085</v>
      </c>
    </row>
    <row r="391" spans="1:35" ht="12" customHeight="1">
      <c r="A391" s="12" t="s">
        <v>320</v>
      </c>
      <c r="B391" s="12"/>
      <c r="C391" s="12" t="s">
        <v>20</v>
      </c>
      <c r="D391" s="12"/>
      <c r="E391" s="32">
        <v>46581</v>
      </c>
      <c r="G391" s="8">
        <v>4439242</v>
      </c>
      <c r="I391" s="8">
        <v>1757067</v>
      </c>
      <c r="K391" s="8">
        <v>46110</v>
      </c>
      <c r="M391" s="8">
        <f t="shared" si="18"/>
        <v>6242419</v>
      </c>
      <c r="O391" s="8">
        <f>37569616+2258971+849401</f>
        <v>40677988</v>
      </c>
      <c r="Q391" s="8">
        <v>0</v>
      </c>
      <c r="S391" s="8">
        <v>7789074</v>
      </c>
      <c r="U391" s="8">
        <v>1956626</v>
      </c>
      <c r="W391" s="8">
        <v>0</v>
      </c>
      <c r="Y391" s="8">
        <v>0</v>
      </c>
      <c r="AA391" s="8">
        <v>69056</v>
      </c>
      <c r="AB391" s="39"/>
      <c r="AC391" s="8">
        <v>0</v>
      </c>
      <c r="AE391" s="8">
        <v>0</v>
      </c>
      <c r="AG391" s="8">
        <f t="shared" si="19"/>
        <v>50492744</v>
      </c>
      <c r="AH391" s="8"/>
      <c r="AI391" s="8">
        <f t="shared" si="20"/>
        <v>56735163</v>
      </c>
    </row>
    <row r="392" spans="1:35" ht="12" customHeight="1">
      <c r="A392" s="12" t="s">
        <v>504</v>
      </c>
      <c r="B392" s="12"/>
      <c r="C392" s="12" t="s">
        <v>118</v>
      </c>
      <c r="D392" s="12"/>
      <c r="E392" s="32">
        <v>44602</v>
      </c>
      <c r="G392" s="8">
        <v>2915694</v>
      </c>
      <c r="I392" s="8">
        <v>3963406</v>
      </c>
      <c r="K392" s="8">
        <v>21088</v>
      </c>
      <c r="M392" s="8">
        <f t="shared" si="18"/>
        <v>6900188</v>
      </c>
      <c r="O392" s="8">
        <v>21275838</v>
      </c>
      <c r="Q392" s="8">
        <v>0</v>
      </c>
      <c r="S392" s="8">
        <v>15588304</v>
      </c>
      <c r="U392" s="8">
        <v>985679</v>
      </c>
      <c r="W392" s="8">
        <v>708411</v>
      </c>
      <c r="Y392" s="8">
        <v>0</v>
      </c>
      <c r="AA392" s="8">
        <v>47297</v>
      </c>
      <c r="AB392" s="39"/>
      <c r="AC392" s="8">
        <v>0</v>
      </c>
      <c r="AE392" s="8">
        <v>0</v>
      </c>
      <c r="AG392" s="8">
        <f t="shared" si="19"/>
        <v>38605529</v>
      </c>
      <c r="AH392" s="8"/>
      <c r="AI392" s="8">
        <f t="shared" si="20"/>
        <v>45505717</v>
      </c>
    </row>
    <row r="393" spans="1:35" ht="12" customHeight="1">
      <c r="A393" s="12" t="s">
        <v>729</v>
      </c>
      <c r="B393" s="12"/>
      <c r="C393" s="12" t="s">
        <v>71</v>
      </c>
      <c r="D393" s="12"/>
      <c r="E393" s="32">
        <v>44610</v>
      </c>
      <c r="G393" s="8">
        <v>966317</v>
      </c>
      <c r="I393" s="8">
        <v>1555731</v>
      </c>
      <c r="K393" s="8">
        <v>172524</v>
      </c>
      <c r="M393" s="8">
        <f t="shared" si="18"/>
        <v>2694572</v>
      </c>
      <c r="O393" s="8">
        <f>6765347+851632+774562</f>
        <v>8391541</v>
      </c>
      <c r="Q393" s="8">
        <v>0</v>
      </c>
      <c r="S393" s="8">
        <v>6835578</v>
      </c>
      <c r="U393" s="8">
        <v>1284458</v>
      </c>
      <c r="W393" s="8">
        <v>0</v>
      </c>
      <c r="Y393" s="8">
        <v>0</v>
      </c>
      <c r="AA393" s="8">
        <v>36302</v>
      </c>
      <c r="AB393" s="39"/>
      <c r="AC393" s="8">
        <v>0</v>
      </c>
      <c r="AE393" s="8">
        <v>0</v>
      </c>
      <c r="AG393" s="8">
        <f t="shared" si="19"/>
        <v>16547879</v>
      </c>
      <c r="AH393" s="8"/>
      <c r="AI393" s="8">
        <f t="shared" si="20"/>
        <v>19242451</v>
      </c>
    </row>
    <row r="394" spans="1:35" ht="12" customHeight="1">
      <c r="A394" s="12" t="s">
        <v>664</v>
      </c>
      <c r="B394" s="12"/>
      <c r="C394" s="12" t="s">
        <v>62</v>
      </c>
      <c r="D394" s="12"/>
      <c r="E394" s="32">
        <v>49916</v>
      </c>
      <c r="G394" s="8">
        <v>788851</v>
      </c>
      <c r="I394" s="8">
        <v>877739</v>
      </c>
      <c r="K394" s="8">
        <v>4217</v>
      </c>
      <c r="M394" s="8">
        <f t="shared" si="18"/>
        <v>1670807</v>
      </c>
      <c r="O394" s="8">
        <f>2280807+26550+329144</f>
        <v>2636501</v>
      </c>
      <c r="Q394" s="8">
        <v>0</v>
      </c>
      <c r="S394" s="8">
        <v>3959314</v>
      </c>
      <c r="U394" s="8">
        <v>729265</v>
      </c>
      <c r="W394" s="8">
        <v>0</v>
      </c>
      <c r="Y394" s="8">
        <v>0</v>
      </c>
      <c r="AA394" s="8">
        <v>7674</v>
      </c>
      <c r="AB394" s="39"/>
      <c r="AC394" s="8">
        <v>0</v>
      </c>
      <c r="AE394" s="8">
        <v>0</v>
      </c>
      <c r="AG394" s="8">
        <f t="shared" si="19"/>
        <v>7332754</v>
      </c>
      <c r="AH394" s="8"/>
      <c r="AI394" s="8">
        <f t="shared" si="20"/>
        <v>9003561</v>
      </c>
    </row>
    <row r="395" spans="1:35" ht="12" customHeight="1">
      <c r="A395" s="12" t="s">
        <v>743</v>
      </c>
      <c r="B395" s="12"/>
      <c r="C395" s="12" t="s">
        <v>72</v>
      </c>
      <c r="D395" s="12"/>
      <c r="E395" s="32">
        <v>50724</v>
      </c>
      <c r="G395" s="8">
        <v>1212027</v>
      </c>
      <c r="I395" s="8">
        <v>1476142</v>
      </c>
      <c r="K395" s="8">
        <v>18242</v>
      </c>
      <c r="M395" s="8">
        <f t="shared" si="18"/>
        <v>2706411</v>
      </c>
      <c r="O395" s="8">
        <f>3885625+1030311+153971</f>
        <v>5069907</v>
      </c>
      <c r="Q395" s="8">
        <v>2490691</v>
      </c>
      <c r="S395" s="8">
        <v>5995681</v>
      </c>
      <c r="U395" s="8">
        <v>153785</v>
      </c>
      <c r="W395" s="8">
        <v>0</v>
      </c>
      <c r="Y395" s="8">
        <v>1980</v>
      </c>
      <c r="AA395" s="8">
        <v>102969</v>
      </c>
      <c r="AB395" s="39"/>
      <c r="AC395" s="8">
        <v>0</v>
      </c>
      <c r="AE395" s="8">
        <v>0</v>
      </c>
      <c r="AG395" s="8">
        <f t="shared" si="19"/>
        <v>13815013</v>
      </c>
      <c r="AH395" s="8"/>
      <c r="AI395" s="8">
        <f t="shared" si="20"/>
        <v>16521424</v>
      </c>
    </row>
    <row r="396" spans="1:35" ht="12" customHeight="1">
      <c r="A396" s="12" t="s">
        <v>505</v>
      </c>
      <c r="B396" s="12"/>
      <c r="C396" s="12" t="s">
        <v>118</v>
      </c>
      <c r="D396" s="12"/>
      <c r="E396" s="32">
        <v>48215</v>
      </c>
      <c r="G396" s="8">
        <v>353724</v>
      </c>
      <c r="I396" s="8">
        <v>684137</v>
      </c>
      <c r="K396" s="8">
        <v>0</v>
      </c>
      <c r="M396" s="8">
        <f t="shared" si="18"/>
        <v>1037861</v>
      </c>
      <c r="O396" s="8">
        <f>8151205+412724+408094</f>
        <v>8972023</v>
      </c>
      <c r="Q396" s="8">
        <v>0</v>
      </c>
      <c r="S396" s="8">
        <v>3140564</v>
      </c>
      <c r="U396" s="8">
        <v>404599</v>
      </c>
      <c r="W396" s="8">
        <v>0</v>
      </c>
      <c r="Y396" s="8">
        <v>0</v>
      </c>
      <c r="AA396" s="8">
        <v>170413</v>
      </c>
      <c r="AB396" s="39"/>
      <c r="AC396" s="8">
        <v>0</v>
      </c>
      <c r="AE396" s="8">
        <v>0</v>
      </c>
      <c r="AG396" s="8">
        <f t="shared" si="19"/>
        <v>12687599</v>
      </c>
      <c r="AH396" s="8"/>
      <c r="AI396" s="8">
        <f t="shared" si="20"/>
        <v>13725460</v>
      </c>
    </row>
    <row r="397" spans="1:35" ht="12" hidden="1" customHeight="1">
      <c r="A397" s="12" t="s">
        <v>611</v>
      </c>
      <c r="B397" s="12"/>
      <c r="C397" s="12" t="s">
        <v>608</v>
      </c>
      <c r="D397" s="12"/>
      <c r="E397" s="32">
        <v>49379</v>
      </c>
      <c r="M397" s="8">
        <f t="shared" si="18"/>
        <v>0</v>
      </c>
      <c r="W397" s="8">
        <v>0</v>
      </c>
      <c r="Y397" s="8">
        <v>0</v>
      </c>
      <c r="AB397" s="39"/>
      <c r="AC397" s="8">
        <v>0</v>
      </c>
      <c r="AE397" s="8">
        <v>0</v>
      </c>
      <c r="AG397" s="8">
        <f t="shared" si="19"/>
        <v>0</v>
      </c>
      <c r="AH397" s="8"/>
      <c r="AI397" s="8">
        <f t="shared" si="20"/>
        <v>0</v>
      </c>
    </row>
    <row r="398" spans="1:35" ht="12" hidden="1" customHeight="1">
      <c r="A398" s="12" t="s">
        <v>612</v>
      </c>
      <c r="B398" s="12"/>
      <c r="C398" s="12" t="s">
        <v>608</v>
      </c>
      <c r="D398" s="12"/>
      <c r="E398" s="32">
        <v>49387</v>
      </c>
      <c r="M398" s="8">
        <f t="shared" si="18"/>
        <v>0</v>
      </c>
      <c r="W398" s="8">
        <v>0</v>
      </c>
      <c r="Y398" s="8">
        <v>0</v>
      </c>
      <c r="AB398" s="39"/>
      <c r="AC398" s="8">
        <v>0</v>
      </c>
      <c r="AE398" s="8">
        <v>0</v>
      </c>
      <c r="AG398" s="8">
        <f t="shared" si="19"/>
        <v>0</v>
      </c>
      <c r="AH398" s="8"/>
      <c r="AI398" s="8">
        <f t="shared" si="20"/>
        <v>0</v>
      </c>
    </row>
    <row r="399" spans="1:35" ht="12" customHeight="1">
      <c r="A399" s="12" t="s">
        <v>466</v>
      </c>
      <c r="B399" s="12"/>
      <c r="C399" s="12" t="s">
        <v>41</v>
      </c>
      <c r="D399" s="12"/>
      <c r="E399" s="32">
        <v>44628</v>
      </c>
      <c r="G399" s="8">
        <v>1639270</v>
      </c>
      <c r="I399" s="8">
        <v>8662025</v>
      </c>
      <c r="K399" s="8">
        <v>31785101</v>
      </c>
      <c r="M399" s="8">
        <f t="shared" si="18"/>
        <v>42086396</v>
      </c>
      <c r="O399" s="8">
        <f>9804119+1690816+165787</f>
        <v>11660722</v>
      </c>
      <c r="Q399" s="8">
        <v>0</v>
      </c>
      <c r="S399" s="8">
        <v>14828719</v>
      </c>
      <c r="U399" s="8">
        <v>1555098</v>
      </c>
      <c r="W399" s="8">
        <v>0</v>
      </c>
      <c r="Y399" s="8">
        <v>1125</v>
      </c>
      <c r="AA399" s="8">
        <f>78499+128757</f>
        <v>207256</v>
      </c>
      <c r="AB399" s="39"/>
      <c r="AC399" s="8">
        <v>0</v>
      </c>
      <c r="AE399" s="8">
        <v>0</v>
      </c>
      <c r="AG399" s="8">
        <f t="shared" si="19"/>
        <v>28252920</v>
      </c>
      <c r="AH399" s="8"/>
      <c r="AI399" s="8">
        <f t="shared" si="20"/>
        <v>70339316</v>
      </c>
    </row>
    <row r="400" spans="1:35" ht="12" hidden="1" customHeight="1">
      <c r="A400" s="12" t="s">
        <v>467</v>
      </c>
      <c r="B400" s="12"/>
      <c r="C400" s="12" t="s">
        <v>41</v>
      </c>
      <c r="D400" s="12"/>
      <c r="E400" s="32">
        <v>47894</v>
      </c>
      <c r="M400" s="8">
        <f t="shared" si="18"/>
        <v>0</v>
      </c>
      <c r="W400" s="8">
        <v>0</v>
      </c>
      <c r="Y400" s="8">
        <v>0</v>
      </c>
      <c r="AB400" s="39"/>
      <c r="AC400" s="8">
        <v>0</v>
      </c>
      <c r="AE400" s="8">
        <v>0</v>
      </c>
      <c r="AG400" s="8">
        <f t="shared" si="19"/>
        <v>0</v>
      </c>
      <c r="AH400" s="8"/>
      <c r="AI400" s="8">
        <f t="shared" si="20"/>
        <v>0</v>
      </c>
    </row>
    <row r="401" spans="1:35" ht="12" customHeight="1">
      <c r="A401" s="12" t="s">
        <v>624</v>
      </c>
      <c r="B401" s="12"/>
      <c r="C401" s="12" t="s">
        <v>58</v>
      </c>
      <c r="D401" s="12"/>
      <c r="E401" s="32">
        <v>49510</v>
      </c>
      <c r="G401" s="8">
        <v>790482</v>
      </c>
      <c r="I401" s="8">
        <v>2209975</v>
      </c>
      <c r="K401" s="8">
        <v>13971</v>
      </c>
      <c r="M401" s="8">
        <f t="shared" si="18"/>
        <v>3014428</v>
      </c>
      <c r="O401" s="8">
        <f>1302323+26551+99279+136753</f>
        <v>1564906</v>
      </c>
      <c r="Q401" s="8">
        <v>0</v>
      </c>
      <c r="S401" s="8">
        <v>6077622</v>
      </c>
      <c r="U401" s="8">
        <v>208347</v>
      </c>
      <c r="W401" s="8">
        <v>0</v>
      </c>
      <c r="Y401" s="8">
        <v>0</v>
      </c>
      <c r="AA401" s="8">
        <v>79337</v>
      </c>
      <c r="AB401" s="39"/>
      <c r="AC401" s="8">
        <v>0</v>
      </c>
      <c r="AE401" s="8">
        <v>0</v>
      </c>
      <c r="AG401" s="8">
        <f t="shared" si="19"/>
        <v>7930212</v>
      </c>
      <c r="AH401" s="8"/>
      <c r="AI401" s="8">
        <f t="shared" si="20"/>
        <v>10944640</v>
      </c>
    </row>
    <row r="402" spans="1:35" ht="12" hidden="1" customHeight="1">
      <c r="A402" s="12" t="s">
        <v>613</v>
      </c>
      <c r="B402" s="12"/>
      <c r="C402" s="12" t="s">
        <v>608</v>
      </c>
      <c r="D402" s="12"/>
      <c r="E402" s="32">
        <v>49395</v>
      </c>
      <c r="M402" s="8">
        <f t="shared" si="18"/>
        <v>0</v>
      </c>
      <c r="W402" s="8">
        <v>0</v>
      </c>
      <c r="Y402" s="8">
        <v>0</v>
      </c>
      <c r="AB402" s="39"/>
      <c r="AC402" s="8">
        <v>0</v>
      </c>
      <c r="AE402" s="8">
        <v>0</v>
      </c>
      <c r="AG402" s="8">
        <f t="shared" si="19"/>
        <v>0</v>
      </c>
      <c r="AH402" s="8"/>
      <c r="AI402" s="8">
        <f t="shared" si="20"/>
        <v>0</v>
      </c>
    </row>
    <row r="403" spans="1:35" ht="12" hidden="1" customHeight="1">
      <c r="A403" s="12" t="s">
        <v>541</v>
      </c>
      <c r="B403" s="12"/>
      <c r="C403" s="12" t="s">
        <v>540</v>
      </c>
      <c r="D403" s="12"/>
      <c r="E403" s="32">
        <v>48579</v>
      </c>
      <c r="M403" s="8">
        <f t="shared" si="18"/>
        <v>0</v>
      </c>
      <c r="W403" s="8">
        <v>0</v>
      </c>
      <c r="Y403" s="8">
        <v>0</v>
      </c>
      <c r="AB403" s="39"/>
      <c r="AC403" s="8">
        <v>0</v>
      </c>
      <c r="AE403" s="8">
        <v>0</v>
      </c>
      <c r="AG403" s="8">
        <f t="shared" si="19"/>
        <v>0</v>
      </c>
      <c r="AH403" s="8"/>
      <c r="AI403" s="8">
        <f t="shared" si="20"/>
        <v>0</v>
      </c>
    </row>
    <row r="404" spans="1:35" ht="12" customHeight="1">
      <c r="A404" s="12" t="s">
        <v>321</v>
      </c>
      <c r="B404" s="12"/>
      <c r="C404" s="12" t="s">
        <v>20</v>
      </c>
      <c r="D404" s="12"/>
      <c r="E404" s="32">
        <v>44636</v>
      </c>
      <c r="G404" s="8">
        <v>6090070</v>
      </c>
      <c r="I404" s="8">
        <v>16782130</v>
      </c>
      <c r="K404" s="8">
        <v>101797</v>
      </c>
      <c r="M404" s="8">
        <f t="shared" si="18"/>
        <v>22973997</v>
      </c>
      <c r="O404" s="8">
        <f>86009810+2846136+2860787</f>
        <v>91716733</v>
      </c>
      <c r="Q404" s="8">
        <v>0</v>
      </c>
      <c r="S404" s="8">
        <v>32989823</v>
      </c>
      <c r="U404" s="8">
        <v>1525954</v>
      </c>
      <c r="W404" s="8">
        <v>0</v>
      </c>
      <c r="Y404" s="8">
        <v>0</v>
      </c>
      <c r="AA404" s="8">
        <v>881252</v>
      </c>
      <c r="AB404" s="39"/>
      <c r="AC404" s="8">
        <v>-20000</v>
      </c>
      <c r="AE404" s="8">
        <v>0</v>
      </c>
      <c r="AG404" s="8">
        <f t="shared" si="19"/>
        <v>127093762</v>
      </c>
      <c r="AH404" s="8"/>
      <c r="AI404" s="8">
        <f t="shared" si="20"/>
        <v>150067759</v>
      </c>
    </row>
    <row r="405" spans="1:35" ht="12" customHeight="1">
      <c r="A405" s="12" t="s">
        <v>438</v>
      </c>
      <c r="B405" s="12"/>
      <c r="C405" s="12" t="s">
        <v>34</v>
      </c>
      <c r="D405" s="12"/>
      <c r="E405" s="32">
        <v>47597</v>
      </c>
      <c r="G405" s="8">
        <v>888866</v>
      </c>
      <c r="I405" s="8">
        <v>1042932</v>
      </c>
      <c r="K405" s="8">
        <v>0</v>
      </c>
      <c r="M405" s="8">
        <f t="shared" si="18"/>
        <v>1931798</v>
      </c>
      <c r="O405" s="8">
        <f>2513075+130503+280015+42701</f>
        <v>2966294</v>
      </c>
      <c r="Q405" s="8">
        <v>1878057</v>
      </c>
      <c r="S405" s="8">
        <v>4913330</v>
      </c>
      <c r="U405" s="8">
        <v>71079</v>
      </c>
      <c r="W405" s="8">
        <v>0</v>
      </c>
      <c r="Y405" s="8">
        <v>0</v>
      </c>
      <c r="AA405" s="8">
        <v>127730</v>
      </c>
      <c r="AB405" s="39"/>
      <c r="AC405" s="8">
        <v>0</v>
      </c>
      <c r="AE405" s="8">
        <v>0</v>
      </c>
      <c r="AG405" s="8">
        <f t="shared" si="19"/>
        <v>9956490</v>
      </c>
      <c r="AH405" s="8"/>
      <c r="AI405" s="8">
        <f t="shared" si="20"/>
        <v>11888288</v>
      </c>
    </row>
    <row r="406" spans="1:35" ht="12" hidden="1" customHeight="1">
      <c r="A406" s="12" t="s">
        <v>939</v>
      </c>
      <c r="B406" s="12"/>
      <c r="C406" s="12" t="s">
        <v>583</v>
      </c>
      <c r="D406" s="12"/>
      <c r="E406" s="32">
        <v>45575</v>
      </c>
      <c r="M406" s="8">
        <f t="shared" si="18"/>
        <v>0</v>
      </c>
      <c r="W406" s="8">
        <v>0</v>
      </c>
      <c r="Y406" s="8">
        <v>0</v>
      </c>
      <c r="AB406" s="39"/>
      <c r="AC406" s="8">
        <v>0</v>
      </c>
      <c r="AE406" s="8">
        <v>0</v>
      </c>
      <c r="AG406" s="8">
        <f>SUM(O406:AE406)</f>
        <v>0</v>
      </c>
      <c r="AH406" s="8"/>
      <c r="AI406" s="8">
        <f t="shared" si="20"/>
        <v>0</v>
      </c>
    </row>
    <row r="407" spans="1:35" ht="12" customHeight="1">
      <c r="A407" s="12" t="s">
        <v>344</v>
      </c>
      <c r="B407" s="12"/>
      <c r="C407" s="12" t="s">
        <v>24</v>
      </c>
      <c r="D407" s="12"/>
      <c r="E407" s="32">
        <v>46813</v>
      </c>
      <c r="G407" s="8">
        <v>1248890</v>
      </c>
      <c r="I407" s="8">
        <v>1277687</v>
      </c>
      <c r="K407" s="8">
        <v>117323</v>
      </c>
      <c r="M407" s="8">
        <f t="shared" si="18"/>
        <v>2643900</v>
      </c>
      <c r="O407" s="8">
        <f>13159480+675401</f>
        <v>13834881</v>
      </c>
      <c r="Q407" s="8">
        <v>0</v>
      </c>
      <c r="S407" s="8">
        <v>6522573</v>
      </c>
      <c r="U407" s="8">
        <v>305339</v>
      </c>
      <c r="W407" s="8">
        <v>0</v>
      </c>
      <c r="Y407" s="8">
        <v>0</v>
      </c>
      <c r="AA407" s="8">
        <v>78729</v>
      </c>
      <c r="AB407" s="39"/>
      <c r="AC407" s="8">
        <v>0</v>
      </c>
      <c r="AE407" s="8">
        <v>0</v>
      </c>
      <c r="AG407" s="8">
        <f t="shared" si="19"/>
        <v>20741522</v>
      </c>
      <c r="AH407" s="8"/>
      <c r="AI407" s="8">
        <f t="shared" si="20"/>
        <v>23385422</v>
      </c>
    </row>
    <row r="408" spans="1:35" ht="12" customHeight="1">
      <c r="A408" s="12" t="s">
        <v>213</v>
      </c>
      <c r="B408" s="12"/>
      <c r="C408" s="12" t="s">
        <v>41</v>
      </c>
      <c r="D408" s="12"/>
      <c r="E408" s="32">
        <v>47902</v>
      </c>
      <c r="G408" s="8">
        <v>1123752</v>
      </c>
      <c r="I408" s="8">
        <v>602537</v>
      </c>
      <c r="K408" s="8">
        <v>0</v>
      </c>
      <c r="M408" s="8">
        <f>SUM(G408:L408)</f>
        <v>1726289</v>
      </c>
      <c r="O408" s="8">
        <v>14965281</v>
      </c>
      <c r="Q408" s="8">
        <v>0</v>
      </c>
      <c r="S408" s="8">
        <v>12052117</v>
      </c>
      <c r="U408" s="8">
        <v>1253434</v>
      </c>
      <c r="W408" s="8">
        <v>0</v>
      </c>
      <c r="Y408" s="8">
        <v>0</v>
      </c>
      <c r="AA408" s="8">
        <v>465103</v>
      </c>
      <c r="AB408" s="39"/>
      <c r="AC408" s="8">
        <v>0</v>
      </c>
      <c r="AE408" s="8">
        <v>0</v>
      </c>
      <c r="AG408" s="8">
        <f>SUM(O408:AE408)</f>
        <v>28735935</v>
      </c>
      <c r="AH408" s="8"/>
      <c r="AI408" s="8">
        <f>+AG408+M408</f>
        <v>30462224</v>
      </c>
    </row>
    <row r="409" spans="1:35" ht="12" customHeight="1">
      <c r="A409" s="12" t="s">
        <v>213</v>
      </c>
      <c r="B409" s="12"/>
      <c r="C409" s="12" t="s">
        <v>62</v>
      </c>
      <c r="D409" s="12"/>
      <c r="E409" s="32">
        <v>49924</v>
      </c>
      <c r="G409" s="8">
        <v>3191827</v>
      </c>
      <c r="I409" s="8">
        <v>4867074</v>
      </c>
      <c r="K409" s="8">
        <v>192189</v>
      </c>
      <c r="M409" s="8">
        <f>SUM(G409:L409)</f>
        <v>8251090</v>
      </c>
      <c r="O409" s="8">
        <f>19953139+898653</f>
        <v>20851792</v>
      </c>
      <c r="Q409" s="8">
        <v>0</v>
      </c>
      <c r="S409" s="8">
        <v>18052922</v>
      </c>
      <c r="U409" s="8">
        <v>1244826</v>
      </c>
      <c r="W409" s="8">
        <v>0</v>
      </c>
      <c r="Y409" s="8">
        <v>0</v>
      </c>
      <c r="AA409" s="8">
        <v>330923</v>
      </c>
      <c r="AB409" s="39"/>
      <c r="AC409" s="8">
        <v>0</v>
      </c>
      <c r="AE409" s="8">
        <v>0</v>
      </c>
      <c r="AG409" s="8">
        <f>SUM(O409:AE409)</f>
        <v>40480463</v>
      </c>
      <c r="AH409" s="8"/>
      <c r="AI409" s="8">
        <f>+AG409+M409</f>
        <v>48731553</v>
      </c>
    </row>
    <row r="410" spans="1:35" ht="12" customHeight="1">
      <c r="A410" s="12" t="s">
        <v>744</v>
      </c>
      <c r="B410" s="12"/>
      <c r="C410" s="12" t="s">
        <v>72</v>
      </c>
      <c r="D410" s="12"/>
      <c r="E410" s="32">
        <v>45583</v>
      </c>
      <c r="G410" s="8">
        <v>602045</v>
      </c>
      <c r="I410" s="8">
        <v>1527973</v>
      </c>
      <c r="K410" s="8">
        <v>54758</v>
      </c>
      <c r="M410" s="8">
        <f>SUM(G410:L410)</f>
        <v>2184776</v>
      </c>
      <c r="O410" s="8">
        <f>20152650+2391242</f>
        <v>22543892</v>
      </c>
      <c r="Q410" s="8">
        <v>5916089</v>
      </c>
      <c r="S410" s="8">
        <v>12626062</v>
      </c>
      <c r="U410" s="8">
        <v>349820</v>
      </c>
      <c r="W410" s="8">
        <v>0</v>
      </c>
      <c r="Y410" s="8">
        <v>0</v>
      </c>
      <c r="AA410" s="8">
        <v>910213</v>
      </c>
      <c r="AB410" s="39"/>
      <c r="AC410" s="8">
        <v>0</v>
      </c>
      <c r="AE410" s="8">
        <v>0</v>
      </c>
      <c r="AG410" s="8">
        <f>SUM(O410:AE410)</f>
        <v>42346076</v>
      </c>
      <c r="AH410" s="8"/>
      <c r="AI410" s="8">
        <f>+AG410+M410</f>
        <v>44530852</v>
      </c>
    </row>
    <row r="411" spans="1:35" ht="12" customHeight="1">
      <c r="A411" s="12" t="s">
        <v>375</v>
      </c>
      <c r="B411" s="12"/>
      <c r="C411" s="12" t="s">
        <v>28</v>
      </c>
      <c r="D411" s="12"/>
      <c r="E411" s="32">
        <v>47076</v>
      </c>
      <c r="G411" s="8">
        <v>1164794</v>
      </c>
      <c r="I411" s="8">
        <v>373856</v>
      </c>
      <c r="K411" s="8">
        <v>0</v>
      </c>
      <c r="M411" s="8">
        <f>SUM(G411:L411)</f>
        <v>1538650</v>
      </c>
      <c r="O411" s="8">
        <f>1040509+110693</f>
        <v>1151202</v>
      </c>
      <c r="Q411" s="8">
        <v>453796</v>
      </c>
      <c r="S411" s="8">
        <v>1924427</v>
      </c>
      <c r="U411" s="8">
        <v>62981</v>
      </c>
      <c r="W411" s="8">
        <v>0</v>
      </c>
      <c r="Y411" s="8">
        <v>16319</v>
      </c>
      <c r="AA411" s="8">
        <v>5324</v>
      </c>
      <c r="AB411" s="39"/>
      <c r="AC411" s="8">
        <v>0</v>
      </c>
      <c r="AE411" s="8">
        <v>463</v>
      </c>
      <c r="AG411" s="8">
        <f>SUM(O411:AE411)</f>
        <v>3614512</v>
      </c>
      <c r="AH411" s="8"/>
      <c r="AI411" s="8">
        <f>+AG411+M411</f>
        <v>5153162</v>
      </c>
    </row>
    <row r="412" spans="1:35" ht="12" customHeight="1">
      <c r="A412" s="12" t="s">
        <v>353</v>
      </c>
      <c r="B412" s="12"/>
      <c r="C412" s="12" t="s">
        <v>25</v>
      </c>
      <c r="D412" s="12"/>
      <c r="E412" s="32">
        <v>46896</v>
      </c>
      <c r="G412" s="8">
        <v>4577839</v>
      </c>
      <c r="I412" s="8">
        <v>6298365</v>
      </c>
      <c r="K412" s="8">
        <v>44517</v>
      </c>
      <c r="M412" s="8">
        <f>SUM(G412:L412)</f>
        <v>10920721</v>
      </c>
      <c r="O412" s="8">
        <f>27592489+367422+13032040</f>
        <v>40991951</v>
      </c>
      <c r="Q412" s="8">
        <v>12722150</v>
      </c>
      <c r="S412" s="8">
        <v>44083762</v>
      </c>
      <c r="U412" s="8">
        <v>3798530</v>
      </c>
      <c r="W412" s="8">
        <v>0</v>
      </c>
      <c r="Y412" s="8">
        <v>0</v>
      </c>
      <c r="AA412" s="8">
        <v>378571</v>
      </c>
      <c r="AB412" s="39"/>
      <c r="AC412" s="8">
        <v>0</v>
      </c>
      <c r="AE412" s="8">
        <v>0</v>
      </c>
      <c r="AG412" s="8">
        <f>SUM(O412:AE412)</f>
        <v>101974964</v>
      </c>
      <c r="AH412" s="8"/>
      <c r="AI412" s="8">
        <f>+AG412+M412</f>
        <v>112895685</v>
      </c>
    </row>
    <row r="413" spans="1:35" s="8" customFormat="1" ht="12" customHeight="1">
      <c r="A413" s="13" t="s">
        <v>376</v>
      </c>
      <c r="B413" s="13"/>
      <c r="C413" s="13" t="s">
        <v>28</v>
      </c>
      <c r="D413" s="13"/>
      <c r="E413" s="13">
        <v>47084</v>
      </c>
      <c r="G413" s="8">
        <v>1081597</v>
      </c>
      <c r="I413" s="8">
        <v>1437193</v>
      </c>
      <c r="K413" s="8">
        <v>15924</v>
      </c>
      <c r="M413" s="8">
        <f t="shared" ref="M413:M448" si="21">SUM(G413:L413)</f>
        <v>2534714</v>
      </c>
      <c r="O413" s="8">
        <f>5919511+1049307</f>
        <v>6968818</v>
      </c>
      <c r="Q413" s="8">
        <v>0</v>
      </c>
      <c r="S413" s="8">
        <v>7010380</v>
      </c>
      <c r="U413" s="8">
        <v>305020</v>
      </c>
      <c r="W413" s="8">
        <v>0</v>
      </c>
      <c r="Y413" s="8">
        <v>658</v>
      </c>
      <c r="AA413" s="8">
        <v>174322</v>
      </c>
      <c r="AB413" s="39"/>
      <c r="AC413" s="8">
        <v>0</v>
      </c>
      <c r="AE413" s="8">
        <v>0</v>
      </c>
      <c r="AG413" s="8">
        <f t="shared" ref="AG413:AG480" si="22">SUM(O413:AE413)</f>
        <v>14459198</v>
      </c>
      <c r="AI413" s="8">
        <f t="shared" ref="AI413:AI480" si="23">+AG413+M413</f>
        <v>16993912</v>
      </c>
    </row>
    <row r="414" spans="1:35" ht="12" customHeight="1">
      <c r="A414" s="12" t="s">
        <v>548</v>
      </c>
      <c r="B414" s="12"/>
      <c r="C414" s="12" t="s">
        <v>48</v>
      </c>
      <c r="D414" s="12"/>
      <c r="E414" s="32">
        <v>44644</v>
      </c>
      <c r="G414" s="8">
        <v>646542</v>
      </c>
      <c r="I414" s="8">
        <v>2711846</v>
      </c>
      <c r="K414" s="8">
        <v>22757</v>
      </c>
      <c r="M414" s="8">
        <f t="shared" si="21"/>
        <v>3381145</v>
      </c>
      <c r="O414" s="8">
        <f>10045856+874031+1027335</f>
        <v>11947222</v>
      </c>
      <c r="Q414" s="8">
        <v>2260523</v>
      </c>
      <c r="S414" s="8">
        <v>14538480</v>
      </c>
      <c r="U414" s="8">
        <v>370748</v>
      </c>
      <c r="W414" s="8">
        <v>0</v>
      </c>
      <c r="Y414" s="8">
        <v>0</v>
      </c>
      <c r="AA414" s="8">
        <v>497499</v>
      </c>
      <c r="AB414" s="39"/>
      <c r="AC414" s="8">
        <v>0</v>
      </c>
      <c r="AE414" s="8">
        <v>0</v>
      </c>
      <c r="AG414" s="8">
        <f t="shared" si="22"/>
        <v>29614472</v>
      </c>
      <c r="AH414" s="8"/>
      <c r="AI414" s="8">
        <f t="shared" si="23"/>
        <v>32995617</v>
      </c>
    </row>
    <row r="415" spans="1:35" ht="12" hidden="1" customHeight="1">
      <c r="A415" s="12" t="s">
        <v>365</v>
      </c>
      <c r="B415" s="12"/>
      <c r="C415" s="12" t="s">
        <v>27</v>
      </c>
      <c r="D415" s="12"/>
      <c r="E415" s="32">
        <v>46995</v>
      </c>
      <c r="M415" s="8">
        <f t="shared" si="21"/>
        <v>0</v>
      </c>
      <c r="W415" s="8">
        <v>0</v>
      </c>
      <c r="Y415" s="8">
        <v>0</v>
      </c>
      <c r="AB415" s="39"/>
      <c r="AC415" s="8">
        <v>0</v>
      </c>
      <c r="AE415" s="8">
        <v>0</v>
      </c>
      <c r="AG415" s="8">
        <f t="shared" si="22"/>
        <v>0</v>
      </c>
      <c r="AH415" s="8"/>
      <c r="AI415" s="8">
        <f t="shared" si="23"/>
        <v>0</v>
      </c>
    </row>
    <row r="416" spans="1:35" ht="12" customHeight="1">
      <c r="A416" s="12"/>
      <c r="B416" s="12"/>
      <c r="C416" s="12"/>
      <c r="D416" s="12"/>
      <c r="E416" s="32"/>
      <c r="AB416" s="39"/>
      <c r="AH416" s="8"/>
    </row>
    <row r="417" spans="1:35" ht="12" customHeight="1">
      <c r="A417" s="12"/>
      <c r="B417" s="12"/>
      <c r="C417" s="12"/>
      <c r="D417" s="12"/>
      <c r="E417" s="32"/>
      <c r="AB417" s="39"/>
      <c r="AH417" s="8"/>
      <c r="AI417" s="8" t="s">
        <v>819</v>
      </c>
    </row>
    <row r="418" spans="1:35" s="35" customFormat="1" ht="12" customHeight="1">
      <c r="A418" s="34" t="s">
        <v>365</v>
      </c>
      <c r="B418" s="34"/>
      <c r="C418" s="34" t="s">
        <v>62</v>
      </c>
      <c r="D418" s="34"/>
      <c r="E418" s="34">
        <v>49932</v>
      </c>
      <c r="G418" s="35">
        <v>3081656</v>
      </c>
      <c r="I418" s="35">
        <v>6732661</v>
      </c>
      <c r="K418" s="35">
        <v>317866</v>
      </c>
      <c r="M418" s="35">
        <f t="shared" si="21"/>
        <v>10132183</v>
      </c>
      <c r="O418" s="35">
        <f>22603988+4083362</f>
        <v>26687350</v>
      </c>
      <c r="Q418" s="35">
        <v>0</v>
      </c>
      <c r="S418" s="35">
        <v>19484483</v>
      </c>
      <c r="U418" s="35">
        <v>933530</v>
      </c>
      <c r="W418" s="35">
        <v>0</v>
      </c>
      <c r="Y418" s="35">
        <v>0</v>
      </c>
      <c r="AA418" s="35">
        <v>48371</v>
      </c>
      <c r="AB418" s="46"/>
      <c r="AC418" s="35">
        <v>0</v>
      </c>
      <c r="AE418" s="35">
        <v>0</v>
      </c>
      <c r="AG418" s="35">
        <f t="shared" si="22"/>
        <v>47153734</v>
      </c>
      <c r="AI418" s="35">
        <f t="shared" si="23"/>
        <v>57285917</v>
      </c>
    </row>
    <row r="419" spans="1:35" ht="12" customHeight="1">
      <c r="A419" s="12" t="s">
        <v>528</v>
      </c>
      <c r="B419" s="12"/>
      <c r="C419" s="12" t="s">
        <v>46</v>
      </c>
      <c r="D419" s="12"/>
      <c r="E419" s="32">
        <v>48421</v>
      </c>
      <c r="G419" s="8">
        <v>2699226</v>
      </c>
      <c r="I419" s="8">
        <v>1190720</v>
      </c>
      <c r="K419" s="8">
        <v>15613</v>
      </c>
      <c r="M419" s="8">
        <f t="shared" si="21"/>
        <v>3905559</v>
      </c>
      <c r="O419" s="8">
        <f>4074325+311510</f>
        <v>4385835</v>
      </c>
      <c r="Q419" s="8">
        <v>0</v>
      </c>
      <c r="S419" s="8">
        <v>4839231</v>
      </c>
      <c r="U419" s="8">
        <v>251159</v>
      </c>
      <c r="W419" s="8">
        <v>0</v>
      </c>
      <c r="Y419" s="8">
        <v>0</v>
      </c>
      <c r="AA419" s="8">
        <v>65509</v>
      </c>
      <c r="AB419" s="39"/>
      <c r="AC419" s="8">
        <v>0</v>
      </c>
      <c r="AE419" s="8">
        <v>0</v>
      </c>
      <c r="AG419" s="8">
        <f t="shared" si="22"/>
        <v>9541734</v>
      </c>
      <c r="AH419" s="8"/>
      <c r="AI419" s="8">
        <f t="shared" si="23"/>
        <v>13447293</v>
      </c>
    </row>
    <row r="420" spans="1:35" ht="12" customHeight="1">
      <c r="A420" s="12" t="s">
        <v>619</v>
      </c>
      <c r="B420" s="12"/>
      <c r="C420" s="12" t="s">
        <v>113</v>
      </c>
      <c r="D420" s="12"/>
      <c r="E420" s="32">
        <v>49460</v>
      </c>
      <c r="G420" s="8">
        <v>714153</v>
      </c>
      <c r="I420" s="8">
        <v>1491035</v>
      </c>
      <c r="K420" s="8">
        <v>6199</v>
      </c>
      <c r="M420" s="8">
        <f t="shared" si="21"/>
        <v>2211387</v>
      </c>
      <c r="O420" s="8">
        <f>1661088+25986+134516</f>
        <v>1821590</v>
      </c>
      <c r="Q420" s="8">
        <v>776972</v>
      </c>
      <c r="S420" s="8">
        <v>4740904</v>
      </c>
      <c r="U420" s="8">
        <v>271728</v>
      </c>
      <c r="W420" s="8">
        <v>0</v>
      </c>
      <c r="Y420" s="8">
        <v>0</v>
      </c>
      <c r="AA420" s="8">
        <v>28300</v>
      </c>
      <c r="AB420" s="39"/>
      <c r="AC420" s="8">
        <v>0</v>
      </c>
      <c r="AE420" s="8">
        <v>0</v>
      </c>
      <c r="AG420" s="8">
        <f t="shared" si="22"/>
        <v>7639494</v>
      </c>
      <c r="AH420" s="8"/>
      <c r="AI420" s="8">
        <f t="shared" si="23"/>
        <v>9850881</v>
      </c>
    </row>
    <row r="421" spans="1:35" ht="12" customHeight="1">
      <c r="A421" s="12" t="s">
        <v>520</v>
      </c>
      <c r="B421" s="12"/>
      <c r="C421" s="12" t="s">
        <v>45</v>
      </c>
      <c r="D421" s="12"/>
      <c r="E421" s="32">
        <v>48348</v>
      </c>
      <c r="G421" s="8">
        <v>1172305</v>
      </c>
      <c r="I421" s="8">
        <v>1517372</v>
      </c>
      <c r="K421" s="8">
        <v>31357</v>
      </c>
      <c r="M421" s="8">
        <f t="shared" si="21"/>
        <v>2721034</v>
      </c>
      <c r="O421" s="8">
        <f>11219595+604911+442509</f>
        <v>12267015</v>
      </c>
      <c r="Q421" s="8">
        <v>0</v>
      </c>
      <c r="S421" s="8">
        <v>6495781</v>
      </c>
      <c r="U421" s="8">
        <v>248237</v>
      </c>
      <c r="W421" s="8">
        <v>0</v>
      </c>
      <c r="Y421" s="8">
        <v>0</v>
      </c>
      <c r="AA421" s="8">
        <v>44664</v>
      </c>
      <c r="AB421" s="39"/>
      <c r="AC421" s="8">
        <v>0</v>
      </c>
      <c r="AE421" s="8">
        <v>0</v>
      </c>
      <c r="AG421" s="8">
        <f t="shared" si="22"/>
        <v>19055697</v>
      </c>
      <c r="AH421" s="8"/>
      <c r="AI421" s="8">
        <f t="shared" si="23"/>
        <v>21776731</v>
      </c>
    </row>
    <row r="422" spans="1:35" ht="12" customHeight="1">
      <c r="A422" s="12" t="s">
        <v>582</v>
      </c>
      <c r="B422" s="12"/>
      <c r="C422" s="12" t="s">
        <v>53</v>
      </c>
      <c r="D422" s="12"/>
      <c r="E422" s="32">
        <v>44651</v>
      </c>
      <c r="G422" s="8">
        <v>926905</v>
      </c>
      <c r="I422" s="8">
        <v>1736898</v>
      </c>
      <c r="K422" s="8">
        <v>109068</v>
      </c>
      <c r="M422" s="8">
        <f t="shared" si="21"/>
        <v>2772871</v>
      </c>
      <c r="O422" s="8">
        <f>13968431+398846+235332</f>
        <v>14602609</v>
      </c>
      <c r="Q422" s="8">
        <v>0</v>
      </c>
      <c r="S422" s="8">
        <v>5819569</v>
      </c>
      <c r="U422" s="8">
        <v>384466</v>
      </c>
      <c r="W422" s="8">
        <v>0</v>
      </c>
      <c r="Y422" s="8">
        <v>0</v>
      </c>
      <c r="AA422" s="8">
        <v>116237</v>
      </c>
      <c r="AB422" s="39"/>
      <c r="AC422" s="8">
        <v>0</v>
      </c>
      <c r="AE422" s="8">
        <v>0</v>
      </c>
      <c r="AG422" s="8">
        <f t="shared" si="22"/>
        <v>20922881</v>
      </c>
      <c r="AH422" s="8"/>
      <c r="AI422" s="8">
        <f t="shared" si="23"/>
        <v>23695752</v>
      </c>
    </row>
    <row r="423" spans="1:35" ht="12" customHeight="1">
      <c r="A423" s="12" t="s">
        <v>636</v>
      </c>
      <c r="B423" s="12"/>
      <c r="C423" s="12" t="s">
        <v>59</v>
      </c>
      <c r="D423" s="12"/>
      <c r="E423" s="32">
        <v>44669</v>
      </c>
      <c r="G423" s="8">
        <v>1139149</v>
      </c>
      <c r="I423" s="8">
        <v>6290703</v>
      </c>
      <c r="K423" s="8">
        <v>81352</v>
      </c>
      <c r="M423" s="8">
        <f t="shared" si="21"/>
        <v>7511204</v>
      </c>
      <c r="O423" s="8">
        <f>4614506+1270249+84971</f>
        <v>5969726</v>
      </c>
      <c r="Q423" s="8">
        <v>0</v>
      </c>
      <c r="S423" s="8">
        <v>16535835</v>
      </c>
      <c r="U423" s="8">
        <v>228426</v>
      </c>
      <c r="W423" s="8">
        <v>0</v>
      </c>
      <c r="Y423" s="8">
        <v>7276</v>
      </c>
      <c r="AA423" s="8">
        <v>140770</v>
      </c>
      <c r="AB423" s="39"/>
      <c r="AC423" s="8">
        <v>0</v>
      </c>
      <c r="AE423" s="8">
        <v>51962</v>
      </c>
      <c r="AG423" s="8">
        <f t="shared" si="22"/>
        <v>22933995</v>
      </c>
      <c r="AH423" s="8"/>
      <c r="AI423" s="8">
        <f t="shared" si="23"/>
        <v>30445199</v>
      </c>
    </row>
    <row r="424" spans="1:35" ht="12" hidden="1" customHeight="1">
      <c r="A424" s="12" t="s">
        <v>605</v>
      </c>
      <c r="B424" s="12"/>
      <c r="C424" s="12" t="s">
        <v>57</v>
      </c>
      <c r="D424" s="12"/>
      <c r="E424" s="32">
        <v>49288</v>
      </c>
      <c r="G424" s="8">
        <v>0</v>
      </c>
      <c r="I424" s="8">
        <v>0</v>
      </c>
      <c r="K424" s="8">
        <v>0</v>
      </c>
      <c r="M424" s="8">
        <f t="shared" si="21"/>
        <v>0</v>
      </c>
      <c r="O424" s="8">
        <v>0</v>
      </c>
      <c r="Q424" s="8">
        <v>0</v>
      </c>
      <c r="S424" s="8">
        <v>0</v>
      </c>
      <c r="U424" s="8">
        <v>0</v>
      </c>
      <c r="W424" s="8">
        <v>0</v>
      </c>
      <c r="Y424" s="8">
        <v>0</v>
      </c>
      <c r="AA424" s="8">
        <v>0</v>
      </c>
      <c r="AB424" s="39"/>
      <c r="AC424" s="8">
        <v>0</v>
      </c>
      <c r="AE424" s="8">
        <v>0</v>
      </c>
      <c r="AG424" s="8">
        <f t="shared" si="22"/>
        <v>0</v>
      </c>
      <c r="AH424" s="8"/>
      <c r="AI424" s="8">
        <f t="shared" si="23"/>
        <v>0</v>
      </c>
    </row>
    <row r="425" spans="1:35" ht="12" customHeight="1">
      <c r="A425" s="12" t="s">
        <v>410</v>
      </c>
      <c r="B425" s="12"/>
      <c r="C425" s="12" t="s">
        <v>32</v>
      </c>
      <c r="D425" s="12"/>
      <c r="E425" s="32">
        <v>44677</v>
      </c>
      <c r="G425" s="8">
        <v>3013728</v>
      </c>
      <c r="I425" s="8">
        <v>6008920</v>
      </c>
      <c r="K425" s="8">
        <v>26979</v>
      </c>
      <c r="M425" s="8">
        <f t="shared" si="21"/>
        <v>9049627</v>
      </c>
      <c r="O425" s="8">
        <f>45265298+4766604</f>
        <v>50031902</v>
      </c>
      <c r="Q425" s="8">
        <v>0</v>
      </c>
      <c r="S425" s="8">
        <v>18864593</v>
      </c>
      <c r="U425" s="8">
        <v>1996557</v>
      </c>
      <c r="W425" s="8">
        <v>556594</v>
      </c>
      <c r="Y425" s="8">
        <v>16050</v>
      </c>
      <c r="AA425" s="8">
        <v>522171</v>
      </c>
      <c r="AB425" s="39"/>
      <c r="AC425" s="8">
        <v>0</v>
      </c>
      <c r="AE425" s="8">
        <v>0</v>
      </c>
      <c r="AG425" s="8">
        <f t="shared" si="22"/>
        <v>71987867</v>
      </c>
      <c r="AH425" s="8"/>
      <c r="AI425" s="8">
        <f t="shared" si="23"/>
        <v>81037494</v>
      </c>
    </row>
    <row r="426" spans="1:35" ht="12" customHeight="1">
      <c r="A426" s="12" t="s">
        <v>224</v>
      </c>
      <c r="B426" s="12"/>
      <c r="C426" s="12" t="s">
        <v>12</v>
      </c>
      <c r="D426" s="12"/>
      <c r="E426" s="32">
        <v>45880</v>
      </c>
      <c r="G426" s="8">
        <v>580242</v>
      </c>
      <c r="I426" s="8">
        <v>821952</v>
      </c>
      <c r="K426" s="8">
        <v>1789127</v>
      </c>
      <c r="M426" s="8">
        <f t="shared" si="21"/>
        <v>3191321</v>
      </c>
      <c r="O426" s="8">
        <f>3295464+583855+47690</f>
        <v>3927009</v>
      </c>
      <c r="Q426" s="8">
        <v>0</v>
      </c>
      <c r="S426" s="8">
        <v>7647244</v>
      </c>
      <c r="U426" s="8">
        <v>204386</v>
      </c>
      <c r="W426" s="8">
        <v>0</v>
      </c>
      <c r="Y426" s="8">
        <v>0</v>
      </c>
      <c r="AA426" s="8">
        <v>49561</v>
      </c>
      <c r="AB426" s="39"/>
      <c r="AC426" s="8">
        <v>0</v>
      </c>
      <c r="AE426" s="8">
        <v>0</v>
      </c>
      <c r="AG426" s="8">
        <f t="shared" si="22"/>
        <v>11828200</v>
      </c>
      <c r="AH426" s="8"/>
      <c r="AI426" s="8">
        <f t="shared" si="23"/>
        <v>15019521</v>
      </c>
    </row>
    <row r="427" spans="1:35" ht="12" customHeight="1">
      <c r="A427" s="12" t="s">
        <v>903</v>
      </c>
      <c r="B427" s="12"/>
      <c r="C427" s="12" t="s">
        <v>56</v>
      </c>
      <c r="D427" s="12"/>
      <c r="E427" s="32"/>
      <c r="G427" s="8">
        <v>1749811</v>
      </c>
      <c r="I427" s="8">
        <v>3179105</v>
      </c>
      <c r="K427" s="8">
        <v>218983</v>
      </c>
      <c r="M427" s="8">
        <f t="shared" si="21"/>
        <v>5147899</v>
      </c>
      <c r="O427" s="8">
        <f>11026320+936899+283675</f>
        <v>12246894</v>
      </c>
      <c r="Q427" s="8">
        <v>0</v>
      </c>
      <c r="S427" s="8">
        <v>15192016</v>
      </c>
      <c r="U427" s="8">
        <v>1384577</v>
      </c>
      <c r="W427" s="8">
        <v>0</v>
      </c>
      <c r="Y427" s="8">
        <v>0</v>
      </c>
      <c r="AA427" s="8">
        <v>366462</v>
      </c>
      <c r="AB427" s="39"/>
      <c r="AC427" s="8">
        <v>0</v>
      </c>
      <c r="AE427" s="8">
        <v>0</v>
      </c>
      <c r="AG427" s="8">
        <f t="shared" si="22"/>
        <v>29189949</v>
      </c>
      <c r="AH427" s="8"/>
      <c r="AI427" s="8">
        <f t="shared" si="23"/>
        <v>34337848</v>
      </c>
    </row>
    <row r="428" spans="1:35" s="8" customFormat="1" ht="12" customHeight="1">
      <c r="A428" s="13" t="s">
        <v>411</v>
      </c>
      <c r="B428" s="13"/>
      <c r="C428" s="13" t="s">
        <v>32</v>
      </c>
      <c r="D428" s="13"/>
      <c r="E428" s="13">
        <v>44693</v>
      </c>
      <c r="G428" s="8">
        <v>816238</v>
      </c>
      <c r="I428" s="8">
        <v>2065487</v>
      </c>
      <c r="K428" s="8">
        <v>0</v>
      </c>
      <c r="M428" s="8">
        <f t="shared" si="21"/>
        <v>2881725</v>
      </c>
      <c r="O428" s="8">
        <v>7468812</v>
      </c>
      <c r="Q428" s="8">
        <v>0</v>
      </c>
      <c r="S428" s="8">
        <v>4527940</v>
      </c>
      <c r="U428" s="8">
        <v>145222</v>
      </c>
      <c r="W428" s="8">
        <v>0</v>
      </c>
      <c r="Y428" s="8">
        <v>11695</v>
      </c>
      <c r="AA428" s="8">
        <v>69007</v>
      </c>
      <c r="AB428" s="39"/>
      <c r="AC428" s="8">
        <v>0</v>
      </c>
      <c r="AE428" s="8">
        <v>0</v>
      </c>
      <c r="AG428" s="8">
        <f t="shared" si="22"/>
        <v>12222676</v>
      </c>
      <c r="AI428" s="8">
        <f t="shared" si="23"/>
        <v>15104401</v>
      </c>
    </row>
    <row r="429" spans="1:35" ht="12" customHeight="1">
      <c r="A429" s="12" t="s">
        <v>675</v>
      </c>
      <c r="B429" s="12"/>
      <c r="C429" s="12" t="s">
        <v>63</v>
      </c>
      <c r="D429" s="12"/>
      <c r="E429" s="32">
        <v>50054</v>
      </c>
      <c r="G429" s="8">
        <v>1168150</v>
      </c>
      <c r="I429" s="8">
        <v>1297502</v>
      </c>
      <c r="K429" s="8">
        <v>0</v>
      </c>
      <c r="M429" s="8">
        <f t="shared" si="21"/>
        <v>2465652</v>
      </c>
      <c r="O429" s="8">
        <f>21994703+1221019+1129751</f>
        <v>24345473</v>
      </c>
      <c r="Q429" s="8">
        <v>0</v>
      </c>
      <c r="S429" s="8">
        <v>6454044</v>
      </c>
      <c r="U429" s="8">
        <v>861222</v>
      </c>
      <c r="W429" s="8">
        <v>0</v>
      </c>
      <c r="Y429" s="8">
        <v>0</v>
      </c>
      <c r="AA429" s="8">
        <v>44155</v>
      </c>
      <c r="AB429" s="39"/>
      <c r="AC429" s="8">
        <v>0</v>
      </c>
      <c r="AE429" s="8">
        <v>0</v>
      </c>
      <c r="AG429" s="8">
        <f t="shared" si="22"/>
        <v>31704894</v>
      </c>
      <c r="AH429" s="8"/>
      <c r="AI429" s="8">
        <f t="shared" si="23"/>
        <v>34170546</v>
      </c>
    </row>
    <row r="430" spans="1:35" ht="12" customHeight="1">
      <c r="A430" s="12" t="s">
        <v>366</v>
      </c>
      <c r="B430" s="12"/>
      <c r="C430" s="12" t="s">
        <v>27</v>
      </c>
      <c r="D430" s="12"/>
      <c r="E430" s="32">
        <v>47001</v>
      </c>
      <c r="G430" s="8">
        <v>2668238</v>
      </c>
      <c r="I430" s="8">
        <v>6978920</v>
      </c>
      <c r="K430" s="8">
        <v>35190</v>
      </c>
      <c r="M430" s="8">
        <f t="shared" si="21"/>
        <v>9682348</v>
      </c>
      <c r="O430" s="8">
        <f>15986770+4655567+869178</f>
        <v>21511515</v>
      </c>
      <c r="Q430" s="8">
        <v>4796887</v>
      </c>
      <c r="S430" s="8">
        <v>27537453</v>
      </c>
      <c r="U430" s="8">
        <v>1036306</v>
      </c>
      <c r="W430" s="8">
        <v>0</v>
      </c>
      <c r="Y430" s="8">
        <v>0</v>
      </c>
      <c r="AA430" s="8">
        <v>703596</v>
      </c>
      <c r="AB430" s="39"/>
      <c r="AC430" s="8">
        <v>0</v>
      </c>
      <c r="AE430" s="8">
        <v>0</v>
      </c>
      <c r="AG430" s="8">
        <f t="shared" si="22"/>
        <v>55585757</v>
      </c>
      <c r="AH430" s="8"/>
      <c r="AI430" s="8">
        <f t="shared" si="23"/>
        <v>65268105</v>
      </c>
    </row>
    <row r="431" spans="1:35" ht="12" hidden="1" customHeight="1">
      <c r="A431" s="12" t="s">
        <v>322</v>
      </c>
      <c r="B431" s="12"/>
      <c r="C431" s="12" t="s">
        <v>20</v>
      </c>
      <c r="D431" s="12"/>
      <c r="E431" s="32">
        <v>46599</v>
      </c>
      <c r="K431" s="8">
        <v>0</v>
      </c>
      <c r="M431" s="8">
        <f t="shared" si="21"/>
        <v>0</v>
      </c>
      <c r="Q431" s="8">
        <v>0</v>
      </c>
      <c r="W431" s="8">
        <v>0</v>
      </c>
      <c r="Y431" s="8">
        <v>0</v>
      </c>
      <c r="AB431" s="39"/>
      <c r="AC431" s="8">
        <v>0</v>
      </c>
      <c r="AE431" s="8">
        <v>0</v>
      </c>
      <c r="AG431" s="8">
        <f t="shared" si="22"/>
        <v>0</v>
      </c>
      <c r="AH431" s="8"/>
      <c r="AI431" s="8">
        <f t="shared" si="23"/>
        <v>0</v>
      </c>
    </row>
    <row r="432" spans="1:35" ht="12" customHeight="1">
      <c r="A432" s="12" t="s">
        <v>529</v>
      </c>
      <c r="B432" s="12"/>
      <c r="C432" s="12" t="s">
        <v>46</v>
      </c>
      <c r="D432" s="12"/>
      <c r="E432" s="32">
        <v>48439</v>
      </c>
      <c r="G432" s="8">
        <v>1758500</v>
      </c>
      <c r="I432" s="8">
        <v>810642</v>
      </c>
      <c r="K432" s="8">
        <v>10670</v>
      </c>
      <c r="M432" s="8">
        <f t="shared" si="21"/>
        <v>2579812</v>
      </c>
      <c r="O432" s="8">
        <v>2547223</v>
      </c>
      <c r="Q432" s="8">
        <v>0</v>
      </c>
      <c r="S432" s="8">
        <v>3531393</v>
      </c>
      <c r="U432" s="8">
        <v>78484</v>
      </c>
      <c r="W432" s="8">
        <v>0</v>
      </c>
      <c r="Y432" s="8">
        <v>0</v>
      </c>
      <c r="AA432" s="8">
        <v>40395</v>
      </c>
      <c r="AB432" s="39"/>
      <c r="AC432" s="8">
        <v>0</v>
      </c>
      <c r="AE432" s="8">
        <v>0</v>
      </c>
      <c r="AG432" s="8">
        <f t="shared" si="22"/>
        <v>6197495</v>
      </c>
      <c r="AH432" s="8"/>
      <c r="AI432" s="8">
        <f t="shared" si="23"/>
        <v>8777307</v>
      </c>
    </row>
    <row r="433" spans="1:35" ht="12" customHeight="1">
      <c r="A433" s="12" t="s">
        <v>429</v>
      </c>
      <c r="B433" s="12"/>
      <c r="C433" s="12" t="s">
        <v>426</v>
      </c>
      <c r="D433" s="12"/>
      <c r="E433" s="32">
        <v>47506</v>
      </c>
      <c r="G433" s="8">
        <v>513524</v>
      </c>
      <c r="I433" s="8">
        <v>404682</v>
      </c>
      <c r="K433" s="8">
        <v>0</v>
      </c>
      <c r="M433" s="8">
        <f t="shared" si="21"/>
        <v>918206</v>
      </c>
      <c r="O433" s="8">
        <f>988113+176583</f>
        <v>1164696</v>
      </c>
      <c r="Q433" s="8">
        <v>521184</v>
      </c>
      <c r="S433" s="8">
        <v>2711562</v>
      </c>
      <c r="U433" s="8">
        <v>70951</v>
      </c>
      <c r="W433" s="8">
        <v>0</v>
      </c>
      <c r="Y433" s="8">
        <v>0</v>
      </c>
      <c r="AA433" s="8">
        <f>16365</f>
        <v>16365</v>
      </c>
      <c r="AB433" s="39"/>
      <c r="AC433" s="8">
        <v>-38000</v>
      </c>
      <c r="AE433" s="8">
        <v>420</v>
      </c>
      <c r="AG433" s="8">
        <f t="shared" si="22"/>
        <v>4447178</v>
      </c>
      <c r="AH433" s="8"/>
      <c r="AI433" s="8">
        <f t="shared" si="23"/>
        <v>5365384</v>
      </c>
    </row>
    <row r="434" spans="1:35" ht="12" customHeight="1">
      <c r="A434" s="12" t="s">
        <v>292</v>
      </c>
      <c r="B434" s="12"/>
      <c r="C434" s="12" t="s">
        <v>19</v>
      </c>
      <c r="D434" s="12"/>
      <c r="E434" s="32">
        <v>46474</v>
      </c>
      <c r="G434" s="8">
        <v>793259</v>
      </c>
      <c r="I434" s="8">
        <v>1755310</v>
      </c>
      <c r="K434" s="8">
        <v>13625</v>
      </c>
      <c r="M434" s="8">
        <f t="shared" si="21"/>
        <v>2562194</v>
      </c>
      <c r="O434" s="8">
        <f>2476105+380362+46252</f>
        <v>2902719</v>
      </c>
      <c r="Q434" s="8">
        <v>0</v>
      </c>
      <c r="S434" s="8">
        <v>7065242</v>
      </c>
      <c r="U434" s="8">
        <v>171510</v>
      </c>
      <c r="W434" s="8">
        <v>0</v>
      </c>
      <c r="Y434" s="8">
        <v>0</v>
      </c>
      <c r="AA434" s="8">
        <v>14811</v>
      </c>
      <c r="AB434" s="39"/>
      <c r="AC434" s="8">
        <v>0</v>
      </c>
      <c r="AE434" s="8">
        <v>-339466</v>
      </c>
      <c r="AG434" s="8">
        <f t="shared" si="22"/>
        <v>9814816</v>
      </c>
      <c r="AH434" s="8"/>
      <c r="AI434" s="8">
        <f t="shared" si="23"/>
        <v>12377010</v>
      </c>
    </row>
    <row r="435" spans="1:35" ht="12" customHeight="1">
      <c r="A435" s="12" t="s">
        <v>904</v>
      </c>
      <c r="B435" s="12"/>
      <c r="C435" s="12" t="s">
        <v>77</v>
      </c>
      <c r="D435" s="12"/>
      <c r="E435" s="32">
        <v>46078</v>
      </c>
      <c r="G435" s="8">
        <v>668359</v>
      </c>
      <c r="I435" s="8">
        <v>2307501</v>
      </c>
      <c r="K435" s="8">
        <v>9000</v>
      </c>
      <c r="M435" s="8">
        <f t="shared" si="21"/>
        <v>2984860</v>
      </c>
      <c r="O435" s="8">
        <f>1934833+37591+531986</f>
        <v>2504410</v>
      </c>
      <c r="Q435" s="8">
        <v>0</v>
      </c>
      <c r="S435" s="8">
        <v>6685081</v>
      </c>
      <c r="U435" s="8">
        <v>156360</v>
      </c>
      <c r="W435" s="8">
        <v>0</v>
      </c>
      <c r="Y435" s="8">
        <v>2525</v>
      </c>
      <c r="AA435" s="8">
        <f>1020+142093</f>
        <v>143113</v>
      </c>
      <c r="AB435" s="39"/>
      <c r="AC435" s="8">
        <v>0</v>
      </c>
      <c r="AE435" s="8">
        <v>290000</v>
      </c>
      <c r="AG435" s="8">
        <f t="shared" si="22"/>
        <v>9781489</v>
      </c>
      <c r="AH435" s="8"/>
      <c r="AI435" s="8">
        <f t="shared" si="23"/>
        <v>12766349</v>
      </c>
    </row>
    <row r="436" spans="1:35" ht="12" customHeight="1">
      <c r="A436" s="12" t="s">
        <v>730</v>
      </c>
      <c r="B436" s="12"/>
      <c r="C436" s="12" t="s">
        <v>71</v>
      </c>
      <c r="D436" s="12"/>
      <c r="E436" s="32">
        <v>45591</v>
      </c>
      <c r="G436" s="8">
        <v>543857</v>
      </c>
      <c r="I436" s="8">
        <v>1099391</v>
      </c>
      <c r="K436" s="8">
        <v>59916</v>
      </c>
      <c r="M436" s="8">
        <f t="shared" si="21"/>
        <v>1703164</v>
      </c>
      <c r="O436" s="8">
        <f>3024109+553048+201640</f>
        <v>3778797</v>
      </c>
      <c r="Q436" s="8">
        <v>0</v>
      </c>
      <c r="S436" s="8">
        <v>4843867</v>
      </c>
      <c r="U436" s="8">
        <v>232656</v>
      </c>
      <c r="W436" s="8">
        <v>0</v>
      </c>
      <c r="Y436" s="8">
        <v>0</v>
      </c>
      <c r="AA436" s="8">
        <v>132554</v>
      </c>
      <c r="AB436" s="39"/>
      <c r="AC436" s="8">
        <v>0</v>
      </c>
      <c r="AE436" s="8">
        <v>0</v>
      </c>
      <c r="AG436" s="8">
        <f t="shared" si="22"/>
        <v>8987874</v>
      </c>
      <c r="AH436" s="8"/>
      <c r="AI436" s="8">
        <f t="shared" si="23"/>
        <v>10691038</v>
      </c>
    </row>
    <row r="437" spans="1:35" ht="12" customHeight="1">
      <c r="A437" s="12" t="s">
        <v>530</v>
      </c>
      <c r="B437" s="12"/>
      <c r="C437" s="12" t="s">
        <v>46</v>
      </c>
      <c r="D437" s="12"/>
      <c r="E437" s="32">
        <v>48447</v>
      </c>
      <c r="G437" s="8">
        <v>3113807</v>
      </c>
      <c r="I437" s="8">
        <v>1363308</v>
      </c>
      <c r="K437" s="8">
        <v>28774</v>
      </c>
      <c r="M437" s="8">
        <f t="shared" si="21"/>
        <v>4505889</v>
      </c>
      <c r="O437" s="8">
        <f>6153272+100326+1228974</f>
        <v>7482572</v>
      </c>
      <c r="Q437" s="8">
        <v>0</v>
      </c>
      <c r="S437" s="8">
        <v>6242739</v>
      </c>
      <c r="U437" s="8">
        <v>273838</v>
      </c>
      <c r="W437" s="8">
        <v>947459</v>
      </c>
      <c r="Y437" s="8">
        <v>0</v>
      </c>
      <c r="AA437" s="8">
        <v>346244</v>
      </c>
      <c r="AB437" s="39"/>
      <c r="AC437" s="8">
        <v>0</v>
      </c>
      <c r="AE437" s="8">
        <v>0</v>
      </c>
      <c r="AG437" s="8">
        <f t="shared" si="22"/>
        <v>15292852</v>
      </c>
      <c r="AH437" s="8"/>
      <c r="AI437" s="8">
        <f t="shared" si="23"/>
        <v>19798741</v>
      </c>
    </row>
    <row r="438" spans="1:35" s="8" customFormat="1" ht="12" customHeight="1">
      <c r="A438" s="13" t="s">
        <v>293</v>
      </c>
      <c r="B438" s="13"/>
      <c r="C438" s="13" t="s">
        <v>19</v>
      </c>
      <c r="D438" s="13"/>
      <c r="E438" s="13">
        <v>46482</v>
      </c>
      <c r="G438" s="8">
        <v>1295728</v>
      </c>
      <c r="I438" s="8">
        <v>2997965</v>
      </c>
      <c r="K438" s="8">
        <v>333927</v>
      </c>
      <c r="M438" s="8">
        <f t="shared" si="21"/>
        <v>4627620</v>
      </c>
      <c r="O438" s="8">
        <f>7772349+448155</f>
        <v>8220504</v>
      </c>
      <c r="Q438" s="8">
        <v>0</v>
      </c>
      <c r="S438" s="8">
        <v>9564056</v>
      </c>
      <c r="U438" s="8">
        <v>274909</v>
      </c>
      <c r="W438" s="8">
        <v>0</v>
      </c>
      <c r="Y438" s="8">
        <v>0</v>
      </c>
      <c r="AA438" s="8">
        <v>238299</v>
      </c>
      <c r="AB438" s="39"/>
      <c r="AC438" s="8">
        <v>0</v>
      </c>
      <c r="AE438" s="8">
        <v>0</v>
      </c>
      <c r="AG438" s="8">
        <f t="shared" si="22"/>
        <v>18297768</v>
      </c>
      <c r="AI438" s="8">
        <f t="shared" si="23"/>
        <v>22925388</v>
      </c>
    </row>
    <row r="439" spans="1:35" ht="12" customHeight="1">
      <c r="A439" s="12" t="s">
        <v>430</v>
      </c>
      <c r="B439" s="12"/>
      <c r="C439" s="12" t="s">
        <v>426</v>
      </c>
      <c r="D439" s="12"/>
      <c r="E439" s="32">
        <v>47514</v>
      </c>
      <c r="G439" s="8">
        <v>711047</v>
      </c>
      <c r="I439" s="8">
        <v>1091045</v>
      </c>
      <c r="K439" s="8">
        <v>0</v>
      </c>
      <c r="M439" s="8">
        <f t="shared" si="21"/>
        <v>1802092</v>
      </c>
      <c r="O439" s="8">
        <f>1921966+434456+38716</f>
        <v>2395138</v>
      </c>
      <c r="Q439" s="8">
        <v>1128866</v>
      </c>
      <c r="S439" s="8">
        <v>5315669</v>
      </c>
      <c r="U439" s="8">
        <v>234691</v>
      </c>
      <c r="W439" s="8">
        <v>0</v>
      </c>
      <c r="Y439" s="8">
        <v>0</v>
      </c>
      <c r="AA439" s="8">
        <f>117671+1712</f>
        <v>119383</v>
      </c>
      <c r="AB439" s="39"/>
      <c r="AC439" s="8">
        <v>0</v>
      </c>
      <c r="AE439" s="8">
        <v>0</v>
      </c>
      <c r="AG439" s="8">
        <f t="shared" si="22"/>
        <v>9193747</v>
      </c>
      <c r="AH439" s="8"/>
      <c r="AI439" s="8">
        <f t="shared" si="23"/>
        <v>10995839</v>
      </c>
    </row>
    <row r="440" spans="1:35" ht="12" customHeight="1">
      <c r="A440" s="12" t="s">
        <v>488</v>
      </c>
      <c r="B440" s="12"/>
      <c r="C440" s="12" t="s">
        <v>41</v>
      </c>
      <c r="D440" s="12"/>
      <c r="E440" s="32"/>
      <c r="G440" s="8">
        <v>2137043</v>
      </c>
      <c r="I440" s="8">
        <v>2052216</v>
      </c>
      <c r="K440" s="8">
        <v>0</v>
      </c>
      <c r="M440" s="8">
        <f t="shared" si="21"/>
        <v>4189259</v>
      </c>
      <c r="O440" s="8">
        <f>26824465+700937+1349425</f>
        <v>28874827</v>
      </c>
      <c r="Q440" s="8">
        <v>0</v>
      </c>
      <c r="S440" s="8">
        <v>11267142</v>
      </c>
      <c r="U440" s="8">
        <v>509191</v>
      </c>
      <c r="W440" s="8">
        <v>0</v>
      </c>
      <c r="Y440" s="8">
        <v>0</v>
      </c>
      <c r="AA440" s="8">
        <v>25371</v>
      </c>
      <c r="AB440" s="39"/>
      <c r="AC440" s="8">
        <v>-30800</v>
      </c>
      <c r="AE440" s="8">
        <v>0</v>
      </c>
      <c r="AG440" s="8">
        <f t="shared" si="22"/>
        <v>40645731</v>
      </c>
      <c r="AH440" s="8"/>
      <c r="AI440" s="8">
        <f t="shared" si="23"/>
        <v>44834990</v>
      </c>
    </row>
    <row r="441" spans="1:35" ht="12" customHeight="1">
      <c r="A441" s="12" t="s">
        <v>488</v>
      </c>
      <c r="B441" s="12"/>
      <c r="C441" s="12" t="s">
        <v>43</v>
      </c>
      <c r="D441" s="12"/>
      <c r="E441" s="32">
        <v>48090</v>
      </c>
      <c r="G441" s="8">
        <v>947888</v>
      </c>
      <c r="I441" s="8">
        <v>766954</v>
      </c>
      <c r="K441" s="8">
        <v>2738</v>
      </c>
      <c r="M441" s="8">
        <f t="shared" si="21"/>
        <v>1717580</v>
      </c>
      <c r="O441" s="8">
        <f>1134161+229212+74144+21126</f>
        <v>1458643</v>
      </c>
      <c r="Q441" s="8">
        <v>538281</v>
      </c>
      <c r="S441" s="8">
        <v>3743060</v>
      </c>
      <c r="U441" s="8">
        <v>75977</v>
      </c>
      <c r="W441" s="8">
        <v>0</v>
      </c>
      <c r="Y441" s="8">
        <v>0</v>
      </c>
      <c r="AA441" s="8">
        <v>19228</v>
      </c>
      <c r="AB441" s="39"/>
      <c r="AC441" s="8">
        <v>0</v>
      </c>
      <c r="AE441" s="8">
        <v>0</v>
      </c>
      <c r="AG441" s="8">
        <f t="shared" si="22"/>
        <v>5835189</v>
      </c>
      <c r="AH441" s="8"/>
      <c r="AI441" s="8">
        <f t="shared" si="23"/>
        <v>7552769</v>
      </c>
    </row>
    <row r="442" spans="1:35" ht="12" customHeight="1">
      <c r="A442" s="12" t="s">
        <v>475</v>
      </c>
      <c r="B442" s="12"/>
      <c r="C442" s="12" t="s">
        <v>471</v>
      </c>
      <c r="D442" s="12"/>
      <c r="E442" s="32">
        <v>47944</v>
      </c>
      <c r="G442" s="8">
        <v>536092</v>
      </c>
      <c r="I442" s="8">
        <v>4768894</v>
      </c>
      <c r="K442" s="8">
        <v>33788</v>
      </c>
      <c r="M442" s="8">
        <f t="shared" si="21"/>
        <v>5338774</v>
      </c>
      <c r="O442" s="8">
        <f>2197407+41928</f>
        <v>2239335</v>
      </c>
      <c r="Q442" s="8">
        <v>0</v>
      </c>
      <c r="S442" s="8">
        <v>11297927</v>
      </c>
      <c r="U442" s="8">
        <v>174919</v>
      </c>
      <c r="W442" s="8">
        <v>573500</v>
      </c>
      <c r="Y442" s="8">
        <v>0</v>
      </c>
      <c r="AA442" s="8">
        <f>169163+5500</f>
        <v>174663</v>
      </c>
      <c r="AB442" s="39"/>
      <c r="AC442" s="8">
        <v>0</v>
      </c>
      <c r="AE442" s="8">
        <v>0</v>
      </c>
      <c r="AG442" s="8">
        <f t="shared" si="22"/>
        <v>14460344</v>
      </c>
      <c r="AH442" s="8"/>
      <c r="AI442" s="8">
        <f t="shared" si="23"/>
        <v>19799118</v>
      </c>
    </row>
    <row r="443" spans="1:35" ht="12" customHeight="1">
      <c r="A443" s="12" t="s">
        <v>323</v>
      </c>
      <c r="B443" s="12"/>
      <c r="C443" s="12" t="s">
        <v>20</v>
      </c>
      <c r="D443" s="12"/>
      <c r="E443" s="32">
        <v>44701</v>
      </c>
      <c r="G443" s="8">
        <v>780193</v>
      </c>
      <c r="I443" s="8">
        <v>2479441</v>
      </c>
      <c r="K443" s="8">
        <v>106319</v>
      </c>
      <c r="M443" s="8">
        <f t="shared" si="21"/>
        <v>3365953</v>
      </c>
      <c r="O443" s="8">
        <f>22319494+3305489</f>
        <v>25624983</v>
      </c>
      <c r="Q443" s="8">
        <v>0</v>
      </c>
      <c r="S443" s="8">
        <v>5102939</v>
      </c>
      <c r="U443" s="8">
        <v>289371</v>
      </c>
      <c r="W443" s="8">
        <v>0</v>
      </c>
      <c r="Y443" s="8">
        <v>0</v>
      </c>
      <c r="AA443" s="8">
        <v>56295</v>
      </c>
      <c r="AB443" s="39"/>
      <c r="AC443" s="8">
        <v>0</v>
      </c>
      <c r="AE443" s="8">
        <v>0</v>
      </c>
      <c r="AG443" s="8">
        <f t="shared" si="22"/>
        <v>31073588</v>
      </c>
      <c r="AH443" s="8"/>
      <c r="AI443" s="8">
        <f t="shared" si="23"/>
        <v>34439541</v>
      </c>
    </row>
    <row r="444" spans="1:35" ht="12" customHeight="1">
      <c r="A444" s="12" t="s">
        <v>395</v>
      </c>
      <c r="B444" s="12"/>
      <c r="C444" s="12" t="s">
        <v>31</v>
      </c>
      <c r="D444" s="12"/>
      <c r="E444" s="32">
        <v>47308</v>
      </c>
      <c r="G444" s="8">
        <v>1048546</v>
      </c>
      <c r="I444" s="8">
        <v>2896322</v>
      </c>
      <c r="K444" s="8">
        <v>28547</v>
      </c>
      <c r="M444" s="8">
        <f t="shared" si="21"/>
        <v>3973415</v>
      </c>
      <c r="O444" s="8">
        <f>5291869+74084+48651</f>
        <v>5414604</v>
      </c>
      <c r="Q444" s="8">
        <v>0</v>
      </c>
      <c r="S444" s="8">
        <v>9194727</v>
      </c>
      <c r="U444" s="8">
        <v>134398</v>
      </c>
      <c r="W444" s="8">
        <v>0</v>
      </c>
      <c r="Y444" s="8">
        <v>0</v>
      </c>
      <c r="AA444" s="8">
        <v>141039</v>
      </c>
      <c r="AB444" s="39"/>
      <c r="AC444" s="8">
        <v>0</v>
      </c>
      <c r="AE444" s="8">
        <v>0</v>
      </c>
      <c r="AG444" s="8">
        <f t="shared" si="22"/>
        <v>14884768</v>
      </c>
      <c r="AH444" s="8"/>
      <c r="AI444" s="8">
        <f t="shared" si="23"/>
        <v>18858183</v>
      </c>
    </row>
    <row r="445" spans="1:35" ht="12" customHeight="1">
      <c r="A445" s="12" t="s">
        <v>600</v>
      </c>
      <c r="B445" s="12"/>
      <c r="C445" s="12" t="s">
        <v>56</v>
      </c>
      <c r="D445" s="12"/>
      <c r="E445" s="32">
        <v>49213</v>
      </c>
      <c r="G445" s="8">
        <v>618553</v>
      </c>
      <c r="I445" s="8">
        <v>876360</v>
      </c>
      <c r="K445" s="8">
        <v>0</v>
      </c>
      <c r="M445" s="8">
        <f t="shared" si="21"/>
        <v>1494913</v>
      </c>
      <c r="O445" s="8">
        <f>4552840+172113+285063</f>
        <v>5010016</v>
      </c>
      <c r="Q445" s="8">
        <v>0</v>
      </c>
      <c r="S445" s="8">
        <v>5243736</v>
      </c>
      <c r="U445" s="8">
        <v>55096</v>
      </c>
      <c r="W445" s="8">
        <v>0</v>
      </c>
      <c r="Y445" s="8">
        <v>0</v>
      </c>
      <c r="AA445" s="8">
        <v>52832</v>
      </c>
      <c r="AB445" s="39"/>
      <c r="AC445" s="8">
        <v>0</v>
      </c>
      <c r="AE445" s="8">
        <v>0</v>
      </c>
      <c r="AG445" s="8">
        <f t="shared" si="22"/>
        <v>10361680</v>
      </c>
      <c r="AH445" s="8"/>
      <c r="AI445" s="8">
        <f t="shared" si="23"/>
        <v>11856593</v>
      </c>
    </row>
    <row r="446" spans="1:35" ht="12" customHeight="1">
      <c r="A446" s="12" t="s">
        <v>254</v>
      </c>
      <c r="B446" s="12"/>
      <c r="C446" s="12" t="s">
        <v>246</v>
      </c>
      <c r="D446" s="12"/>
      <c r="E446" s="32">
        <v>46144</v>
      </c>
      <c r="G446" s="8">
        <v>1537571</v>
      </c>
      <c r="I446" s="8">
        <v>1305228</v>
      </c>
      <c r="K446" s="8">
        <v>0</v>
      </c>
      <c r="M446" s="8">
        <f t="shared" si="21"/>
        <v>2842799</v>
      </c>
      <c r="O446" s="8">
        <f>6457283+1757071+214656</f>
        <v>8429010</v>
      </c>
      <c r="Q446" s="8">
        <v>2814600</v>
      </c>
      <c r="S446" s="8">
        <v>12324708</v>
      </c>
      <c r="U446" s="8">
        <v>277259</v>
      </c>
      <c r="W446" s="8">
        <v>0</v>
      </c>
      <c r="Y446" s="8">
        <v>0</v>
      </c>
      <c r="AA446" s="8">
        <v>248895</v>
      </c>
      <c r="AB446" s="39"/>
      <c r="AC446" s="8">
        <v>0</v>
      </c>
      <c r="AE446" s="8">
        <v>0</v>
      </c>
      <c r="AG446" s="8">
        <f t="shared" si="22"/>
        <v>24094472</v>
      </c>
      <c r="AH446" s="8"/>
      <c r="AI446" s="8">
        <f t="shared" si="23"/>
        <v>26937271</v>
      </c>
    </row>
    <row r="447" spans="1:35" ht="12" customHeight="1">
      <c r="A447" s="12" t="s">
        <v>745</v>
      </c>
      <c r="B447" s="12"/>
      <c r="C447" s="12" t="s">
        <v>72</v>
      </c>
      <c r="D447" s="12"/>
      <c r="E447" s="32">
        <v>45609</v>
      </c>
      <c r="G447" s="8">
        <v>1019937</v>
      </c>
      <c r="I447" s="8">
        <v>1334684</v>
      </c>
      <c r="K447" s="8">
        <v>37910</v>
      </c>
      <c r="M447" s="8">
        <f t="shared" si="21"/>
        <v>2392531</v>
      </c>
      <c r="O447" s="8">
        <v>13433489</v>
      </c>
      <c r="Q447" s="8">
        <v>0</v>
      </c>
      <c r="S447" s="8">
        <v>6498238</v>
      </c>
      <c r="U447" s="8">
        <v>463266</v>
      </c>
      <c r="W447" s="8">
        <v>0</v>
      </c>
      <c r="Y447" s="8">
        <v>3943</v>
      </c>
      <c r="AA447" s="8">
        <v>136407</v>
      </c>
      <c r="AB447" s="39"/>
      <c r="AC447" s="8">
        <v>0</v>
      </c>
      <c r="AE447" s="8">
        <v>0</v>
      </c>
      <c r="AG447" s="8">
        <f t="shared" si="22"/>
        <v>20535343</v>
      </c>
      <c r="AH447" s="8"/>
      <c r="AI447" s="8">
        <f t="shared" si="23"/>
        <v>22927874</v>
      </c>
    </row>
    <row r="448" spans="1:35" ht="12" customHeight="1">
      <c r="A448" s="12" t="s">
        <v>651</v>
      </c>
      <c r="B448" s="12"/>
      <c r="C448" s="12" t="s">
        <v>61</v>
      </c>
      <c r="D448" s="12"/>
      <c r="E448" s="32">
        <v>49817</v>
      </c>
      <c r="G448" s="8">
        <v>462626</v>
      </c>
      <c r="I448" s="8">
        <v>256429</v>
      </c>
      <c r="K448" s="8">
        <v>1389</v>
      </c>
      <c r="M448" s="8">
        <f t="shared" si="21"/>
        <v>720444</v>
      </c>
      <c r="O448" s="8">
        <f>935974+309560</f>
        <v>1245534</v>
      </c>
      <c r="Q448" s="8">
        <v>341232</v>
      </c>
      <c r="S448" s="8">
        <v>2218808</v>
      </c>
      <c r="U448" s="8">
        <v>65692</v>
      </c>
      <c r="W448" s="8">
        <v>0</v>
      </c>
      <c r="Y448" s="8">
        <v>3778</v>
      </c>
      <c r="AA448" s="8">
        <v>24364</v>
      </c>
      <c r="AB448" s="39"/>
      <c r="AC448" s="8">
        <v>0</v>
      </c>
      <c r="AE448" s="8">
        <v>0</v>
      </c>
      <c r="AG448" s="8">
        <f t="shared" si="22"/>
        <v>3899408</v>
      </c>
      <c r="AH448" s="8"/>
      <c r="AI448" s="8">
        <f t="shared" si="23"/>
        <v>4619852</v>
      </c>
    </row>
    <row r="449" spans="1:35" ht="12" customHeight="1">
      <c r="A449" s="12" t="s">
        <v>814</v>
      </c>
      <c r="B449" s="12"/>
      <c r="C449" s="12" t="s">
        <v>115</v>
      </c>
      <c r="D449" s="12"/>
      <c r="E449" s="32"/>
      <c r="G449" s="8">
        <v>1057662</v>
      </c>
      <c r="I449" s="8">
        <v>2548171</v>
      </c>
      <c r="K449" s="8">
        <v>6449</v>
      </c>
      <c r="M449" s="8">
        <f t="shared" ref="M449:M499" si="24">SUM(G449:L449)</f>
        <v>3612282</v>
      </c>
      <c r="O449" s="8">
        <f>9317804+598862</f>
        <v>9916666</v>
      </c>
      <c r="Q449" s="8">
        <v>19547</v>
      </c>
      <c r="S449" s="8">
        <v>8827888</v>
      </c>
      <c r="U449" s="8">
        <v>68180</v>
      </c>
      <c r="W449" s="8">
        <v>0</v>
      </c>
      <c r="Y449" s="8">
        <v>0</v>
      </c>
      <c r="AA449" s="8">
        <v>349372</v>
      </c>
      <c r="AB449" s="39"/>
      <c r="AC449" s="8">
        <v>0</v>
      </c>
      <c r="AE449" s="8">
        <v>0</v>
      </c>
      <c r="AG449" s="8">
        <f t="shared" si="22"/>
        <v>19181653</v>
      </c>
      <c r="AH449" s="8"/>
      <c r="AI449" s="8">
        <f t="shared" si="23"/>
        <v>22793935</v>
      </c>
    </row>
    <row r="450" spans="1:35" ht="12" customHeight="1">
      <c r="A450" s="12" t="s">
        <v>345</v>
      </c>
      <c r="B450" s="12"/>
      <c r="C450" s="12" t="s">
        <v>24</v>
      </c>
      <c r="D450" s="12"/>
      <c r="E450" s="32">
        <v>44743</v>
      </c>
      <c r="G450" s="8">
        <v>1840930</v>
      </c>
      <c r="I450" s="8">
        <v>10658668</v>
      </c>
      <c r="K450" s="8">
        <v>60707</v>
      </c>
      <c r="M450" s="8">
        <f t="shared" si="24"/>
        <v>12560305</v>
      </c>
      <c r="O450" s="8">
        <f>17786660+277686+512033</f>
        <v>18576379</v>
      </c>
      <c r="Q450" s="8">
        <v>0</v>
      </c>
      <c r="S450" s="8">
        <v>17217113</v>
      </c>
      <c r="U450" s="8">
        <v>406737</v>
      </c>
      <c r="W450" s="8">
        <v>0</v>
      </c>
      <c r="Y450" s="8">
        <v>0</v>
      </c>
      <c r="AA450" s="8">
        <v>322576</v>
      </c>
      <c r="AB450" s="39"/>
      <c r="AC450" s="8">
        <v>0</v>
      </c>
      <c r="AE450" s="8">
        <v>0</v>
      </c>
      <c r="AG450" s="8">
        <f t="shared" si="22"/>
        <v>36522805</v>
      </c>
      <c r="AH450" s="8"/>
      <c r="AI450" s="8">
        <f t="shared" si="23"/>
        <v>49083110</v>
      </c>
    </row>
    <row r="451" spans="1:35" ht="12" customHeight="1">
      <c r="A451" s="12" t="s">
        <v>665</v>
      </c>
      <c r="B451" s="12"/>
      <c r="C451" s="12" t="s">
        <v>62</v>
      </c>
      <c r="D451" s="12"/>
      <c r="E451" s="32">
        <v>49940</v>
      </c>
      <c r="G451" s="8">
        <v>1017321</v>
      </c>
      <c r="I451" s="8">
        <v>2415550</v>
      </c>
      <c r="K451" s="8">
        <v>8613</v>
      </c>
      <c r="M451" s="8">
        <f t="shared" si="24"/>
        <v>3441484</v>
      </c>
      <c r="O451" s="8">
        <f>3797292+860275+62023+157415</f>
        <v>4877005</v>
      </c>
      <c r="Q451" s="8">
        <v>0</v>
      </c>
      <c r="S451" s="8">
        <v>7145250</v>
      </c>
      <c r="U451" s="8">
        <v>904426</v>
      </c>
      <c r="W451" s="8">
        <v>0</v>
      </c>
      <c r="Y451" s="8">
        <v>0</v>
      </c>
      <c r="AA451" s="8">
        <v>112888</v>
      </c>
      <c r="AB451" s="39"/>
      <c r="AC451" s="8">
        <v>0</v>
      </c>
      <c r="AE451" s="8">
        <v>0</v>
      </c>
      <c r="AG451" s="8">
        <f t="shared" si="22"/>
        <v>13039569</v>
      </c>
      <c r="AH451" s="8"/>
      <c r="AI451" s="8">
        <f t="shared" si="23"/>
        <v>16481053</v>
      </c>
    </row>
    <row r="452" spans="1:35" ht="12" customHeight="1">
      <c r="A452" s="12" t="s">
        <v>592</v>
      </c>
      <c r="B452" s="12"/>
      <c r="C452" s="12" t="s">
        <v>55</v>
      </c>
      <c r="D452" s="12"/>
      <c r="E452" s="32"/>
      <c r="G452" s="8">
        <v>783890</v>
      </c>
      <c r="I452" s="8">
        <v>4401024</v>
      </c>
      <c r="K452" s="8">
        <v>0</v>
      </c>
      <c r="M452" s="8">
        <f t="shared" si="24"/>
        <v>5184914</v>
      </c>
      <c r="O452" s="8">
        <f>1917182+66435+39002</f>
        <v>2022619</v>
      </c>
      <c r="Q452" s="8">
        <v>0</v>
      </c>
      <c r="S452" s="8">
        <v>8348148</v>
      </c>
      <c r="U452" s="8">
        <v>403533</v>
      </c>
      <c r="W452" s="8">
        <v>0</v>
      </c>
      <c r="Y452" s="8">
        <v>0</v>
      </c>
      <c r="AA452" s="8">
        <v>601538</v>
      </c>
      <c r="AB452" s="39"/>
      <c r="AC452" s="8">
        <v>0</v>
      </c>
      <c r="AE452" s="8">
        <v>0</v>
      </c>
      <c r="AG452" s="8">
        <f t="shared" si="22"/>
        <v>11375838</v>
      </c>
      <c r="AH452" s="8"/>
      <c r="AI452" s="8">
        <f t="shared" si="23"/>
        <v>16560752</v>
      </c>
    </row>
    <row r="453" spans="1:35" ht="12" customHeight="1">
      <c r="A453" s="12" t="s">
        <v>521</v>
      </c>
      <c r="B453" s="12"/>
      <c r="C453" s="12" t="s">
        <v>45</v>
      </c>
      <c r="D453" s="12"/>
      <c r="E453" s="32">
        <v>48355</v>
      </c>
      <c r="G453" s="8">
        <v>589172</v>
      </c>
      <c r="I453" s="8">
        <v>585147</v>
      </c>
      <c r="K453" s="8">
        <v>1869</v>
      </c>
      <c r="M453" s="8">
        <f t="shared" si="24"/>
        <v>1176188</v>
      </c>
      <c r="O453" s="8">
        <f>1219063+181318+87946+18423</f>
        <v>1506750</v>
      </c>
      <c r="Q453" s="8">
        <v>397414</v>
      </c>
      <c r="S453" s="8">
        <v>4320868</v>
      </c>
      <c r="U453" s="8">
        <v>59310</v>
      </c>
      <c r="W453" s="8">
        <v>0</v>
      </c>
      <c r="Y453" s="8">
        <v>0</v>
      </c>
      <c r="AA453" s="8">
        <v>56928</v>
      </c>
      <c r="AB453" s="39"/>
      <c r="AC453" s="8">
        <v>0</v>
      </c>
      <c r="AE453" s="8">
        <v>0</v>
      </c>
      <c r="AG453" s="8">
        <f t="shared" si="22"/>
        <v>6341270</v>
      </c>
      <c r="AH453" s="8"/>
      <c r="AI453" s="8">
        <f t="shared" si="23"/>
        <v>7517458</v>
      </c>
    </row>
    <row r="454" spans="1:35" ht="12" customHeight="1">
      <c r="A454" s="12" t="s">
        <v>644</v>
      </c>
      <c r="B454" s="12"/>
      <c r="C454" s="12" t="s">
        <v>60</v>
      </c>
      <c r="D454" s="12"/>
      <c r="E454" s="32">
        <v>49684</v>
      </c>
      <c r="G454" s="8">
        <v>1159990</v>
      </c>
      <c r="I454" s="8">
        <v>856418</v>
      </c>
      <c r="K454" s="8">
        <v>7834</v>
      </c>
      <c r="M454" s="8">
        <f t="shared" si="24"/>
        <v>2024242</v>
      </c>
      <c r="O454" s="8">
        <f>1603202+43982+737198</f>
        <v>2384382</v>
      </c>
      <c r="Q454" s="8">
        <v>930546</v>
      </c>
      <c r="S454" s="8">
        <v>3878402</v>
      </c>
      <c r="U454" s="8">
        <v>357981</v>
      </c>
      <c r="W454" s="8">
        <v>0</v>
      </c>
      <c r="Y454" s="8">
        <v>0</v>
      </c>
      <c r="AA454" s="8">
        <v>1476</v>
      </c>
      <c r="AB454" s="39"/>
      <c r="AC454" s="8">
        <v>0</v>
      </c>
      <c r="AE454" s="8">
        <v>-471206</v>
      </c>
      <c r="AG454" s="8">
        <f t="shared" si="22"/>
        <v>7081581</v>
      </c>
      <c r="AH454" s="8"/>
      <c r="AI454" s="8">
        <f t="shared" si="23"/>
        <v>9105823</v>
      </c>
    </row>
    <row r="455" spans="1:35" ht="12" customHeight="1">
      <c r="A455" s="12" t="s">
        <v>237</v>
      </c>
      <c r="B455" s="12"/>
      <c r="C455" s="12" t="s">
        <v>15</v>
      </c>
      <c r="D455" s="12"/>
      <c r="E455" s="32">
        <v>46003</v>
      </c>
      <c r="G455" s="8">
        <v>1036433</v>
      </c>
      <c r="I455" s="8">
        <v>637026</v>
      </c>
      <c r="K455" s="8">
        <v>11863</v>
      </c>
      <c r="M455" s="8">
        <f t="shared" si="24"/>
        <v>1685322</v>
      </c>
      <c r="O455" s="8">
        <f>2662499+331576</f>
        <v>2994075</v>
      </c>
      <c r="Q455" s="8">
        <v>0</v>
      </c>
      <c r="S455" s="8">
        <v>2922708</v>
      </c>
      <c r="U455" s="8">
        <v>51738</v>
      </c>
      <c r="W455" s="8">
        <v>0</v>
      </c>
      <c r="Y455" s="8">
        <v>22481</v>
      </c>
      <c r="AA455" s="8">
        <v>8604</v>
      </c>
      <c r="AB455" s="39"/>
      <c r="AC455" s="8">
        <v>0</v>
      </c>
      <c r="AE455" s="8">
        <v>0</v>
      </c>
      <c r="AG455" s="8">
        <f t="shared" si="22"/>
        <v>5999606</v>
      </c>
      <c r="AH455" s="8"/>
      <c r="AI455" s="8">
        <f t="shared" si="23"/>
        <v>7684928</v>
      </c>
    </row>
    <row r="456" spans="1:35" ht="12" customHeight="1">
      <c r="A456" s="12" t="s">
        <v>324</v>
      </c>
      <c r="B456" s="12"/>
      <c r="C456" s="12" t="s">
        <v>20</v>
      </c>
      <c r="D456" s="12"/>
      <c r="E456" s="32">
        <v>44750</v>
      </c>
      <c r="G456" s="8">
        <f>855900+224936+4720+114444+88939+613+127938+32260+18990+258411+87773+32775+103118+710786+123035</f>
        <v>2784638</v>
      </c>
      <c r="I456" s="8">
        <v>5488727</v>
      </c>
      <c r="K456" s="8">
        <v>802694</v>
      </c>
      <c r="M456" s="8">
        <f t="shared" si="24"/>
        <v>9076059</v>
      </c>
      <c r="O456" s="8">
        <f>69184729+3494170</f>
        <v>72678899</v>
      </c>
      <c r="Q456" s="8">
        <v>0</v>
      </c>
      <c r="S456" s="8">
        <v>24004932</v>
      </c>
      <c r="U456" s="8">
        <v>1831239</v>
      </c>
      <c r="W456" s="8">
        <v>0</v>
      </c>
      <c r="Y456" s="8">
        <v>0</v>
      </c>
      <c r="AA456" s="8">
        <v>410654</v>
      </c>
      <c r="AB456" s="39"/>
      <c r="AC456" s="8">
        <v>0</v>
      </c>
      <c r="AE456" s="8">
        <v>0</v>
      </c>
      <c r="AG456" s="8">
        <f t="shared" si="22"/>
        <v>98925724</v>
      </c>
      <c r="AH456" s="8"/>
      <c r="AI456" s="8">
        <f t="shared" si="23"/>
        <v>108001783</v>
      </c>
    </row>
    <row r="457" spans="1:35" ht="12" customHeight="1">
      <c r="A457" s="12" t="s">
        <v>500</v>
      </c>
      <c r="B457" s="12"/>
      <c r="C457" s="12" t="s">
        <v>44</v>
      </c>
      <c r="D457" s="12"/>
      <c r="E457" s="32">
        <v>44768</v>
      </c>
      <c r="G457" s="8">
        <v>1310437</v>
      </c>
      <c r="I457" s="8">
        <v>906479</v>
      </c>
      <c r="K457" s="8">
        <v>12546</v>
      </c>
      <c r="M457" s="8">
        <f t="shared" si="24"/>
        <v>2229462</v>
      </c>
      <c r="O457" s="8">
        <f>10855863+318801</f>
        <v>11174664</v>
      </c>
      <c r="Q457" s="8">
        <v>0</v>
      </c>
      <c r="S457" s="8">
        <v>7190545</v>
      </c>
      <c r="U457" s="8">
        <v>337944</v>
      </c>
      <c r="W457" s="8">
        <v>0</v>
      </c>
      <c r="Y457" s="8">
        <v>0</v>
      </c>
      <c r="AA457" s="8">
        <v>160109</v>
      </c>
      <c r="AB457" s="39"/>
      <c r="AC457" s="8">
        <v>0</v>
      </c>
      <c r="AE457" s="8">
        <v>0</v>
      </c>
      <c r="AG457" s="8">
        <f t="shared" si="22"/>
        <v>18863262</v>
      </c>
      <c r="AH457" s="8"/>
      <c r="AI457" s="8">
        <f t="shared" si="23"/>
        <v>21092724</v>
      </c>
    </row>
    <row r="458" spans="1:35" ht="12" customHeight="1">
      <c r="A458" s="12" t="s">
        <v>620</v>
      </c>
      <c r="B458" s="12"/>
      <c r="C458" s="12" t="s">
        <v>113</v>
      </c>
      <c r="D458" s="12"/>
      <c r="E458" s="32">
        <v>44776</v>
      </c>
      <c r="G458" s="8">
        <v>594317</v>
      </c>
      <c r="I458" s="8">
        <v>2733703</v>
      </c>
      <c r="K458" s="8">
        <v>9136</v>
      </c>
      <c r="M458" s="8">
        <f t="shared" si="24"/>
        <v>3337156</v>
      </c>
      <c r="O458" s="8">
        <f>6897984+295183</f>
        <v>7193167</v>
      </c>
      <c r="Q458" s="8">
        <v>2432914</v>
      </c>
      <c r="S458" s="8">
        <v>8056952</v>
      </c>
      <c r="U458" s="8">
        <v>181663</v>
      </c>
      <c r="W458" s="8">
        <v>0</v>
      </c>
      <c r="Y458" s="8">
        <v>0</v>
      </c>
      <c r="AA458" s="8">
        <v>227178</v>
      </c>
      <c r="AB458" s="39"/>
      <c r="AC458" s="8">
        <v>0</v>
      </c>
      <c r="AE458" s="8">
        <v>1072309</v>
      </c>
      <c r="AG458" s="8">
        <f t="shared" si="22"/>
        <v>19164183</v>
      </c>
      <c r="AH458" s="8"/>
      <c r="AI458" s="8">
        <f t="shared" si="23"/>
        <v>22501339</v>
      </c>
    </row>
    <row r="459" spans="1:35" ht="12" hidden="1" customHeight="1">
      <c r="A459" s="12" t="s">
        <v>652</v>
      </c>
      <c r="B459" s="12"/>
      <c r="C459" s="12" t="s">
        <v>61</v>
      </c>
      <c r="D459" s="12"/>
      <c r="E459" s="32">
        <v>44784</v>
      </c>
      <c r="M459" s="8">
        <f t="shared" si="24"/>
        <v>0</v>
      </c>
      <c r="W459" s="8">
        <v>0</v>
      </c>
      <c r="Y459" s="8">
        <v>0</v>
      </c>
      <c r="AB459" s="39"/>
      <c r="AC459" s="8">
        <v>0</v>
      </c>
      <c r="AE459" s="8">
        <v>0</v>
      </c>
      <c r="AG459" s="8">
        <f t="shared" si="22"/>
        <v>0</v>
      </c>
      <c r="AH459" s="8"/>
      <c r="AI459" s="8">
        <f t="shared" si="23"/>
        <v>0</v>
      </c>
    </row>
    <row r="460" spans="1:35" ht="12" customHeight="1">
      <c r="A460" s="12" t="s">
        <v>325</v>
      </c>
      <c r="B460" s="12"/>
      <c r="C460" s="12" t="s">
        <v>20</v>
      </c>
      <c r="D460" s="12"/>
      <c r="E460" s="32">
        <v>46607</v>
      </c>
      <c r="G460" s="8">
        <v>2453185</v>
      </c>
      <c r="I460" s="8">
        <v>1777836</v>
      </c>
      <c r="K460" s="8">
        <v>18825</v>
      </c>
      <c r="M460" s="8">
        <f t="shared" si="24"/>
        <v>4249846</v>
      </c>
      <c r="O460" s="8">
        <f>48005138+3970356+1513317</f>
        <v>53488811</v>
      </c>
      <c r="Q460" s="8">
        <v>0</v>
      </c>
      <c r="S460" s="8">
        <v>14079103</v>
      </c>
      <c r="U460" s="8">
        <v>1218276</v>
      </c>
      <c r="W460" s="8">
        <v>524274</v>
      </c>
      <c r="Y460" s="8">
        <v>0</v>
      </c>
      <c r="AA460" s="8">
        <v>162426</v>
      </c>
      <c r="AB460" s="39"/>
      <c r="AC460" s="8">
        <v>-95000</v>
      </c>
      <c r="AE460" s="8">
        <v>64390</v>
      </c>
      <c r="AG460" s="8">
        <f t="shared" si="22"/>
        <v>69442280</v>
      </c>
      <c r="AH460" s="8"/>
      <c r="AI460" s="8">
        <f t="shared" si="23"/>
        <v>73692126</v>
      </c>
    </row>
    <row r="461" spans="1:35" ht="12" customHeight="1">
      <c r="A461" s="12" t="s">
        <v>905</v>
      </c>
      <c r="B461" s="12"/>
      <c r="C461" s="13" t="s">
        <v>37</v>
      </c>
      <c r="D461" s="12"/>
      <c r="E461" s="32"/>
      <c r="G461" s="8">
        <v>685956</v>
      </c>
      <c r="I461" s="8">
        <v>939247</v>
      </c>
      <c r="K461" s="8">
        <v>6582</v>
      </c>
      <c r="M461" s="8">
        <f t="shared" si="24"/>
        <v>1631785</v>
      </c>
      <c r="O461" s="8">
        <f>1366722+186819+28062</f>
        <v>1581603</v>
      </c>
      <c r="Q461" s="8">
        <v>944046</v>
      </c>
      <c r="S461" s="8">
        <v>4569989</v>
      </c>
      <c r="U461" s="8">
        <v>193187</v>
      </c>
      <c r="W461" s="8">
        <v>0</v>
      </c>
      <c r="Y461" s="8">
        <v>0</v>
      </c>
      <c r="AA461" s="8">
        <v>7380</v>
      </c>
      <c r="AB461" s="39"/>
      <c r="AC461" s="8">
        <v>0</v>
      </c>
      <c r="AE461" s="8">
        <v>0</v>
      </c>
      <c r="AG461" s="8">
        <f t="shared" si="22"/>
        <v>7296205</v>
      </c>
      <c r="AH461" s="8"/>
      <c r="AI461" s="8">
        <f t="shared" si="23"/>
        <v>8927990</v>
      </c>
    </row>
    <row r="462" spans="1:35" ht="12" customHeight="1">
      <c r="A462" s="12" t="s">
        <v>326</v>
      </c>
      <c r="B462" s="12"/>
      <c r="C462" s="12" t="s">
        <v>20</v>
      </c>
      <c r="D462" s="12"/>
      <c r="E462" s="32">
        <v>44792</v>
      </c>
      <c r="G462" s="8">
        <v>2953103</v>
      </c>
      <c r="I462" s="8">
        <v>3458865</v>
      </c>
      <c r="K462" s="8">
        <v>575625</v>
      </c>
      <c r="M462" s="8">
        <f t="shared" si="24"/>
        <v>6987593</v>
      </c>
      <c r="O462" s="8">
        <f>39768679+1545119+984277</f>
        <v>42298075</v>
      </c>
      <c r="Q462" s="8">
        <v>0</v>
      </c>
      <c r="S462" s="8">
        <v>20612832</v>
      </c>
      <c r="U462" s="8">
        <v>1023928</v>
      </c>
      <c r="W462" s="8">
        <v>20000</v>
      </c>
      <c r="Y462" s="8">
        <v>0</v>
      </c>
      <c r="AA462" s="8">
        <v>751391</v>
      </c>
      <c r="AB462" s="39"/>
      <c r="AC462" s="8">
        <v>0</v>
      </c>
      <c r="AE462" s="8">
        <v>0</v>
      </c>
      <c r="AG462" s="8">
        <f t="shared" si="22"/>
        <v>64706226</v>
      </c>
      <c r="AH462" s="8"/>
      <c r="AI462" s="8">
        <f t="shared" si="23"/>
        <v>71693819</v>
      </c>
    </row>
    <row r="463" spans="1:35" ht="12" hidden="1" customHeight="1">
      <c r="A463" s="12" t="s">
        <v>476</v>
      </c>
      <c r="B463" s="12"/>
      <c r="C463" s="12" t="s">
        <v>471</v>
      </c>
      <c r="D463" s="12"/>
      <c r="E463" s="32">
        <v>47951</v>
      </c>
      <c r="M463" s="8">
        <f t="shared" si="24"/>
        <v>0</v>
      </c>
      <c r="Y463" s="8">
        <v>0</v>
      </c>
      <c r="AB463" s="39"/>
      <c r="AC463" s="8">
        <v>0</v>
      </c>
      <c r="AE463" s="8">
        <v>0</v>
      </c>
      <c r="AG463" s="8">
        <f t="shared" si="22"/>
        <v>0</v>
      </c>
      <c r="AH463" s="8"/>
      <c r="AI463" s="8">
        <f t="shared" si="23"/>
        <v>0</v>
      </c>
    </row>
    <row r="464" spans="1:35" ht="12" customHeight="1">
      <c r="A464" s="12" t="s">
        <v>522</v>
      </c>
      <c r="B464" s="12"/>
      <c r="C464" s="12" t="s">
        <v>45</v>
      </c>
      <c r="D464" s="12"/>
      <c r="E464" s="32">
        <v>48363</v>
      </c>
      <c r="G464" s="8">
        <v>571746</v>
      </c>
      <c r="I464" s="8">
        <v>1024466</v>
      </c>
      <c r="K464" s="8">
        <v>7804</v>
      </c>
      <c r="M464" s="8">
        <f t="shared" si="24"/>
        <v>1604016</v>
      </c>
      <c r="O464" s="8">
        <f>4965353+58178+602866+5289</f>
        <v>5631686</v>
      </c>
      <c r="Q464" s="8">
        <v>0</v>
      </c>
      <c r="S464" s="8">
        <v>25614993</v>
      </c>
      <c r="U464" s="8">
        <v>669306</v>
      </c>
      <c r="W464" s="8">
        <v>0</v>
      </c>
      <c r="Y464" s="8">
        <v>0</v>
      </c>
      <c r="AA464" s="8">
        <v>29325</v>
      </c>
      <c r="AB464" s="39"/>
      <c r="AC464" s="8">
        <v>0</v>
      </c>
      <c r="AE464" s="8">
        <v>0</v>
      </c>
      <c r="AG464" s="8">
        <f t="shared" si="22"/>
        <v>31945310</v>
      </c>
      <c r="AH464" s="8"/>
      <c r="AI464" s="8">
        <f t="shared" si="23"/>
        <v>33549326</v>
      </c>
    </row>
    <row r="465" spans="1:35" ht="12" customHeight="1">
      <c r="A465" s="12" t="s">
        <v>601</v>
      </c>
      <c r="B465" s="12"/>
      <c r="C465" s="12" t="s">
        <v>56</v>
      </c>
      <c r="D465" s="12"/>
      <c r="E465" s="32">
        <v>49221</v>
      </c>
      <c r="G465" s="8">
        <v>687097</v>
      </c>
      <c r="I465" s="8">
        <v>1455102</v>
      </c>
      <c r="K465" s="8">
        <v>0</v>
      </c>
      <c r="M465" s="8">
        <f t="shared" si="24"/>
        <v>2142199</v>
      </c>
      <c r="O465" s="8">
        <f>5798945+479631+79386</f>
        <v>6357962</v>
      </c>
      <c r="Q465" s="8">
        <v>0</v>
      </c>
      <c r="S465" s="8">
        <v>12107413</v>
      </c>
      <c r="U465" s="8">
        <v>209841</v>
      </c>
      <c r="W465" s="8">
        <v>0</v>
      </c>
      <c r="Y465" s="8">
        <v>0</v>
      </c>
      <c r="AA465" s="8">
        <v>67811</v>
      </c>
      <c r="AB465" s="39"/>
      <c r="AC465" s="8">
        <v>0</v>
      </c>
      <c r="AE465" s="8">
        <v>0</v>
      </c>
      <c r="AG465" s="8">
        <f t="shared" si="22"/>
        <v>18743027</v>
      </c>
      <c r="AH465" s="8"/>
      <c r="AI465" s="8">
        <f t="shared" si="23"/>
        <v>20885226</v>
      </c>
    </row>
    <row r="466" spans="1:35" ht="12" customHeight="1">
      <c r="A466" s="12" t="s">
        <v>601</v>
      </c>
      <c r="B466" s="12"/>
      <c r="C466" s="12" t="s">
        <v>71</v>
      </c>
      <c r="D466" s="12"/>
      <c r="E466" s="32">
        <v>50583</v>
      </c>
      <c r="G466" s="8">
        <v>1530398</v>
      </c>
      <c r="I466" s="8">
        <v>2312555</v>
      </c>
      <c r="K466" s="8">
        <v>10413</v>
      </c>
      <c r="M466" s="8">
        <f t="shared" si="24"/>
        <v>3853366</v>
      </c>
      <c r="O466" s="8">
        <f>6011841+293478</f>
        <v>6305319</v>
      </c>
      <c r="Q466" s="8">
        <v>0</v>
      </c>
      <c r="S466" s="8">
        <v>5820480</v>
      </c>
      <c r="U466" s="8">
        <v>154489</v>
      </c>
      <c r="W466" s="8">
        <v>0</v>
      </c>
      <c r="Y466" s="8">
        <v>0</v>
      </c>
      <c r="AA466" s="8">
        <v>6638</v>
      </c>
      <c r="AB466" s="39"/>
      <c r="AC466" s="8">
        <v>0</v>
      </c>
      <c r="AE466" s="8">
        <v>0</v>
      </c>
      <c r="AG466" s="8">
        <f t="shared" si="22"/>
        <v>12286926</v>
      </c>
      <c r="AH466" s="8"/>
      <c r="AI466" s="8">
        <f t="shared" si="23"/>
        <v>16140292</v>
      </c>
    </row>
    <row r="467" spans="1:35" ht="12" customHeight="1">
      <c r="A467" s="12" t="s">
        <v>268</v>
      </c>
      <c r="B467" s="12"/>
      <c r="C467" s="12" t="s">
        <v>17</v>
      </c>
      <c r="D467" s="12"/>
      <c r="E467" s="32">
        <v>46276</v>
      </c>
      <c r="G467" s="8">
        <v>775413</v>
      </c>
      <c r="I467" s="8">
        <v>385568</v>
      </c>
      <c r="K467" s="8">
        <v>3784</v>
      </c>
      <c r="M467" s="8">
        <f t="shared" si="24"/>
        <v>1164765</v>
      </c>
      <c r="O467" s="8">
        <f>1972120+186580</f>
        <v>2158700</v>
      </c>
      <c r="Q467" s="8">
        <v>985274</v>
      </c>
      <c r="S467" s="8">
        <v>3735041</v>
      </c>
      <c r="U467" s="8">
        <v>212202</v>
      </c>
      <c r="W467" s="8">
        <v>0</v>
      </c>
      <c r="Y467" s="8">
        <v>0</v>
      </c>
      <c r="AA467" s="8">
        <v>17823</v>
      </c>
      <c r="AB467" s="39"/>
      <c r="AC467" s="8">
        <v>0</v>
      </c>
      <c r="AE467" s="8">
        <v>0</v>
      </c>
      <c r="AG467" s="8">
        <f t="shared" si="22"/>
        <v>7109040</v>
      </c>
      <c r="AH467" s="8"/>
      <c r="AI467" s="8">
        <f t="shared" si="23"/>
        <v>8273805</v>
      </c>
    </row>
    <row r="468" spans="1:35" ht="12" customHeight="1">
      <c r="A468" s="12" t="s">
        <v>268</v>
      </c>
      <c r="B468" s="12"/>
      <c r="C468" s="12" t="s">
        <v>58</v>
      </c>
      <c r="D468" s="12"/>
      <c r="E468" s="32">
        <v>49528</v>
      </c>
      <c r="G468" s="8">
        <v>983287</v>
      </c>
      <c r="I468" s="8">
        <v>2369317</v>
      </c>
      <c r="K468" s="8">
        <v>2962</v>
      </c>
      <c r="M468" s="8">
        <f t="shared" si="24"/>
        <v>3355566</v>
      </c>
      <c r="O468" s="8">
        <f>1592864+304836+30387</f>
        <v>1928087</v>
      </c>
      <c r="Q468" s="8">
        <v>98757</v>
      </c>
      <c r="S468" s="8">
        <v>6220846</v>
      </c>
      <c r="U468" s="8">
        <v>202890</v>
      </c>
      <c r="W468" s="8">
        <v>0</v>
      </c>
      <c r="Y468" s="8">
        <v>0</v>
      </c>
      <c r="AA468" s="8">
        <v>309834</v>
      </c>
      <c r="AB468" s="39"/>
      <c r="AC468" s="8">
        <v>0</v>
      </c>
      <c r="AE468" s="8">
        <v>1900</v>
      </c>
      <c r="AG468" s="8">
        <f t="shared" si="22"/>
        <v>8762314</v>
      </c>
      <c r="AH468" s="8"/>
      <c r="AI468" s="8">
        <f t="shared" si="23"/>
        <v>12117880</v>
      </c>
    </row>
    <row r="469" spans="1:35">
      <c r="A469" s="12" t="s">
        <v>288</v>
      </c>
      <c r="B469" s="12"/>
      <c r="C469" s="12" t="s">
        <v>115</v>
      </c>
      <c r="D469" s="12"/>
      <c r="E469" s="32">
        <v>46441</v>
      </c>
      <c r="G469" s="8">
        <v>581649</v>
      </c>
      <c r="I469" s="8">
        <v>1438970</v>
      </c>
      <c r="K469" s="8">
        <v>9885</v>
      </c>
      <c r="M469" s="8">
        <f>SUM(G469:L469)</f>
        <v>2030504</v>
      </c>
      <c r="O469" s="8">
        <f>1555608+225891+28026</f>
        <v>1809525</v>
      </c>
      <c r="Q469" s="8">
        <v>0</v>
      </c>
      <c r="S469" s="8">
        <v>6083240</v>
      </c>
      <c r="U469" s="8">
        <v>42378</v>
      </c>
      <c r="W469" s="8">
        <v>0</v>
      </c>
      <c r="Y469" s="8">
        <v>0</v>
      </c>
      <c r="AA469" s="8">
        <v>47767</v>
      </c>
      <c r="AB469" s="39"/>
      <c r="AC469" s="8">
        <v>0</v>
      </c>
      <c r="AE469" s="8">
        <v>0</v>
      </c>
      <c r="AG469" s="8">
        <f t="shared" si="22"/>
        <v>7982910</v>
      </c>
      <c r="AH469" s="8"/>
      <c r="AI469" s="8">
        <f t="shared" si="23"/>
        <v>10013414</v>
      </c>
    </row>
    <row r="470" spans="1:35">
      <c r="A470" s="12" t="s">
        <v>288</v>
      </c>
      <c r="B470" s="12"/>
      <c r="C470" s="12" t="s">
        <v>537</v>
      </c>
      <c r="D470" s="12"/>
      <c r="E470" s="32">
        <v>46441</v>
      </c>
      <c r="G470" s="8">
        <v>411570</v>
      </c>
      <c r="I470" s="8">
        <v>1976517</v>
      </c>
      <c r="K470" s="8">
        <v>7254</v>
      </c>
      <c r="M470" s="8">
        <f t="shared" si="24"/>
        <v>2395341</v>
      </c>
      <c r="O470" s="8">
        <f>1165785+224365+28322</f>
        <v>1418472</v>
      </c>
      <c r="Q470" s="8">
        <v>0</v>
      </c>
      <c r="S470" s="8">
        <v>3989121</v>
      </c>
      <c r="U470" s="8">
        <v>31963</v>
      </c>
      <c r="W470" s="8">
        <v>0</v>
      </c>
      <c r="Y470" s="8">
        <v>0</v>
      </c>
      <c r="AA470" s="8">
        <v>32067</v>
      </c>
      <c r="AB470" s="39"/>
      <c r="AC470" s="8">
        <v>0</v>
      </c>
      <c r="AE470" s="8">
        <v>0</v>
      </c>
      <c r="AG470" s="8">
        <f t="shared" si="22"/>
        <v>5471623</v>
      </c>
      <c r="AH470" s="8"/>
      <c r="AI470" s="8">
        <f t="shared" si="23"/>
        <v>7866964</v>
      </c>
    </row>
    <row r="471" spans="1:35" ht="12" customHeight="1">
      <c r="A471" s="12" t="s">
        <v>696</v>
      </c>
      <c r="B471" s="12"/>
      <c r="C471" s="12" t="s">
        <v>64</v>
      </c>
      <c r="D471" s="12"/>
      <c r="E471" s="32">
        <v>50237</v>
      </c>
      <c r="G471" s="8">
        <v>602921</v>
      </c>
      <c r="I471" s="8">
        <v>314771</v>
      </c>
      <c r="K471" s="8">
        <v>183808</v>
      </c>
      <c r="M471" s="8">
        <f t="shared" si="24"/>
        <v>1101500</v>
      </c>
      <c r="O471" s="8">
        <f>1626880+250445+48172+61219</f>
        <v>1986716</v>
      </c>
      <c r="Q471" s="8">
        <v>0</v>
      </c>
      <c r="S471" s="8">
        <v>2921448</v>
      </c>
      <c r="U471" s="8">
        <v>382361</v>
      </c>
      <c r="W471" s="8">
        <v>0</v>
      </c>
      <c r="Y471" s="8">
        <v>0</v>
      </c>
      <c r="AA471" s="8">
        <f>94487</f>
        <v>94487</v>
      </c>
      <c r="AB471" s="39"/>
      <c r="AC471" s="8">
        <v>0</v>
      </c>
      <c r="AE471" s="8">
        <v>7024</v>
      </c>
      <c r="AG471" s="8">
        <f t="shared" si="22"/>
        <v>5392036</v>
      </c>
      <c r="AH471" s="8"/>
      <c r="AI471" s="8">
        <f t="shared" si="23"/>
        <v>6493536</v>
      </c>
    </row>
    <row r="472" spans="1:35" ht="12" customHeight="1">
      <c r="A472" s="12" t="s">
        <v>487</v>
      </c>
      <c r="B472" s="12"/>
      <c r="C472" s="12" t="s">
        <v>42</v>
      </c>
      <c r="D472" s="12"/>
      <c r="E472" s="32">
        <v>48041</v>
      </c>
      <c r="G472" s="8">
        <v>1993426</v>
      </c>
      <c r="I472" s="8">
        <v>1837066</v>
      </c>
      <c r="K472" s="8">
        <v>119926</v>
      </c>
      <c r="M472" s="8">
        <f t="shared" si="24"/>
        <v>3950418</v>
      </c>
      <c r="O472" s="8">
        <f>13175150+2282464+840710</f>
        <v>16298324</v>
      </c>
      <c r="Q472" s="8">
        <v>4354626</v>
      </c>
      <c r="S472" s="8">
        <v>11898870</v>
      </c>
      <c r="U472" s="8">
        <v>564842</v>
      </c>
      <c r="W472" s="8">
        <v>1876600</v>
      </c>
      <c r="Y472" s="8">
        <v>0</v>
      </c>
      <c r="AA472" s="8">
        <v>314050</v>
      </c>
      <c r="AB472" s="39"/>
      <c r="AC472" s="8">
        <v>0</v>
      </c>
      <c r="AE472" s="8">
        <v>0</v>
      </c>
      <c r="AG472" s="8">
        <f t="shared" si="22"/>
        <v>35307312</v>
      </c>
      <c r="AH472" s="8"/>
      <c r="AI472" s="8">
        <f t="shared" si="23"/>
        <v>39257730</v>
      </c>
    </row>
    <row r="473" spans="1:35" ht="12" customHeight="1">
      <c r="A473" s="12" t="s">
        <v>412</v>
      </c>
      <c r="B473" s="12"/>
      <c r="C473" s="12" t="s">
        <v>32</v>
      </c>
      <c r="D473" s="12"/>
      <c r="E473" s="32">
        <v>47381</v>
      </c>
      <c r="G473" s="8">
        <v>1758899</v>
      </c>
      <c r="I473" s="8">
        <v>2971599</v>
      </c>
      <c r="K473" s="8">
        <v>21026</v>
      </c>
      <c r="M473" s="8">
        <f t="shared" si="24"/>
        <v>4751524</v>
      </c>
      <c r="O473" s="8">
        <f>11816672+1853475</f>
        <v>13670147</v>
      </c>
      <c r="Q473" s="8">
        <v>2566331</v>
      </c>
      <c r="S473" s="8">
        <v>15424784</v>
      </c>
      <c r="U473" s="8">
        <v>265588</v>
      </c>
      <c r="W473" s="8">
        <v>0</v>
      </c>
      <c r="Y473" s="8">
        <v>15050</v>
      </c>
      <c r="AA473" s="8">
        <v>205967</v>
      </c>
      <c r="AB473" s="39"/>
      <c r="AC473" s="8">
        <v>0</v>
      </c>
      <c r="AE473" s="8">
        <v>0</v>
      </c>
      <c r="AG473" s="8">
        <f t="shared" si="22"/>
        <v>32147867</v>
      </c>
      <c r="AH473" s="8"/>
      <c r="AI473" s="8">
        <f t="shared" si="23"/>
        <v>36899391</v>
      </c>
    </row>
    <row r="474" spans="1:35" ht="12" customHeight="1">
      <c r="A474" s="12" t="s">
        <v>367</v>
      </c>
      <c r="B474" s="12"/>
      <c r="C474" s="12" t="s">
        <v>27</v>
      </c>
      <c r="D474" s="12"/>
      <c r="E474" s="32">
        <v>44800</v>
      </c>
      <c r="G474" s="8">
        <v>4657855</v>
      </c>
      <c r="I474" s="8">
        <v>30260222</v>
      </c>
      <c r="K474" s="8">
        <v>0</v>
      </c>
      <c r="M474" s="8">
        <f t="shared" si="24"/>
        <v>34918077</v>
      </c>
      <c r="O474" s="8">
        <f>80492369+14888794+168056</f>
        <v>95549219</v>
      </c>
      <c r="Q474" s="8">
        <v>0</v>
      </c>
      <c r="S474" s="8">
        <v>91935545</v>
      </c>
      <c r="U474" s="8">
        <v>2011085</v>
      </c>
      <c r="W474" s="8">
        <v>0</v>
      </c>
      <c r="Y474" s="8">
        <v>0</v>
      </c>
      <c r="AA474" s="8">
        <v>5285265</v>
      </c>
      <c r="AB474" s="39"/>
      <c r="AC474" s="8">
        <v>0</v>
      </c>
      <c r="AE474" s="8">
        <v>0</v>
      </c>
      <c r="AG474" s="8">
        <f t="shared" si="22"/>
        <v>194781114</v>
      </c>
      <c r="AH474" s="8"/>
      <c r="AI474" s="8">
        <f t="shared" si="23"/>
        <v>229699191</v>
      </c>
    </row>
    <row r="475" spans="1:35" ht="12.75" hidden="1" customHeight="1">
      <c r="A475" s="12" t="s">
        <v>214</v>
      </c>
      <c r="B475" s="12"/>
      <c r="C475" s="12" t="s">
        <v>10</v>
      </c>
      <c r="D475" s="12"/>
      <c r="E475" s="32">
        <v>45807</v>
      </c>
      <c r="M475" s="8">
        <f t="shared" si="24"/>
        <v>0</v>
      </c>
      <c r="W475" s="8">
        <v>0</v>
      </c>
      <c r="Y475" s="8">
        <v>0</v>
      </c>
      <c r="AB475" s="39"/>
      <c r="AC475" s="8">
        <v>0</v>
      </c>
      <c r="AE475" s="8">
        <v>0</v>
      </c>
      <c r="AG475" s="8">
        <f t="shared" si="22"/>
        <v>0</v>
      </c>
      <c r="AH475" s="8"/>
      <c r="AI475" s="8">
        <f t="shared" si="23"/>
        <v>0</v>
      </c>
    </row>
    <row r="476" spans="1:35" ht="12.75" customHeight="1">
      <c r="A476" s="12" t="s">
        <v>719</v>
      </c>
      <c r="B476" s="12"/>
      <c r="C476" s="12" t="s">
        <v>69</v>
      </c>
      <c r="D476" s="12"/>
      <c r="E476" s="32">
        <v>50427</v>
      </c>
      <c r="G476" s="8">
        <v>2023708</v>
      </c>
      <c r="I476" s="8">
        <v>1971042</v>
      </c>
      <c r="K476" s="8">
        <v>0</v>
      </c>
      <c r="M476" s="8">
        <f t="shared" si="24"/>
        <v>3994750</v>
      </c>
      <c r="O476" s="8">
        <f>25623944+6533549</f>
        <v>32157493</v>
      </c>
      <c r="Q476" s="8">
        <v>0</v>
      </c>
      <c r="S476" s="8">
        <v>15225896</v>
      </c>
      <c r="U476" s="8">
        <v>888839</v>
      </c>
      <c r="W476" s="8">
        <v>0</v>
      </c>
      <c r="Y476" s="8">
        <v>0</v>
      </c>
      <c r="AA476" s="8">
        <v>449931</v>
      </c>
      <c r="AB476" s="39"/>
      <c r="AC476" s="8">
        <v>0</v>
      </c>
      <c r="AE476" s="8">
        <v>0</v>
      </c>
      <c r="AG476" s="8">
        <f t="shared" si="22"/>
        <v>48722159</v>
      </c>
      <c r="AH476" s="8"/>
      <c r="AI476" s="8">
        <f t="shared" si="23"/>
        <v>52716909</v>
      </c>
    </row>
    <row r="477" spans="1:35" ht="12" customHeight="1">
      <c r="A477" s="12" t="s">
        <v>899</v>
      </c>
      <c r="B477" s="12"/>
      <c r="C477" s="12" t="s">
        <v>17</v>
      </c>
      <c r="D477" s="12"/>
      <c r="E477" s="32"/>
      <c r="G477" s="8">
        <v>3148028</v>
      </c>
      <c r="I477" s="8">
        <v>30453610</v>
      </c>
      <c r="K477" s="8">
        <v>0</v>
      </c>
      <c r="M477" s="8">
        <f t="shared" si="24"/>
        <v>33601638</v>
      </c>
      <c r="O477" s="8">
        <f>21606509+3910137+959601+254555</f>
        <v>26730802</v>
      </c>
      <c r="Q477" s="8">
        <v>0</v>
      </c>
      <c r="S477" s="8">
        <v>43674024</v>
      </c>
      <c r="U477" s="8">
        <v>1774771</v>
      </c>
      <c r="W477" s="8">
        <v>0</v>
      </c>
      <c r="Y477" s="8">
        <v>0</v>
      </c>
      <c r="AA477" s="8">
        <v>445563</v>
      </c>
      <c r="AB477" s="39"/>
      <c r="AC477" s="8">
        <v>0</v>
      </c>
      <c r="AE477" s="8">
        <v>-379957</v>
      </c>
      <c r="AG477" s="8">
        <f t="shared" si="22"/>
        <v>72245203</v>
      </c>
      <c r="AH477" s="8"/>
      <c r="AI477" s="8">
        <f t="shared" si="23"/>
        <v>105846841</v>
      </c>
    </row>
    <row r="478" spans="1:35" ht="12" customHeight="1">
      <c r="A478" s="12" t="s">
        <v>506</v>
      </c>
      <c r="B478" s="12"/>
      <c r="C478" s="12" t="s">
        <v>118</v>
      </c>
      <c r="D478" s="12"/>
      <c r="E478" s="32">
        <v>48223</v>
      </c>
      <c r="G478" s="8">
        <v>2875114</v>
      </c>
      <c r="I478" s="8">
        <v>4212324</v>
      </c>
      <c r="K478" s="8">
        <v>52214</v>
      </c>
      <c r="M478" s="8">
        <f t="shared" si="24"/>
        <v>7139652</v>
      </c>
      <c r="O478" s="8">
        <f>22793473+919215+2151363</f>
        <v>25864051</v>
      </c>
      <c r="Q478" s="8">
        <v>0</v>
      </c>
      <c r="S478" s="8">
        <v>8227712</v>
      </c>
      <c r="U478" s="8">
        <v>596543</v>
      </c>
      <c r="W478" s="8">
        <v>0</v>
      </c>
      <c r="Y478" s="8">
        <v>15703</v>
      </c>
      <c r="AA478" s="8">
        <v>390562</v>
      </c>
      <c r="AB478" s="39"/>
      <c r="AC478" s="8">
        <v>0</v>
      </c>
      <c r="AE478" s="8">
        <v>200</v>
      </c>
      <c r="AG478" s="8">
        <f t="shared" si="22"/>
        <v>35094771</v>
      </c>
      <c r="AH478" s="8"/>
      <c r="AI478" s="8">
        <f t="shared" si="23"/>
        <v>42234423</v>
      </c>
    </row>
    <row r="479" spans="1:35" ht="12" customHeight="1">
      <c r="A479" s="12" t="s">
        <v>506</v>
      </c>
      <c r="B479" s="12"/>
      <c r="C479" s="12" t="s">
        <v>45</v>
      </c>
      <c r="D479" s="12"/>
      <c r="E479" s="32">
        <v>48371</v>
      </c>
      <c r="G479" s="8">
        <v>521460</v>
      </c>
      <c r="I479" s="8">
        <v>995452</v>
      </c>
      <c r="K479" s="8">
        <v>49728</v>
      </c>
      <c r="M479" s="8">
        <f t="shared" si="24"/>
        <v>1566640</v>
      </c>
      <c r="O479" s="8">
        <f>2725250+358880+130502</f>
        <v>3214632</v>
      </c>
      <c r="Q479" s="8">
        <v>1671575</v>
      </c>
      <c r="S479" s="8">
        <v>5076239</v>
      </c>
      <c r="U479" s="8">
        <v>146893</v>
      </c>
      <c r="W479" s="8">
        <v>0</v>
      </c>
      <c r="Y479" s="8">
        <v>0</v>
      </c>
      <c r="AA479" s="8">
        <v>39751</v>
      </c>
      <c r="AB479" s="39"/>
      <c r="AC479" s="8">
        <v>0</v>
      </c>
      <c r="AE479" s="8">
        <v>0</v>
      </c>
      <c r="AG479" s="8">
        <f t="shared" si="22"/>
        <v>10149090</v>
      </c>
      <c r="AH479" s="8"/>
      <c r="AI479" s="8">
        <f t="shared" si="23"/>
        <v>11715730</v>
      </c>
    </row>
    <row r="480" spans="1:35" ht="12" customHeight="1">
      <c r="A480" s="12" t="s">
        <v>506</v>
      </c>
      <c r="B480" s="12"/>
      <c r="C480" s="12" t="s">
        <v>63</v>
      </c>
      <c r="D480" s="12"/>
      <c r="E480" s="32">
        <v>50062</v>
      </c>
      <c r="G480" s="8">
        <v>2551248</v>
      </c>
      <c r="I480" s="8">
        <v>3360631</v>
      </c>
      <c r="K480" s="8">
        <v>0</v>
      </c>
      <c r="M480" s="8">
        <f t="shared" si="24"/>
        <v>5911879</v>
      </c>
      <c r="O480" s="8">
        <f>9900820+2103153+285925</f>
        <v>12289898</v>
      </c>
      <c r="Q480" s="8">
        <v>0</v>
      </c>
      <c r="S480" s="8">
        <v>10400100</v>
      </c>
      <c r="U480" s="8">
        <v>152606</v>
      </c>
      <c r="W480" s="8">
        <v>0</v>
      </c>
      <c r="Y480" s="8">
        <v>0</v>
      </c>
      <c r="AA480" s="8">
        <v>59394</v>
      </c>
      <c r="AB480" s="39"/>
      <c r="AC480" s="8">
        <v>0</v>
      </c>
      <c r="AE480" s="8">
        <v>0</v>
      </c>
      <c r="AG480" s="8">
        <f t="shared" si="22"/>
        <v>22901998</v>
      </c>
      <c r="AH480" s="8"/>
      <c r="AI480" s="8">
        <f t="shared" si="23"/>
        <v>28813877</v>
      </c>
    </row>
    <row r="481" spans="1:35" ht="12" customHeight="1">
      <c r="A481" s="12" t="s">
        <v>909</v>
      </c>
      <c r="B481" s="12"/>
      <c r="C481" s="12" t="s">
        <v>32</v>
      </c>
      <c r="D481" s="12"/>
      <c r="E481" s="32">
        <v>44719</v>
      </c>
      <c r="G481" s="8">
        <v>237896</v>
      </c>
      <c r="I481" s="8">
        <v>2966730</v>
      </c>
      <c r="K481" s="8">
        <v>8370</v>
      </c>
      <c r="M481" s="8">
        <f t="shared" si="24"/>
        <v>3212996</v>
      </c>
      <c r="O481" s="8">
        <f>6102775</f>
        <v>6102775</v>
      </c>
      <c r="Q481" s="8">
        <v>0</v>
      </c>
      <c r="S481" s="8">
        <v>4542073</v>
      </c>
      <c r="U481" s="8">
        <v>192282</v>
      </c>
      <c r="W481" s="8">
        <v>0</v>
      </c>
      <c r="Y481" s="8">
        <v>0</v>
      </c>
      <c r="AA481" s="8">
        <v>358408</v>
      </c>
      <c r="AB481" s="39"/>
      <c r="AC481" s="8">
        <v>0</v>
      </c>
      <c r="AE481" s="8">
        <v>0</v>
      </c>
      <c r="AG481" s="8">
        <f t="shared" ref="AG481:AG487" si="25">SUM(O481:AE481)</f>
        <v>11195538</v>
      </c>
      <c r="AH481" s="8"/>
      <c r="AI481" s="8">
        <f t="shared" ref="AI481:AI487" si="26">+AG481+M481</f>
        <v>14408534</v>
      </c>
    </row>
    <row r="482" spans="1:35" ht="12" customHeight="1">
      <c r="A482" s="12" t="s">
        <v>908</v>
      </c>
      <c r="B482" s="12"/>
      <c r="C482" s="12" t="s">
        <v>15</v>
      </c>
      <c r="D482" s="12"/>
      <c r="E482" s="32">
        <v>45997</v>
      </c>
      <c r="G482" s="8">
        <v>1443053</v>
      </c>
      <c r="I482" s="8">
        <v>1517458</v>
      </c>
      <c r="K482" s="8">
        <v>6189</v>
      </c>
      <c r="M482" s="8">
        <f t="shared" si="24"/>
        <v>2966700</v>
      </c>
      <c r="O482" s="8">
        <f>6813225+841590</f>
        <v>7654815</v>
      </c>
      <c r="Q482" s="8">
        <v>0</v>
      </c>
      <c r="S482" s="8">
        <v>4747371</v>
      </c>
      <c r="U482" s="8">
        <v>193391</v>
      </c>
      <c r="W482" s="8">
        <v>0</v>
      </c>
      <c r="Y482" s="8">
        <v>3590</v>
      </c>
      <c r="AA482" s="8">
        <v>164364</v>
      </c>
      <c r="AB482" s="39"/>
      <c r="AC482" s="8">
        <v>0</v>
      </c>
      <c r="AE482" s="8">
        <v>176450</v>
      </c>
      <c r="AG482" s="8">
        <f t="shared" si="25"/>
        <v>12939981</v>
      </c>
      <c r="AH482" s="8"/>
      <c r="AI482" s="8">
        <f t="shared" si="26"/>
        <v>15906681</v>
      </c>
    </row>
    <row r="483" spans="1:35" ht="12" hidden="1" customHeight="1">
      <c r="A483" s="12" t="s">
        <v>542</v>
      </c>
      <c r="B483" s="12"/>
      <c r="C483" s="12" t="s">
        <v>540</v>
      </c>
      <c r="D483" s="12"/>
      <c r="E483" s="32">
        <v>48587</v>
      </c>
      <c r="K483" s="8">
        <v>0</v>
      </c>
      <c r="M483" s="8">
        <f t="shared" si="24"/>
        <v>0</v>
      </c>
      <c r="O483" s="8">
        <v>0</v>
      </c>
      <c r="Q483" s="8">
        <v>0</v>
      </c>
      <c r="S483" s="8">
        <v>0</v>
      </c>
      <c r="U483" s="8">
        <v>0</v>
      </c>
      <c r="W483" s="8">
        <v>0</v>
      </c>
      <c r="Y483" s="8">
        <v>0</v>
      </c>
      <c r="AA483" s="8">
        <v>0</v>
      </c>
      <c r="AB483" s="39"/>
      <c r="AC483" s="8">
        <v>0</v>
      </c>
      <c r="AE483" s="8">
        <v>0</v>
      </c>
      <c r="AG483" s="8">
        <f t="shared" si="25"/>
        <v>0</v>
      </c>
      <c r="AH483" s="8"/>
      <c r="AI483" s="8">
        <f t="shared" si="26"/>
        <v>0</v>
      </c>
    </row>
    <row r="484" spans="1:35" ht="12" hidden="1" customHeight="1">
      <c r="A484" s="12" t="s">
        <v>232</v>
      </c>
      <c r="B484" s="12"/>
      <c r="C484" s="12" t="s">
        <v>14</v>
      </c>
      <c r="D484" s="12"/>
      <c r="E484" s="32">
        <v>44727</v>
      </c>
      <c r="K484" s="8">
        <v>0</v>
      </c>
      <c r="M484" s="8">
        <f t="shared" si="24"/>
        <v>0</v>
      </c>
      <c r="O484" s="8">
        <v>0</v>
      </c>
      <c r="Q484" s="8">
        <v>0</v>
      </c>
      <c r="S484" s="8">
        <v>0</v>
      </c>
      <c r="U484" s="8">
        <v>0</v>
      </c>
      <c r="W484" s="8">
        <v>0</v>
      </c>
      <c r="Y484" s="8">
        <v>0</v>
      </c>
      <c r="AA484" s="8">
        <v>0</v>
      </c>
      <c r="AB484" s="39"/>
      <c r="AC484" s="8">
        <v>0</v>
      </c>
      <c r="AE484" s="8">
        <v>0</v>
      </c>
      <c r="AG484" s="8">
        <f t="shared" si="25"/>
        <v>0</v>
      </c>
      <c r="AH484" s="8"/>
      <c r="AI484" s="8">
        <f t="shared" si="26"/>
        <v>0</v>
      </c>
    </row>
    <row r="485" spans="1:35" s="8" customFormat="1" ht="12" customHeight="1">
      <c r="A485" s="13" t="s">
        <v>457</v>
      </c>
      <c r="B485" s="13"/>
      <c r="C485" s="13" t="s">
        <v>39</v>
      </c>
      <c r="D485" s="13"/>
      <c r="E485" s="32">
        <v>44826</v>
      </c>
      <c r="F485" s="10"/>
      <c r="G485" s="8">
        <v>2870505</v>
      </c>
      <c r="I485" s="8">
        <v>6300209</v>
      </c>
      <c r="K485" s="8">
        <v>201143</v>
      </c>
      <c r="M485" s="8">
        <f t="shared" si="24"/>
        <v>9371857</v>
      </c>
      <c r="O485" s="8">
        <f>3782453+1041418+75617</f>
        <v>4899488</v>
      </c>
      <c r="Q485" s="8">
        <v>0</v>
      </c>
      <c r="S485" s="8">
        <v>8748950</v>
      </c>
      <c r="U485" s="8">
        <v>846613</v>
      </c>
      <c r="W485" s="8">
        <v>0</v>
      </c>
      <c r="Y485" s="8">
        <v>120585</v>
      </c>
      <c r="AA485" s="8">
        <v>138577</v>
      </c>
      <c r="AB485" s="39"/>
      <c r="AC485" s="8">
        <v>0</v>
      </c>
      <c r="AE485" s="8">
        <v>0</v>
      </c>
      <c r="AG485" s="8">
        <f t="shared" si="25"/>
        <v>14754213</v>
      </c>
      <c r="AI485" s="8">
        <f t="shared" si="26"/>
        <v>24126070</v>
      </c>
    </row>
    <row r="486" spans="1:35" ht="12" customHeight="1">
      <c r="A486" s="12" t="s">
        <v>676</v>
      </c>
      <c r="B486" s="12"/>
      <c r="C486" s="12" t="s">
        <v>63</v>
      </c>
      <c r="D486" s="12"/>
      <c r="E486" s="32">
        <v>44834</v>
      </c>
      <c r="G486" s="8">
        <v>3014346</v>
      </c>
      <c r="I486" s="8">
        <v>4146976</v>
      </c>
      <c r="K486" s="8">
        <v>139968</v>
      </c>
      <c r="M486" s="8">
        <f t="shared" si="24"/>
        <v>7301290</v>
      </c>
      <c r="O486" s="8">
        <f>28667429+378895+570303</f>
        <v>29616627</v>
      </c>
      <c r="Q486" s="8">
        <v>0</v>
      </c>
      <c r="S486" s="8">
        <v>18755169</v>
      </c>
      <c r="U486" s="8">
        <v>640953</v>
      </c>
      <c r="W486" s="8">
        <v>0</v>
      </c>
      <c r="Y486" s="8">
        <v>0</v>
      </c>
      <c r="AA486" s="8">
        <v>58749</v>
      </c>
      <c r="AB486" s="39"/>
      <c r="AC486" s="8">
        <v>0</v>
      </c>
      <c r="AE486" s="8">
        <v>0</v>
      </c>
      <c r="AG486" s="8">
        <f t="shared" si="25"/>
        <v>49071498</v>
      </c>
      <c r="AH486" s="8"/>
      <c r="AI486" s="8">
        <f t="shared" si="26"/>
        <v>56372788</v>
      </c>
    </row>
    <row r="487" spans="1:35" ht="12" hidden="1" customHeight="1">
      <c r="A487" s="12" t="s">
        <v>705</v>
      </c>
      <c r="B487" s="12"/>
      <c r="C487" s="12" t="s">
        <v>65</v>
      </c>
      <c r="D487" s="12"/>
      <c r="E487" s="32">
        <v>50294</v>
      </c>
      <c r="K487" s="8">
        <v>0</v>
      </c>
      <c r="M487" s="8">
        <f t="shared" si="24"/>
        <v>0</v>
      </c>
      <c r="O487" s="8">
        <v>0</v>
      </c>
      <c r="Q487" s="8">
        <v>0</v>
      </c>
      <c r="S487" s="8">
        <v>0</v>
      </c>
      <c r="U487" s="8">
        <v>0</v>
      </c>
      <c r="W487" s="8">
        <v>0</v>
      </c>
      <c r="Y487" s="8">
        <v>0</v>
      </c>
      <c r="AA487" s="8">
        <v>0</v>
      </c>
      <c r="AB487" s="39"/>
      <c r="AC487" s="8">
        <v>0</v>
      </c>
      <c r="AE487" s="8">
        <v>0</v>
      </c>
      <c r="AG487" s="8">
        <f t="shared" si="25"/>
        <v>0</v>
      </c>
      <c r="AH487" s="8"/>
      <c r="AI487" s="8">
        <f t="shared" si="26"/>
        <v>0</v>
      </c>
    </row>
    <row r="488" spans="1:35" s="8" customFormat="1" ht="12" customHeight="1">
      <c r="A488" s="13" t="s">
        <v>602</v>
      </c>
      <c r="B488" s="13"/>
      <c r="C488" s="13" t="s">
        <v>56</v>
      </c>
      <c r="D488" s="13"/>
      <c r="E488" s="13">
        <v>49239</v>
      </c>
      <c r="G488" s="8">
        <v>1116715</v>
      </c>
      <c r="I488" s="8">
        <v>884501</v>
      </c>
      <c r="K488" s="8">
        <v>0</v>
      </c>
      <c r="M488" s="8">
        <f t="shared" si="24"/>
        <v>2001216</v>
      </c>
      <c r="O488" s="8">
        <f>12699976+1243873+349877</f>
        <v>14293726</v>
      </c>
      <c r="Q488" s="8">
        <v>0</v>
      </c>
      <c r="S488" s="8">
        <v>7895654</v>
      </c>
      <c r="U488" s="8">
        <v>145172</v>
      </c>
      <c r="W488" s="8">
        <v>0</v>
      </c>
      <c r="Y488" s="8">
        <v>0</v>
      </c>
      <c r="AA488" s="8">
        <v>121316</v>
      </c>
      <c r="AB488" s="39"/>
      <c r="AC488" s="8">
        <v>0</v>
      </c>
      <c r="AE488" s="8">
        <v>0</v>
      </c>
      <c r="AG488" s="8">
        <f t="shared" ref="AG488:AG536" si="27">SUM(O488:AE488)</f>
        <v>22455868</v>
      </c>
      <c r="AI488" s="8">
        <f t="shared" ref="AI488:AI536" si="28">+AG488+M488</f>
        <v>24457084</v>
      </c>
    </row>
    <row r="489" spans="1:35" ht="12" customHeight="1">
      <c r="A489" s="12" t="s">
        <v>327</v>
      </c>
      <c r="B489" s="12"/>
      <c r="C489" s="12" t="s">
        <v>20</v>
      </c>
      <c r="D489" s="12"/>
      <c r="E489" s="32">
        <v>44842</v>
      </c>
      <c r="G489" s="8">
        <v>2997343</v>
      </c>
      <c r="I489" s="8">
        <v>2810748</v>
      </c>
      <c r="K489" s="8">
        <v>0</v>
      </c>
      <c r="M489" s="8">
        <f t="shared" si="24"/>
        <v>5808091</v>
      </c>
      <c r="O489" s="8">
        <f>51778809+3457427+1029192</f>
        <v>56265428</v>
      </c>
      <c r="Q489" s="8">
        <v>0</v>
      </c>
      <c r="S489" s="8">
        <v>19443382</v>
      </c>
      <c r="U489" s="8">
        <v>625422</v>
      </c>
      <c r="W489" s="8">
        <v>0</v>
      </c>
      <c r="Y489" s="8">
        <v>0</v>
      </c>
      <c r="AA489" s="8">
        <v>760844</v>
      </c>
      <c r="AB489" s="39"/>
      <c r="AC489" s="8">
        <v>0</v>
      </c>
      <c r="AE489" s="8">
        <v>0</v>
      </c>
      <c r="AG489" s="8">
        <f t="shared" si="27"/>
        <v>77095076</v>
      </c>
      <c r="AH489" s="8"/>
      <c r="AI489" s="8">
        <f t="shared" si="28"/>
        <v>82903167</v>
      </c>
    </row>
    <row r="490" spans="1:35" ht="12" customHeight="1">
      <c r="A490" s="12" t="s">
        <v>523</v>
      </c>
      <c r="B490" s="12"/>
      <c r="C490" s="12" t="s">
        <v>45</v>
      </c>
      <c r="D490" s="12"/>
      <c r="E490" s="32">
        <v>44859</v>
      </c>
      <c r="G490" s="8">
        <f>491317+54300+33543+65597+44544+9467+9755+69481+28422+3342+101296+18688+900+402+194616+244024</f>
        <v>1369694</v>
      </c>
      <c r="I490" s="8">
        <f>727539+895128+75917+50699+16955+14410+91410+2130+2517+6922+126090+543910+37154</f>
        <v>2590781</v>
      </c>
      <c r="K490" s="8">
        <v>13673</v>
      </c>
      <c r="M490" s="8">
        <f t="shared" si="24"/>
        <v>3974148</v>
      </c>
      <c r="O490" s="8">
        <f>4787074+566045+60537</f>
        <v>5413656</v>
      </c>
      <c r="Q490" s="8">
        <v>0</v>
      </c>
      <c r="S490" s="8">
        <v>10350233</v>
      </c>
      <c r="U490" s="8">
        <v>75610</v>
      </c>
      <c r="W490" s="8">
        <v>0</v>
      </c>
      <c r="Y490" s="8">
        <v>0</v>
      </c>
      <c r="AA490" s="8">
        <v>232700</v>
      </c>
      <c r="AB490" s="39"/>
      <c r="AC490" s="8">
        <v>0</v>
      </c>
      <c r="AE490" s="8">
        <v>0</v>
      </c>
      <c r="AG490" s="8">
        <f t="shared" si="27"/>
        <v>16072199</v>
      </c>
      <c r="AH490" s="8"/>
      <c r="AI490" s="8">
        <f t="shared" si="28"/>
        <v>20046347</v>
      </c>
    </row>
    <row r="491" spans="1:35" ht="12" customHeight="1">
      <c r="A491" s="12" t="s">
        <v>738</v>
      </c>
      <c r="B491" s="12"/>
      <c r="C491" s="12" t="s">
        <v>733</v>
      </c>
      <c r="D491" s="12"/>
      <c r="E491" s="32">
        <v>50658</v>
      </c>
      <c r="G491" s="8">
        <v>313973</v>
      </c>
      <c r="I491" s="8">
        <v>491948</v>
      </c>
      <c r="K491" s="8">
        <v>3515788</v>
      </c>
      <c r="M491" s="8">
        <f t="shared" si="24"/>
        <v>4321709</v>
      </c>
      <c r="O491" s="8">
        <f>1155747+48632+172978</f>
        <v>1377357</v>
      </c>
      <c r="Q491" s="8">
        <v>617029</v>
      </c>
      <c r="S491" s="8">
        <v>2174070</v>
      </c>
      <c r="U491" s="8">
        <v>290443</v>
      </c>
      <c r="W491" s="8">
        <v>0</v>
      </c>
      <c r="Y491" s="8">
        <v>7022</v>
      </c>
      <c r="AA491" s="8">
        <v>51961</v>
      </c>
      <c r="AB491" s="39"/>
      <c r="AC491" s="8">
        <v>0</v>
      </c>
      <c r="AE491" s="8">
        <v>54764</v>
      </c>
      <c r="AG491" s="8">
        <f t="shared" si="27"/>
        <v>4572646</v>
      </c>
      <c r="AH491" s="8"/>
      <c r="AI491" s="8">
        <f t="shared" si="28"/>
        <v>8894355</v>
      </c>
    </row>
    <row r="492" spans="1:35" ht="12" customHeight="1">
      <c r="A492" s="12" t="s">
        <v>391</v>
      </c>
      <c r="B492" s="12"/>
      <c r="C492" s="12" t="s">
        <v>117</v>
      </c>
      <c r="D492" s="12"/>
      <c r="E492" s="32">
        <v>47274</v>
      </c>
      <c r="G492" s="8">
        <v>1533959</v>
      </c>
      <c r="I492" s="8">
        <v>1939484</v>
      </c>
      <c r="K492" s="8">
        <v>35542</v>
      </c>
      <c r="M492" s="8">
        <f t="shared" si="24"/>
        <v>3508985</v>
      </c>
      <c r="O492" s="8">
        <f>12808966+3198962+649119</f>
        <v>16657047</v>
      </c>
      <c r="Q492" s="8">
        <v>0</v>
      </c>
      <c r="S492" s="8">
        <v>7647997</v>
      </c>
      <c r="U492" s="8">
        <v>190099</v>
      </c>
      <c r="W492" s="8">
        <v>0</v>
      </c>
      <c r="Y492" s="8">
        <v>0</v>
      </c>
      <c r="AA492" s="8">
        <v>532504</v>
      </c>
      <c r="AB492" s="39"/>
      <c r="AC492" s="8">
        <v>0</v>
      </c>
      <c r="AE492" s="8">
        <v>0</v>
      </c>
      <c r="AG492" s="8">
        <f t="shared" si="27"/>
        <v>25027647</v>
      </c>
      <c r="AH492" s="8"/>
      <c r="AI492" s="8">
        <f t="shared" si="28"/>
        <v>28536632</v>
      </c>
    </row>
    <row r="493" spans="1:35" ht="12" customHeight="1">
      <c r="A493" s="12" t="s">
        <v>377</v>
      </c>
      <c r="B493" s="12"/>
      <c r="C493" s="12" t="s">
        <v>28</v>
      </c>
      <c r="D493" s="12"/>
      <c r="E493" s="32">
        <v>47092</v>
      </c>
      <c r="G493" s="8">
        <v>1210367</v>
      </c>
      <c r="I493" s="8">
        <v>1369666</v>
      </c>
      <c r="K493" s="8">
        <v>34635</v>
      </c>
      <c r="M493" s="8">
        <f t="shared" si="24"/>
        <v>2614668</v>
      </c>
      <c r="O493" s="8">
        <f>5673416+57416+1224248+327905</f>
        <v>7282985</v>
      </c>
      <c r="Q493" s="8">
        <v>2442997</v>
      </c>
      <c r="S493" s="8">
        <v>5403155</v>
      </c>
      <c r="U493" s="8">
        <v>417706</v>
      </c>
      <c r="W493" s="8">
        <v>0</v>
      </c>
      <c r="Y493" s="8">
        <v>9617</v>
      </c>
      <c r="AA493" s="8">
        <v>166729</v>
      </c>
      <c r="AB493" s="39"/>
      <c r="AC493" s="8">
        <v>0</v>
      </c>
      <c r="AE493" s="8">
        <v>0</v>
      </c>
      <c r="AG493" s="8">
        <f t="shared" si="27"/>
        <v>15723189</v>
      </c>
      <c r="AH493" s="8"/>
      <c r="AI493" s="8">
        <f t="shared" si="28"/>
        <v>18337857</v>
      </c>
    </row>
    <row r="494" spans="1:35" ht="12" customHeight="1">
      <c r="A494" s="12" t="s">
        <v>897</v>
      </c>
      <c r="B494" s="12"/>
      <c r="C494" s="12" t="s">
        <v>49</v>
      </c>
      <c r="D494" s="12"/>
      <c r="E494" s="32">
        <v>48652</v>
      </c>
      <c r="G494" s="8">
        <v>803581</v>
      </c>
      <c r="I494" s="8">
        <v>4573936</v>
      </c>
      <c r="K494" s="8">
        <v>211938</v>
      </c>
      <c r="M494" s="8">
        <f t="shared" si="24"/>
        <v>5589455</v>
      </c>
      <c r="O494" s="8">
        <f>5992515+444489</f>
        <v>6437004</v>
      </c>
      <c r="Q494" s="8">
        <v>0</v>
      </c>
      <c r="S494" s="8">
        <v>12963271</v>
      </c>
      <c r="U494" s="8">
        <v>112120</v>
      </c>
      <c r="W494" s="8">
        <v>0</v>
      </c>
      <c r="Y494" s="8">
        <v>0</v>
      </c>
      <c r="AA494" s="8">
        <v>181766</v>
      </c>
      <c r="AB494" s="39"/>
      <c r="AC494" s="8">
        <v>0</v>
      </c>
      <c r="AE494" s="8">
        <v>0</v>
      </c>
      <c r="AG494" s="8">
        <f t="shared" si="27"/>
        <v>19694161</v>
      </c>
      <c r="AH494" s="8"/>
      <c r="AI494" s="8">
        <f t="shared" si="28"/>
        <v>25283616</v>
      </c>
    </row>
    <row r="495" spans="1:35" ht="12" customHeight="1">
      <c r="A495" s="12" t="s">
        <v>414</v>
      </c>
      <c r="B495" s="12"/>
      <c r="C495" s="12" t="s">
        <v>32</v>
      </c>
      <c r="D495" s="12"/>
      <c r="E495" s="32">
        <v>44867</v>
      </c>
      <c r="G495" s="8">
        <v>3348630</v>
      </c>
      <c r="I495" s="8">
        <v>4210331</v>
      </c>
      <c r="K495" s="8">
        <v>129115</v>
      </c>
      <c r="M495" s="8">
        <f t="shared" si="24"/>
        <v>7688076</v>
      </c>
      <c r="O495" s="8">
        <f>55578570+2799443</f>
        <v>58378013</v>
      </c>
      <c r="Q495" s="8">
        <v>0</v>
      </c>
      <c r="S495" s="8">
        <v>14889069</v>
      </c>
      <c r="U495" s="8">
        <v>2365279</v>
      </c>
      <c r="W495" s="8">
        <v>0</v>
      </c>
      <c r="Y495" s="8">
        <v>0</v>
      </c>
      <c r="AA495" s="8">
        <f>150649+13957</f>
        <v>164606</v>
      </c>
      <c r="AB495" s="39"/>
      <c r="AC495" s="8">
        <v>0</v>
      </c>
      <c r="AE495" s="8">
        <v>0</v>
      </c>
      <c r="AG495" s="8">
        <f t="shared" si="27"/>
        <v>75796967</v>
      </c>
      <c r="AH495" s="8"/>
      <c r="AI495" s="8">
        <f t="shared" si="28"/>
        <v>83485043</v>
      </c>
    </row>
    <row r="496" spans="1:35" s="8" customFormat="1" ht="12" customHeight="1">
      <c r="A496" s="13" t="s">
        <v>507</v>
      </c>
      <c r="B496" s="13"/>
      <c r="C496" s="13" t="s">
        <v>118</v>
      </c>
      <c r="D496" s="13"/>
      <c r="E496" s="13">
        <v>44875</v>
      </c>
      <c r="G496" s="8">
        <v>3130881</v>
      </c>
      <c r="I496" s="8">
        <v>5427192</v>
      </c>
      <c r="K496" s="8">
        <v>56908</v>
      </c>
      <c r="M496" s="8">
        <f t="shared" si="24"/>
        <v>8614981</v>
      </c>
      <c r="O496" s="8">
        <f>50531356+3368746+420296</f>
        <v>54320398</v>
      </c>
      <c r="Q496" s="8">
        <v>0</v>
      </c>
      <c r="S496" s="8">
        <v>22605304</v>
      </c>
      <c r="U496" s="8">
        <v>1161599</v>
      </c>
      <c r="W496" s="8">
        <v>0</v>
      </c>
      <c r="Y496" s="8">
        <v>0</v>
      </c>
      <c r="AA496" s="8">
        <v>333888</v>
      </c>
      <c r="AB496" s="39"/>
      <c r="AC496" s="8">
        <v>0</v>
      </c>
      <c r="AE496" s="8">
        <v>0</v>
      </c>
      <c r="AG496" s="8">
        <f t="shared" si="27"/>
        <v>78421189</v>
      </c>
      <c r="AI496" s="8">
        <f t="shared" si="28"/>
        <v>87036170</v>
      </c>
    </row>
    <row r="497" spans="1:35" s="8" customFormat="1" ht="12" customHeight="1">
      <c r="A497" s="13"/>
      <c r="B497" s="13"/>
      <c r="C497" s="13"/>
      <c r="D497" s="13"/>
      <c r="E497" s="13"/>
      <c r="AB497" s="39"/>
    </row>
    <row r="498" spans="1:35" s="8" customFormat="1" ht="12" customHeight="1">
      <c r="A498" s="13"/>
      <c r="B498" s="13"/>
      <c r="C498" s="13"/>
      <c r="D498" s="13"/>
      <c r="E498" s="13"/>
      <c r="AB498" s="39"/>
      <c r="AI498" s="8" t="s">
        <v>819</v>
      </c>
    </row>
    <row r="499" spans="1:35" s="35" customFormat="1" ht="12" customHeight="1">
      <c r="A499" s="34" t="s">
        <v>477</v>
      </c>
      <c r="B499" s="34"/>
      <c r="C499" s="34" t="s">
        <v>471</v>
      </c>
      <c r="D499" s="34"/>
      <c r="E499" s="34">
        <v>47969</v>
      </c>
      <c r="G499" s="35">
        <v>574545</v>
      </c>
      <c r="I499" s="35">
        <v>1678446</v>
      </c>
      <c r="K499" s="35">
        <v>9986</v>
      </c>
      <c r="M499" s="35">
        <f t="shared" si="24"/>
        <v>2262977</v>
      </c>
      <c r="O499" s="35">
        <f>1251748+183199+22935</f>
        <v>1457882</v>
      </c>
      <c r="Q499" s="35">
        <v>0</v>
      </c>
      <c r="S499" s="35">
        <v>5309507</v>
      </c>
      <c r="U499" s="35">
        <v>274471</v>
      </c>
      <c r="W499" s="35">
        <v>0</v>
      </c>
      <c r="Y499" s="35">
        <v>0</v>
      </c>
      <c r="AA499" s="35">
        <v>21630</v>
      </c>
      <c r="AB499" s="46"/>
      <c r="AC499" s="35">
        <v>0</v>
      </c>
      <c r="AE499" s="35">
        <v>7083</v>
      </c>
      <c r="AG499" s="35">
        <f t="shared" si="27"/>
        <v>7070573</v>
      </c>
      <c r="AI499" s="35">
        <f t="shared" si="28"/>
        <v>9333550</v>
      </c>
    </row>
    <row r="500" spans="1:35" ht="12" customHeight="1">
      <c r="A500" s="12" t="s">
        <v>255</v>
      </c>
      <c r="B500" s="12"/>
      <c r="C500" s="12" t="s">
        <v>246</v>
      </c>
      <c r="D500" s="12"/>
      <c r="E500" s="32">
        <v>46151</v>
      </c>
      <c r="G500" s="8">
        <v>1633286</v>
      </c>
      <c r="I500" s="8">
        <v>1759168</v>
      </c>
      <c r="K500" s="8">
        <v>17637</v>
      </c>
      <c r="M500" s="8">
        <f t="shared" ref="M500:M527" si="29">SUM(G500:L500)</f>
        <v>3410091</v>
      </c>
      <c r="O500" s="8">
        <f>12537988+636684+1156760</f>
        <v>14331432</v>
      </c>
      <c r="Q500" s="8">
        <v>5735900</v>
      </c>
      <c r="S500" s="8">
        <v>10709123</v>
      </c>
      <c r="U500" s="8">
        <v>666360</v>
      </c>
      <c r="W500" s="8">
        <v>0</v>
      </c>
      <c r="Y500" s="8">
        <v>0</v>
      </c>
      <c r="AA500" s="8">
        <v>639026</v>
      </c>
      <c r="AB500" s="39"/>
      <c r="AC500" s="8">
        <v>0</v>
      </c>
      <c r="AE500" s="8">
        <v>0</v>
      </c>
      <c r="AG500" s="8">
        <f t="shared" si="27"/>
        <v>32081841</v>
      </c>
      <c r="AH500" s="8"/>
      <c r="AI500" s="8">
        <f t="shared" si="28"/>
        <v>35491932</v>
      </c>
    </row>
    <row r="501" spans="1:35" ht="12" customHeight="1">
      <c r="A501" s="12" t="s">
        <v>677</v>
      </c>
      <c r="B501" s="12"/>
      <c r="C501" s="12" t="s">
        <v>63</v>
      </c>
      <c r="D501" s="12"/>
      <c r="E501" s="32">
        <v>44883</v>
      </c>
      <c r="G501" s="8">
        <v>1361317</v>
      </c>
      <c r="I501" s="8">
        <v>1049666</v>
      </c>
      <c r="K501" s="8">
        <v>63852</v>
      </c>
      <c r="M501" s="8">
        <f t="shared" si="29"/>
        <v>2474835</v>
      </c>
      <c r="O501" s="8">
        <f>12438606+389675+1683768</f>
        <v>14512049</v>
      </c>
      <c r="Q501" s="8">
        <v>0</v>
      </c>
      <c r="S501" s="8">
        <v>10419008</v>
      </c>
      <c r="U501" s="8">
        <v>1345808</v>
      </c>
      <c r="W501" s="8">
        <v>0</v>
      </c>
      <c r="Y501" s="8">
        <v>0</v>
      </c>
      <c r="AA501" s="8">
        <v>8021</v>
      </c>
      <c r="AB501" s="39"/>
      <c r="AC501" s="8">
        <v>0</v>
      </c>
      <c r="AE501" s="8">
        <v>0</v>
      </c>
      <c r="AG501" s="8">
        <f t="shared" si="27"/>
        <v>26284886</v>
      </c>
      <c r="AH501" s="8"/>
      <c r="AI501" s="8">
        <f t="shared" si="28"/>
        <v>28759721</v>
      </c>
    </row>
    <row r="502" spans="1:35" ht="12" customHeight="1">
      <c r="A502" s="12" t="s">
        <v>590</v>
      </c>
      <c r="B502" s="12"/>
      <c r="C502" s="12" t="s">
        <v>54</v>
      </c>
      <c r="D502" s="12"/>
      <c r="E502" s="32">
        <v>49098</v>
      </c>
      <c r="G502" s="8">
        <v>1211839</v>
      </c>
      <c r="I502" s="8">
        <v>3119562</v>
      </c>
      <c r="K502" s="8">
        <v>19097</v>
      </c>
      <c r="M502" s="8">
        <f t="shared" si="29"/>
        <v>4350498</v>
      </c>
      <c r="O502" s="8">
        <f>6614510+530090+2504106</f>
        <v>9648706</v>
      </c>
      <c r="Q502" s="8">
        <f>2719815+174958</f>
        <v>2894773</v>
      </c>
      <c r="S502" s="8">
        <v>16226873</v>
      </c>
      <c r="U502" s="8">
        <v>1705322</v>
      </c>
      <c r="W502" s="8">
        <v>86615</v>
      </c>
      <c r="Y502" s="8">
        <v>0</v>
      </c>
      <c r="AA502" s="8">
        <v>36101</v>
      </c>
      <c r="AB502" s="39"/>
      <c r="AC502" s="8">
        <v>0</v>
      </c>
      <c r="AE502" s="8">
        <v>0</v>
      </c>
      <c r="AG502" s="8">
        <f t="shared" si="27"/>
        <v>30598390</v>
      </c>
      <c r="AH502" s="8"/>
      <c r="AI502" s="8">
        <f t="shared" si="28"/>
        <v>34948888</v>
      </c>
    </row>
    <row r="503" spans="1:35" ht="12" customHeight="1">
      <c r="A503" s="12" t="s">
        <v>269</v>
      </c>
      <c r="B503" s="12"/>
      <c r="C503" s="12" t="s">
        <v>17</v>
      </c>
      <c r="D503" s="12"/>
      <c r="E503" s="32">
        <v>46243</v>
      </c>
      <c r="G503" s="8">
        <v>2408678</v>
      </c>
      <c r="I503" s="8">
        <v>3128539</v>
      </c>
      <c r="K503" s="8">
        <v>24355</v>
      </c>
      <c r="M503" s="8">
        <f t="shared" si="29"/>
        <v>5561572</v>
      </c>
      <c r="O503" s="8">
        <f>7442612+423860+1062327+112328</f>
        <v>9041127</v>
      </c>
      <c r="Q503" s="8">
        <v>0</v>
      </c>
      <c r="S503" s="8">
        <v>17477003</v>
      </c>
      <c r="U503" s="8">
        <v>634895</v>
      </c>
      <c r="W503" s="8">
        <v>0</v>
      </c>
      <c r="Y503" s="8">
        <v>130</v>
      </c>
      <c r="AA503" s="8">
        <v>24142</v>
      </c>
      <c r="AB503" s="39"/>
      <c r="AC503" s="8">
        <v>0</v>
      </c>
      <c r="AE503" s="8">
        <v>0</v>
      </c>
      <c r="AG503" s="8">
        <f t="shared" si="27"/>
        <v>27177297</v>
      </c>
      <c r="AH503" s="8"/>
      <c r="AI503" s="8">
        <f t="shared" si="28"/>
        <v>32738869</v>
      </c>
    </row>
    <row r="504" spans="1:35" ht="12" customHeight="1">
      <c r="A504" s="12" t="s">
        <v>415</v>
      </c>
      <c r="B504" s="12"/>
      <c r="C504" s="12" t="s">
        <v>32</v>
      </c>
      <c r="D504" s="12"/>
      <c r="E504" s="32">
        <v>47399</v>
      </c>
      <c r="G504" s="8">
        <v>815568</v>
      </c>
      <c r="I504" s="8">
        <v>1315278</v>
      </c>
      <c r="K504" s="8">
        <v>19408</v>
      </c>
      <c r="M504" s="8">
        <f t="shared" si="29"/>
        <v>2150254</v>
      </c>
      <c r="O504" s="8">
        <v>12052880</v>
      </c>
      <c r="Q504" s="8">
        <v>0</v>
      </c>
      <c r="S504" s="8">
        <v>6312350</v>
      </c>
      <c r="U504" s="8">
        <v>574930</v>
      </c>
      <c r="W504" s="8">
        <v>0</v>
      </c>
      <c r="Y504" s="8">
        <v>23790</v>
      </c>
      <c r="AA504" s="8">
        <v>227034</v>
      </c>
      <c r="AB504" s="39"/>
      <c r="AC504" s="8">
        <v>0</v>
      </c>
      <c r="AE504" s="8">
        <v>0</v>
      </c>
      <c r="AG504" s="8">
        <f t="shared" si="27"/>
        <v>19190984</v>
      </c>
      <c r="AH504" s="8"/>
      <c r="AI504" s="8">
        <f t="shared" si="28"/>
        <v>21341238</v>
      </c>
    </row>
    <row r="505" spans="1:35" ht="12" hidden="1" customHeight="1">
      <c r="A505" s="12" t="s">
        <v>645</v>
      </c>
      <c r="B505" s="12"/>
      <c r="C505" s="12" t="s">
        <v>60</v>
      </c>
      <c r="D505" s="12"/>
      <c r="E505" s="32">
        <v>44891</v>
      </c>
      <c r="M505" s="8">
        <f t="shared" si="29"/>
        <v>0</v>
      </c>
      <c r="Q505" s="8">
        <v>0</v>
      </c>
      <c r="W505" s="8">
        <v>0</v>
      </c>
      <c r="Y505" s="8">
        <v>0</v>
      </c>
      <c r="AB505" s="39"/>
      <c r="AC505" s="8">
        <v>0</v>
      </c>
      <c r="AE505" s="8">
        <v>0</v>
      </c>
      <c r="AG505" s="8">
        <f t="shared" si="27"/>
        <v>0</v>
      </c>
      <c r="AH505" s="8"/>
      <c r="AI505" s="8">
        <f t="shared" si="28"/>
        <v>0</v>
      </c>
    </row>
    <row r="506" spans="1:35" ht="12" customHeight="1">
      <c r="A506" s="12" t="s">
        <v>645</v>
      </c>
      <c r="B506" s="12"/>
      <c r="C506" s="12" t="s">
        <v>60</v>
      </c>
      <c r="D506" s="12"/>
      <c r="E506" s="32">
        <v>45617</v>
      </c>
      <c r="G506" s="8">
        <v>1908767</v>
      </c>
      <c r="I506" s="8">
        <v>3344408</v>
      </c>
      <c r="K506" s="8">
        <v>7293</v>
      </c>
      <c r="M506" s="8">
        <f>SUM(G506:L506)</f>
        <v>5260468</v>
      </c>
      <c r="O506" s="8">
        <f>10646380+154098+822296+212116</f>
        <v>11834890</v>
      </c>
      <c r="Q506" s="8">
        <v>0</v>
      </c>
      <c r="S506" s="8">
        <v>10416265</v>
      </c>
      <c r="U506" s="8">
        <v>144171</v>
      </c>
      <c r="W506" s="8">
        <v>212592</v>
      </c>
      <c r="Y506" s="8">
        <v>0</v>
      </c>
      <c r="AA506" s="8">
        <v>224321</v>
      </c>
      <c r="AB506" s="39"/>
      <c r="AC506" s="8">
        <v>0</v>
      </c>
      <c r="AE506" s="8">
        <v>0</v>
      </c>
      <c r="AG506" s="8">
        <f>SUM(O506:AE506)</f>
        <v>22832239</v>
      </c>
      <c r="AH506" s="8"/>
      <c r="AI506" s="8">
        <f>+AG506+M506</f>
        <v>28092707</v>
      </c>
    </row>
    <row r="507" spans="1:35" ht="12" customHeight="1">
      <c r="A507" s="12" t="s">
        <v>549</v>
      </c>
      <c r="B507" s="12"/>
      <c r="C507" s="12" t="s">
        <v>48</v>
      </c>
      <c r="D507" s="12"/>
      <c r="E507" s="32">
        <v>45617</v>
      </c>
      <c r="G507" s="8">
        <v>1523119</v>
      </c>
      <c r="I507" s="8">
        <v>1021930</v>
      </c>
      <c r="K507" s="8">
        <v>9820</v>
      </c>
      <c r="M507" s="8">
        <f t="shared" si="29"/>
        <v>2554869</v>
      </c>
      <c r="O507" s="8">
        <f>10080100+1447451+580807</f>
        <v>12108358</v>
      </c>
      <c r="Q507" s="8">
        <v>0</v>
      </c>
      <c r="S507" s="8">
        <v>9987213</v>
      </c>
      <c r="U507" s="8">
        <v>165606</v>
      </c>
      <c r="W507" s="8">
        <v>0</v>
      </c>
      <c r="Y507" s="8">
        <v>0</v>
      </c>
      <c r="AA507" s="8">
        <v>186974</v>
      </c>
      <c r="AB507" s="39"/>
      <c r="AC507" s="8">
        <v>0</v>
      </c>
      <c r="AE507" s="8">
        <v>0</v>
      </c>
      <c r="AG507" s="8">
        <f t="shared" si="27"/>
        <v>22448151</v>
      </c>
      <c r="AH507" s="8"/>
      <c r="AI507" s="8">
        <f t="shared" si="28"/>
        <v>25003020</v>
      </c>
    </row>
    <row r="508" spans="1:35" ht="12" customHeight="1">
      <c r="A508" s="12" t="s">
        <v>508</v>
      </c>
      <c r="B508" s="12"/>
      <c r="C508" s="12" t="s">
        <v>118</v>
      </c>
      <c r="D508" s="12"/>
      <c r="E508" s="32">
        <v>44909</v>
      </c>
      <c r="G508" s="8">
        <v>21843702</v>
      </c>
      <c r="I508" s="8">
        <v>95387363</v>
      </c>
      <c r="K508" s="8">
        <v>0</v>
      </c>
      <c r="M508" s="8">
        <f t="shared" si="29"/>
        <v>117231065</v>
      </c>
      <c r="O508" s="8">
        <f>98411487+1173721+11965740+4214502</f>
        <v>115765450</v>
      </c>
      <c r="Q508" s="8">
        <v>0</v>
      </c>
      <c r="S508" s="8">
        <v>181105164</v>
      </c>
      <c r="U508" s="8">
        <v>9601866</v>
      </c>
      <c r="W508" s="8">
        <v>0</v>
      </c>
      <c r="Y508" s="8">
        <v>0</v>
      </c>
      <c r="AA508" s="8">
        <v>406184</v>
      </c>
      <c r="AB508" s="39"/>
      <c r="AC508" s="8">
        <v>0</v>
      </c>
      <c r="AE508" s="8">
        <v>0</v>
      </c>
      <c r="AG508" s="8">
        <f t="shared" si="27"/>
        <v>306878664</v>
      </c>
      <c r="AH508" s="8"/>
      <c r="AI508" s="8">
        <f t="shared" si="28"/>
        <v>424109729</v>
      </c>
    </row>
    <row r="509" spans="1:35" ht="12" customHeight="1">
      <c r="A509" s="12" t="s">
        <v>458</v>
      </c>
      <c r="B509" s="12"/>
      <c r="C509" s="12" t="s">
        <v>39</v>
      </c>
      <c r="D509" s="12"/>
      <c r="E509" s="32">
        <v>44917</v>
      </c>
      <c r="G509" s="8">
        <v>248036</v>
      </c>
      <c r="I509" s="8">
        <v>1772380</v>
      </c>
      <c r="K509" s="8">
        <v>0</v>
      </c>
      <c r="M509" s="8">
        <f t="shared" si="29"/>
        <v>2020416</v>
      </c>
      <c r="O509" s="8">
        <v>1828195</v>
      </c>
      <c r="Q509" s="8">
        <v>0</v>
      </c>
      <c r="S509" s="8">
        <v>3710377</v>
      </c>
      <c r="U509" s="8">
        <v>194609</v>
      </c>
      <c r="W509" s="8">
        <v>0</v>
      </c>
      <c r="Y509" s="8">
        <v>5950</v>
      </c>
      <c r="AA509" s="8">
        <v>66736</v>
      </c>
      <c r="AB509" s="39"/>
      <c r="AC509" s="8">
        <v>0</v>
      </c>
      <c r="AE509" s="8">
        <v>100</v>
      </c>
      <c r="AG509" s="8">
        <f t="shared" si="27"/>
        <v>5805967</v>
      </c>
      <c r="AH509" s="8"/>
      <c r="AI509" s="8">
        <f t="shared" si="28"/>
        <v>7826383</v>
      </c>
    </row>
    <row r="510" spans="1:35" ht="12" customHeight="1">
      <c r="A510" s="12" t="s">
        <v>261</v>
      </c>
      <c r="B510" s="12"/>
      <c r="C510" s="12" t="s">
        <v>259</v>
      </c>
      <c r="D510" s="12"/>
      <c r="E510" s="32">
        <v>46201</v>
      </c>
      <c r="G510" s="8">
        <v>788808</v>
      </c>
      <c r="I510" s="8">
        <v>905025</v>
      </c>
      <c r="K510" s="8">
        <v>8072</v>
      </c>
      <c r="M510" s="8">
        <f t="shared" si="29"/>
        <v>1701905</v>
      </c>
      <c r="O510" s="8">
        <f>2053870+40150+256036</f>
        <v>2350056</v>
      </c>
      <c r="Q510" s="8">
        <v>1640005</v>
      </c>
      <c r="S510" s="8">
        <v>5132428</v>
      </c>
      <c r="U510" s="8">
        <v>86543</v>
      </c>
      <c r="W510" s="8">
        <v>0</v>
      </c>
      <c r="Y510" s="8">
        <v>0</v>
      </c>
      <c r="AA510" s="8">
        <v>9516</v>
      </c>
      <c r="AB510" s="39"/>
      <c r="AC510" s="8">
        <v>0</v>
      </c>
      <c r="AE510" s="8">
        <v>0</v>
      </c>
      <c r="AG510" s="8">
        <f t="shared" si="27"/>
        <v>9218548</v>
      </c>
      <c r="AH510" s="8"/>
      <c r="AI510" s="8">
        <f t="shared" si="28"/>
        <v>10920453</v>
      </c>
    </row>
    <row r="511" spans="1:35" s="8" customFormat="1" ht="12" customHeight="1">
      <c r="A511" s="13" t="s">
        <v>606</v>
      </c>
      <c r="B511" s="13"/>
      <c r="C511" s="13" t="s">
        <v>57</v>
      </c>
      <c r="D511" s="13"/>
      <c r="E511" s="13">
        <v>91397</v>
      </c>
      <c r="G511" s="8">
        <v>548742</v>
      </c>
      <c r="I511" s="8">
        <v>823017</v>
      </c>
      <c r="K511" s="8">
        <v>43776</v>
      </c>
      <c r="M511" s="8">
        <f t="shared" si="29"/>
        <v>1415535</v>
      </c>
      <c r="O511" s="8">
        <f>3730025+275034+146570+51800</f>
        <v>4203429</v>
      </c>
      <c r="Q511" s="8">
        <v>0</v>
      </c>
      <c r="S511" s="8">
        <v>4495516</v>
      </c>
      <c r="U511" s="8">
        <v>224395</v>
      </c>
      <c r="W511" s="8">
        <v>0</v>
      </c>
      <c r="Y511" s="8">
        <v>8027</v>
      </c>
      <c r="AA511" s="8">
        <v>51220</v>
      </c>
      <c r="AB511" s="39"/>
      <c r="AC511" s="8">
        <v>0</v>
      </c>
      <c r="AE511" s="8">
        <v>0</v>
      </c>
      <c r="AG511" s="8">
        <f t="shared" si="27"/>
        <v>8982587</v>
      </c>
      <c r="AI511" s="8">
        <f t="shared" si="28"/>
        <v>10398122</v>
      </c>
    </row>
    <row r="512" spans="1:35" ht="12" customHeight="1">
      <c r="A512" s="12" t="s">
        <v>228</v>
      </c>
      <c r="B512" s="12"/>
      <c r="C512" s="12" t="s">
        <v>13</v>
      </c>
      <c r="D512" s="12"/>
      <c r="E512" s="32">
        <v>45922</v>
      </c>
      <c r="G512" s="8">
        <v>721785</v>
      </c>
      <c r="I512" s="8">
        <v>3037174</v>
      </c>
      <c r="K512" s="8">
        <v>0</v>
      </c>
      <c r="M512" s="8">
        <f t="shared" si="29"/>
        <v>3758959</v>
      </c>
      <c r="O512" s="8">
        <f>776260+150200+13173</f>
        <v>939633</v>
      </c>
      <c r="Q512" s="8">
        <v>96</v>
      </c>
      <c r="S512" s="8">
        <v>5490795</v>
      </c>
      <c r="U512" s="8">
        <v>11829</v>
      </c>
      <c r="W512" s="8">
        <v>0</v>
      </c>
      <c r="Y512" s="8">
        <v>2798</v>
      </c>
      <c r="AA512" s="8">
        <f>56195+500</f>
        <v>56695</v>
      </c>
      <c r="AB512" s="39"/>
      <c r="AC512" s="8">
        <v>0</v>
      </c>
      <c r="AE512" s="8">
        <v>6320</v>
      </c>
      <c r="AG512" s="8">
        <f t="shared" si="27"/>
        <v>6508166</v>
      </c>
      <c r="AH512" s="8"/>
      <c r="AI512" s="8">
        <f t="shared" si="28"/>
        <v>10267125</v>
      </c>
    </row>
    <row r="513" spans="1:35" ht="12" customHeight="1">
      <c r="A513" s="12" t="s">
        <v>574</v>
      </c>
      <c r="B513" s="12"/>
      <c r="C513" s="12" t="s">
        <v>51</v>
      </c>
      <c r="D513" s="12"/>
      <c r="E513" s="32">
        <v>48876</v>
      </c>
      <c r="G513" s="8">
        <v>1601985</v>
      </c>
      <c r="I513" s="8">
        <v>2733479</v>
      </c>
      <c r="K513" s="8">
        <v>150457</v>
      </c>
      <c r="M513" s="8">
        <f t="shared" si="29"/>
        <v>4485921</v>
      </c>
      <c r="O513" s="8">
        <f>4134684+779065+134357</f>
        <v>5048106</v>
      </c>
      <c r="Q513" s="8">
        <v>0</v>
      </c>
      <c r="S513" s="8">
        <v>14823139</v>
      </c>
      <c r="U513" s="8">
        <v>939475</v>
      </c>
      <c r="W513" s="8">
        <v>0</v>
      </c>
      <c r="Y513" s="8">
        <v>0</v>
      </c>
      <c r="AA513" s="8">
        <v>109026</v>
      </c>
      <c r="AB513" s="39"/>
      <c r="AC513" s="8">
        <v>0</v>
      </c>
      <c r="AE513" s="8">
        <v>0</v>
      </c>
      <c r="AG513" s="8">
        <f t="shared" si="27"/>
        <v>20919746</v>
      </c>
      <c r="AH513" s="8"/>
      <c r="AI513" s="8">
        <f t="shared" si="28"/>
        <v>25405667</v>
      </c>
    </row>
    <row r="514" spans="1:35" ht="12" hidden="1" customHeight="1">
      <c r="A514" s="12" t="s">
        <v>333</v>
      </c>
      <c r="B514" s="12"/>
      <c r="C514" s="12" t="s">
        <v>21</v>
      </c>
      <c r="D514" s="12"/>
      <c r="E514" s="32">
        <v>46680</v>
      </c>
      <c r="K514" s="8">
        <v>0</v>
      </c>
      <c r="M514" s="8">
        <f t="shared" si="29"/>
        <v>0</v>
      </c>
      <c r="Q514" s="8">
        <v>0</v>
      </c>
      <c r="W514" s="8">
        <v>0</v>
      </c>
      <c r="Y514" s="8">
        <v>0</v>
      </c>
      <c r="AA514" s="8">
        <v>0</v>
      </c>
      <c r="AB514" s="39"/>
      <c r="AC514" s="8">
        <v>0</v>
      </c>
      <c r="AE514" s="8">
        <v>0</v>
      </c>
      <c r="AG514" s="8">
        <f t="shared" si="27"/>
        <v>0</v>
      </c>
      <c r="AH514" s="8"/>
      <c r="AI514" s="8">
        <f t="shared" si="28"/>
        <v>0</v>
      </c>
    </row>
    <row r="515" spans="1:35" ht="12" customHeight="1">
      <c r="A515" s="12" t="s">
        <v>731</v>
      </c>
      <c r="B515" s="12"/>
      <c r="C515" s="12" t="s">
        <v>71</v>
      </c>
      <c r="D515" s="12"/>
      <c r="E515" s="32">
        <v>50591</v>
      </c>
      <c r="G515" s="8">
        <v>1530928</v>
      </c>
      <c r="I515" s="8">
        <v>1801600</v>
      </c>
      <c r="K515" s="8">
        <v>25958</v>
      </c>
      <c r="M515" s="8">
        <f t="shared" si="29"/>
        <v>3358486</v>
      </c>
      <c r="O515" s="8">
        <f>6349735+553745</f>
        <v>6903480</v>
      </c>
      <c r="Q515" s="8">
        <v>0</v>
      </c>
      <c r="S515" s="8">
        <v>8778158</v>
      </c>
      <c r="U515" s="8">
        <v>148843</v>
      </c>
      <c r="W515" s="8">
        <v>0</v>
      </c>
      <c r="AA515" s="8">
        <v>22955</v>
      </c>
      <c r="AB515" s="39"/>
      <c r="AC515" s="8">
        <v>0</v>
      </c>
      <c r="AE515" s="8">
        <v>0</v>
      </c>
      <c r="AG515" s="8">
        <f t="shared" si="27"/>
        <v>15853436</v>
      </c>
      <c r="AH515" s="8"/>
      <c r="AI515" s="8">
        <f t="shared" si="28"/>
        <v>19211922</v>
      </c>
    </row>
    <row r="516" spans="1:35" ht="12" customHeight="1">
      <c r="A516" s="12" t="s">
        <v>563</v>
      </c>
      <c r="B516" s="12"/>
      <c r="C516" s="12" t="s">
        <v>50</v>
      </c>
      <c r="D516" s="12"/>
      <c r="E516" s="32">
        <v>48694</v>
      </c>
      <c r="G516" s="8">
        <v>1117128</v>
      </c>
      <c r="I516" s="8">
        <v>8844269</v>
      </c>
      <c r="K516" s="8">
        <v>23812365</v>
      </c>
      <c r="M516" s="8">
        <f t="shared" si="29"/>
        <v>33773762</v>
      </c>
      <c r="O516" s="8">
        <f>9816223+126558+2241294+643872</f>
        <v>12827947</v>
      </c>
      <c r="Q516" s="8">
        <v>0</v>
      </c>
      <c r="S516" s="8">
        <v>20559179</v>
      </c>
      <c r="U516" s="8">
        <v>1434501</v>
      </c>
      <c r="W516" s="8">
        <v>21000</v>
      </c>
      <c r="Y516" s="8">
        <v>20707</v>
      </c>
      <c r="AA516" s="8">
        <f>25619+418044</f>
        <v>443663</v>
      </c>
      <c r="AB516" s="39"/>
      <c r="AC516" s="8">
        <v>0</v>
      </c>
      <c r="AE516" s="8">
        <v>0</v>
      </c>
      <c r="AG516" s="8">
        <f t="shared" si="27"/>
        <v>35306997</v>
      </c>
      <c r="AH516" s="8"/>
      <c r="AI516" s="8">
        <f t="shared" si="28"/>
        <v>69080759</v>
      </c>
    </row>
    <row r="517" spans="1:35" ht="12" customHeight="1">
      <c r="A517" s="12" t="s">
        <v>550</v>
      </c>
      <c r="B517" s="12"/>
      <c r="C517" s="12" t="s">
        <v>48</v>
      </c>
      <c r="D517" s="12"/>
      <c r="E517" s="32">
        <v>44925</v>
      </c>
      <c r="G517" s="8">
        <v>2886858</v>
      </c>
      <c r="I517" s="8">
        <v>3527202</v>
      </c>
      <c r="K517" s="8">
        <v>43023</v>
      </c>
      <c r="M517" s="8">
        <f t="shared" si="29"/>
        <v>6457083</v>
      </c>
      <c r="O517" s="8">
        <f>16728472+364714+1270500+659065</f>
        <v>19022751</v>
      </c>
      <c r="Q517" s="8">
        <v>9952902</v>
      </c>
      <c r="S517" s="8">
        <v>15346962</v>
      </c>
      <c r="U517" s="8">
        <v>763542</v>
      </c>
      <c r="W517" s="8">
        <v>0</v>
      </c>
      <c r="Y517" s="8">
        <v>0</v>
      </c>
      <c r="AA517" s="8">
        <v>292463</v>
      </c>
      <c r="AB517" s="39"/>
      <c r="AC517" s="8">
        <v>0</v>
      </c>
      <c r="AE517" s="8">
        <v>0</v>
      </c>
      <c r="AG517" s="8">
        <f t="shared" si="27"/>
        <v>45378620</v>
      </c>
      <c r="AH517" s="8"/>
      <c r="AI517" s="8">
        <f t="shared" si="28"/>
        <v>51835703</v>
      </c>
    </row>
    <row r="518" spans="1:35" ht="12" customHeight="1">
      <c r="A518" s="12" t="s">
        <v>706</v>
      </c>
      <c r="B518" s="12"/>
      <c r="C518" s="12" t="s">
        <v>65</v>
      </c>
      <c r="D518" s="12"/>
      <c r="E518" s="32">
        <v>50302</v>
      </c>
      <c r="G518" s="8">
        <v>879717</v>
      </c>
      <c r="I518" s="8">
        <v>1258970</v>
      </c>
      <c r="K518" s="8">
        <v>10367</v>
      </c>
      <c r="M518" s="8">
        <f t="shared" si="29"/>
        <v>2149054</v>
      </c>
      <c r="O518" s="8">
        <f>4347242+505927</f>
        <v>4853169</v>
      </c>
      <c r="Q518" s="8">
        <v>0</v>
      </c>
      <c r="S518" s="8">
        <v>6189208</v>
      </c>
      <c r="U518" s="8">
        <v>122446</v>
      </c>
      <c r="W518" s="8">
        <v>0</v>
      </c>
      <c r="Y518" s="8">
        <v>0</v>
      </c>
      <c r="AA518" s="8">
        <v>93094</v>
      </c>
      <c r="AB518" s="39"/>
      <c r="AC518" s="8">
        <v>0</v>
      </c>
      <c r="AE518" s="8">
        <v>0</v>
      </c>
      <c r="AG518" s="8">
        <f t="shared" si="27"/>
        <v>11257917</v>
      </c>
      <c r="AH518" s="8"/>
      <c r="AI518" s="8">
        <f t="shared" si="28"/>
        <v>13406971</v>
      </c>
    </row>
    <row r="519" spans="1:35" ht="12" customHeight="1">
      <c r="A519" s="12" t="s">
        <v>666</v>
      </c>
      <c r="B519" s="12"/>
      <c r="C519" s="12" t="s">
        <v>62</v>
      </c>
      <c r="D519" s="12"/>
      <c r="E519" s="32">
        <v>49957</v>
      </c>
      <c r="G519" s="8">
        <v>809162</v>
      </c>
      <c r="I519" s="8">
        <v>491510</v>
      </c>
      <c r="K519" s="8">
        <v>0</v>
      </c>
      <c r="M519" s="8">
        <f t="shared" si="29"/>
        <v>1300672</v>
      </c>
      <c r="O519" s="8">
        <f>3932705+996106</f>
        <v>4928811</v>
      </c>
      <c r="Q519" s="8">
        <v>0</v>
      </c>
      <c r="S519" s="8">
        <v>6983015</v>
      </c>
      <c r="U519" s="8">
        <v>162893</v>
      </c>
      <c r="W519" s="8">
        <v>0</v>
      </c>
      <c r="Y519" s="8">
        <v>0</v>
      </c>
      <c r="AA519" s="8">
        <v>0</v>
      </c>
      <c r="AB519" s="39"/>
      <c r="AC519" s="8">
        <v>0</v>
      </c>
      <c r="AE519" s="8">
        <v>0</v>
      </c>
      <c r="AG519" s="8">
        <f t="shared" si="27"/>
        <v>12074719</v>
      </c>
      <c r="AH519" s="8"/>
      <c r="AI519" s="8">
        <f t="shared" si="28"/>
        <v>13375391</v>
      </c>
    </row>
    <row r="520" spans="1:35" ht="12" hidden="1" customHeight="1">
      <c r="A520" s="12" t="s">
        <v>607</v>
      </c>
      <c r="B520" s="12"/>
      <c r="C520" s="12" t="s">
        <v>57</v>
      </c>
      <c r="D520" s="12"/>
      <c r="E520" s="32">
        <v>49296</v>
      </c>
      <c r="M520" s="8">
        <f t="shared" si="29"/>
        <v>0</v>
      </c>
      <c r="Q520" s="8">
        <v>0</v>
      </c>
      <c r="Y520" s="8">
        <v>0</v>
      </c>
      <c r="AA520" s="8">
        <v>0</v>
      </c>
      <c r="AB520" s="39"/>
      <c r="AC520" s="8">
        <v>0</v>
      </c>
      <c r="AE520" s="8">
        <v>0</v>
      </c>
      <c r="AG520" s="8">
        <f t="shared" si="27"/>
        <v>0</v>
      </c>
      <c r="AH520" s="8"/>
      <c r="AI520" s="8">
        <f t="shared" si="28"/>
        <v>0</v>
      </c>
    </row>
    <row r="521" spans="1:35" ht="12" customHeight="1">
      <c r="A521" s="12" t="s">
        <v>678</v>
      </c>
      <c r="B521" s="12"/>
      <c r="C521" s="12" t="s">
        <v>63</v>
      </c>
      <c r="D521" s="12"/>
      <c r="E521" s="32">
        <v>50070</v>
      </c>
      <c r="G521" s="8">
        <v>1791273</v>
      </c>
      <c r="I521" s="8">
        <v>1468110</v>
      </c>
      <c r="K521" s="8">
        <v>22220</v>
      </c>
      <c r="M521" s="8">
        <f t="shared" si="29"/>
        <v>3281603</v>
      </c>
      <c r="O521" s="8">
        <f>27821725+3434754+803376</f>
        <v>32059855</v>
      </c>
      <c r="Q521" s="8">
        <v>0</v>
      </c>
      <c r="S521" s="8">
        <v>12112533</v>
      </c>
      <c r="U521" s="8">
        <v>1155273</v>
      </c>
      <c r="W521" s="8">
        <v>97402</v>
      </c>
      <c r="Y521" s="8">
        <v>0</v>
      </c>
      <c r="AA521" s="8">
        <v>120849</v>
      </c>
      <c r="AB521" s="39"/>
      <c r="AC521" s="8">
        <v>0</v>
      </c>
      <c r="AE521" s="8">
        <v>0</v>
      </c>
      <c r="AG521" s="8">
        <f t="shared" si="27"/>
        <v>45545912</v>
      </c>
      <c r="AH521" s="8"/>
      <c r="AI521" s="8">
        <f t="shared" si="28"/>
        <v>48827515</v>
      </c>
    </row>
    <row r="522" spans="1:35" ht="12" customHeight="1">
      <c r="A522" s="12" t="s">
        <v>239</v>
      </c>
      <c r="B522" s="12"/>
      <c r="C522" s="12" t="s">
        <v>15</v>
      </c>
      <c r="D522" s="12"/>
      <c r="E522" s="32">
        <v>46011</v>
      </c>
      <c r="G522" s="8">
        <v>993627</v>
      </c>
      <c r="I522" s="8">
        <v>2570945</v>
      </c>
      <c r="K522" s="8">
        <v>12003</v>
      </c>
      <c r="M522" s="8">
        <f t="shared" si="29"/>
        <v>3576575</v>
      </c>
      <c r="O522" s="8">
        <f>2316172+261499+42999</f>
        <v>2620670</v>
      </c>
      <c r="Q522" s="8">
        <v>0</v>
      </c>
      <c r="S522" s="8">
        <v>7093733</v>
      </c>
      <c r="U522" s="8">
        <v>70428</v>
      </c>
      <c r="W522" s="8">
        <v>0</v>
      </c>
      <c r="Y522" s="8">
        <v>0</v>
      </c>
      <c r="AA522" s="8">
        <v>77909</v>
      </c>
      <c r="AB522" s="39"/>
      <c r="AC522" s="8">
        <v>0</v>
      </c>
      <c r="AE522" s="8">
        <v>0</v>
      </c>
      <c r="AG522" s="8">
        <f t="shared" si="27"/>
        <v>9862740</v>
      </c>
      <c r="AH522" s="8"/>
      <c r="AI522" s="8">
        <f t="shared" si="28"/>
        <v>13439315</v>
      </c>
    </row>
    <row r="523" spans="1:35" ht="12" customHeight="1">
      <c r="A523" s="12" t="s">
        <v>625</v>
      </c>
      <c r="B523" s="12"/>
      <c r="C523" s="12" t="s">
        <v>58</v>
      </c>
      <c r="D523" s="12"/>
      <c r="E523" s="32">
        <v>49536</v>
      </c>
      <c r="G523" s="8">
        <v>2064837</v>
      </c>
      <c r="I523" s="8">
        <v>2006369</v>
      </c>
      <c r="K523" s="8">
        <v>13000</v>
      </c>
      <c r="M523" s="8">
        <f t="shared" si="29"/>
        <v>4084206</v>
      </c>
      <c r="O523" s="8">
        <f>3069289+293619+56760</f>
        <v>3419668</v>
      </c>
      <c r="Q523" s="8">
        <v>1107173</v>
      </c>
      <c r="S523" s="8">
        <v>9602492</v>
      </c>
      <c r="U523" s="8">
        <v>291765</v>
      </c>
      <c r="W523" s="8">
        <v>0</v>
      </c>
      <c r="Y523" s="8">
        <v>0</v>
      </c>
      <c r="AA523" s="8">
        <v>52053</v>
      </c>
      <c r="AB523" s="39"/>
      <c r="AC523" s="8">
        <v>0</v>
      </c>
      <c r="AE523" s="8">
        <v>0</v>
      </c>
      <c r="AG523" s="8">
        <f t="shared" si="27"/>
        <v>14473151</v>
      </c>
      <c r="AH523" s="8"/>
      <c r="AI523" s="8">
        <f t="shared" si="28"/>
        <v>18557357</v>
      </c>
    </row>
    <row r="524" spans="1:35" ht="12" hidden="1" customHeight="1">
      <c r="A524" s="12" t="s">
        <v>289</v>
      </c>
      <c r="B524" s="12"/>
      <c r="C524" s="12" t="s">
        <v>115</v>
      </c>
      <c r="D524" s="12"/>
      <c r="E524" s="32">
        <v>46458</v>
      </c>
      <c r="K524" s="8">
        <v>0</v>
      </c>
      <c r="M524" s="8">
        <f t="shared" si="29"/>
        <v>0</v>
      </c>
      <c r="O524" s="8">
        <v>0</v>
      </c>
      <c r="W524" s="8">
        <v>0</v>
      </c>
      <c r="Y524" s="8">
        <v>0</v>
      </c>
      <c r="AA524" s="8">
        <v>0</v>
      </c>
      <c r="AB524" s="39"/>
      <c r="AC524" s="8">
        <v>0</v>
      </c>
      <c r="AE524" s="8">
        <v>0</v>
      </c>
      <c r="AG524" s="8">
        <f t="shared" si="27"/>
        <v>0</v>
      </c>
      <c r="AH524" s="8"/>
      <c r="AI524" s="8">
        <f t="shared" si="28"/>
        <v>0</v>
      </c>
    </row>
    <row r="525" spans="1:35" ht="12" customHeight="1">
      <c r="A525" s="12" t="s">
        <v>368</v>
      </c>
      <c r="B525" s="12"/>
      <c r="C525" s="12" t="s">
        <v>27</v>
      </c>
      <c r="D525" s="12"/>
      <c r="E525" s="32">
        <v>44933</v>
      </c>
      <c r="G525" s="8">
        <v>5016787</v>
      </c>
      <c r="I525" s="8">
        <v>3509216</v>
      </c>
      <c r="K525" s="8">
        <v>0</v>
      </c>
      <c r="M525" s="8">
        <f t="shared" si="29"/>
        <v>8526003</v>
      </c>
      <c r="O525" s="8">
        <v>63090620</v>
      </c>
      <c r="Q525" s="8">
        <v>0</v>
      </c>
      <c r="S525" s="8">
        <v>12663435</v>
      </c>
      <c r="U525" s="8">
        <v>1752252</v>
      </c>
      <c r="W525" s="8">
        <v>0</v>
      </c>
      <c r="Y525" s="8">
        <v>0</v>
      </c>
      <c r="AA525" s="8">
        <v>1356334</v>
      </c>
      <c r="AB525" s="39"/>
      <c r="AC525" s="8">
        <v>0</v>
      </c>
      <c r="AE525" s="8">
        <v>0</v>
      </c>
      <c r="AG525" s="8">
        <f t="shared" si="27"/>
        <v>78862641</v>
      </c>
      <c r="AH525" s="8"/>
      <c r="AI525" s="8">
        <f t="shared" si="28"/>
        <v>87388644</v>
      </c>
    </row>
    <row r="526" spans="1:35" ht="12" hidden="1" customHeight="1">
      <c r="A526" s="12" t="s">
        <v>749</v>
      </c>
      <c r="B526" s="12"/>
      <c r="C526" s="12" t="s">
        <v>747</v>
      </c>
      <c r="D526" s="12"/>
      <c r="E526" s="32">
        <v>45625</v>
      </c>
      <c r="K526" s="8">
        <v>0</v>
      </c>
      <c r="M526" s="8">
        <f t="shared" si="29"/>
        <v>0</v>
      </c>
      <c r="O526" s="8">
        <v>0</v>
      </c>
      <c r="W526" s="8">
        <v>0</v>
      </c>
      <c r="Y526" s="8">
        <v>0</v>
      </c>
      <c r="AA526" s="8">
        <v>0</v>
      </c>
      <c r="AB526" s="39"/>
      <c r="AC526" s="8">
        <v>0</v>
      </c>
      <c r="AE526" s="8">
        <v>0</v>
      </c>
      <c r="AG526" s="8">
        <f t="shared" si="27"/>
        <v>0</v>
      </c>
      <c r="AH526" s="8"/>
      <c r="AI526" s="8">
        <f t="shared" si="28"/>
        <v>0</v>
      </c>
    </row>
    <row r="527" spans="1:35" ht="12" hidden="1" customHeight="1">
      <c r="A527" s="12" t="s">
        <v>431</v>
      </c>
      <c r="B527" s="12"/>
      <c r="C527" s="12" t="s">
        <v>426</v>
      </c>
      <c r="D527" s="12"/>
      <c r="E527" s="30">
        <v>0</v>
      </c>
      <c r="K527" s="8">
        <v>0</v>
      </c>
      <c r="M527" s="8">
        <f t="shared" si="29"/>
        <v>0</v>
      </c>
      <c r="O527" s="8">
        <v>0</v>
      </c>
      <c r="W527" s="8">
        <v>0</v>
      </c>
      <c r="Y527" s="8">
        <v>0</v>
      </c>
      <c r="AA527" s="8">
        <v>0</v>
      </c>
      <c r="AB527" s="39"/>
      <c r="AC527" s="8">
        <v>0</v>
      </c>
      <c r="AE527" s="8">
        <v>0</v>
      </c>
      <c r="AG527" s="8">
        <f t="shared" si="27"/>
        <v>0</v>
      </c>
      <c r="AH527" s="8"/>
      <c r="AI527" s="8">
        <f t="shared" si="28"/>
        <v>0</v>
      </c>
    </row>
    <row r="528" spans="1:35" s="8" customFormat="1" ht="12" customHeight="1">
      <c r="A528" s="13" t="s">
        <v>262</v>
      </c>
      <c r="B528" s="13"/>
      <c r="C528" s="13" t="s">
        <v>259</v>
      </c>
      <c r="D528" s="13"/>
      <c r="E528" s="13">
        <v>44941</v>
      </c>
      <c r="G528" s="8">
        <v>1569620</v>
      </c>
      <c r="I528" s="8">
        <v>3160123</v>
      </c>
      <c r="K528" s="8">
        <v>12678</v>
      </c>
      <c r="M528" s="8">
        <f t="shared" ref="M528:M553" si="30">SUM(G528:L528)</f>
        <v>4742421</v>
      </c>
      <c r="O528" s="8">
        <f>7554135+540136</f>
        <v>8094271</v>
      </c>
      <c r="Q528" s="8">
        <v>0</v>
      </c>
      <c r="S528" s="8">
        <v>10025191</v>
      </c>
      <c r="U528" s="8">
        <v>280418</v>
      </c>
      <c r="W528" s="8">
        <v>0</v>
      </c>
      <c r="Y528" s="8">
        <v>0</v>
      </c>
      <c r="AA528" s="8">
        <v>72784</v>
      </c>
      <c r="AB528" s="39"/>
      <c r="AC528" s="8">
        <v>0</v>
      </c>
      <c r="AE528" s="8">
        <v>0</v>
      </c>
      <c r="AG528" s="8">
        <f t="shared" si="27"/>
        <v>18472664</v>
      </c>
      <c r="AI528" s="8">
        <f t="shared" si="28"/>
        <v>23215085</v>
      </c>
    </row>
    <row r="529" spans="1:37" ht="12" hidden="1" customHeight="1">
      <c r="A529" s="12" t="s">
        <v>637</v>
      </c>
      <c r="B529" s="12"/>
      <c r="C529" s="12" t="s">
        <v>59</v>
      </c>
      <c r="D529" s="12"/>
      <c r="E529" s="32">
        <v>49643</v>
      </c>
      <c r="M529" s="8">
        <f t="shared" si="30"/>
        <v>0</v>
      </c>
      <c r="AB529" s="39"/>
      <c r="AC529" s="8">
        <v>0</v>
      </c>
      <c r="AE529" s="8">
        <v>0</v>
      </c>
      <c r="AG529" s="8">
        <f t="shared" si="27"/>
        <v>0</v>
      </c>
      <c r="AH529" s="8"/>
      <c r="AI529" s="8">
        <f t="shared" si="28"/>
        <v>0</v>
      </c>
    </row>
    <row r="530" spans="1:37" ht="12" customHeight="1">
      <c r="A530" s="12" t="s">
        <v>564</v>
      </c>
      <c r="B530" s="12"/>
      <c r="C530" s="12" t="s">
        <v>50</v>
      </c>
      <c r="D530" s="12"/>
      <c r="E530" s="32">
        <v>48744</v>
      </c>
      <c r="G530" s="8">
        <v>1222782</v>
      </c>
      <c r="I530" s="8">
        <v>1247394</v>
      </c>
      <c r="K530" s="8">
        <v>9011</v>
      </c>
      <c r="M530" s="8">
        <f t="shared" si="30"/>
        <v>2479187</v>
      </c>
      <c r="O530" s="8">
        <f>5212355+3022703</f>
        <v>8235058</v>
      </c>
      <c r="Q530" s="8">
        <v>0</v>
      </c>
      <c r="S530" s="8">
        <v>8416267</v>
      </c>
      <c r="U530" s="8">
        <v>371881</v>
      </c>
      <c r="W530" s="8">
        <v>0</v>
      </c>
      <c r="Y530" s="8">
        <v>0</v>
      </c>
      <c r="AA530" s="8">
        <v>31214</v>
      </c>
      <c r="AB530" s="39"/>
      <c r="AC530" s="8">
        <v>0</v>
      </c>
      <c r="AE530" s="8">
        <v>0</v>
      </c>
      <c r="AG530" s="8">
        <f t="shared" si="27"/>
        <v>17054420</v>
      </c>
      <c r="AH530" s="8"/>
      <c r="AI530" s="8">
        <f t="shared" si="28"/>
        <v>19533607</v>
      </c>
    </row>
    <row r="531" spans="1:37" ht="12" customHeight="1">
      <c r="A531" s="12" t="s">
        <v>424</v>
      </c>
      <c r="B531" s="12"/>
      <c r="C531" s="12" t="s">
        <v>33</v>
      </c>
      <c r="D531" s="12"/>
      <c r="E531" s="32">
        <v>47464</v>
      </c>
      <c r="G531" s="8">
        <v>785407</v>
      </c>
      <c r="I531" s="8">
        <v>471507</v>
      </c>
      <c r="K531" s="8">
        <v>58200</v>
      </c>
      <c r="M531" s="8">
        <f t="shared" si="30"/>
        <v>1315114</v>
      </c>
      <c r="O531" s="8">
        <f>6296862+715853+292172</f>
        <v>7304887</v>
      </c>
      <c r="Q531" s="8">
        <v>0</v>
      </c>
      <c r="S531" s="8">
        <v>3026777</v>
      </c>
      <c r="U531" s="8">
        <v>281827</v>
      </c>
      <c r="W531" s="8">
        <v>11050</v>
      </c>
      <c r="Y531" s="8">
        <v>29629</v>
      </c>
      <c r="AA531" s="8">
        <v>106108</v>
      </c>
      <c r="AB531" s="39"/>
      <c r="AC531" s="8">
        <v>0</v>
      </c>
      <c r="AE531" s="8">
        <v>0</v>
      </c>
      <c r="AG531" s="8">
        <f t="shared" si="27"/>
        <v>10760278</v>
      </c>
      <c r="AH531" s="8"/>
      <c r="AI531" s="8">
        <f t="shared" si="28"/>
        <v>12075392</v>
      </c>
    </row>
    <row r="532" spans="1:37" ht="12" customHeight="1">
      <c r="A532" s="12" t="s">
        <v>711</v>
      </c>
      <c r="B532" s="12"/>
      <c r="C532" s="12" t="s">
        <v>67</v>
      </c>
      <c r="D532" s="12"/>
      <c r="E532" s="32">
        <v>44966</v>
      </c>
      <c r="G532" s="8">
        <v>1375748</v>
      </c>
      <c r="I532" s="8">
        <v>2349031</v>
      </c>
      <c r="K532" s="8">
        <v>5180</v>
      </c>
      <c r="M532" s="8">
        <f t="shared" si="30"/>
        <v>3729959</v>
      </c>
      <c r="O532" s="8">
        <f>5565845+1399714+377606</f>
        <v>7343165</v>
      </c>
      <c r="Q532" s="8">
        <v>2408473</v>
      </c>
      <c r="S532" s="8">
        <v>9363136</v>
      </c>
      <c r="U532" s="8">
        <v>328194</v>
      </c>
      <c r="W532" s="8">
        <v>0</v>
      </c>
      <c r="Y532" s="8">
        <v>60371</v>
      </c>
      <c r="AA532" s="8">
        <v>137128</v>
      </c>
      <c r="AB532" s="39"/>
      <c r="AC532" s="8">
        <v>0</v>
      </c>
      <c r="AE532" s="8">
        <v>0</v>
      </c>
      <c r="AG532" s="8">
        <f t="shared" si="27"/>
        <v>19640467</v>
      </c>
      <c r="AH532" s="8"/>
      <c r="AI532" s="8">
        <f t="shared" si="28"/>
        <v>23370426</v>
      </c>
    </row>
    <row r="533" spans="1:37" ht="12" customHeight="1">
      <c r="A533" s="12" t="s">
        <v>565</v>
      </c>
      <c r="B533" s="12"/>
      <c r="C533" s="12" t="s">
        <v>50</v>
      </c>
      <c r="D533" s="12"/>
      <c r="E533" s="32">
        <v>44958</v>
      </c>
      <c r="G533" s="8">
        <v>2474515</v>
      </c>
      <c r="I533" s="8">
        <v>2713114</v>
      </c>
      <c r="K533" s="8">
        <v>0</v>
      </c>
      <c r="M533" s="8">
        <f t="shared" si="30"/>
        <v>5187629</v>
      </c>
      <c r="O533" s="8">
        <v>22977944</v>
      </c>
      <c r="Q533" s="8">
        <v>0</v>
      </c>
      <c r="S533" s="8">
        <v>10047923</v>
      </c>
      <c r="U533" s="8">
        <v>955637</v>
      </c>
      <c r="W533" s="8">
        <v>0</v>
      </c>
      <c r="Y533" s="8">
        <v>0</v>
      </c>
      <c r="AA533" s="8">
        <v>144969</v>
      </c>
      <c r="AB533" s="39"/>
      <c r="AC533" s="8">
        <v>0</v>
      </c>
      <c r="AE533" s="8">
        <v>0</v>
      </c>
      <c r="AG533" s="8">
        <f t="shared" si="27"/>
        <v>34126473</v>
      </c>
      <c r="AH533" s="8"/>
      <c r="AI533" s="8">
        <f t="shared" si="28"/>
        <v>39314102</v>
      </c>
    </row>
    <row r="534" spans="1:37" ht="12" hidden="1" customHeight="1">
      <c r="A534" s="12" t="s">
        <v>425</v>
      </c>
      <c r="B534" s="12"/>
      <c r="C534" s="12" t="s">
        <v>33</v>
      </c>
      <c r="D534" s="12"/>
      <c r="E534" s="32">
        <v>47472</v>
      </c>
      <c r="M534" s="8">
        <f t="shared" si="30"/>
        <v>0</v>
      </c>
      <c r="Q534" s="8">
        <v>0</v>
      </c>
      <c r="S534" s="8">
        <v>0</v>
      </c>
      <c r="U534" s="8">
        <v>0</v>
      </c>
      <c r="W534" s="8">
        <v>0</v>
      </c>
      <c r="Y534" s="8">
        <v>0</v>
      </c>
      <c r="AA534" s="8">
        <v>0</v>
      </c>
      <c r="AB534" s="39"/>
      <c r="AC534" s="8">
        <v>0</v>
      </c>
      <c r="AE534" s="8">
        <v>0</v>
      </c>
      <c r="AG534" s="8">
        <f t="shared" si="27"/>
        <v>0</v>
      </c>
      <c r="AH534" s="8"/>
      <c r="AI534" s="8">
        <f t="shared" si="28"/>
        <v>0</v>
      </c>
    </row>
    <row r="535" spans="1:37" ht="12" customHeight="1">
      <c r="A535" s="12" t="s">
        <v>346</v>
      </c>
      <c r="B535" s="12"/>
      <c r="C535" s="12" t="s">
        <v>24</v>
      </c>
      <c r="D535" s="12"/>
      <c r="E535" s="32">
        <v>46821</v>
      </c>
      <c r="G535" s="8">
        <v>1155337</v>
      </c>
      <c r="I535" s="8">
        <v>1915207</v>
      </c>
      <c r="K535" s="8">
        <v>38464</v>
      </c>
      <c r="M535" s="8">
        <f t="shared" si="30"/>
        <v>3109008</v>
      </c>
      <c r="O535" s="8">
        <f>22279906+356859</f>
        <v>22636765</v>
      </c>
      <c r="Q535" s="8">
        <v>0</v>
      </c>
      <c r="S535" s="8">
        <v>7540393</v>
      </c>
      <c r="U535" s="8">
        <v>531110</v>
      </c>
      <c r="W535" s="8">
        <v>0</v>
      </c>
      <c r="Y535" s="8">
        <v>0</v>
      </c>
      <c r="AA535" s="8">
        <v>12742</v>
      </c>
      <c r="AB535" s="39"/>
      <c r="AC535" s="8">
        <v>0</v>
      </c>
      <c r="AE535" s="8">
        <v>0</v>
      </c>
      <c r="AG535" s="8">
        <f t="shared" si="27"/>
        <v>30721010</v>
      </c>
      <c r="AH535" s="8"/>
      <c r="AI535" s="8">
        <f t="shared" si="28"/>
        <v>33830018</v>
      </c>
    </row>
    <row r="536" spans="1:37" ht="12" customHeight="1">
      <c r="A536" s="12" t="s">
        <v>712</v>
      </c>
      <c r="B536" s="12"/>
      <c r="C536" s="12" t="s">
        <v>68</v>
      </c>
      <c r="D536" s="12"/>
      <c r="E536" s="32">
        <v>50393</v>
      </c>
      <c r="G536" s="8">
        <v>522234</v>
      </c>
      <c r="I536" s="8">
        <v>7114155</v>
      </c>
      <c r="K536" s="8">
        <v>0</v>
      </c>
      <c r="M536" s="8">
        <f t="shared" si="30"/>
        <v>7636389</v>
      </c>
      <c r="O536" s="8">
        <f>3094012+66608+756129</f>
        <v>3916749</v>
      </c>
      <c r="Q536" s="8">
        <v>0</v>
      </c>
      <c r="S536" s="8">
        <v>13589290</v>
      </c>
      <c r="U536" s="8">
        <v>0</v>
      </c>
      <c r="W536" s="8">
        <v>880621</v>
      </c>
      <c r="Y536" s="8">
        <v>0</v>
      </c>
      <c r="AA536" s="8">
        <f>376824+770910</f>
        <v>1147734</v>
      </c>
      <c r="AB536" s="39"/>
      <c r="AC536" s="8">
        <v>0</v>
      </c>
      <c r="AE536" s="8">
        <v>0</v>
      </c>
      <c r="AG536" s="8">
        <f t="shared" si="27"/>
        <v>19534394</v>
      </c>
      <c r="AH536" s="8"/>
      <c r="AI536" s="8">
        <f t="shared" si="28"/>
        <v>27170783</v>
      </c>
    </row>
    <row r="537" spans="1:37" ht="12" customHeight="1">
      <c r="A537" s="12" t="s">
        <v>536</v>
      </c>
      <c r="B537" s="12"/>
      <c r="C537" s="12" t="s">
        <v>47</v>
      </c>
      <c r="D537" s="12"/>
      <c r="E537" s="32">
        <v>44974</v>
      </c>
      <c r="G537" s="8">
        <v>2374195</v>
      </c>
      <c r="I537" s="8">
        <v>3281855</v>
      </c>
      <c r="K537" s="8">
        <v>346182</v>
      </c>
      <c r="M537" s="8">
        <f t="shared" si="30"/>
        <v>6002232</v>
      </c>
      <c r="O537" s="8">
        <f>15478141+2437469+433621</f>
        <v>18349231</v>
      </c>
      <c r="Q537" s="8">
        <v>0</v>
      </c>
      <c r="S537" s="8">
        <v>17673723</v>
      </c>
      <c r="U537" s="8">
        <v>706791</v>
      </c>
      <c r="W537" s="8">
        <v>0</v>
      </c>
      <c r="Y537" s="8">
        <v>0</v>
      </c>
      <c r="AA537" s="8">
        <v>505495</v>
      </c>
      <c r="AB537" s="39"/>
      <c r="AC537" s="8">
        <v>0</v>
      </c>
      <c r="AE537" s="8">
        <v>0</v>
      </c>
      <c r="AG537" s="8">
        <f t="shared" ref="AG537:AG553" si="31">SUM(O537:AE537)</f>
        <v>37235240</v>
      </c>
      <c r="AH537" s="8"/>
      <c r="AI537" s="8">
        <f t="shared" ref="AI537:AI553" si="32">+AG537+M537</f>
        <v>43237472</v>
      </c>
    </row>
    <row r="538" spans="1:37" ht="12" customHeight="1">
      <c r="A538" s="12" t="s">
        <v>697</v>
      </c>
      <c r="B538" s="12"/>
      <c r="C538" s="12" t="s">
        <v>64</v>
      </c>
      <c r="D538" s="12"/>
      <c r="E538" s="32">
        <v>44990</v>
      </c>
      <c r="G538" s="8">
        <v>2010614</v>
      </c>
      <c r="I538" s="8">
        <v>13926097</v>
      </c>
      <c r="K538" s="8">
        <v>143003</v>
      </c>
      <c r="M538" s="8">
        <f t="shared" si="30"/>
        <v>16079714</v>
      </c>
      <c r="O538" s="8">
        <f>15898318+192803+2013805+455464</f>
        <v>18560390</v>
      </c>
      <c r="Q538" s="8">
        <v>0</v>
      </c>
      <c r="S538" s="8">
        <v>40090711</v>
      </c>
      <c r="U538" s="8">
        <v>3038806</v>
      </c>
      <c r="W538" s="8">
        <v>0</v>
      </c>
      <c r="Y538" s="8">
        <v>0</v>
      </c>
      <c r="AA538" s="8">
        <v>205099</v>
      </c>
      <c r="AB538" s="39"/>
      <c r="AC538" s="8">
        <v>0</v>
      </c>
      <c r="AE538" s="8">
        <v>0</v>
      </c>
      <c r="AG538" s="8">
        <f t="shared" si="31"/>
        <v>61895006</v>
      </c>
      <c r="AH538" s="8"/>
      <c r="AI538" s="8">
        <f t="shared" si="32"/>
        <v>77974720</v>
      </c>
      <c r="AK538" s="8"/>
    </row>
    <row r="539" spans="1:37" ht="12" customHeight="1">
      <c r="A539" s="12" t="s">
        <v>725</v>
      </c>
      <c r="B539" s="12"/>
      <c r="C539" s="12" t="s">
        <v>70</v>
      </c>
      <c r="D539" s="12"/>
      <c r="E539" s="32">
        <v>50500</v>
      </c>
      <c r="G539" s="8">
        <v>1514370</v>
      </c>
      <c r="I539" s="8">
        <v>2159796</v>
      </c>
      <c r="K539" s="8">
        <v>29620</v>
      </c>
      <c r="M539" s="8">
        <f t="shared" si="30"/>
        <v>3703786</v>
      </c>
      <c r="O539" s="8">
        <v>6880308</v>
      </c>
      <c r="Q539" s="8">
        <v>0</v>
      </c>
      <c r="S539" s="8">
        <v>11658662</v>
      </c>
      <c r="U539" s="8">
        <v>147612</v>
      </c>
      <c r="W539" s="8">
        <v>0</v>
      </c>
      <c r="Y539" s="8">
        <v>0</v>
      </c>
      <c r="AA539" s="8">
        <v>111937</v>
      </c>
      <c r="AB539" s="39"/>
      <c r="AC539" s="8">
        <v>0</v>
      </c>
      <c r="AE539" s="8">
        <v>0</v>
      </c>
      <c r="AG539" s="8">
        <f t="shared" si="31"/>
        <v>18798519</v>
      </c>
      <c r="AH539" s="8"/>
      <c r="AI539" s="8">
        <f t="shared" si="32"/>
        <v>22502305</v>
      </c>
    </row>
    <row r="540" spans="1:37" ht="12" customHeight="1">
      <c r="A540" s="12" t="s">
        <v>328</v>
      </c>
      <c r="B540" s="12"/>
      <c r="C540" s="12" t="s">
        <v>20</v>
      </c>
      <c r="D540" s="12"/>
      <c r="E540" s="32">
        <v>45005</v>
      </c>
      <c r="G540" s="8">
        <v>307897</v>
      </c>
      <c r="I540" s="8">
        <v>3267095</v>
      </c>
      <c r="K540" s="8">
        <v>54222</v>
      </c>
      <c r="M540" s="8">
        <f t="shared" si="30"/>
        <v>3629214</v>
      </c>
      <c r="O540" s="8">
        <f>20190323+2494517+587523+154509</f>
        <v>23426872</v>
      </c>
      <c r="Q540" s="8">
        <v>0</v>
      </c>
      <c r="S540" s="8">
        <v>12929003</v>
      </c>
      <c r="U540" s="8">
        <v>331395</v>
      </c>
      <c r="W540" s="8">
        <v>0</v>
      </c>
      <c r="Y540" s="8">
        <v>0</v>
      </c>
      <c r="AA540" s="8">
        <v>131247</v>
      </c>
      <c r="AB540" s="39"/>
      <c r="AC540" s="8">
        <v>0</v>
      </c>
      <c r="AE540" s="8">
        <v>0</v>
      </c>
      <c r="AG540" s="8">
        <f t="shared" si="31"/>
        <v>36818517</v>
      </c>
      <c r="AH540" s="8"/>
      <c r="AI540" s="8">
        <f t="shared" si="32"/>
        <v>40447731</v>
      </c>
    </row>
    <row r="541" spans="1:37" ht="12" customHeight="1">
      <c r="A541" s="12" t="s">
        <v>355</v>
      </c>
      <c r="B541" s="12"/>
      <c r="C541" s="12" t="s">
        <v>26</v>
      </c>
      <c r="D541" s="12"/>
      <c r="E541" s="32">
        <v>45013</v>
      </c>
      <c r="G541" s="8">
        <v>1137939</v>
      </c>
      <c r="I541" s="8">
        <v>3148086</v>
      </c>
      <c r="K541" s="8">
        <v>8701</v>
      </c>
      <c r="M541" s="8">
        <f t="shared" si="30"/>
        <v>4294726</v>
      </c>
      <c r="O541" s="8">
        <f>4462979+95542+1309372+415776</f>
        <v>6283669</v>
      </c>
      <c r="Q541" s="8">
        <v>0</v>
      </c>
      <c r="S541" s="8">
        <f>7570250+11189761</f>
        <v>18760011</v>
      </c>
      <c r="U541" s="8">
        <v>1500733</v>
      </c>
      <c r="W541" s="8">
        <v>44804</v>
      </c>
      <c r="Y541" s="8">
        <v>43109</v>
      </c>
      <c r="AA541" s="8">
        <v>44335</v>
      </c>
      <c r="AB541" s="39"/>
      <c r="AC541" s="8">
        <v>0</v>
      </c>
      <c r="AE541" s="8">
        <v>0</v>
      </c>
      <c r="AG541" s="8">
        <f t="shared" si="31"/>
        <v>26676661</v>
      </c>
      <c r="AH541" s="8"/>
      <c r="AI541" s="8">
        <f t="shared" si="32"/>
        <v>30971387</v>
      </c>
    </row>
    <row r="542" spans="1:37" ht="12" customHeight="1">
      <c r="A542" s="12" t="s">
        <v>509</v>
      </c>
      <c r="B542" s="12"/>
      <c r="C542" s="12" t="s">
        <v>118</v>
      </c>
      <c r="D542" s="12"/>
      <c r="E542" s="32">
        <v>48231</v>
      </c>
      <c r="G542" s="8">
        <v>2874151</v>
      </c>
      <c r="I542" s="8">
        <v>10367012</v>
      </c>
      <c r="K542" s="8">
        <v>533276</v>
      </c>
      <c r="M542" s="8">
        <f t="shared" si="30"/>
        <v>13774439</v>
      </c>
      <c r="O542" s="8">
        <f>30150618+594680+868348</f>
        <v>31613646</v>
      </c>
      <c r="Q542" s="8">
        <v>0</v>
      </c>
      <c r="S542" s="8">
        <v>24203548</v>
      </c>
      <c r="U542" s="8">
        <v>2219037</v>
      </c>
      <c r="W542" s="8">
        <v>5843744</v>
      </c>
      <c r="Y542" s="8">
        <v>0</v>
      </c>
      <c r="AA542" s="8">
        <v>26443</v>
      </c>
      <c r="AB542" s="39"/>
      <c r="AC542" s="8">
        <v>0</v>
      </c>
      <c r="AE542" s="8">
        <v>0</v>
      </c>
      <c r="AG542" s="8">
        <f t="shared" si="31"/>
        <v>63906418</v>
      </c>
      <c r="AH542" s="8"/>
      <c r="AI542" s="8">
        <f t="shared" si="32"/>
        <v>77680857</v>
      </c>
    </row>
    <row r="543" spans="1:37" ht="12" customHeight="1">
      <c r="A543" s="12" t="s">
        <v>638</v>
      </c>
      <c r="B543" s="12"/>
      <c r="C543" s="12" t="s">
        <v>59</v>
      </c>
      <c r="D543" s="12"/>
      <c r="E543" s="32">
        <v>49650</v>
      </c>
      <c r="G543" s="8">
        <v>1738961</v>
      </c>
      <c r="I543" s="8">
        <v>2614056</v>
      </c>
      <c r="K543" s="8">
        <v>14057</v>
      </c>
      <c r="M543" s="8">
        <f t="shared" si="30"/>
        <v>4367074</v>
      </c>
      <c r="O543" s="8">
        <f>1357773+198698+24938</f>
        <v>1581409</v>
      </c>
      <c r="Q543" s="8">
        <v>0</v>
      </c>
      <c r="S543" s="8">
        <v>9546242</v>
      </c>
      <c r="U543" s="8">
        <v>216002</v>
      </c>
      <c r="W543" s="8">
        <v>0</v>
      </c>
      <c r="Y543" s="8">
        <v>0</v>
      </c>
      <c r="AA543" s="8">
        <v>94376</v>
      </c>
      <c r="AB543" s="39"/>
      <c r="AC543" s="8">
        <v>0</v>
      </c>
      <c r="AE543" s="8">
        <v>0</v>
      </c>
      <c r="AG543" s="8">
        <f t="shared" si="31"/>
        <v>11438029</v>
      </c>
      <c r="AH543" s="8"/>
      <c r="AI543" s="8">
        <f t="shared" si="32"/>
        <v>15805103</v>
      </c>
    </row>
    <row r="544" spans="1:37" ht="12" customHeight="1">
      <c r="A544" s="12" t="s">
        <v>603</v>
      </c>
      <c r="B544" s="12"/>
      <c r="C544" s="12" t="s">
        <v>56</v>
      </c>
      <c r="D544" s="12"/>
      <c r="E544" s="32">
        <v>49247</v>
      </c>
      <c r="G544" s="8">
        <v>620956</v>
      </c>
      <c r="I544" s="8">
        <v>1463095</v>
      </c>
      <c r="K544" s="8">
        <v>46203</v>
      </c>
      <c r="M544" s="8">
        <f t="shared" si="30"/>
        <v>2130254</v>
      </c>
      <c r="O544" s="8">
        <f>3147100+229181+682088</f>
        <v>4058369</v>
      </c>
      <c r="Q544" s="8">
        <v>0</v>
      </c>
      <c r="S544" s="8">
        <v>6241002</v>
      </c>
      <c r="U544" s="8">
        <v>146477</v>
      </c>
      <c r="W544" s="8">
        <v>0</v>
      </c>
      <c r="Y544" s="8">
        <v>0</v>
      </c>
      <c r="AA544" s="8">
        <v>42748</v>
      </c>
      <c r="AB544" s="39"/>
      <c r="AC544" s="8">
        <v>0</v>
      </c>
      <c r="AE544" s="8">
        <v>0</v>
      </c>
      <c r="AG544" s="8">
        <f t="shared" si="31"/>
        <v>10488596</v>
      </c>
      <c r="AH544" s="8"/>
      <c r="AI544" s="8">
        <f t="shared" si="32"/>
        <v>12618850</v>
      </c>
    </row>
    <row r="545" spans="1:36" ht="12" customHeight="1">
      <c r="A545" s="12" t="s">
        <v>378</v>
      </c>
      <c r="B545" s="12"/>
      <c r="C545" s="12" t="s">
        <v>28</v>
      </c>
      <c r="D545" s="12"/>
      <c r="E545" s="32">
        <v>45641</v>
      </c>
      <c r="G545" s="8">
        <v>1480213</v>
      </c>
      <c r="I545" s="8">
        <v>1627504</v>
      </c>
      <c r="K545" s="8">
        <v>249571</v>
      </c>
      <c r="M545" s="8">
        <f t="shared" si="30"/>
        <v>3357288</v>
      </c>
      <c r="O545" s="8">
        <f>4413198+2131458+88607+164218</f>
        <v>6797481</v>
      </c>
      <c r="Q545" s="8">
        <v>0</v>
      </c>
      <c r="S545" s="8">
        <v>8706403</v>
      </c>
      <c r="U545" s="8">
        <v>1438223</v>
      </c>
      <c r="W545" s="8">
        <v>0</v>
      </c>
      <c r="Y545" s="8">
        <v>0</v>
      </c>
      <c r="AA545" s="8">
        <v>177385</v>
      </c>
      <c r="AB545" s="39"/>
      <c r="AC545" s="8">
        <v>0</v>
      </c>
      <c r="AE545" s="8">
        <v>0</v>
      </c>
      <c r="AG545" s="8">
        <f t="shared" si="31"/>
        <v>17119492</v>
      </c>
      <c r="AH545" s="8"/>
      <c r="AI545" s="8">
        <f t="shared" si="32"/>
        <v>20476780</v>
      </c>
    </row>
    <row r="546" spans="1:36" ht="12" customHeight="1">
      <c r="A546" s="12" t="s">
        <v>593</v>
      </c>
      <c r="B546" s="12"/>
      <c r="C546" s="12" t="s">
        <v>55</v>
      </c>
      <c r="D546" s="12"/>
      <c r="E546" s="32">
        <v>49148</v>
      </c>
      <c r="G546" s="8">
        <v>1218127</v>
      </c>
      <c r="I546" s="8">
        <v>2628571</v>
      </c>
      <c r="K546" s="8">
        <v>3750</v>
      </c>
      <c r="M546" s="8">
        <f t="shared" si="30"/>
        <v>3850448</v>
      </c>
      <c r="O546" s="8">
        <f>3041344+554087+61565</f>
        <v>3656996</v>
      </c>
      <c r="Q546" s="8">
        <v>0</v>
      </c>
      <c r="S546" s="8">
        <v>10713583</v>
      </c>
      <c r="U546" s="8">
        <v>177591</v>
      </c>
      <c r="W546" s="8">
        <v>63215</v>
      </c>
      <c r="Y546" s="8">
        <v>8053</v>
      </c>
      <c r="AA546" s="8">
        <f>162400+86842</f>
        <v>249242</v>
      </c>
      <c r="AB546" s="39"/>
      <c r="AC546" s="8">
        <v>0</v>
      </c>
      <c r="AE546" s="8">
        <v>0</v>
      </c>
      <c r="AG546" s="8">
        <f t="shared" si="31"/>
        <v>14868680</v>
      </c>
      <c r="AH546" s="8"/>
      <c r="AI546" s="8">
        <f t="shared" si="32"/>
        <v>18719128</v>
      </c>
    </row>
    <row r="547" spans="1:36" ht="12" hidden="1" customHeight="1">
      <c r="A547" s="12" t="s">
        <v>720</v>
      </c>
      <c r="B547" s="12"/>
      <c r="C547" s="12" t="s">
        <v>69</v>
      </c>
      <c r="D547" s="12"/>
      <c r="E547" s="32">
        <v>50468</v>
      </c>
      <c r="M547" s="8">
        <f t="shared" si="30"/>
        <v>0</v>
      </c>
      <c r="Q547" s="8">
        <v>0</v>
      </c>
      <c r="W547" s="8">
        <v>0</v>
      </c>
      <c r="Y547" s="8">
        <v>0</v>
      </c>
      <c r="AA547" s="8">
        <v>0</v>
      </c>
      <c r="AB547" s="39"/>
      <c r="AC547" s="8">
        <v>0</v>
      </c>
      <c r="AE547" s="8">
        <v>0</v>
      </c>
      <c r="AG547" s="8">
        <f t="shared" si="31"/>
        <v>0</v>
      </c>
      <c r="AH547" s="8"/>
      <c r="AI547" s="8">
        <f t="shared" si="32"/>
        <v>0</v>
      </c>
    </row>
    <row r="548" spans="1:36" ht="12" hidden="1" customHeight="1">
      <c r="A548" s="12" t="s">
        <v>585</v>
      </c>
      <c r="B548" s="12"/>
      <c r="C548" s="12" t="s">
        <v>583</v>
      </c>
      <c r="D548" s="12"/>
      <c r="E548" s="32">
        <v>49031</v>
      </c>
      <c r="M548" s="8">
        <f t="shared" si="30"/>
        <v>0</v>
      </c>
      <c r="Q548" s="8">
        <v>0</v>
      </c>
      <c r="W548" s="8">
        <v>0</v>
      </c>
      <c r="Y548" s="8">
        <v>0</v>
      </c>
      <c r="AA548" s="8">
        <v>0</v>
      </c>
      <c r="AB548" s="39"/>
      <c r="AC548" s="8">
        <v>0</v>
      </c>
      <c r="AE548" s="8">
        <v>0</v>
      </c>
      <c r="AG548" s="8">
        <f t="shared" si="31"/>
        <v>0</v>
      </c>
      <c r="AH548" s="8"/>
      <c r="AI548" s="8">
        <f t="shared" si="32"/>
        <v>0</v>
      </c>
    </row>
    <row r="549" spans="1:36" ht="12" hidden="1" customHeight="1">
      <c r="A549" s="12" t="s">
        <v>233</v>
      </c>
      <c r="B549" s="12"/>
      <c r="C549" s="12" t="s">
        <v>14</v>
      </c>
      <c r="D549" s="12"/>
      <c r="E549" s="32">
        <v>45971</v>
      </c>
      <c r="M549" s="8">
        <f t="shared" si="30"/>
        <v>0</v>
      </c>
      <c r="Q549" s="8">
        <v>0</v>
      </c>
      <c r="W549" s="8">
        <v>0</v>
      </c>
      <c r="Y549" s="8">
        <v>0</v>
      </c>
      <c r="AA549" s="8">
        <v>0</v>
      </c>
      <c r="AB549" s="39"/>
      <c r="AC549" s="8">
        <v>0</v>
      </c>
      <c r="AE549" s="8">
        <v>0</v>
      </c>
      <c r="AG549" s="8">
        <f t="shared" si="31"/>
        <v>0</v>
      </c>
      <c r="AH549" s="8"/>
      <c r="AI549" s="8">
        <f t="shared" si="32"/>
        <v>0</v>
      </c>
    </row>
    <row r="550" spans="1:36" ht="12" customHeight="1">
      <c r="A550" s="12" t="s">
        <v>698</v>
      </c>
      <c r="B550" s="12"/>
      <c r="C550" s="12" t="s">
        <v>64</v>
      </c>
      <c r="D550" s="12"/>
      <c r="E550" s="32">
        <v>50252</v>
      </c>
      <c r="G550" s="8">
        <v>1505910</v>
      </c>
      <c r="I550" s="8">
        <v>940363</v>
      </c>
      <c r="K550" s="8">
        <v>64484</v>
      </c>
      <c r="M550" s="8">
        <f t="shared" si="30"/>
        <v>2510757</v>
      </c>
      <c r="O550" s="8">
        <f>3199928+200550</f>
        <v>3400478</v>
      </c>
      <c r="Q550" s="8">
        <v>0</v>
      </c>
      <c r="S550" s="8">
        <v>3948784</v>
      </c>
      <c r="U550" s="8">
        <v>106685</v>
      </c>
      <c r="W550" s="8">
        <v>0</v>
      </c>
      <c r="Y550" s="8">
        <v>0</v>
      </c>
      <c r="AA550" s="8">
        <v>23995</v>
      </c>
      <c r="AB550" s="39"/>
      <c r="AC550" s="8">
        <v>0</v>
      </c>
      <c r="AE550" s="8">
        <v>0</v>
      </c>
      <c r="AG550" s="8">
        <f t="shared" si="31"/>
        <v>7479942</v>
      </c>
      <c r="AH550" s="8"/>
      <c r="AI550" s="8">
        <f t="shared" si="32"/>
        <v>9990699</v>
      </c>
    </row>
    <row r="551" spans="1:36" ht="12" customHeight="1">
      <c r="A551" s="12" t="s">
        <v>501</v>
      </c>
      <c r="B551" s="12"/>
      <c r="C551" s="12" t="s">
        <v>44</v>
      </c>
      <c r="D551" s="12"/>
      <c r="E551" s="32">
        <v>45658</v>
      </c>
      <c r="G551" s="8">
        <v>983649</v>
      </c>
      <c r="I551" s="8">
        <v>832481</v>
      </c>
      <c r="K551" s="8">
        <v>0</v>
      </c>
      <c r="M551" s="8">
        <f t="shared" si="30"/>
        <v>1816130</v>
      </c>
      <c r="O551" s="8">
        <f>3418404+575820</f>
        <v>3994224</v>
      </c>
      <c r="Q551" s="8">
        <v>1758446</v>
      </c>
      <c r="S551" s="8">
        <v>6513863</v>
      </c>
      <c r="U551" s="8">
        <v>171425</v>
      </c>
      <c r="W551" s="8">
        <v>0</v>
      </c>
      <c r="Y551" s="8">
        <v>0</v>
      </c>
      <c r="AA551" s="8">
        <v>48233</v>
      </c>
      <c r="AB551" s="39"/>
      <c r="AC551" s="8">
        <v>0</v>
      </c>
      <c r="AE551" s="8">
        <v>0</v>
      </c>
      <c r="AG551" s="8">
        <f t="shared" si="31"/>
        <v>12486191</v>
      </c>
      <c r="AH551" s="8"/>
      <c r="AI551" s="8">
        <f t="shared" si="32"/>
        <v>14302321</v>
      </c>
    </row>
    <row r="552" spans="1:36" ht="12" customHeight="1">
      <c r="A552" s="12" t="s">
        <v>454</v>
      </c>
      <c r="B552" s="12"/>
      <c r="C552" s="12" t="s">
        <v>38</v>
      </c>
      <c r="D552" s="12"/>
      <c r="E552" s="32">
        <v>45021</v>
      </c>
      <c r="G552" s="8">
        <v>742579</v>
      </c>
      <c r="I552" s="8">
        <v>3932083</v>
      </c>
      <c r="K552" s="8">
        <v>19322</v>
      </c>
      <c r="M552" s="8">
        <f t="shared" si="30"/>
        <v>4693984</v>
      </c>
      <c r="O552" s="8">
        <f>2425035+328274+31835+43376</f>
        <v>2828520</v>
      </c>
      <c r="Q552" s="8">
        <v>0</v>
      </c>
      <c r="S552" s="8">
        <v>9492552</v>
      </c>
      <c r="U552" s="8">
        <v>233975</v>
      </c>
      <c r="W552" s="8">
        <v>0</v>
      </c>
      <c r="Y552" s="8">
        <v>0</v>
      </c>
      <c r="AA552" s="8">
        <v>11880</v>
      </c>
      <c r="AB552" s="39"/>
      <c r="AC552" s="8">
        <v>0</v>
      </c>
      <c r="AE552" s="8">
        <v>0</v>
      </c>
      <c r="AG552" s="8">
        <f t="shared" si="31"/>
        <v>12566927</v>
      </c>
      <c r="AH552" s="8"/>
      <c r="AI552" s="8">
        <f t="shared" si="32"/>
        <v>17260911</v>
      </c>
    </row>
    <row r="553" spans="1:36" ht="12" customHeight="1">
      <c r="A553" s="12" t="s">
        <v>290</v>
      </c>
      <c r="B553" s="12"/>
      <c r="C553" s="12" t="s">
        <v>115</v>
      </c>
      <c r="D553" s="12"/>
      <c r="E553" s="32">
        <v>45039</v>
      </c>
      <c r="G553" s="8">
        <v>712301</v>
      </c>
      <c r="I553" s="8">
        <v>1727740</v>
      </c>
      <c r="K553" s="8">
        <v>0</v>
      </c>
      <c r="M553" s="8">
        <f t="shared" si="30"/>
        <v>2440041</v>
      </c>
      <c r="O553" s="8">
        <f>1080984+164937+156725+21569</f>
        <v>1424215</v>
      </c>
      <c r="Q553" s="8">
        <v>0</v>
      </c>
      <c r="S553" s="8">
        <v>5057341</v>
      </c>
      <c r="U553" s="8">
        <v>92955</v>
      </c>
      <c r="W553" s="8">
        <v>0</v>
      </c>
      <c r="Y553" s="8">
        <v>21537</v>
      </c>
      <c r="AA553" s="8">
        <v>95909</v>
      </c>
      <c r="AB553" s="39"/>
      <c r="AC553" s="8">
        <v>0</v>
      </c>
      <c r="AE553" s="8">
        <v>0</v>
      </c>
      <c r="AG553" s="8">
        <f t="shared" si="31"/>
        <v>6691957</v>
      </c>
      <c r="AH553" s="8"/>
      <c r="AI553" s="8">
        <f t="shared" si="32"/>
        <v>9131998</v>
      </c>
    </row>
    <row r="554" spans="1:36">
      <c r="A554" s="12" t="s">
        <v>524</v>
      </c>
      <c r="B554" s="12"/>
      <c r="C554" s="12" t="s">
        <v>45</v>
      </c>
      <c r="D554" s="12"/>
      <c r="E554" s="32">
        <v>48389</v>
      </c>
      <c r="G554" s="8">
        <v>2362473</v>
      </c>
      <c r="I554" s="8">
        <v>2248480</v>
      </c>
      <c r="K554" s="8">
        <v>59005</v>
      </c>
      <c r="M554" s="8">
        <f t="shared" ref="M554:M559" si="33">SUM(G554:L554)</f>
        <v>4669958</v>
      </c>
      <c r="O554" s="8">
        <f>4078158+79107+644480</f>
        <v>4801745</v>
      </c>
      <c r="Q554" s="8">
        <v>0</v>
      </c>
      <c r="S554" s="8">
        <v>11541587</v>
      </c>
      <c r="U554" s="8">
        <v>210343</v>
      </c>
      <c r="W554" s="8">
        <v>0</v>
      </c>
      <c r="Y554" s="8">
        <v>0</v>
      </c>
      <c r="AA554" s="8">
        <v>83861</v>
      </c>
      <c r="AB554" s="39"/>
      <c r="AC554" s="8">
        <v>0</v>
      </c>
      <c r="AE554" s="8">
        <v>0</v>
      </c>
      <c r="AG554" s="8">
        <f t="shared" ref="AG554:AG559" si="34">SUM(O554:AE554)</f>
        <v>16637536</v>
      </c>
      <c r="AH554" s="8"/>
      <c r="AI554" s="8">
        <f t="shared" ref="AI554:AI559" si="35">+AG554+M554</f>
        <v>21307494</v>
      </c>
    </row>
    <row r="555" spans="1:36" ht="12" customHeight="1">
      <c r="A555" s="12" t="s">
        <v>276</v>
      </c>
      <c r="B555" s="12"/>
      <c r="C555" s="12" t="s">
        <v>116</v>
      </c>
      <c r="D555" s="12"/>
      <c r="E555" s="32">
        <v>46359</v>
      </c>
      <c r="G555" s="8">
        <v>3025797</v>
      </c>
      <c r="I555" s="8">
        <v>5342525</v>
      </c>
      <c r="K555" s="8">
        <v>56639</v>
      </c>
      <c r="M555" s="8">
        <f t="shared" si="33"/>
        <v>8424961</v>
      </c>
      <c r="O555" s="8">
        <f>37538775+2141634+2293875</f>
        <v>41974284</v>
      </c>
      <c r="Q555" s="8">
        <v>0</v>
      </c>
      <c r="S555" s="8">
        <v>31410697</v>
      </c>
      <c r="U555" s="8">
        <v>736939</v>
      </c>
      <c r="W555" s="8">
        <v>0</v>
      </c>
      <c r="Y555" s="8">
        <v>0</v>
      </c>
      <c r="AA555" s="8">
        <v>737373</v>
      </c>
      <c r="AB555" s="39"/>
      <c r="AC555" s="8">
        <v>0</v>
      </c>
      <c r="AE555" s="8">
        <v>0</v>
      </c>
      <c r="AG555" s="8">
        <f t="shared" si="34"/>
        <v>74859293</v>
      </c>
      <c r="AH555" s="8"/>
      <c r="AI555" s="8">
        <f t="shared" si="35"/>
        <v>83284254</v>
      </c>
    </row>
    <row r="556" spans="1:36" s="8" customFormat="1" ht="12" customHeight="1">
      <c r="A556" s="13" t="s">
        <v>387</v>
      </c>
      <c r="B556" s="13"/>
      <c r="C556" s="13" t="s">
        <v>30</v>
      </c>
      <c r="D556" s="13"/>
      <c r="E556" s="32">
        <v>47225</v>
      </c>
      <c r="F556" s="10"/>
      <c r="G556" s="8">
        <v>769988</v>
      </c>
      <c r="I556" s="8">
        <v>1515717</v>
      </c>
      <c r="K556" s="8">
        <v>13050</v>
      </c>
      <c r="M556" s="8">
        <f t="shared" si="33"/>
        <v>2298755</v>
      </c>
      <c r="O556" s="8">
        <f>15513341+2750325+300056</f>
        <v>18563722</v>
      </c>
      <c r="Q556" s="8">
        <v>0</v>
      </c>
      <c r="S556" s="8">
        <v>6853798</v>
      </c>
      <c r="U556" s="8">
        <v>508802</v>
      </c>
      <c r="W556" s="8">
        <v>0</v>
      </c>
      <c r="Y556" s="8">
        <v>0</v>
      </c>
      <c r="AA556" s="8">
        <v>12645</v>
      </c>
      <c r="AB556" s="39"/>
      <c r="AC556" s="8">
        <v>-229315</v>
      </c>
      <c r="AE556" s="8">
        <v>0</v>
      </c>
      <c r="AG556" s="8">
        <f t="shared" si="34"/>
        <v>25709652</v>
      </c>
      <c r="AI556" s="8">
        <f t="shared" si="35"/>
        <v>28008407</v>
      </c>
      <c r="AJ556" s="10"/>
    </row>
    <row r="557" spans="1:36" ht="12" customHeight="1">
      <c r="A557" s="12" t="s">
        <v>447</v>
      </c>
      <c r="B557" s="12"/>
      <c r="C557" s="12" t="s">
        <v>36</v>
      </c>
      <c r="D557" s="12"/>
      <c r="E557" s="32">
        <v>47696</v>
      </c>
      <c r="G557" s="8">
        <v>1290589</v>
      </c>
      <c r="I557" s="8">
        <v>3178872</v>
      </c>
      <c r="K557" s="8">
        <v>91142</v>
      </c>
      <c r="M557" s="8">
        <f t="shared" si="33"/>
        <v>4560603</v>
      </c>
      <c r="O557" s="8">
        <f>6519481+908423+386135</f>
        <v>7814039</v>
      </c>
      <c r="Q557" s="8">
        <v>0</v>
      </c>
      <c r="S557" s="8">
        <v>11400778</v>
      </c>
      <c r="U557" s="8">
        <v>604339</v>
      </c>
      <c r="W557" s="8">
        <v>0</v>
      </c>
      <c r="Y557" s="8">
        <v>0</v>
      </c>
      <c r="AA557" s="8">
        <v>76625</v>
      </c>
      <c r="AB557" s="39"/>
      <c r="AC557" s="8">
        <v>0</v>
      </c>
      <c r="AE557" s="8">
        <v>0</v>
      </c>
      <c r="AG557" s="8">
        <f t="shared" si="34"/>
        <v>19895781</v>
      </c>
      <c r="AH557" s="8"/>
      <c r="AI557" s="8">
        <f t="shared" si="35"/>
        <v>24456384</v>
      </c>
    </row>
    <row r="558" spans="1:36" ht="12" customHeight="1">
      <c r="A558" s="12" t="s">
        <v>263</v>
      </c>
      <c r="B558" s="12"/>
      <c r="C558" s="12" t="s">
        <v>259</v>
      </c>
      <c r="D558" s="12"/>
      <c r="E558" s="32">
        <v>46219</v>
      </c>
      <c r="G558" s="8">
        <v>1448083</v>
      </c>
      <c r="I558" s="8">
        <v>1223653</v>
      </c>
      <c r="K558" s="8">
        <v>38743</v>
      </c>
      <c r="M558" s="8">
        <f t="shared" si="33"/>
        <v>2710479</v>
      </c>
      <c r="O558" s="8">
        <f>2181874+42232+167870+144915</f>
        <v>2536891</v>
      </c>
      <c r="Q558" s="8">
        <v>1772235</v>
      </c>
      <c r="S558" s="8">
        <v>5460264</v>
      </c>
      <c r="U558" s="8">
        <v>166474</v>
      </c>
      <c r="W558" s="8">
        <v>0</v>
      </c>
      <c r="Y558" s="8">
        <v>0</v>
      </c>
      <c r="AA558" s="8">
        <v>106932</v>
      </c>
      <c r="AB558" s="39"/>
      <c r="AC558" s="8">
        <v>0</v>
      </c>
      <c r="AE558" s="8">
        <v>0</v>
      </c>
      <c r="AG558" s="8">
        <f t="shared" si="34"/>
        <v>10042796</v>
      </c>
      <c r="AH558" s="8"/>
      <c r="AI558" s="8">
        <f t="shared" si="35"/>
        <v>12753275</v>
      </c>
    </row>
    <row r="559" spans="1:36" ht="12" customHeight="1">
      <c r="A559" s="12" t="s">
        <v>575</v>
      </c>
      <c r="B559" s="12"/>
      <c r="C559" s="12" t="s">
        <v>51</v>
      </c>
      <c r="D559" s="12"/>
      <c r="E559" s="32">
        <v>48884</v>
      </c>
      <c r="G559" s="8">
        <v>1468004</v>
      </c>
      <c r="I559" s="8">
        <v>2244141</v>
      </c>
      <c r="K559" s="8">
        <v>41276</v>
      </c>
      <c r="M559" s="8">
        <f t="shared" si="33"/>
        <v>3753421</v>
      </c>
      <c r="O559" s="8">
        <f>3689755+966686</f>
        <v>4656441</v>
      </c>
      <c r="Q559" s="8">
        <v>0</v>
      </c>
      <c r="S559" s="8">
        <v>6587996</v>
      </c>
      <c r="U559" s="8">
        <v>211753</v>
      </c>
      <c r="W559" s="8">
        <v>1564</v>
      </c>
      <c r="Y559" s="8">
        <v>0</v>
      </c>
      <c r="AA559" s="8">
        <f>143038+5526</f>
        <v>148564</v>
      </c>
      <c r="AB559" s="39"/>
      <c r="AC559" s="8">
        <v>0</v>
      </c>
      <c r="AE559" s="8">
        <v>0</v>
      </c>
      <c r="AG559" s="8">
        <f t="shared" si="34"/>
        <v>11606318</v>
      </c>
      <c r="AH559" s="8"/>
      <c r="AI559" s="8">
        <f t="shared" si="35"/>
        <v>15359739</v>
      </c>
    </row>
    <row r="560" spans="1:36" s="8" customFormat="1" ht="12" customHeight="1">
      <c r="A560" s="13" t="s">
        <v>244</v>
      </c>
      <c r="B560" s="13"/>
      <c r="C560" s="13" t="s">
        <v>77</v>
      </c>
      <c r="D560" s="13"/>
      <c r="E560" s="13">
        <v>46060</v>
      </c>
      <c r="G560" s="8">
        <v>1434916</v>
      </c>
      <c r="I560" s="8">
        <v>3228610</v>
      </c>
      <c r="K560" s="8">
        <v>0</v>
      </c>
      <c r="M560" s="8">
        <f t="shared" ref="M560:M588" si="36">SUM(G560:L560)</f>
        <v>4663526</v>
      </c>
      <c r="O560" s="8">
        <f>4132956+514460+83722</f>
        <v>4731138</v>
      </c>
      <c r="Q560" s="8">
        <v>0</v>
      </c>
      <c r="S560" s="8">
        <v>18173233</v>
      </c>
      <c r="U560" s="8">
        <v>234172</v>
      </c>
      <c r="W560" s="8">
        <v>0</v>
      </c>
      <c r="Y560" s="8">
        <v>10198</v>
      </c>
      <c r="AA560" s="8">
        <v>162666</v>
      </c>
      <c r="AB560" s="39"/>
      <c r="AC560" s="8">
        <v>0</v>
      </c>
      <c r="AE560" s="8">
        <v>500000</v>
      </c>
      <c r="AG560" s="8">
        <f t="shared" ref="AG560:AG588" si="37">SUM(O560:AE560)</f>
        <v>23811407</v>
      </c>
      <c r="AI560" s="8">
        <f t="shared" ref="AI560:AI588" si="38">+AG560+M560</f>
        <v>28474933</v>
      </c>
    </row>
    <row r="561" spans="1:35" ht="12" customHeight="1">
      <c r="A561" s="12" t="s">
        <v>594</v>
      </c>
      <c r="B561" s="12"/>
      <c r="C561" s="12" t="s">
        <v>55</v>
      </c>
      <c r="D561" s="12"/>
      <c r="E561" s="32">
        <v>49155</v>
      </c>
      <c r="G561" s="8">
        <v>365669</v>
      </c>
      <c r="I561" s="8">
        <v>2520112</v>
      </c>
      <c r="K561" s="8">
        <v>0</v>
      </c>
      <c r="M561" s="8">
        <f t="shared" si="36"/>
        <v>2885781</v>
      </c>
      <c r="O561" s="8">
        <f>734472+80873+13944</f>
        <v>829289</v>
      </c>
      <c r="Q561" s="8">
        <v>0</v>
      </c>
      <c r="S561" s="8">
        <v>4841681</v>
      </c>
      <c r="U561" s="8">
        <v>282023</v>
      </c>
      <c r="W561" s="8">
        <v>0</v>
      </c>
      <c r="Y561" s="8">
        <v>0</v>
      </c>
      <c r="AA561" s="8">
        <f>350+16338</f>
        <v>16688</v>
      </c>
      <c r="AB561" s="39"/>
      <c r="AC561" s="8">
        <v>0</v>
      </c>
      <c r="AE561" s="8">
        <v>4285</v>
      </c>
      <c r="AG561" s="8">
        <f t="shared" si="37"/>
        <v>5973966</v>
      </c>
      <c r="AH561" s="8"/>
      <c r="AI561" s="8">
        <f t="shared" si="38"/>
        <v>8859747</v>
      </c>
    </row>
    <row r="562" spans="1:35" ht="12" customHeight="1">
      <c r="A562" s="12" t="s">
        <v>452</v>
      </c>
      <c r="B562" s="12"/>
      <c r="C562" s="12" t="s">
        <v>37</v>
      </c>
      <c r="D562" s="12"/>
      <c r="E562" s="32">
        <v>47746</v>
      </c>
      <c r="G562" s="8">
        <v>949223</v>
      </c>
      <c r="I562" s="8">
        <v>1258887</v>
      </c>
      <c r="K562" s="8">
        <v>10759</v>
      </c>
      <c r="M562" s="8">
        <f t="shared" si="36"/>
        <v>2218869</v>
      </c>
      <c r="O562" s="8">
        <f>2270648+46570+277295</f>
        <v>2594513</v>
      </c>
      <c r="Q562" s="8">
        <v>1678337</v>
      </c>
      <c r="S562" s="8">
        <v>6195511</v>
      </c>
      <c r="U562" s="8">
        <v>58105</v>
      </c>
      <c r="W562" s="8">
        <v>0</v>
      </c>
      <c r="Y562" s="8">
        <v>0</v>
      </c>
      <c r="AA562" s="8">
        <v>46769</v>
      </c>
      <c r="AB562" s="39"/>
      <c r="AC562" s="8">
        <v>0</v>
      </c>
      <c r="AE562" s="8">
        <v>0</v>
      </c>
      <c r="AG562" s="8">
        <f t="shared" si="37"/>
        <v>10573235</v>
      </c>
      <c r="AH562" s="8"/>
      <c r="AI562" s="8">
        <f t="shared" si="38"/>
        <v>12792104</v>
      </c>
    </row>
    <row r="563" spans="1:35" ht="12" customHeight="1">
      <c r="A563" s="12" t="s">
        <v>452</v>
      </c>
      <c r="B563" s="12"/>
      <c r="C563" s="12" t="s">
        <v>45</v>
      </c>
      <c r="D563" s="12"/>
      <c r="E563" s="32">
        <v>48397</v>
      </c>
      <c r="G563" s="8">
        <v>872991</v>
      </c>
      <c r="I563" s="8">
        <v>422461</v>
      </c>
      <c r="K563" s="8">
        <v>4183</v>
      </c>
      <c r="M563" s="8">
        <f t="shared" si="36"/>
        <v>1299635</v>
      </c>
      <c r="O563" s="8">
        <f>2612391+243110</f>
        <v>2855501</v>
      </c>
      <c r="Q563" s="8">
        <v>0</v>
      </c>
      <c r="S563" s="8">
        <v>2960333</v>
      </c>
      <c r="U563" s="8">
        <v>61688</v>
      </c>
      <c r="W563" s="8">
        <v>0</v>
      </c>
      <c r="Y563" s="8">
        <v>0</v>
      </c>
      <c r="AA563" s="8">
        <v>33632</v>
      </c>
      <c r="AB563" s="39"/>
      <c r="AC563" s="8">
        <v>0</v>
      </c>
      <c r="AE563" s="8">
        <v>0</v>
      </c>
      <c r="AG563" s="8">
        <f t="shared" si="37"/>
        <v>5911154</v>
      </c>
      <c r="AH563" s="8"/>
      <c r="AI563" s="8">
        <f t="shared" si="38"/>
        <v>7210789</v>
      </c>
    </row>
    <row r="564" spans="1:35" ht="12" customHeight="1">
      <c r="A564" s="12" t="s">
        <v>369</v>
      </c>
      <c r="B564" s="12"/>
      <c r="C564" s="12" t="s">
        <v>27</v>
      </c>
      <c r="D564" s="12"/>
      <c r="E564" s="32">
        <v>45047</v>
      </c>
      <c r="G564" s="8">
        <v>2592185</v>
      </c>
      <c r="I564" s="8">
        <v>5772699</v>
      </c>
      <c r="K564" s="8">
        <v>0</v>
      </c>
      <c r="M564" s="8">
        <f t="shared" si="36"/>
        <v>8364884</v>
      </c>
      <c r="O564" s="8">
        <f>78858985+9537826+5208015+47212653</f>
        <v>140817479</v>
      </c>
      <c r="Q564" s="8">
        <v>0</v>
      </c>
      <c r="S564" s="8">
        <v>3438753</v>
      </c>
      <c r="U564" s="8">
        <v>1417541</v>
      </c>
      <c r="W564" s="8">
        <v>0</v>
      </c>
      <c r="Y564" s="8">
        <v>0</v>
      </c>
      <c r="AA564" s="8">
        <f>680171+759064</f>
        <v>1439235</v>
      </c>
      <c r="AB564" s="39"/>
      <c r="AC564" s="8">
        <v>0</v>
      </c>
      <c r="AE564" s="8">
        <v>0</v>
      </c>
      <c r="AG564" s="8">
        <f t="shared" si="37"/>
        <v>147113008</v>
      </c>
      <c r="AH564" s="8"/>
      <c r="AI564" s="8">
        <f t="shared" si="38"/>
        <v>155477892</v>
      </c>
    </row>
    <row r="565" spans="1:35" ht="12" customHeight="1">
      <c r="A565" s="12" t="s">
        <v>591</v>
      </c>
      <c r="B565" s="12"/>
      <c r="C565" s="12" t="s">
        <v>54</v>
      </c>
      <c r="D565" s="12"/>
      <c r="E565" s="32">
        <v>49106</v>
      </c>
      <c r="G565" s="8">
        <v>1158884</v>
      </c>
      <c r="I565" s="8">
        <v>2299717</v>
      </c>
      <c r="K565" s="8">
        <v>29645</v>
      </c>
      <c r="M565" s="8">
        <f t="shared" si="36"/>
        <v>3488246</v>
      </c>
      <c r="O565" s="8">
        <f>2745800+73770+539572+571081</f>
        <v>3930223</v>
      </c>
      <c r="Q565" s="8">
        <v>0</v>
      </c>
      <c r="S565" s="8">
        <f>6989411+659922</f>
        <v>7649333</v>
      </c>
      <c r="U565" s="8">
        <v>107072</v>
      </c>
      <c r="W565" s="8">
        <v>510657</v>
      </c>
      <c r="Y565" s="8">
        <v>458</v>
      </c>
      <c r="AA565" s="8">
        <v>219775</v>
      </c>
      <c r="AB565" s="39"/>
      <c r="AC565" s="8">
        <v>0</v>
      </c>
      <c r="AE565" s="8">
        <v>0</v>
      </c>
      <c r="AG565" s="8">
        <f t="shared" si="37"/>
        <v>12417518</v>
      </c>
      <c r="AH565" s="8"/>
      <c r="AI565" s="8">
        <f t="shared" si="38"/>
        <v>15905764</v>
      </c>
    </row>
    <row r="566" spans="1:35" ht="12" customHeight="1">
      <c r="A566" s="12" t="s">
        <v>329</v>
      </c>
      <c r="B566" s="12"/>
      <c r="C566" s="12" t="s">
        <v>20</v>
      </c>
      <c r="D566" s="12"/>
      <c r="E566" s="32">
        <v>45062</v>
      </c>
      <c r="G566" s="8">
        <v>2389432</v>
      </c>
      <c r="I566" s="8">
        <v>1983960</v>
      </c>
      <c r="K566" s="8">
        <v>53592</v>
      </c>
      <c r="M566" s="8">
        <f t="shared" si="36"/>
        <v>4426984</v>
      </c>
      <c r="O566" s="8">
        <f>43133279+2820681</f>
        <v>45953960</v>
      </c>
      <c r="Q566" s="8">
        <v>0</v>
      </c>
      <c r="S566" s="8">
        <v>9198641</v>
      </c>
      <c r="U566" s="8">
        <v>1010579</v>
      </c>
      <c r="W566" s="8">
        <v>0</v>
      </c>
      <c r="Y566" s="8">
        <v>0</v>
      </c>
      <c r="AA566" s="8">
        <v>134559</v>
      </c>
      <c r="AB566" s="39"/>
      <c r="AC566" s="8">
        <v>0</v>
      </c>
      <c r="AE566" s="8">
        <v>0</v>
      </c>
      <c r="AG566" s="8">
        <f t="shared" si="37"/>
        <v>56297739</v>
      </c>
      <c r="AH566" s="8"/>
      <c r="AI566" s="8">
        <f t="shared" si="38"/>
        <v>60724723</v>
      </c>
    </row>
    <row r="567" spans="1:35" ht="12" customHeight="1">
      <c r="A567" s="12" t="s">
        <v>639</v>
      </c>
      <c r="B567" s="12"/>
      <c r="C567" s="12" t="s">
        <v>59</v>
      </c>
      <c r="D567" s="12"/>
      <c r="E567" s="32">
        <v>49668</v>
      </c>
      <c r="G567" s="8">
        <v>1843303</v>
      </c>
      <c r="I567" s="8">
        <v>1875430</v>
      </c>
      <c r="K567" s="8">
        <v>77107</v>
      </c>
      <c r="M567" s="8">
        <f t="shared" si="36"/>
        <v>3795840</v>
      </c>
      <c r="O567" s="8">
        <f>2614176+664089+52307+55466</f>
        <v>3386038</v>
      </c>
      <c r="Q567" s="8">
        <v>0</v>
      </c>
      <c r="S567" s="8">
        <f>1638712+6939951</f>
        <v>8578663</v>
      </c>
      <c r="U567" s="8">
        <v>741115</v>
      </c>
      <c r="W567" s="8">
        <v>0</v>
      </c>
      <c r="Y567" s="8">
        <v>8511</v>
      </c>
      <c r="AA567" s="8">
        <v>57509</v>
      </c>
      <c r="AB567" s="39"/>
      <c r="AC567" s="8">
        <v>0</v>
      </c>
      <c r="AE567" s="8">
        <v>0</v>
      </c>
      <c r="AG567" s="8">
        <f t="shared" si="37"/>
        <v>12771836</v>
      </c>
      <c r="AH567" s="8"/>
      <c r="AI567" s="8">
        <f t="shared" si="38"/>
        <v>16567676</v>
      </c>
    </row>
    <row r="568" spans="1:35" ht="12" customHeight="1">
      <c r="A568" s="12" t="s">
        <v>370</v>
      </c>
      <c r="B568" s="12"/>
      <c r="C568" s="12" t="s">
        <v>27</v>
      </c>
      <c r="D568" s="12"/>
      <c r="E568" s="32">
        <v>45070</v>
      </c>
      <c r="G568" s="8">
        <v>643010</v>
      </c>
      <c r="I568" s="8">
        <v>7494723</v>
      </c>
      <c r="K568" s="8">
        <v>0</v>
      </c>
      <c r="M568" s="8">
        <f t="shared" si="36"/>
        <v>8137733</v>
      </c>
      <c r="O568" s="8">
        <f>7742245+317554</f>
        <v>8059799</v>
      </c>
      <c r="Q568" s="8">
        <v>0</v>
      </c>
      <c r="S568" s="8">
        <v>13609539</v>
      </c>
      <c r="U568" s="8">
        <v>789750</v>
      </c>
      <c r="W568" s="8">
        <v>0</v>
      </c>
      <c r="Y568" s="8">
        <v>0</v>
      </c>
      <c r="AA568" s="8">
        <v>320648</v>
      </c>
      <c r="AB568" s="39"/>
      <c r="AC568" s="8">
        <v>0</v>
      </c>
      <c r="AE568" s="8">
        <v>0</v>
      </c>
      <c r="AG568" s="8">
        <f t="shared" si="37"/>
        <v>22779736</v>
      </c>
      <c r="AH568" s="8"/>
      <c r="AI568" s="8">
        <f t="shared" si="38"/>
        <v>30917469</v>
      </c>
    </row>
    <row r="569" spans="1:35" ht="12" hidden="1" customHeight="1">
      <c r="A569" s="12" t="s">
        <v>873</v>
      </c>
      <c r="B569" s="12"/>
      <c r="C569" s="12" t="s">
        <v>41</v>
      </c>
      <c r="D569" s="12"/>
      <c r="E569" s="32">
        <v>45088</v>
      </c>
      <c r="G569" s="8">
        <v>0</v>
      </c>
      <c r="I569" s="8">
        <v>0</v>
      </c>
      <c r="K569" s="8">
        <v>0</v>
      </c>
      <c r="M569" s="8">
        <f t="shared" si="36"/>
        <v>0</v>
      </c>
      <c r="O569" s="8">
        <v>0</v>
      </c>
      <c r="Q569" s="8">
        <v>0</v>
      </c>
      <c r="S569" s="8">
        <v>0</v>
      </c>
      <c r="U569" s="8">
        <v>0</v>
      </c>
      <c r="W569" s="8">
        <v>0</v>
      </c>
      <c r="Y569" s="8">
        <v>0</v>
      </c>
      <c r="AA569" s="8">
        <v>0</v>
      </c>
      <c r="AB569" s="39"/>
      <c r="AC569" s="8">
        <v>0</v>
      </c>
      <c r="AE569" s="8">
        <v>0</v>
      </c>
      <c r="AG569" s="8">
        <f t="shared" si="37"/>
        <v>0</v>
      </c>
      <c r="AH569" s="8"/>
      <c r="AI569" s="8">
        <f t="shared" si="38"/>
        <v>0</v>
      </c>
    </row>
    <row r="570" spans="1:35" ht="12" customHeight="1">
      <c r="A570" s="12" t="s">
        <v>453</v>
      </c>
      <c r="B570" s="12"/>
      <c r="C570" s="12" t="s">
        <v>37</v>
      </c>
      <c r="D570" s="12"/>
      <c r="E570" s="32">
        <v>45096</v>
      </c>
      <c r="G570" s="8">
        <v>1111243</v>
      </c>
      <c r="I570" s="8">
        <v>3068814</v>
      </c>
      <c r="K570" s="8">
        <v>9726</v>
      </c>
      <c r="M570" s="8">
        <f t="shared" si="36"/>
        <v>4189783</v>
      </c>
      <c r="O570" s="8">
        <f>6222226+299220+191570</f>
        <v>6713016</v>
      </c>
      <c r="Q570" s="8">
        <v>0</v>
      </c>
      <c r="S570" s="8">
        <v>9700603</v>
      </c>
      <c r="U570" s="8">
        <v>238394</v>
      </c>
      <c r="W570" s="8">
        <v>0</v>
      </c>
      <c r="Y570" s="8">
        <v>0</v>
      </c>
      <c r="AA570" s="8">
        <v>119129</v>
      </c>
      <c r="AB570" s="39"/>
      <c r="AC570" s="8">
        <v>0</v>
      </c>
      <c r="AE570" s="8">
        <v>0</v>
      </c>
      <c r="AG570" s="8">
        <f t="shared" si="37"/>
        <v>16771142</v>
      </c>
      <c r="AH570" s="8"/>
      <c r="AI570" s="8">
        <f t="shared" si="38"/>
        <v>20960925</v>
      </c>
    </row>
    <row r="571" spans="1:35" ht="12" customHeight="1">
      <c r="A571" s="12" t="s">
        <v>277</v>
      </c>
      <c r="B571" s="12"/>
      <c r="C571" s="12" t="s">
        <v>116</v>
      </c>
      <c r="D571" s="12"/>
      <c r="E571" s="32">
        <v>46367</v>
      </c>
      <c r="G571" s="8">
        <v>849448</v>
      </c>
      <c r="I571" s="8">
        <v>1057249</v>
      </c>
      <c r="K571" s="8">
        <v>5024</v>
      </c>
      <c r="M571" s="8">
        <f t="shared" si="36"/>
        <v>1911721</v>
      </c>
      <c r="O571" s="8">
        <f>3053290+344924+45672</f>
        <v>3443886</v>
      </c>
      <c r="Q571" s="8">
        <v>0</v>
      </c>
      <c r="S571" s="8">
        <v>4246529</v>
      </c>
      <c r="U571" s="8">
        <v>213415</v>
      </c>
      <c r="W571" s="8">
        <v>311063</v>
      </c>
      <c r="Y571" s="8">
        <v>31691</v>
      </c>
      <c r="AA571" s="8">
        <v>150050</v>
      </c>
      <c r="AB571" s="39"/>
      <c r="AC571" s="8">
        <v>0</v>
      </c>
      <c r="AE571" s="8">
        <v>0</v>
      </c>
      <c r="AG571" s="8">
        <f t="shared" si="37"/>
        <v>8396634</v>
      </c>
      <c r="AH571" s="8"/>
      <c r="AI571" s="8">
        <f t="shared" si="38"/>
        <v>10308355</v>
      </c>
    </row>
    <row r="572" spans="1:35" ht="12" customHeight="1">
      <c r="A572" s="12" t="s">
        <v>469</v>
      </c>
      <c r="B572" s="12"/>
      <c r="C572" s="12" t="s">
        <v>41</v>
      </c>
      <c r="D572" s="12"/>
      <c r="E572" s="32">
        <v>45104</v>
      </c>
      <c r="G572" s="8">
        <v>5516946</v>
      </c>
      <c r="I572" s="8">
        <v>8298766</v>
      </c>
      <c r="K572" s="8">
        <v>414533</v>
      </c>
      <c r="M572" s="8">
        <f t="shared" si="36"/>
        <v>14230245</v>
      </c>
      <c r="O572" s="8">
        <f>51594012+1104560+297835+113350</f>
        <v>53109757</v>
      </c>
      <c r="Q572" s="8">
        <v>0</v>
      </c>
      <c r="S572" s="8">
        <v>23278503</v>
      </c>
      <c r="U572" s="8">
        <v>1389131</v>
      </c>
      <c r="W572" s="8">
        <v>0</v>
      </c>
      <c r="Y572" s="8">
        <v>0</v>
      </c>
      <c r="AA572" s="8">
        <f>1440117+532851</f>
        <v>1972968</v>
      </c>
      <c r="AB572" s="39"/>
      <c r="AC572" s="8">
        <v>0</v>
      </c>
      <c r="AE572" s="8">
        <v>0</v>
      </c>
      <c r="AG572" s="8">
        <f t="shared" si="37"/>
        <v>79750359</v>
      </c>
      <c r="AH572" s="8"/>
      <c r="AI572" s="8">
        <f t="shared" si="38"/>
        <v>93980604</v>
      </c>
    </row>
    <row r="573" spans="1:35" ht="12" customHeight="1">
      <c r="A573" s="12" t="s">
        <v>281</v>
      </c>
      <c r="B573" s="12"/>
      <c r="C573" s="12" t="s">
        <v>18</v>
      </c>
      <c r="D573" s="12"/>
      <c r="E573" s="32">
        <v>45112</v>
      </c>
      <c r="G573" s="8">
        <v>1412351</v>
      </c>
      <c r="I573" s="8">
        <v>2893434</v>
      </c>
      <c r="K573" s="8">
        <v>29155</v>
      </c>
      <c r="M573" s="8">
        <f t="shared" si="36"/>
        <v>4334940</v>
      </c>
      <c r="O573" s="8">
        <f>9641053+209319+1220291+93609</f>
        <v>11164272</v>
      </c>
      <c r="Q573" s="8">
        <v>4035004</v>
      </c>
      <c r="S573" s="8">
        <v>9689135</v>
      </c>
      <c r="U573" s="8">
        <v>423320</v>
      </c>
      <c r="W573" s="8">
        <v>43831</v>
      </c>
      <c r="Y573" s="8">
        <v>49179</v>
      </c>
      <c r="AA573" s="8">
        <v>58630</v>
      </c>
      <c r="AB573" s="39"/>
      <c r="AC573" s="8">
        <v>0</v>
      </c>
      <c r="AE573" s="8">
        <v>0</v>
      </c>
      <c r="AG573" s="8">
        <f t="shared" si="37"/>
        <v>25463371</v>
      </c>
      <c r="AH573" s="8"/>
      <c r="AI573" s="8">
        <f t="shared" si="38"/>
        <v>29798311</v>
      </c>
    </row>
    <row r="574" spans="1:35" ht="12" customHeight="1">
      <c r="A574" s="12" t="s">
        <v>604</v>
      </c>
      <c r="B574" s="12"/>
      <c r="C574" s="12" t="s">
        <v>56</v>
      </c>
      <c r="D574" s="12"/>
      <c r="E574" s="32">
        <v>45666</v>
      </c>
      <c r="G574" s="8">
        <v>464766</v>
      </c>
      <c r="I574" s="8">
        <v>2193774</v>
      </c>
      <c r="K574" s="8">
        <v>2644</v>
      </c>
      <c r="M574" s="8">
        <f t="shared" si="36"/>
        <v>2661184</v>
      </c>
      <c r="O574" s="8">
        <f>1531113+59038+19331</f>
        <v>1609482</v>
      </c>
      <c r="Q574" s="8">
        <v>0</v>
      </c>
      <c r="S574" s="8">
        <v>5498164</v>
      </c>
      <c r="U574" s="8">
        <v>32154</v>
      </c>
      <c r="W574" s="8">
        <v>0</v>
      </c>
      <c r="Y574" s="8">
        <v>0</v>
      </c>
      <c r="AA574" s="8">
        <v>14619</v>
      </c>
      <c r="AB574" s="39"/>
      <c r="AC574" s="8">
        <v>0</v>
      </c>
      <c r="AE574" s="8">
        <v>0</v>
      </c>
      <c r="AG574" s="8">
        <f t="shared" si="37"/>
        <v>7154419</v>
      </c>
      <c r="AH574" s="8"/>
      <c r="AI574" s="8">
        <f t="shared" si="38"/>
        <v>9815603</v>
      </c>
    </row>
    <row r="575" spans="1:35" ht="12" customHeight="1">
      <c r="A575" s="12" t="s">
        <v>416</v>
      </c>
      <c r="B575" s="12"/>
      <c r="C575" s="12" t="s">
        <v>32</v>
      </c>
      <c r="D575" s="12"/>
      <c r="E575" s="32">
        <v>44081</v>
      </c>
      <c r="G575" s="8">
        <v>1690513</v>
      </c>
      <c r="I575" s="8">
        <v>5177907</v>
      </c>
      <c r="K575" s="8">
        <v>32302</v>
      </c>
      <c r="M575" s="8">
        <f t="shared" si="36"/>
        <v>6900722</v>
      </c>
      <c r="O575" s="8">
        <f>20526785+810994</f>
        <v>21337779</v>
      </c>
      <c r="Q575" s="8">
        <v>0</v>
      </c>
      <c r="S575" s="8">
        <v>16086221</v>
      </c>
      <c r="U575" s="8">
        <v>419125</v>
      </c>
      <c r="W575" s="8">
        <v>225520</v>
      </c>
      <c r="Y575" s="8">
        <v>0</v>
      </c>
      <c r="AA575" s="8">
        <f>211809+22483</f>
        <v>234292</v>
      </c>
      <c r="AB575" s="39"/>
      <c r="AC575" s="8">
        <v>0</v>
      </c>
      <c r="AE575" s="8">
        <v>0</v>
      </c>
      <c r="AG575" s="8">
        <f t="shared" si="37"/>
        <v>38302937</v>
      </c>
      <c r="AH575" s="8"/>
      <c r="AI575" s="8">
        <f t="shared" si="38"/>
        <v>45203659</v>
      </c>
    </row>
    <row r="576" spans="1:35" ht="12" customHeight="1">
      <c r="A576" s="12" t="s">
        <v>726</v>
      </c>
      <c r="B576" s="12"/>
      <c r="C576" s="12" t="s">
        <v>70</v>
      </c>
      <c r="D576" s="12"/>
      <c r="E576" s="32">
        <v>50518</v>
      </c>
      <c r="G576" s="8">
        <v>522164</v>
      </c>
      <c r="I576" s="8">
        <v>479455</v>
      </c>
      <c r="K576" s="8">
        <v>7046</v>
      </c>
      <c r="M576" s="8">
        <f t="shared" si="36"/>
        <v>1008665</v>
      </c>
      <c r="O576" s="8">
        <f>4091978+452611</f>
        <v>4544589</v>
      </c>
      <c r="Q576" s="8">
        <v>0</v>
      </c>
      <c r="S576" s="8">
        <v>2319087</v>
      </c>
      <c r="U576" s="8">
        <v>163972</v>
      </c>
      <c r="W576" s="8">
        <v>0</v>
      </c>
      <c r="Y576" s="8">
        <v>107620</v>
      </c>
      <c r="AA576" s="8">
        <v>13869</v>
      </c>
      <c r="AB576" s="39"/>
      <c r="AC576" s="8">
        <v>0</v>
      </c>
      <c r="AE576" s="8">
        <v>0</v>
      </c>
      <c r="AG576" s="8">
        <f t="shared" si="37"/>
        <v>7149137</v>
      </c>
      <c r="AH576" s="8"/>
      <c r="AI576" s="8">
        <f t="shared" si="38"/>
        <v>8157802</v>
      </c>
    </row>
    <row r="577" spans="1:37" ht="12" customHeight="1">
      <c r="A577" s="12" t="s">
        <v>630</v>
      </c>
      <c r="B577" s="12"/>
      <c r="C577" s="12" t="s">
        <v>79</v>
      </c>
      <c r="D577" s="12"/>
      <c r="E577" s="32">
        <v>49577</v>
      </c>
      <c r="G577" s="8">
        <v>718619</v>
      </c>
      <c r="I577" s="8">
        <v>1089234</v>
      </c>
      <c r="K577" s="8">
        <v>7006</v>
      </c>
      <c r="M577" s="8">
        <f t="shared" si="36"/>
        <v>1814859</v>
      </c>
      <c r="O577" s="8">
        <f>3687309+367988+100919</f>
        <v>4156216</v>
      </c>
      <c r="Q577" s="8">
        <v>0</v>
      </c>
      <c r="S577" s="8">
        <v>4206122</v>
      </c>
      <c r="U577" s="8">
        <v>65772</v>
      </c>
      <c r="W577" s="8">
        <v>87712</v>
      </c>
      <c r="Y577" s="8">
        <v>0</v>
      </c>
      <c r="AA577" s="8">
        <v>13067</v>
      </c>
      <c r="AB577" s="39"/>
      <c r="AC577" s="8">
        <v>0</v>
      </c>
      <c r="AE577" s="8">
        <v>0</v>
      </c>
      <c r="AG577" s="8">
        <f t="shared" si="37"/>
        <v>8528889</v>
      </c>
      <c r="AH577" s="8"/>
      <c r="AI577" s="8">
        <f t="shared" si="38"/>
        <v>10343748</v>
      </c>
    </row>
    <row r="578" spans="1:37" ht="12" customHeight="1">
      <c r="A578" s="12" t="s">
        <v>679</v>
      </c>
      <c r="B578" s="12"/>
      <c r="C578" s="12" t="s">
        <v>63</v>
      </c>
      <c r="D578" s="12"/>
      <c r="E578" s="32">
        <v>49973</v>
      </c>
      <c r="G578" s="8">
        <v>1823349</v>
      </c>
      <c r="I578" s="8">
        <v>1415193</v>
      </c>
      <c r="K578" s="8">
        <v>8040</v>
      </c>
      <c r="M578" s="8">
        <f t="shared" si="36"/>
        <v>3246582</v>
      </c>
      <c r="O578" s="8">
        <f>15116955+1538584+399292</f>
        <v>17054831</v>
      </c>
      <c r="Q578" s="8">
        <v>0</v>
      </c>
      <c r="S578" s="8">
        <v>4525046</v>
      </c>
      <c r="U578" s="8">
        <v>516778</v>
      </c>
      <c r="W578" s="8">
        <v>0</v>
      </c>
      <c r="Y578" s="8">
        <v>130000</v>
      </c>
      <c r="AA578" s="8">
        <v>159345</v>
      </c>
      <c r="AB578" s="39"/>
      <c r="AC578" s="8">
        <v>0</v>
      </c>
      <c r="AE578" s="8">
        <v>0</v>
      </c>
      <c r="AG578" s="8">
        <f t="shared" si="37"/>
        <v>22386000</v>
      </c>
      <c r="AH578" s="8"/>
      <c r="AI578" s="8">
        <f t="shared" si="38"/>
        <v>25632582</v>
      </c>
    </row>
    <row r="579" spans="1:37" ht="12" customHeight="1">
      <c r="A579" s="12" t="s">
        <v>874</v>
      </c>
      <c r="B579" s="12"/>
      <c r="C579" s="12" t="s">
        <v>71</v>
      </c>
      <c r="D579" s="12"/>
      <c r="E579" s="32">
        <v>45138</v>
      </c>
      <c r="G579" s="8">
        <v>1126625</v>
      </c>
      <c r="I579" s="8">
        <v>4452454</v>
      </c>
      <c r="K579" s="8">
        <v>31955</v>
      </c>
      <c r="M579" s="8">
        <f t="shared" si="36"/>
        <v>5611034</v>
      </c>
      <c r="O579" s="8">
        <f>26377516+2649124+534656</f>
        <v>29561296</v>
      </c>
      <c r="Q579" s="8">
        <v>0</v>
      </c>
      <c r="S579" s="8">
        <v>13670832</v>
      </c>
      <c r="U579" s="8">
        <v>758415</v>
      </c>
      <c r="W579" s="8">
        <v>0</v>
      </c>
      <c r="Y579" s="8">
        <v>0</v>
      </c>
      <c r="AA579" s="8">
        <v>97637</v>
      </c>
      <c r="AB579" s="39"/>
      <c r="AC579" s="8">
        <v>0</v>
      </c>
      <c r="AE579" s="8">
        <v>0</v>
      </c>
      <c r="AG579" s="8">
        <f t="shared" si="37"/>
        <v>44088180</v>
      </c>
      <c r="AH579" s="8"/>
      <c r="AI579" s="8">
        <f t="shared" si="38"/>
        <v>49699214</v>
      </c>
    </row>
    <row r="580" spans="1:37" ht="12" customHeight="1">
      <c r="A580" s="12" t="s">
        <v>371</v>
      </c>
      <c r="B580" s="12"/>
      <c r="C580" s="12" t="s">
        <v>27</v>
      </c>
      <c r="D580" s="12"/>
      <c r="E580" s="32">
        <v>46524</v>
      </c>
      <c r="G580" s="8">
        <v>5717179</v>
      </c>
      <c r="I580" s="8">
        <v>5127705</v>
      </c>
      <c r="K580" s="8">
        <v>0</v>
      </c>
      <c r="M580" s="8">
        <f t="shared" si="36"/>
        <v>10844884</v>
      </c>
      <c r="O580" s="8">
        <f>71709034+6272360</f>
        <v>77981394</v>
      </c>
      <c r="Q580" s="8">
        <v>0</v>
      </c>
      <c r="S580" s="8">
        <v>31643053</v>
      </c>
      <c r="U580" s="8">
        <v>3135482</v>
      </c>
      <c r="W580" s="8">
        <v>0</v>
      </c>
      <c r="Y580" s="8">
        <v>0</v>
      </c>
      <c r="AA580" s="8">
        <v>433025</v>
      </c>
      <c r="AB580" s="39"/>
      <c r="AC580" s="8">
        <v>0</v>
      </c>
      <c r="AE580" s="8">
        <v>0</v>
      </c>
      <c r="AG580" s="8">
        <f t="shared" si="37"/>
        <v>113192954</v>
      </c>
      <c r="AH580" s="8"/>
      <c r="AI580" s="8">
        <f t="shared" si="38"/>
        <v>124037838</v>
      </c>
      <c r="AK580" s="8"/>
    </row>
    <row r="581" spans="1:37" s="8" customFormat="1" ht="12" customHeight="1">
      <c r="A581" s="13" t="s">
        <v>299</v>
      </c>
      <c r="B581" s="13"/>
      <c r="C581" s="13" t="s">
        <v>114</v>
      </c>
      <c r="D581" s="13"/>
      <c r="E581" s="13">
        <v>45146</v>
      </c>
      <c r="G581" s="8">
        <v>871911</v>
      </c>
      <c r="I581" s="8">
        <v>1020643</v>
      </c>
      <c r="K581" s="8">
        <v>11104</v>
      </c>
      <c r="M581" s="8">
        <f t="shared" si="36"/>
        <v>1903658</v>
      </c>
      <c r="O581" s="8">
        <f>3442277+300078</f>
        <v>3742355</v>
      </c>
      <c r="Q581" s="8">
        <v>0</v>
      </c>
      <c r="S581" s="8">
        <v>5172075</v>
      </c>
      <c r="U581" s="8">
        <v>112293</v>
      </c>
      <c r="W581" s="8">
        <v>0</v>
      </c>
      <c r="Y581" s="8">
        <v>0</v>
      </c>
      <c r="AA581" s="8">
        <v>26630</v>
      </c>
      <c r="AB581" s="39"/>
      <c r="AC581" s="8">
        <v>0</v>
      </c>
      <c r="AE581" s="8">
        <v>0</v>
      </c>
      <c r="AG581" s="8">
        <f t="shared" si="37"/>
        <v>9053353</v>
      </c>
      <c r="AI581" s="8">
        <f t="shared" si="38"/>
        <v>10957011</v>
      </c>
    </row>
    <row r="582" spans="1:37" s="8" customFormat="1" ht="12" customHeight="1">
      <c r="A582" s="13"/>
      <c r="B582" s="13"/>
      <c r="C582" s="13"/>
      <c r="D582" s="13"/>
      <c r="E582" s="13"/>
      <c r="AB582" s="39"/>
    </row>
    <row r="583" spans="1:37" s="8" customFormat="1" ht="12" customHeight="1">
      <c r="A583" s="13"/>
      <c r="B583" s="13"/>
      <c r="C583" s="13"/>
      <c r="D583" s="13"/>
      <c r="E583" s="13"/>
      <c r="AB583" s="39"/>
      <c r="AI583" s="8" t="s">
        <v>819</v>
      </c>
    </row>
    <row r="584" spans="1:37" s="35" customFormat="1" ht="12" customHeight="1">
      <c r="A584" s="34" t="s">
        <v>417</v>
      </c>
      <c r="B584" s="34"/>
      <c r="C584" s="34" t="s">
        <v>32</v>
      </c>
      <c r="D584" s="34"/>
      <c r="E584" s="34">
        <v>45153</v>
      </c>
      <c r="G584" s="35">
        <v>1279557</v>
      </c>
      <c r="I584" s="35">
        <v>1167577</v>
      </c>
      <c r="K584" s="35">
        <v>2055</v>
      </c>
      <c r="M584" s="35">
        <f t="shared" si="36"/>
        <v>2449189</v>
      </c>
      <c r="O584" s="35">
        <f>8353172+1457683+373110</f>
        <v>10183965</v>
      </c>
      <c r="Q584" s="35">
        <v>6788145</v>
      </c>
      <c r="S584" s="35">
        <v>6508511</v>
      </c>
      <c r="U584" s="35">
        <v>452475</v>
      </c>
      <c r="W584" s="35">
        <v>0</v>
      </c>
      <c r="Y584" s="35">
        <v>151079</v>
      </c>
      <c r="AA584" s="35">
        <v>218523</v>
      </c>
      <c r="AB584" s="46"/>
      <c r="AC584" s="35">
        <v>0</v>
      </c>
      <c r="AE584" s="35">
        <v>0</v>
      </c>
      <c r="AG584" s="35">
        <f t="shared" si="37"/>
        <v>24302698</v>
      </c>
      <c r="AI584" s="35">
        <f t="shared" si="38"/>
        <v>26751887</v>
      </c>
    </row>
    <row r="585" spans="1:37" ht="12" customHeight="1">
      <c r="A585" s="12" t="s">
        <v>392</v>
      </c>
      <c r="B585" s="12"/>
      <c r="C585" s="12" t="s">
        <v>117</v>
      </c>
      <c r="D585" s="12"/>
      <c r="E585" s="32">
        <v>45674</v>
      </c>
      <c r="G585" s="8">
        <v>924241</v>
      </c>
      <c r="I585" s="8">
        <v>539344</v>
      </c>
      <c r="K585" s="8">
        <v>5166</v>
      </c>
      <c r="M585" s="8">
        <f t="shared" si="36"/>
        <v>1468751</v>
      </c>
      <c r="O585" s="8">
        <f>2192988+57755+255510+922866</f>
        <v>3429119</v>
      </c>
      <c r="Q585" s="8">
        <v>1391506</v>
      </c>
      <c r="S585" s="8">
        <v>1699745</v>
      </c>
      <c r="U585" s="8">
        <v>179024</v>
      </c>
      <c r="W585" s="8">
        <v>0</v>
      </c>
      <c r="Y585" s="8">
        <v>17115</v>
      </c>
      <c r="AA585" s="8">
        <v>47748</v>
      </c>
      <c r="AB585" s="39"/>
      <c r="AC585" s="8">
        <f>0</f>
        <v>0</v>
      </c>
      <c r="AE585" s="8">
        <v>4500</v>
      </c>
      <c r="AG585" s="8">
        <f t="shared" si="37"/>
        <v>6768757</v>
      </c>
      <c r="AH585" s="8"/>
      <c r="AI585" s="8">
        <f t="shared" si="38"/>
        <v>8237508</v>
      </c>
    </row>
    <row r="586" spans="1:37" s="8" customFormat="1" ht="12" customHeight="1">
      <c r="A586" s="13" t="s">
        <v>525</v>
      </c>
      <c r="B586" s="13"/>
      <c r="C586" s="13" t="s">
        <v>45</v>
      </c>
      <c r="D586" s="13"/>
      <c r="E586" s="13">
        <v>45161</v>
      </c>
      <c r="G586" s="8">
        <v>2182659</v>
      </c>
      <c r="I586" s="8">
        <v>33777787</v>
      </c>
      <c r="K586" s="8">
        <v>73799</v>
      </c>
      <c r="M586" s="8">
        <f t="shared" si="36"/>
        <v>36034245</v>
      </c>
      <c r="O586" s="8">
        <f>19329820+2070145+249445</f>
        <v>21649410</v>
      </c>
      <c r="Q586" s="8">
        <v>0</v>
      </c>
      <c r="S586" s="8">
        <f>70781357+739897+286013</f>
        <v>71807267</v>
      </c>
      <c r="U586" s="8">
        <v>3401739</v>
      </c>
      <c r="W586" s="8">
        <v>0</v>
      </c>
      <c r="Y586" s="8">
        <v>0</v>
      </c>
      <c r="AA586" s="8">
        <v>315462</v>
      </c>
      <c r="AB586" s="39"/>
      <c r="AC586" s="8">
        <v>0</v>
      </c>
      <c r="AE586" s="8">
        <v>36577</v>
      </c>
      <c r="AG586" s="8">
        <f t="shared" si="37"/>
        <v>97210455</v>
      </c>
      <c r="AI586" s="8">
        <f t="shared" si="38"/>
        <v>133244700</v>
      </c>
    </row>
    <row r="587" spans="1:37" ht="12" customHeight="1">
      <c r="A587" s="12" t="s">
        <v>626</v>
      </c>
      <c r="B587" s="12"/>
      <c r="C587" s="12" t="s">
        <v>58</v>
      </c>
      <c r="D587" s="12"/>
      <c r="E587" s="32">
        <v>49544</v>
      </c>
      <c r="G587" s="8">
        <v>827174</v>
      </c>
      <c r="I587" s="8">
        <v>1267526</v>
      </c>
      <c r="K587" s="8">
        <v>0</v>
      </c>
      <c r="M587" s="8">
        <f t="shared" si="36"/>
        <v>2094700</v>
      </c>
      <c r="O587" s="8">
        <f>3850645+344958+68267</f>
        <v>4263870</v>
      </c>
      <c r="Q587" s="8">
        <v>29916</v>
      </c>
      <c r="S587" s="8">
        <v>7029026</v>
      </c>
      <c r="U587" s="8">
        <v>490806</v>
      </c>
      <c r="W587" s="8">
        <v>0</v>
      </c>
      <c r="Y587" s="8">
        <v>0</v>
      </c>
      <c r="AA587" s="8">
        <v>117606</v>
      </c>
      <c r="AB587" s="39"/>
      <c r="AC587" s="8">
        <v>0</v>
      </c>
      <c r="AE587" s="8">
        <v>0</v>
      </c>
      <c r="AG587" s="8">
        <f t="shared" si="37"/>
        <v>11931224</v>
      </c>
      <c r="AH587" s="8"/>
      <c r="AI587" s="8">
        <f t="shared" si="38"/>
        <v>14025924</v>
      </c>
      <c r="AK587" s="8"/>
    </row>
    <row r="588" spans="1:37" ht="12" customHeight="1">
      <c r="A588" s="12" t="s">
        <v>576</v>
      </c>
      <c r="B588" s="12"/>
      <c r="C588" s="12" t="s">
        <v>51</v>
      </c>
      <c r="D588" s="12"/>
      <c r="E588" s="32">
        <v>45179</v>
      </c>
      <c r="G588" s="8">
        <v>2078176</v>
      </c>
      <c r="I588" s="8">
        <v>9476113</v>
      </c>
      <c r="K588" s="8">
        <v>85646</v>
      </c>
      <c r="M588" s="8">
        <f t="shared" si="36"/>
        <v>11639935</v>
      </c>
      <c r="O588" s="8">
        <f>6090162+1343646+122827</f>
        <v>7556635</v>
      </c>
      <c r="Q588" s="8">
        <v>0</v>
      </c>
      <c r="S588" s="8">
        <v>21367758</v>
      </c>
      <c r="U588" s="8">
        <v>255903</v>
      </c>
      <c r="W588" s="8">
        <v>2820</v>
      </c>
      <c r="Y588" s="8">
        <v>0</v>
      </c>
      <c r="AA588" s="8">
        <v>133768</v>
      </c>
      <c r="AB588" s="39"/>
      <c r="AC588" s="8">
        <v>0</v>
      </c>
      <c r="AE588" s="8">
        <v>0</v>
      </c>
      <c r="AG588" s="8">
        <f t="shared" si="37"/>
        <v>29316884</v>
      </c>
      <c r="AH588" s="8"/>
      <c r="AI588" s="8">
        <f t="shared" si="38"/>
        <v>40956819</v>
      </c>
    </row>
    <row r="589" spans="1:37" ht="12" customHeight="1">
      <c r="A589" s="12"/>
      <c r="B589" s="12"/>
      <c r="C589" s="12"/>
      <c r="D589" s="12"/>
    </row>
    <row r="590" spans="1:37" ht="12" customHeight="1"/>
    <row r="591" spans="1:37" ht="12" customHeight="1"/>
    <row r="592" spans="1:37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</sheetData>
  <phoneticPr fontId="3" type="noConversion"/>
  <printOptions horizontalCentered="1"/>
  <pageMargins left="0.75" right="0.75" top="0.5" bottom="0.75" header="0" footer="0.25"/>
  <pageSetup scale="74" firstPageNumber="22" fitToWidth="2" fitToHeight="18" pageOrder="overThenDown" orientation="portrait" useFirstPageNumber="1" r:id="rId1"/>
  <headerFooter alignWithMargins="0">
    <oddFooter>&amp;C&amp;"Times New Roman,Regular"&amp;12&amp;P</oddFooter>
  </headerFooter>
  <colBreaks count="1" manualBreakCount="1">
    <brk id="15" max="58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BG976"/>
  <sheetViews>
    <sheetView view="pageBreakPreview" zoomScale="150" zoomScaleNormal="160" zoomScaleSheetLayoutView="150" workbookViewId="0">
      <pane xSplit="5" ySplit="9" topLeftCell="Z573" activePane="bottomRight" state="frozen"/>
      <selection sqref="A1:IV65536"/>
      <selection pane="topRight" sqref="A1:IV65536"/>
      <selection pane="bottomLeft" sqref="A1:IV65536"/>
      <selection pane="bottomRight" activeCell="AE586" sqref="AE586"/>
    </sheetView>
  </sheetViews>
  <sheetFormatPr defaultColWidth="9.109375" defaultRowHeight="12"/>
  <cols>
    <col min="1" max="1" width="28.109375" style="10" customWidth="1"/>
    <col min="2" max="2" width="1.6640625" style="10" customWidth="1"/>
    <col min="3" max="3" width="11.6640625" style="10" customWidth="1"/>
    <col min="4" max="4" width="1.6640625" style="10" hidden="1" customWidth="1"/>
    <col min="5" max="5" width="11.6640625" style="30" hidden="1" customWidth="1"/>
    <col min="6" max="6" width="1.6640625" style="10" customWidth="1"/>
    <col min="7" max="7" width="11.6640625" style="10" customWidth="1"/>
    <col min="8" max="8" width="1.6640625" style="10" customWidth="1"/>
    <col min="9" max="9" width="11.6640625" style="10" customWidth="1"/>
    <col min="10" max="10" width="1.6640625" style="10" customWidth="1"/>
    <col min="11" max="11" width="11.6640625" style="10" customWidth="1"/>
    <col min="12" max="12" width="1.6640625" style="10" customWidth="1"/>
    <col min="13" max="13" width="11.6640625" style="10" customWidth="1"/>
    <col min="14" max="14" width="1.6640625" style="10" customWidth="1"/>
    <col min="15" max="15" width="11.6640625" style="10" customWidth="1"/>
    <col min="16" max="16" width="1.6640625" style="10" customWidth="1"/>
    <col min="17" max="17" width="11.6640625" style="10" customWidth="1"/>
    <col min="18" max="18" width="1.44140625" style="10" customWidth="1"/>
    <col min="19" max="19" width="11.6640625" style="10" customWidth="1"/>
    <col min="20" max="20" width="1.6640625" style="10" customWidth="1"/>
    <col min="21" max="21" width="11.6640625" style="10" customWidth="1"/>
    <col min="22" max="22" width="1.6640625" style="10" customWidth="1"/>
    <col min="23" max="23" width="11.6640625" style="10" customWidth="1"/>
    <col min="24" max="24" width="1.6640625" style="10" customWidth="1"/>
    <col min="25" max="25" width="11.6640625" style="10" customWidth="1"/>
    <col min="26" max="26" width="1.6640625" style="10" customWidth="1"/>
    <col min="27" max="27" width="11.6640625" style="10" customWidth="1"/>
    <col min="28" max="28" width="1.6640625" style="10" customWidth="1"/>
    <col min="29" max="29" width="11.6640625" style="10" customWidth="1"/>
    <col min="30" max="30" width="1.6640625" style="10" customWidth="1"/>
    <col min="31" max="31" width="11.6640625" style="10" customWidth="1"/>
    <col min="32" max="32" width="1.6640625" style="10" customWidth="1"/>
    <col min="33" max="33" width="25.6640625" style="10" customWidth="1"/>
    <col min="34" max="34" width="1.6640625" style="10" customWidth="1"/>
    <col min="35" max="35" width="11.6640625" style="10" customWidth="1"/>
    <col min="36" max="36" width="1.6640625" style="10" customWidth="1"/>
    <col min="37" max="37" width="11.6640625" style="10" customWidth="1"/>
    <col min="38" max="38" width="1.6640625" style="10" customWidth="1"/>
    <col min="39" max="39" width="11.88671875" style="10" customWidth="1"/>
    <col min="40" max="40" width="1.6640625" style="10" customWidth="1"/>
    <col min="41" max="41" width="11.6640625" style="10" customWidth="1"/>
    <col min="42" max="42" width="1.6640625" style="10" customWidth="1"/>
    <col min="43" max="43" width="11.6640625" style="10" customWidth="1"/>
    <col min="44" max="44" width="1.6640625" style="10" customWidth="1"/>
    <col min="45" max="45" width="11.6640625" style="10" hidden="1" customWidth="1"/>
    <col min="46" max="46" width="0.33203125" style="10" customWidth="1"/>
    <col min="47" max="47" width="11.6640625" style="10" customWidth="1"/>
    <col min="48" max="48" width="1.6640625" style="10" customWidth="1"/>
    <col min="49" max="49" width="12.109375" style="8" customWidth="1"/>
    <col min="50" max="50" width="1.6640625" style="8" customWidth="1"/>
    <col min="51" max="51" width="11.6640625" style="8" customWidth="1"/>
    <col min="52" max="52" width="1.6640625" style="8" customWidth="1"/>
    <col min="53" max="53" width="11.6640625" style="8" customWidth="1"/>
    <col min="54" max="54" width="1.6640625" style="8" customWidth="1"/>
    <col min="55" max="55" width="11.6640625" style="8" customWidth="1"/>
    <col min="56" max="56" width="1.6640625" style="8" customWidth="1"/>
    <col min="57" max="57" width="11.6640625" style="8" customWidth="1"/>
    <col min="58" max="58" width="1.6640625" style="10" customWidth="1"/>
    <col min="59" max="59" width="11.6640625" style="10" customWidth="1"/>
    <col min="60" max="60" width="9.109375" style="10"/>
    <col min="61" max="61" width="11.6640625" style="10" customWidth="1"/>
    <col min="62" max="62" width="9.109375" style="10"/>
    <col min="63" max="63" width="11.6640625" style="10" customWidth="1"/>
    <col min="64" max="64" width="9.109375" style="10"/>
    <col min="65" max="65" width="11.6640625" style="10" customWidth="1"/>
    <col min="66" max="66" width="9.109375" style="10"/>
    <col min="67" max="67" width="11.6640625" style="10" customWidth="1"/>
    <col min="68" max="16384" width="9.109375" style="10"/>
  </cols>
  <sheetData>
    <row r="1" spans="1:57">
      <c r="A1" s="97" t="s">
        <v>129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97" t="s">
        <v>129</v>
      </c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8"/>
      <c r="AT1" s="8"/>
      <c r="AU1" s="8"/>
      <c r="AV1" s="8"/>
    </row>
    <row r="2" spans="1:57">
      <c r="A2" s="36" t="s">
        <v>912</v>
      </c>
      <c r="B2" s="36"/>
      <c r="C2" s="36"/>
      <c r="D2" s="36"/>
      <c r="E2" s="64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36" t="s">
        <v>912</v>
      </c>
      <c r="AH2" s="36"/>
      <c r="AI2" s="36"/>
      <c r="AJ2" s="36"/>
      <c r="AK2" s="8"/>
      <c r="AL2" s="8"/>
      <c r="AM2" s="8"/>
      <c r="AN2" s="8"/>
      <c r="AO2" s="8"/>
      <c r="AP2" s="8"/>
      <c r="AQ2" s="8"/>
      <c r="AR2" s="8"/>
      <c r="AS2" s="77" t="s">
        <v>761</v>
      </c>
      <c r="AT2" s="8"/>
      <c r="AU2" s="8"/>
      <c r="AV2" s="8"/>
    </row>
    <row r="3" spans="1:57"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K3" s="8"/>
      <c r="AL3" s="8"/>
      <c r="AM3" s="8"/>
      <c r="AN3" s="8"/>
      <c r="AO3" s="8"/>
      <c r="AP3" s="8"/>
      <c r="AQ3" s="8"/>
      <c r="AR3" s="8"/>
      <c r="AS3" s="77" t="s">
        <v>762</v>
      </c>
      <c r="AT3" s="8"/>
      <c r="AU3" s="8"/>
      <c r="AV3" s="8"/>
    </row>
    <row r="4" spans="1:57">
      <c r="A4" s="36" t="s">
        <v>177</v>
      </c>
      <c r="B4" s="36"/>
      <c r="C4" s="36"/>
      <c r="D4" s="36"/>
      <c r="E4" s="64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36" t="s">
        <v>177</v>
      </c>
      <c r="AH4" s="36"/>
      <c r="AI4" s="36"/>
      <c r="AJ4" s="36"/>
      <c r="AK4" s="8"/>
      <c r="AL4" s="8"/>
      <c r="AM4" s="8"/>
      <c r="AN4" s="8"/>
      <c r="AO4" s="8"/>
      <c r="AP4" s="8"/>
      <c r="AQ4" s="8"/>
      <c r="AR4" s="8"/>
      <c r="AS4" s="77" t="s">
        <v>763</v>
      </c>
      <c r="AT4" s="8"/>
      <c r="AU4" s="8"/>
      <c r="AV4" s="8"/>
    </row>
    <row r="5" spans="1:57" s="8" customFormat="1">
      <c r="A5" s="15"/>
      <c r="E5" s="30"/>
      <c r="AG5" s="15"/>
    </row>
    <row r="6" spans="1:57">
      <c r="A6" s="36" t="s">
        <v>819</v>
      </c>
      <c r="B6" s="36"/>
      <c r="C6" s="36"/>
      <c r="D6" s="36"/>
      <c r="E6" s="64"/>
      <c r="F6" s="8"/>
      <c r="G6" s="19" t="s">
        <v>151</v>
      </c>
      <c r="H6" s="19"/>
      <c r="I6" s="19"/>
      <c r="J6" s="19"/>
      <c r="K6" s="19"/>
      <c r="L6" s="19"/>
      <c r="M6" s="19"/>
      <c r="N6" s="8"/>
      <c r="O6" s="19" t="s">
        <v>152</v>
      </c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8"/>
      <c r="AG6" s="36" t="s">
        <v>819</v>
      </c>
      <c r="AH6" s="36"/>
      <c r="AI6" s="36"/>
      <c r="AJ6" s="36"/>
      <c r="AK6" s="19" t="s">
        <v>164</v>
      </c>
      <c r="AL6" s="19"/>
      <c r="AM6" s="19"/>
      <c r="AN6" s="8"/>
      <c r="AO6" s="8"/>
      <c r="AP6" s="8"/>
      <c r="AQ6" s="8"/>
      <c r="AR6" s="8"/>
      <c r="AS6" s="16" t="s">
        <v>752</v>
      </c>
      <c r="AT6" s="8"/>
      <c r="AU6" s="8"/>
      <c r="AV6" s="8"/>
      <c r="BE6" s="16" t="s">
        <v>103</v>
      </c>
    </row>
    <row r="7" spans="1:57">
      <c r="F7" s="8"/>
      <c r="M7" s="20"/>
      <c r="Q7" s="8"/>
      <c r="R7" s="8"/>
      <c r="S7" s="8"/>
      <c r="T7" s="8"/>
      <c r="U7" s="8"/>
      <c r="V7" s="8"/>
      <c r="W7" s="8"/>
      <c r="X7" s="8"/>
      <c r="Y7" s="8"/>
      <c r="Z7" s="8"/>
      <c r="AA7" s="16" t="s">
        <v>159</v>
      </c>
      <c r="AB7" s="8"/>
      <c r="AC7" s="8"/>
      <c r="AD7" s="8"/>
      <c r="AE7" s="8"/>
      <c r="AF7" s="8"/>
      <c r="AK7" s="8"/>
      <c r="AL7" s="8"/>
      <c r="AM7" s="8"/>
      <c r="AN7" s="8"/>
      <c r="AO7" s="8"/>
      <c r="AP7" s="8"/>
      <c r="AQ7" s="8"/>
      <c r="AR7" s="8"/>
      <c r="AS7" s="16" t="s">
        <v>753</v>
      </c>
      <c r="AT7" s="8"/>
      <c r="AU7" s="8"/>
      <c r="AV7" s="8"/>
      <c r="AY7" s="16"/>
      <c r="AZ7" s="16"/>
      <c r="BA7" s="16" t="s">
        <v>103</v>
      </c>
      <c r="BB7" s="16"/>
      <c r="BC7" s="16" t="s">
        <v>103</v>
      </c>
      <c r="BE7" s="16" t="s">
        <v>175</v>
      </c>
    </row>
    <row r="8" spans="1:57">
      <c r="A8" s="4"/>
      <c r="B8" s="4"/>
      <c r="C8" s="4"/>
      <c r="D8" s="4"/>
      <c r="E8" s="60"/>
      <c r="F8" s="8"/>
      <c r="G8" s="5"/>
      <c r="H8" s="5"/>
      <c r="I8" s="5"/>
      <c r="J8" s="5"/>
      <c r="K8" s="5"/>
      <c r="L8" s="5"/>
      <c r="M8" s="5"/>
      <c r="N8" s="5"/>
      <c r="O8" s="5"/>
      <c r="P8" s="5"/>
      <c r="Q8" s="5" t="s">
        <v>153</v>
      </c>
      <c r="R8" s="5"/>
      <c r="S8" s="5" t="s">
        <v>155</v>
      </c>
      <c r="T8" s="5"/>
      <c r="U8" s="5"/>
      <c r="V8" s="5"/>
      <c r="W8" s="5"/>
      <c r="X8" s="5"/>
      <c r="Y8" s="5"/>
      <c r="Z8" s="5"/>
      <c r="AA8" s="5" t="s">
        <v>160</v>
      </c>
      <c r="AB8" s="5"/>
      <c r="AC8" s="5" t="s">
        <v>162</v>
      </c>
      <c r="AD8" s="5"/>
      <c r="AE8" s="5"/>
      <c r="AF8" s="5"/>
      <c r="AG8" s="4"/>
      <c r="AH8" s="4"/>
      <c r="AI8" s="4"/>
      <c r="AJ8" s="4"/>
      <c r="AK8" s="16" t="s">
        <v>165</v>
      </c>
      <c r="AL8" s="16"/>
      <c r="AM8" s="20"/>
      <c r="AN8" s="20"/>
      <c r="AO8" s="20" t="s">
        <v>167</v>
      </c>
      <c r="AP8" s="20"/>
      <c r="AQ8" s="20"/>
      <c r="AR8" s="20"/>
      <c r="AS8" s="20" t="s">
        <v>754</v>
      </c>
      <c r="AT8" s="20"/>
      <c r="AU8" s="20" t="s">
        <v>770</v>
      </c>
      <c r="AV8" s="20"/>
      <c r="AW8" s="5" t="s">
        <v>3</v>
      </c>
      <c r="AX8" s="16"/>
      <c r="AY8" s="16" t="s">
        <v>123</v>
      </c>
      <c r="AZ8" s="16"/>
      <c r="BA8" s="5" t="s">
        <v>171</v>
      </c>
      <c r="BB8" s="16"/>
      <c r="BC8" s="16" t="s">
        <v>173</v>
      </c>
      <c r="BE8" s="16" t="s">
        <v>176</v>
      </c>
    </row>
    <row r="9" spans="1:57">
      <c r="A9" s="75" t="s">
        <v>208</v>
      </c>
      <c r="B9" s="20"/>
      <c r="C9" s="75" t="s">
        <v>4</v>
      </c>
      <c r="D9" s="20"/>
      <c r="E9" s="61" t="s">
        <v>207</v>
      </c>
      <c r="F9" s="8"/>
      <c r="G9" s="2" t="s">
        <v>789</v>
      </c>
      <c r="H9" s="8"/>
      <c r="I9" s="2" t="s">
        <v>2</v>
      </c>
      <c r="J9" s="8"/>
      <c r="K9" s="2" t="s">
        <v>150</v>
      </c>
      <c r="L9" s="8"/>
      <c r="M9" s="2" t="s">
        <v>83</v>
      </c>
      <c r="N9" s="8"/>
      <c r="O9" s="2" t="s">
        <v>797</v>
      </c>
      <c r="P9" s="8"/>
      <c r="Q9" s="2" t="s">
        <v>154</v>
      </c>
      <c r="R9" s="8"/>
      <c r="S9" s="2" t="s">
        <v>156</v>
      </c>
      <c r="T9" s="8"/>
      <c r="U9" s="2" t="s">
        <v>157</v>
      </c>
      <c r="V9" s="8"/>
      <c r="W9" s="2" t="s">
        <v>158</v>
      </c>
      <c r="X9" s="5"/>
      <c r="Y9" s="1" t="s">
        <v>750</v>
      </c>
      <c r="Z9" s="8"/>
      <c r="AA9" s="2" t="s">
        <v>161</v>
      </c>
      <c r="AB9" s="5"/>
      <c r="AC9" s="1" t="s">
        <v>163</v>
      </c>
      <c r="AD9" s="5"/>
      <c r="AE9" s="1" t="s">
        <v>751</v>
      </c>
      <c r="AF9" s="8"/>
      <c r="AG9" s="75" t="s">
        <v>208</v>
      </c>
      <c r="AH9" s="20"/>
      <c r="AI9" s="75" t="s">
        <v>4</v>
      </c>
      <c r="AJ9" s="75"/>
      <c r="AK9" s="1" t="s">
        <v>166</v>
      </c>
      <c r="AL9" s="8"/>
      <c r="AM9" s="75" t="s">
        <v>83</v>
      </c>
      <c r="AN9" s="78"/>
      <c r="AO9" s="75" t="s">
        <v>168</v>
      </c>
      <c r="AP9" s="78"/>
      <c r="AQ9" s="75" t="s">
        <v>169</v>
      </c>
      <c r="AR9" s="78"/>
      <c r="AS9" s="75" t="s">
        <v>755</v>
      </c>
      <c r="AT9" s="78"/>
      <c r="AU9" s="75" t="s">
        <v>127</v>
      </c>
      <c r="AV9" s="78"/>
      <c r="AW9" s="1" t="s">
        <v>127</v>
      </c>
      <c r="AX9" s="5"/>
      <c r="AY9" s="1" t="s">
        <v>103</v>
      </c>
      <c r="AZ9" s="16"/>
      <c r="BA9" s="1" t="s">
        <v>172</v>
      </c>
      <c r="BB9" s="16"/>
      <c r="BC9" s="1" t="s">
        <v>174</v>
      </c>
      <c r="BE9" s="1" t="s">
        <v>143</v>
      </c>
    </row>
    <row r="10" spans="1:57" ht="12.75" customHeight="1">
      <c r="A10" s="12"/>
      <c r="B10" s="12"/>
      <c r="C10" s="12"/>
      <c r="D10" s="12"/>
      <c r="E10" s="32"/>
      <c r="F10" s="8"/>
      <c r="G10" s="5"/>
      <c r="H10" s="8"/>
      <c r="I10" s="5"/>
      <c r="J10" s="8"/>
      <c r="K10" s="5"/>
      <c r="L10" s="8"/>
      <c r="M10" s="5"/>
      <c r="N10" s="8"/>
      <c r="O10" s="5"/>
      <c r="P10" s="8"/>
      <c r="Q10" s="5"/>
      <c r="R10" s="8"/>
      <c r="S10" s="5"/>
      <c r="T10" s="8"/>
      <c r="U10" s="5"/>
      <c r="V10" s="8"/>
      <c r="W10" s="5"/>
      <c r="X10" s="5"/>
      <c r="Y10" s="5"/>
      <c r="Z10" s="8"/>
      <c r="AA10" s="5"/>
      <c r="AB10" s="5"/>
      <c r="AC10" s="5"/>
      <c r="AD10" s="5"/>
      <c r="AE10" s="5"/>
      <c r="AF10" s="8"/>
      <c r="AG10" s="12"/>
      <c r="AH10" s="12"/>
      <c r="AI10" s="12"/>
      <c r="AJ10" s="12"/>
      <c r="AK10" s="5"/>
      <c r="AL10" s="8"/>
      <c r="AM10" s="5"/>
      <c r="AO10" s="5"/>
      <c r="AQ10" s="5"/>
      <c r="AS10" s="5"/>
      <c r="AU10" s="5"/>
      <c r="BA10" s="5"/>
    </row>
    <row r="11" spans="1:57" s="35" customFormat="1" ht="12" customHeight="1">
      <c r="A11" s="34" t="s">
        <v>784</v>
      </c>
      <c r="B11" s="34"/>
      <c r="C11" s="34" t="s">
        <v>44</v>
      </c>
      <c r="D11" s="34"/>
      <c r="E11" s="32">
        <v>45195</v>
      </c>
      <c r="G11" s="35">
        <v>18257894</v>
      </c>
      <c r="I11" s="35">
        <v>4700902</v>
      </c>
      <c r="K11" s="35">
        <v>362819</v>
      </c>
      <c r="M11" s="35">
        <v>0</v>
      </c>
      <c r="O11" s="35">
        <v>1469116</v>
      </c>
      <c r="Q11" s="35">
        <v>1727391</v>
      </c>
      <c r="S11" s="35">
        <v>16805</v>
      </c>
      <c r="U11" s="35">
        <v>2873082</v>
      </c>
      <c r="W11" s="35">
        <v>638779</v>
      </c>
      <c r="Y11" s="35">
        <v>0</v>
      </c>
      <c r="AA11" s="35">
        <v>3785625</v>
      </c>
      <c r="AC11" s="35">
        <v>1519622</v>
      </c>
      <c r="AE11" s="35">
        <v>0</v>
      </c>
      <c r="AG11" s="34" t="s">
        <v>784</v>
      </c>
      <c r="AH11" s="34"/>
      <c r="AI11" s="34" t="s">
        <v>44</v>
      </c>
      <c r="AJ11" s="34"/>
      <c r="AK11" s="35">
        <v>0</v>
      </c>
      <c r="AM11" s="35">
        <v>1749475</v>
      </c>
      <c r="AO11" s="35">
        <v>714736</v>
      </c>
      <c r="AQ11" s="35">
        <v>1154291</v>
      </c>
      <c r="AS11" s="35">
        <v>0</v>
      </c>
      <c r="AU11" s="35">
        <v>0</v>
      </c>
      <c r="AW11" s="35">
        <f>SUM(G11:AV11)</f>
        <v>38970537</v>
      </c>
      <c r="AY11" s="35">
        <f>+'St of Activites - GA Rev'!AI11-'St of Activities - GA Exp'!AW11</f>
        <v>-2680569</v>
      </c>
      <c r="BA11" s="35">
        <v>9796098</v>
      </c>
      <c r="BC11" s="35">
        <f>+AY11+BA11</f>
        <v>7115529</v>
      </c>
      <c r="BE11" s="35">
        <f>+'St of Net Assets - GA'!AA11-'St of Activities - GA Exp'!BC11</f>
        <v>0</v>
      </c>
    </row>
    <row r="12" spans="1:57" s="8" customFormat="1">
      <c r="A12" s="13" t="s">
        <v>209</v>
      </c>
      <c r="B12" s="13"/>
      <c r="C12" s="13" t="s">
        <v>210</v>
      </c>
      <c r="D12" s="13"/>
      <c r="E12" s="13">
        <v>61903</v>
      </c>
      <c r="G12" s="8">
        <v>18353133</v>
      </c>
      <c r="I12" s="8">
        <v>3725702</v>
      </c>
      <c r="K12" s="8">
        <v>2781397</v>
      </c>
      <c r="M12" s="8">
        <f>223422+156848</f>
        <v>380270</v>
      </c>
      <c r="O12" s="8">
        <v>1574547</v>
      </c>
      <c r="Q12" s="8">
        <v>2841875</v>
      </c>
      <c r="S12" s="8">
        <v>47068</v>
      </c>
      <c r="U12" s="8">
        <v>2748684</v>
      </c>
      <c r="W12" s="8">
        <v>666998</v>
      </c>
      <c r="Y12" s="8">
        <v>519857</v>
      </c>
      <c r="AA12" s="8">
        <v>2950299</v>
      </c>
      <c r="AC12" s="8">
        <v>2204842</v>
      </c>
      <c r="AE12" s="8">
        <v>387429</v>
      </c>
      <c r="AG12" s="13" t="s">
        <v>209</v>
      </c>
      <c r="AH12" s="13"/>
      <c r="AI12" s="13" t="s">
        <v>210</v>
      </c>
      <c r="AJ12" s="13"/>
      <c r="AK12" s="8">
        <v>0</v>
      </c>
      <c r="AM12" s="8">
        <v>2412581</v>
      </c>
      <c r="AO12" s="8">
        <v>491845</v>
      </c>
      <c r="AQ12" s="8">
        <v>1966493</v>
      </c>
      <c r="AU12" s="8">
        <v>0</v>
      </c>
      <c r="AW12" s="8">
        <f>SUM(G12:AV12)</f>
        <v>44053020</v>
      </c>
      <c r="AY12" s="8">
        <f>+'St of Activites - GA Rev'!AI12-'St of Activities - GA Exp'!AW12</f>
        <v>749756</v>
      </c>
      <c r="BA12" s="8">
        <v>79556643</v>
      </c>
      <c r="BC12" s="8">
        <f>+AY12+BA12</f>
        <v>80306399</v>
      </c>
      <c r="BE12" s="8">
        <f>+'St of Net Assets - GA'!AA12-'St of Activities - GA Exp'!BC12</f>
        <v>0</v>
      </c>
    </row>
    <row r="13" spans="1:57">
      <c r="A13" s="12" t="s">
        <v>621</v>
      </c>
      <c r="B13" s="12"/>
      <c r="C13" s="12" t="s">
        <v>58</v>
      </c>
      <c r="D13" s="12"/>
      <c r="E13" s="32">
        <v>49494</v>
      </c>
      <c r="G13" s="8">
        <v>5361416</v>
      </c>
      <c r="H13" s="8"/>
      <c r="I13" s="8">
        <v>1168445</v>
      </c>
      <c r="J13" s="8"/>
      <c r="K13" s="8">
        <v>9526</v>
      </c>
      <c r="L13" s="8"/>
      <c r="M13" s="8">
        <v>529121</v>
      </c>
      <c r="N13" s="8"/>
      <c r="O13" s="8">
        <v>377862</v>
      </c>
      <c r="P13" s="8"/>
      <c r="Q13" s="8">
        <v>560658</v>
      </c>
      <c r="R13" s="8"/>
      <c r="S13" s="8">
        <v>46675</v>
      </c>
      <c r="T13" s="8"/>
      <c r="U13" s="8">
        <v>837476</v>
      </c>
      <c r="V13" s="8"/>
      <c r="W13" s="8">
        <v>297149</v>
      </c>
      <c r="X13" s="8"/>
      <c r="Y13" s="8">
        <v>0</v>
      </c>
      <c r="Z13" s="8"/>
      <c r="AA13" s="8">
        <v>911286</v>
      </c>
      <c r="AB13" s="8"/>
      <c r="AC13" s="8">
        <v>814104</v>
      </c>
      <c r="AD13" s="8"/>
      <c r="AE13" s="8">
        <v>120806</v>
      </c>
      <c r="AF13" s="8"/>
      <c r="AG13" s="12" t="s">
        <v>621</v>
      </c>
      <c r="AH13" s="12"/>
      <c r="AI13" s="12" t="s">
        <v>58</v>
      </c>
      <c r="AJ13" s="12"/>
      <c r="AK13" s="8">
        <v>0</v>
      </c>
      <c r="AL13" s="8"/>
      <c r="AM13" s="8">
        <v>427327</v>
      </c>
      <c r="AN13" s="8"/>
      <c r="AO13" s="8">
        <v>337608</v>
      </c>
      <c r="AP13" s="8"/>
      <c r="AQ13" s="8">
        <v>127948</v>
      </c>
      <c r="AR13" s="8"/>
      <c r="AS13" s="8"/>
      <c r="AT13" s="8"/>
      <c r="AU13" s="8">
        <v>0</v>
      </c>
      <c r="AV13" s="8"/>
      <c r="AW13" s="8">
        <f t="shared" ref="AW13:AW68" si="0">SUM(G13:AV13)</f>
        <v>11927407</v>
      </c>
      <c r="AY13" s="8">
        <f>+'St of Activites - GA Rev'!AI13-'St of Activities - GA Exp'!AW13</f>
        <v>683733</v>
      </c>
      <c r="BA13" s="8">
        <v>20720694</v>
      </c>
      <c r="BC13" s="8">
        <f t="shared" ref="BC13:BC68" si="1">+AY13+BA13</f>
        <v>21404427</v>
      </c>
      <c r="BE13" s="8">
        <f>+'St of Net Assets - GA'!AA13-'St of Activities - GA Exp'!BC13</f>
        <v>0</v>
      </c>
    </row>
    <row r="14" spans="1:57">
      <c r="A14" s="12" t="s">
        <v>667</v>
      </c>
      <c r="B14" s="12"/>
      <c r="C14" s="12" t="s">
        <v>63</v>
      </c>
      <c r="D14" s="12"/>
      <c r="E14" s="32">
        <v>43489</v>
      </c>
      <c r="G14" s="8">
        <v>150279380</v>
      </c>
      <c r="H14" s="8"/>
      <c r="I14" s="8">
        <v>34773187</v>
      </c>
      <c r="J14" s="8"/>
      <c r="K14" s="8">
        <v>12825454</v>
      </c>
      <c r="L14" s="8"/>
      <c r="M14" s="8">
        <f>1890317+8087214</f>
        <v>9977531</v>
      </c>
      <c r="N14" s="8"/>
      <c r="O14" s="8">
        <v>18034131</v>
      </c>
      <c r="P14" s="8"/>
      <c r="Q14" s="8">
        <v>23311887</v>
      </c>
      <c r="R14" s="8"/>
      <c r="S14" s="8">
        <v>133307</v>
      </c>
      <c r="T14" s="8"/>
      <c r="U14" s="8">
        <v>22175328</v>
      </c>
      <c r="V14" s="8"/>
      <c r="W14" s="8">
        <v>4361984</v>
      </c>
      <c r="X14" s="8"/>
      <c r="Y14" s="8">
        <v>2677572</v>
      </c>
      <c r="Z14" s="8"/>
      <c r="AA14" s="8">
        <v>40764835</v>
      </c>
      <c r="AB14" s="8"/>
      <c r="AC14" s="8">
        <v>11470163</v>
      </c>
      <c r="AD14" s="8"/>
      <c r="AE14" s="8">
        <v>7922575</v>
      </c>
      <c r="AF14" s="8"/>
      <c r="AG14" s="12" t="s">
        <v>667</v>
      </c>
      <c r="AH14" s="12"/>
      <c r="AI14" s="12" t="s">
        <v>63</v>
      </c>
      <c r="AJ14" s="12"/>
      <c r="AK14" s="8">
        <v>10153496</v>
      </c>
      <c r="AL14" s="8"/>
      <c r="AM14" s="8">
        <v>3576719</v>
      </c>
      <c r="AN14" s="8"/>
      <c r="AO14" s="8">
        <v>3653799</v>
      </c>
      <c r="AP14" s="8"/>
      <c r="AQ14" s="8">
        <v>0</v>
      </c>
      <c r="AR14" s="8"/>
      <c r="AS14" s="8"/>
      <c r="AT14" s="8"/>
      <c r="AU14" s="8">
        <v>0</v>
      </c>
      <c r="AV14" s="8"/>
      <c r="AW14" s="8">
        <f t="shared" si="0"/>
        <v>356091348</v>
      </c>
      <c r="AY14" s="8">
        <f>+'St of Activites - GA Rev'!AI14-'St of Activities - GA Exp'!AW14</f>
        <v>16906486</v>
      </c>
      <c r="BA14" s="8">
        <v>240444374</v>
      </c>
      <c r="BC14" s="8">
        <f t="shared" si="1"/>
        <v>257350860</v>
      </c>
      <c r="BE14" s="8">
        <f>+'St of Net Assets - GA'!AA14-'St of Activities - GA Exp'!BC14</f>
        <v>0</v>
      </c>
    </row>
    <row r="15" spans="1:57" ht="12" hidden="1" customHeight="1">
      <c r="A15" s="12" t="s">
        <v>225</v>
      </c>
      <c r="B15" s="12"/>
      <c r="C15" s="12" t="s">
        <v>13</v>
      </c>
      <c r="D15" s="12"/>
      <c r="E15" s="32">
        <v>45906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12" t="s">
        <v>225</v>
      </c>
      <c r="AH15" s="12"/>
      <c r="AI15" s="12" t="s">
        <v>13</v>
      </c>
      <c r="AJ15" s="12"/>
      <c r="AK15" s="8">
        <v>0</v>
      </c>
      <c r="AL15" s="8"/>
      <c r="AM15" s="8">
        <v>0</v>
      </c>
      <c r="AN15" s="8"/>
      <c r="AO15" s="8">
        <v>0</v>
      </c>
      <c r="AP15" s="8"/>
      <c r="AQ15" s="8">
        <v>0</v>
      </c>
      <c r="AR15" s="8"/>
      <c r="AS15" s="8"/>
      <c r="AT15" s="8"/>
      <c r="AU15" s="8">
        <v>0</v>
      </c>
      <c r="AV15" s="8"/>
      <c r="AW15" s="8">
        <f t="shared" si="0"/>
        <v>0</v>
      </c>
      <c r="AY15" s="8" t="e">
        <f>+'St of Activites - GA Rev'!#REF!-'St of Activities - GA Exp'!AW15</f>
        <v>#REF!</v>
      </c>
      <c r="BC15" s="8" t="e">
        <f t="shared" si="1"/>
        <v>#REF!</v>
      </c>
      <c r="BE15" s="8" t="e">
        <f>+'St of Net Assets - GA'!#REF!-'St of Activities - GA Exp'!BC15</f>
        <v>#REF!</v>
      </c>
    </row>
    <row r="16" spans="1:57">
      <c r="A16" s="12" t="s">
        <v>653</v>
      </c>
      <c r="B16" s="12"/>
      <c r="C16" s="12" t="s">
        <v>62</v>
      </c>
      <c r="D16" s="12"/>
      <c r="E16" s="32">
        <v>43497</v>
      </c>
      <c r="G16" s="8">
        <v>14108053</v>
      </c>
      <c r="H16" s="8"/>
      <c r="I16" s="8">
        <v>4526505</v>
      </c>
      <c r="J16" s="8"/>
      <c r="K16" s="8">
        <v>908872</v>
      </c>
      <c r="L16" s="8"/>
      <c r="M16" s="8">
        <f>788734+1274019</f>
        <v>2062753</v>
      </c>
      <c r="N16" s="8"/>
      <c r="O16" s="8">
        <v>1479036</v>
      </c>
      <c r="P16" s="8"/>
      <c r="Q16" s="8">
        <v>981391</v>
      </c>
      <c r="R16" s="8"/>
      <c r="S16" s="8">
        <v>21520</v>
      </c>
      <c r="T16" s="8"/>
      <c r="U16" s="8">
        <v>2443871</v>
      </c>
      <c r="V16" s="8"/>
      <c r="W16" s="8">
        <v>220620</v>
      </c>
      <c r="X16" s="8"/>
      <c r="Y16" s="8">
        <v>179932</v>
      </c>
      <c r="Z16" s="8"/>
      <c r="AA16" s="8">
        <v>3721034</v>
      </c>
      <c r="AB16" s="8"/>
      <c r="AC16" s="8">
        <v>588934</v>
      </c>
      <c r="AD16" s="8"/>
      <c r="AE16" s="8">
        <v>101239</v>
      </c>
      <c r="AF16" s="8"/>
      <c r="AG16" s="12" t="s">
        <v>653</v>
      </c>
      <c r="AH16" s="12"/>
      <c r="AI16" s="12" t="s">
        <v>62</v>
      </c>
      <c r="AJ16" s="12"/>
      <c r="AK16" s="8">
        <v>1487181</v>
      </c>
      <c r="AL16" s="8"/>
      <c r="AM16" s="8">
        <v>192706</v>
      </c>
      <c r="AN16" s="8"/>
      <c r="AO16" s="8">
        <v>536806</v>
      </c>
      <c r="AP16" s="8"/>
      <c r="AQ16" s="8">
        <v>518572</v>
      </c>
      <c r="AR16" s="8"/>
      <c r="AS16" s="8"/>
      <c r="AT16" s="8"/>
      <c r="AU16" s="8">
        <v>0</v>
      </c>
      <c r="AV16" s="8"/>
      <c r="AW16" s="8">
        <f t="shared" si="0"/>
        <v>34079025</v>
      </c>
      <c r="AY16" s="8">
        <f>+'St of Activites - GA Rev'!AI15-'St of Activities - GA Exp'!AW16</f>
        <v>660755</v>
      </c>
      <c r="BA16" s="8">
        <v>41275468</v>
      </c>
      <c r="BC16" s="8">
        <f t="shared" si="1"/>
        <v>41936223</v>
      </c>
      <c r="BE16" s="8">
        <f>+'St of Net Assets - GA'!AA15-'St of Activities - GA Exp'!BC16</f>
        <v>0</v>
      </c>
    </row>
    <row r="17" spans="1:57">
      <c r="A17" s="12" t="s">
        <v>347</v>
      </c>
      <c r="B17" s="12"/>
      <c r="C17" s="12" t="s">
        <v>25</v>
      </c>
      <c r="D17" s="12"/>
      <c r="E17" s="32">
        <v>46847</v>
      </c>
      <c r="G17" s="8">
        <v>8164983</v>
      </c>
      <c r="H17" s="8"/>
      <c r="I17" s="8">
        <v>2049279</v>
      </c>
      <c r="J17" s="8"/>
      <c r="K17" s="8">
        <v>479259</v>
      </c>
      <c r="L17" s="8"/>
      <c r="M17" s="8">
        <v>65870</v>
      </c>
      <c r="N17" s="8"/>
      <c r="O17" s="8">
        <v>535580</v>
      </c>
      <c r="P17" s="8"/>
      <c r="Q17" s="8">
        <v>428152</v>
      </c>
      <c r="R17" s="8"/>
      <c r="S17" s="8">
        <v>52356</v>
      </c>
      <c r="T17" s="8"/>
      <c r="U17" s="8">
        <v>1226233</v>
      </c>
      <c r="V17" s="8"/>
      <c r="W17" s="8">
        <v>333732</v>
      </c>
      <c r="X17" s="8"/>
      <c r="Y17" s="8">
        <v>38070</v>
      </c>
      <c r="Z17" s="8"/>
      <c r="AA17" s="8">
        <v>1528453</v>
      </c>
      <c r="AB17" s="8"/>
      <c r="AC17" s="8">
        <v>1086234</v>
      </c>
      <c r="AD17" s="8"/>
      <c r="AE17" s="8">
        <v>21004</v>
      </c>
      <c r="AF17" s="8"/>
      <c r="AG17" s="12" t="s">
        <v>347</v>
      </c>
      <c r="AH17" s="12"/>
      <c r="AI17" s="12" t="s">
        <v>25</v>
      </c>
      <c r="AJ17" s="12"/>
      <c r="AK17" s="8">
        <v>704012</v>
      </c>
      <c r="AL17" s="8"/>
      <c r="AM17" s="8">
        <v>0</v>
      </c>
      <c r="AN17" s="8"/>
      <c r="AO17" s="8">
        <v>441125</v>
      </c>
      <c r="AP17" s="8"/>
      <c r="AQ17" s="8">
        <v>153068</v>
      </c>
      <c r="AR17" s="8"/>
      <c r="AS17" s="8"/>
      <c r="AT17" s="8"/>
      <c r="AU17" s="8">
        <v>0</v>
      </c>
      <c r="AV17" s="8"/>
      <c r="AW17" s="8">
        <f t="shared" si="0"/>
        <v>17307410</v>
      </c>
      <c r="AY17" s="8">
        <f>+'St of Activites - GA Rev'!AI16-'St of Activities - GA Exp'!AW17</f>
        <v>-1878845</v>
      </c>
      <c r="BA17" s="8">
        <v>32531723</v>
      </c>
      <c r="BC17" s="8">
        <f t="shared" si="1"/>
        <v>30652878</v>
      </c>
      <c r="BE17" s="8">
        <f>+'St of Net Assets - GA'!AA16-'St of Activities - GA Exp'!BC17</f>
        <v>0</v>
      </c>
    </row>
    <row r="18" spans="1:57">
      <c r="A18" s="12" t="s">
        <v>646</v>
      </c>
      <c r="B18" s="12"/>
      <c r="C18" s="12" t="s">
        <v>61</v>
      </c>
      <c r="D18" s="12"/>
      <c r="E18" s="32">
        <v>49759</v>
      </c>
      <c r="G18" s="8">
        <v>4751908</v>
      </c>
      <c r="H18" s="8"/>
      <c r="I18" s="8">
        <v>835182</v>
      </c>
      <c r="J18" s="8"/>
      <c r="K18" s="8">
        <v>313876</v>
      </c>
      <c r="L18" s="8"/>
      <c r="M18" s="8">
        <v>496</v>
      </c>
      <c r="N18" s="8"/>
      <c r="O18" s="8">
        <v>450710</v>
      </c>
      <c r="P18" s="8"/>
      <c r="Q18" s="8">
        <v>302668</v>
      </c>
      <c r="R18" s="8"/>
      <c r="S18" s="8">
        <v>56781</v>
      </c>
      <c r="T18" s="8"/>
      <c r="U18" s="8">
        <v>776568</v>
      </c>
      <c r="V18" s="8"/>
      <c r="W18" s="8">
        <v>422251</v>
      </c>
      <c r="X18" s="8"/>
      <c r="Y18" s="8">
        <v>69639</v>
      </c>
      <c r="Z18" s="8"/>
      <c r="AA18" s="8">
        <v>973257</v>
      </c>
      <c r="AB18" s="8"/>
      <c r="AC18" s="8">
        <v>567458</v>
      </c>
      <c r="AD18" s="8"/>
      <c r="AE18" s="8">
        <v>4550</v>
      </c>
      <c r="AF18" s="8"/>
      <c r="AG18" s="12" t="s">
        <v>646</v>
      </c>
      <c r="AH18" s="12"/>
      <c r="AI18" s="12" t="s">
        <v>61</v>
      </c>
      <c r="AJ18" s="12"/>
      <c r="AK18" s="8">
        <v>0</v>
      </c>
      <c r="AL18" s="8"/>
      <c r="AM18" s="8">
        <v>446175</v>
      </c>
      <c r="AN18" s="8"/>
      <c r="AO18" s="8">
        <v>567980</v>
      </c>
      <c r="AP18" s="8"/>
      <c r="AQ18" s="8">
        <v>504342</v>
      </c>
      <c r="AR18" s="8"/>
      <c r="AS18" s="8"/>
      <c r="AT18" s="8"/>
      <c r="AU18" s="8">
        <v>6935</v>
      </c>
      <c r="AV18" s="8"/>
      <c r="AW18" s="8">
        <f t="shared" si="0"/>
        <v>11050776</v>
      </c>
      <c r="AY18" s="8">
        <f>+'St of Activites - GA Rev'!AI17-'St of Activities - GA Exp'!AW18</f>
        <v>952709</v>
      </c>
      <c r="BA18" s="8">
        <v>11196026</v>
      </c>
      <c r="BC18" s="8">
        <f t="shared" si="1"/>
        <v>12148735</v>
      </c>
      <c r="BE18" s="8">
        <f>+'St of Net Assets - GA'!AA17-'St of Activities - GA Exp'!BC18</f>
        <v>0</v>
      </c>
    </row>
    <row r="19" spans="1:57">
      <c r="A19" s="12" t="s">
        <v>502</v>
      </c>
      <c r="B19" s="12"/>
      <c r="C19" s="12" t="s">
        <v>118</v>
      </c>
      <c r="D19" s="12"/>
      <c r="E19" s="32">
        <v>48207</v>
      </c>
      <c r="G19" s="8">
        <v>17868871</v>
      </c>
      <c r="H19" s="8"/>
      <c r="I19" s="8">
        <v>2311209</v>
      </c>
      <c r="J19" s="8"/>
      <c r="K19" s="8">
        <v>93369</v>
      </c>
      <c r="L19" s="8"/>
      <c r="M19" s="8">
        <v>188</v>
      </c>
      <c r="N19" s="8"/>
      <c r="O19" s="8">
        <v>1664987</v>
      </c>
      <c r="P19" s="8"/>
      <c r="Q19" s="8">
        <v>933937</v>
      </c>
      <c r="R19" s="8"/>
      <c r="S19" s="8">
        <v>866417</v>
      </c>
      <c r="T19" s="8"/>
      <c r="U19" s="8">
        <v>2839378</v>
      </c>
      <c r="V19" s="8"/>
      <c r="W19" s="8">
        <v>828181</v>
      </c>
      <c r="X19" s="8"/>
      <c r="Y19" s="8">
        <v>132681</v>
      </c>
      <c r="Z19" s="8"/>
      <c r="AA19" s="8">
        <v>3776522</v>
      </c>
      <c r="AB19" s="8"/>
      <c r="AC19" s="8">
        <v>2357968</v>
      </c>
      <c r="AD19" s="8"/>
      <c r="AE19" s="8">
        <v>27755</v>
      </c>
      <c r="AF19" s="8"/>
      <c r="AG19" s="12" t="s">
        <v>502</v>
      </c>
      <c r="AH19" s="12"/>
      <c r="AI19" s="12" t="s">
        <v>118</v>
      </c>
      <c r="AJ19" s="12"/>
      <c r="AK19" s="8">
        <v>1137453</v>
      </c>
      <c r="AL19" s="8"/>
      <c r="AM19" s="8">
        <v>3854</v>
      </c>
      <c r="AN19" s="8"/>
      <c r="AO19" s="8">
        <v>988096</v>
      </c>
      <c r="AP19" s="8"/>
      <c r="AQ19" s="8">
        <v>1538062</v>
      </c>
      <c r="AR19" s="8"/>
      <c r="AS19" s="8"/>
      <c r="AT19" s="8"/>
      <c r="AU19" s="8">
        <v>113698</v>
      </c>
      <c r="AV19" s="8"/>
      <c r="AW19" s="8">
        <f t="shared" si="0"/>
        <v>37482626</v>
      </c>
      <c r="AY19" s="8">
        <f>+'St of Activites - GA Rev'!AI18-'St of Activities - GA Exp'!AW19</f>
        <v>5518765</v>
      </c>
      <c r="BA19" s="8">
        <v>-4599140</v>
      </c>
      <c r="BC19" s="8">
        <f t="shared" si="1"/>
        <v>919625</v>
      </c>
      <c r="BE19" s="8">
        <f>+'St of Net Assets - GA'!AA18-'St of Activities - GA Exp'!BC19</f>
        <v>0</v>
      </c>
    </row>
    <row r="20" spans="1:57">
      <c r="A20" s="12" t="s">
        <v>418</v>
      </c>
      <c r="B20" s="12"/>
      <c r="C20" s="12" t="s">
        <v>33</v>
      </c>
      <c r="D20" s="12"/>
      <c r="E20" s="32">
        <v>47415</v>
      </c>
      <c r="G20" s="8">
        <v>2561600</v>
      </c>
      <c r="H20" s="8"/>
      <c r="I20" s="8">
        <v>532856</v>
      </c>
      <c r="J20" s="8"/>
      <c r="K20" s="8">
        <v>260255</v>
      </c>
      <c r="L20" s="8"/>
      <c r="M20" s="8">
        <v>0</v>
      </c>
      <c r="N20" s="8"/>
      <c r="O20" s="8">
        <v>330814</v>
      </c>
      <c r="P20" s="8"/>
      <c r="Q20" s="8">
        <v>222788</v>
      </c>
      <c r="R20" s="8"/>
      <c r="S20" s="8">
        <v>23908</v>
      </c>
      <c r="T20" s="8"/>
      <c r="U20" s="8">
        <v>569719</v>
      </c>
      <c r="V20" s="8"/>
      <c r="W20" s="8">
        <v>207980</v>
      </c>
      <c r="X20" s="8"/>
      <c r="Y20" s="8">
        <v>0</v>
      </c>
      <c r="Z20" s="8"/>
      <c r="AA20" s="8">
        <v>565979</v>
      </c>
      <c r="AB20" s="8"/>
      <c r="AC20" s="8">
        <v>314444</v>
      </c>
      <c r="AD20" s="8"/>
      <c r="AE20" s="8">
        <v>1689</v>
      </c>
      <c r="AF20" s="8"/>
      <c r="AG20" s="12" t="s">
        <v>418</v>
      </c>
      <c r="AH20" s="12"/>
      <c r="AI20" s="12" t="s">
        <v>33</v>
      </c>
      <c r="AJ20" s="12"/>
      <c r="AK20" s="8">
        <v>0</v>
      </c>
      <c r="AL20" s="8"/>
      <c r="AM20" s="8">
        <v>252650</v>
      </c>
      <c r="AN20" s="8"/>
      <c r="AO20" s="8">
        <v>267013</v>
      </c>
      <c r="AP20" s="8"/>
      <c r="AQ20" s="8">
        <v>117</v>
      </c>
      <c r="AR20" s="8"/>
      <c r="AS20" s="8"/>
      <c r="AT20" s="8"/>
      <c r="AU20" s="8">
        <v>0</v>
      </c>
      <c r="AV20" s="8"/>
      <c r="AW20" s="8">
        <f t="shared" si="0"/>
        <v>6111812</v>
      </c>
      <c r="AY20" s="8">
        <f>+'St of Activites - GA Rev'!AI19-'St of Activities - GA Exp'!AW20</f>
        <v>520887</v>
      </c>
      <c r="BA20" s="8">
        <v>3411546</v>
      </c>
      <c r="BC20" s="8">
        <f t="shared" si="1"/>
        <v>3932433</v>
      </c>
      <c r="BE20" s="8">
        <f>+'St of Net Assets - GA'!AA19-'St of Activities - GA Exp'!BC20</f>
        <v>0</v>
      </c>
    </row>
    <row r="21" spans="1:57">
      <c r="A21" s="12" t="s">
        <v>372</v>
      </c>
      <c r="B21" s="12"/>
      <c r="C21" s="12" t="s">
        <v>28</v>
      </c>
      <c r="D21" s="12"/>
      <c r="E21" s="32">
        <v>47043</v>
      </c>
      <c r="G21" s="8">
        <v>6301809</v>
      </c>
      <c r="H21" s="8"/>
      <c r="I21" s="8">
        <v>1058944</v>
      </c>
      <c r="J21" s="8"/>
      <c r="K21" s="8">
        <v>192901</v>
      </c>
      <c r="L21" s="8"/>
      <c r="M21" s="8">
        <v>59543</v>
      </c>
      <c r="N21" s="8"/>
      <c r="O21" s="8">
        <v>824889</v>
      </c>
      <c r="P21" s="8"/>
      <c r="Q21" s="8">
        <v>480282</v>
      </c>
      <c r="R21" s="8"/>
      <c r="S21" s="8">
        <v>43474</v>
      </c>
      <c r="T21" s="8"/>
      <c r="U21" s="8">
        <v>738180</v>
      </c>
      <c r="V21" s="8"/>
      <c r="W21" s="8">
        <v>407971</v>
      </c>
      <c r="X21" s="8"/>
      <c r="Y21" s="8">
        <v>0</v>
      </c>
      <c r="Z21" s="8"/>
      <c r="AA21" s="8">
        <v>1284088</v>
      </c>
      <c r="AB21" s="8"/>
      <c r="AC21" s="8">
        <v>606904</v>
      </c>
      <c r="AD21" s="8"/>
      <c r="AE21" s="8">
        <v>0</v>
      </c>
      <c r="AF21" s="8"/>
      <c r="AG21" s="12" t="s">
        <v>372</v>
      </c>
      <c r="AH21" s="12"/>
      <c r="AI21" s="12" t="s">
        <v>28</v>
      </c>
      <c r="AJ21" s="12"/>
      <c r="AK21" s="8">
        <v>0</v>
      </c>
      <c r="AL21" s="8"/>
      <c r="AM21" s="8">
        <v>425030</v>
      </c>
      <c r="AN21" s="8"/>
      <c r="AO21" s="8">
        <v>763053</v>
      </c>
      <c r="AP21" s="8"/>
      <c r="AQ21" s="8">
        <v>707530</v>
      </c>
      <c r="AR21" s="8"/>
      <c r="AS21" s="8"/>
      <c r="AT21" s="8"/>
      <c r="AU21" s="8">
        <v>67648</v>
      </c>
      <c r="AV21" s="8"/>
      <c r="AW21" s="8">
        <f t="shared" si="0"/>
        <v>13962246</v>
      </c>
      <c r="AY21" s="8">
        <f>+'St of Activites - GA Rev'!AI20-'St of Activities - GA Exp'!AW21</f>
        <v>1429028</v>
      </c>
      <c r="BA21" s="8">
        <v>10199164</v>
      </c>
      <c r="BC21" s="8">
        <f t="shared" si="1"/>
        <v>11628192</v>
      </c>
      <c r="BE21" s="8">
        <f>+'St of Net Assets - GA'!AA20-'St of Activities - GA Exp'!BC21</f>
        <v>0</v>
      </c>
    </row>
    <row r="22" spans="1:57">
      <c r="A22" s="12" t="s">
        <v>419</v>
      </c>
      <c r="B22" s="12"/>
      <c r="C22" s="12" t="s">
        <v>33</v>
      </c>
      <c r="D22" s="12"/>
      <c r="E22" s="32">
        <v>47423</v>
      </c>
      <c r="G22" s="8">
        <v>2871715</v>
      </c>
      <c r="H22" s="8"/>
      <c r="I22" s="8">
        <v>622235</v>
      </c>
      <c r="J22" s="8"/>
      <c r="K22" s="8">
        <v>259130</v>
      </c>
      <c r="L22" s="8"/>
      <c r="M22" s="8">
        <v>0</v>
      </c>
      <c r="N22" s="8"/>
      <c r="O22" s="8">
        <v>296155</v>
      </c>
      <c r="P22" s="8"/>
      <c r="Q22" s="8">
        <v>353517</v>
      </c>
      <c r="R22" s="8"/>
      <c r="S22" s="8">
        <v>36007</v>
      </c>
      <c r="T22" s="8"/>
      <c r="U22" s="8">
        <v>467620</v>
      </c>
      <c r="V22" s="8"/>
      <c r="W22" s="8">
        <v>204266</v>
      </c>
      <c r="X22" s="8"/>
      <c r="Y22" s="8">
        <v>0</v>
      </c>
      <c r="Z22" s="8"/>
      <c r="AA22" s="8">
        <v>493127</v>
      </c>
      <c r="AB22" s="8"/>
      <c r="AC22" s="8">
        <v>219986</v>
      </c>
      <c r="AD22" s="8"/>
      <c r="AE22" s="8">
        <v>1703</v>
      </c>
      <c r="AF22" s="8"/>
      <c r="AG22" s="12" t="s">
        <v>419</v>
      </c>
      <c r="AH22" s="12"/>
      <c r="AI22" s="12" t="s">
        <v>33</v>
      </c>
      <c r="AJ22" s="12"/>
      <c r="AK22" s="8">
        <v>0</v>
      </c>
      <c r="AL22" s="8"/>
      <c r="AM22" s="8">
        <v>251613</v>
      </c>
      <c r="AN22" s="8"/>
      <c r="AO22" s="8">
        <v>281622</v>
      </c>
      <c r="AP22" s="8"/>
      <c r="AQ22" s="8">
        <v>36272</v>
      </c>
      <c r="AR22" s="8"/>
      <c r="AS22" s="8"/>
      <c r="AT22" s="8"/>
      <c r="AU22" s="8">
        <v>0</v>
      </c>
      <c r="AV22" s="8"/>
      <c r="AW22" s="8">
        <f t="shared" si="0"/>
        <v>6394968</v>
      </c>
      <c r="AY22" s="8">
        <f>+'St of Activites - GA Rev'!AI21-'St of Activities - GA Exp'!AW22</f>
        <v>99831</v>
      </c>
      <c r="BA22" s="8">
        <v>6440824</v>
      </c>
      <c r="BC22" s="8">
        <f t="shared" si="1"/>
        <v>6540655</v>
      </c>
      <c r="BE22" s="8">
        <f>+'St of Net Assets - GA'!AA21-'St of Activities - GA Exp'!BC22</f>
        <v>0</v>
      </c>
    </row>
    <row r="23" spans="1:57">
      <c r="A23" s="12" t="s">
        <v>215</v>
      </c>
      <c r="B23" s="12"/>
      <c r="C23" s="12" t="s">
        <v>11</v>
      </c>
      <c r="D23" s="12"/>
      <c r="E23" s="32">
        <v>43505</v>
      </c>
      <c r="F23" s="8"/>
      <c r="G23" s="8">
        <v>13745391</v>
      </c>
      <c r="H23" s="8"/>
      <c r="I23" s="8">
        <v>3874539</v>
      </c>
      <c r="J23" s="8"/>
      <c r="K23" s="8">
        <v>898215</v>
      </c>
      <c r="L23" s="8"/>
      <c r="M23" s="8">
        <v>1711672</v>
      </c>
      <c r="N23" s="8"/>
      <c r="O23" s="8">
        <v>1617993</v>
      </c>
      <c r="P23" s="8"/>
      <c r="Q23" s="8">
        <v>1887635</v>
      </c>
      <c r="R23" s="8"/>
      <c r="S23" s="8">
        <v>221949</v>
      </c>
      <c r="T23" s="8"/>
      <c r="U23" s="8">
        <v>2589621</v>
      </c>
      <c r="V23" s="8"/>
      <c r="W23" s="8">
        <v>817183</v>
      </c>
      <c r="X23" s="8"/>
      <c r="Y23" s="8">
        <v>430001</v>
      </c>
      <c r="Z23" s="8"/>
      <c r="AA23" s="8">
        <v>2718336</v>
      </c>
      <c r="AB23" s="8"/>
      <c r="AC23" s="8">
        <v>1156884</v>
      </c>
      <c r="AD23" s="8"/>
      <c r="AE23" s="8">
        <v>282700</v>
      </c>
      <c r="AF23" s="8"/>
      <c r="AG23" s="12" t="s">
        <v>215</v>
      </c>
      <c r="AH23" s="12"/>
      <c r="AI23" s="12" t="s">
        <v>11</v>
      </c>
      <c r="AJ23" s="12"/>
      <c r="AK23" s="8">
        <v>1344597</v>
      </c>
      <c r="AL23" s="8"/>
      <c r="AM23" s="8">
        <v>210499</v>
      </c>
      <c r="AN23" s="8"/>
      <c r="AO23" s="8">
        <v>919549</v>
      </c>
      <c r="AP23" s="8"/>
      <c r="AQ23" s="8">
        <v>76263</v>
      </c>
      <c r="AR23" s="8"/>
      <c r="AS23" s="8"/>
      <c r="AT23" s="8"/>
      <c r="AU23" s="8">
        <v>0</v>
      </c>
      <c r="AV23" s="8"/>
      <c r="AW23" s="8">
        <f t="shared" si="0"/>
        <v>34503027</v>
      </c>
      <c r="AY23" s="8">
        <f>+'St of Activites - GA Rev'!AI22-'St of Activities - GA Exp'!AW23</f>
        <v>-2515995</v>
      </c>
      <c r="BA23" s="8">
        <v>19286069</v>
      </c>
      <c r="BC23" s="8">
        <f t="shared" si="1"/>
        <v>16770074</v>
      </c>
      <c r="BE23" s="8">
        <f>+'St of Net Assets - GA'!AA22-'St of Activities - GA Exp'!BC23</f>
        <v>0</v>
      </c>
    </row>
    <row r="24" spans="1:57">
      <c r="A24" s="12" t="s">
        <v>226</v>
      </c>
      <c r="B24" s="12"/>
      <c r="C24" s="12" t="s">
        <v>13</v>
      </c>
      <c r="D24" s="12"/>
      <c r="E24" s="32">
        <v>43521</v>
      </c>
      <c r="G24" s="8">
        <v>14556202</v>
      </c>
      <c r="H24" s="8"/>
      <c r="I24" s="8">
        <v>3213505</v>
      </c>
      <c r="J24" s="8"/>
      <c r="K24" s="8">
        <v>288768</v>
      </c>
      <c r="L24" s="8"/>
      <c r="M24" s="8">
        <v>295447</v>
      </c>
      <c r="N24" s="8"/>
      <c r="O24" s="8">
        <v>1082654</v>
      </c>
      <c r="P24" s="8"/>
      <c r="Q24" s="8">
        <v>1740503</v>
      </c>
      <c r="R24" s="8"/>
      <c r="S24" s="8">
        <v>114778</v>
      </c>
      <c r="T24" s="8"/>
      <c r="U24" s="8">
        <v>1979867</v>
      </c>
      <c r="V24" s="8"/>
      <c r="W24" s="8">
        <v>660688</v>
      </c>
      <c r="X24" s="8"/>
      <c r="Y24" s="8">
        <v>603349</v>
      </c>
      <c r="Z24" s="8"/>
      <c r="AA24" s="8">
        <v>3495517</v>
      </c>
      <c r="AB24" s="8"/>
      <c r="AC24" s="8">
        <v>1651915</v>
      </c>
      <c r="AD24" s="8"/>
      <c r="AE24" s="8">
        <v>167342</v>
      </c>
      <c r="AF24" s="8"/>
      <c r="AG24" s="12" t="s">
        <v>226</v>
      </c>
      <c r="AH24" s="12"/>
      <c r="AI24" s="12" t="s">
        <v>13</v>
      </c>
      <c r="AJ24" s="12"/>
      <c r="AK24" s="8">
        <v>842213</v>
      </c>
      <c r="AL24" s="8"/>
      <c r="AM24" s="8">
        <v>22370</v>
      </c>
      <c r="AN24" s="8"/>
      <c r="AO24" s="8">
        <v>460856</v>
      </c>
      <c r="AP24" s="8"/>
      <c r="AQ24" s="8">
        <v>625504</v>
      </c>
      <c r="AR24" s="8"/>
      <c r="AS24" s="8"/>
      <c r="AT24" s="8"/>
      <c r="AU24" s="8">
        <v>0</v>
      </c>
      <c r="AV24" s="8"/>
      <c r="AW24" s="8">
        <f t="shared" si="0"/>
        <v>31801478</v>
      </c>
      <c r="AY24" s="8">
        <f>+'St of Activites - GA Rev'!AI23-'St of Activities - GA Exp'!AW24</f>
        <v>2692542</v>
      </c>
      <c r="BA24" s="8">
        <v>17587686</v>
      </c>
      <c r="BC24" s="8">
        <f t="shared" si="1"/>
        <v>20280228</v>
      </c>
      <c r="BE24" s="8">
        <f>+'St of Net Assets - GA'!AA23-'St of Activities - GA Exp'!BC24</f>
        <v>0</v>
      </c>
    </row>
    <row r="25" spans="1:57">
      <c r="A25" s="12" t="s">
        <v>595</v>
      </c>
      <c r="B25" s="12"/>
      <c r="C25" s="12" t="s">
        <v>56</v>
      </c>
      <c r="D25" s="12"/>
      <c r="E25" s="32">
        <v>49171</v>
      </c>
      <c r="G25" s="8">
        <v>12642912</v>
      </c>
      <c r="H25" s="8"/>
      <c r="I25" s="8">
        <v>1868104</v>
      </c>
      <c r="J25" s="8"/>
      <c r="K25" s="8">
        <v>197662</v>
      </c>
      <c r="L25" s="8"/>
      <c r="M25" s="8">
        <v>666880</v>
      </c>
      <c r="N25" s="8"/>
      <c r="O25" s="8">
        <v>1628293</v>
      </c>
      <c r="P25" s="8"/>
      <c r="Q25" s="8">
        <v>1924561</v>
      </c>
      <c r="R25" s="8"/>
      <c r="S25" s="8">
        <v>142829</v>
      </c>
      <c r="T25" s="8"/>
      <c r="U25" s="8">
        <v>2618516</v>
      </c>
      <c r="V25" s="8"/>
      <c r="W25" s="8">
        <v>801450</v>
      </c>
      <c r="X25" s="8"/>
      <c r="Y25" s="8">
        <v>220111</v>
      </c>
      <c r="Z25" s="8"/>
      <c r="AA25" s="8">
        <v>2668254</v>
      </c>
      <c r="AB25" s="8"/>
      <c r="AC25" s="8">
        <v>1539271</v>
      </c>
      <c r="AD25" s="8"/>
      <c r="AE25" s="8">
        <v>101479</v>
      </c>
      <c r="AF25" s="8"/>
      <c r="AG25" s="12" t="s">
        <v>595</v>
      </c>
      <c r="AH25" s="12"/>
      <c r="AI25" s="12" t="s">
        <v>56</v>
      </c>
      <c r="AJ25" s="12"/>
      <c r="AK25" s="8">
        <v>901790</v>
      </c>
      <c r="AL25" s="8"/>
      <c r="AM25" s="8">
        <v>0</v>
      </c>
      <c r="AN25" s="8"/>
      <c r="AO25" s="8">
        <v>842814</v>
      </c>
      <c r="AP25" s="8"/>
      <c r="AQ25" s="8">
        <v>864886</v>
      </c>
      <c r="AR25" s="8"/>
      <c r="AS25" s="8"/>
      <c r="AT25" s="8"/>
      <c r="AU25" s="8">
        <v>0</v>
      </c>
      <c r="AV25" s="8"/>
      <c r="AW25" s="8">
        <f t="shared" si="0"/>
        <v>29629812</v>
      </c>
      <c r="AY25" s="8">
        <f>+'St of Activites - GA Rev'!AI24-'St of Activities - GA Exp'!AW25</f>
        <v>261252</v>
      </c>
      <c r="BA25" s="8">
        <v>2723230</v>
      </c>
      <c r="BC25" s="8">
        <f t="shared" si="1"/>
        <v>2984482</v>
      </c>
      <c r="BE25" s="8">
        <f>+'St of Net Assets - GA'!AA24-'St of Activities - GA Exp'!BC25</f>
        <v>0</v>
      </c>
    </row>
    <row r="26" spans="1:57">
      <c r="A26" s="12" t="s">
        <v>514</v>
      </c>
      <c r="B26" s="12"/>
      <c r="C26" s="12" t="s">
        <v>45</v>
      </c>
      <c r="D26" s="12"/>
      <c r="E26" s="32">
        <v>48298</v>
      </c>
      <c r="G26" s="8">
        <v>19882816</v>
      </c>
      <c r="H26" s="8"/>
      <c r="I26" s="8">
        <v>5098781</v>
      </c>
      <c r="J26" s="8"/>
      <c r="K26" s="8">
        <v>276817</v>
      </c>
      <c r="L26" s="8"/>
      <c r="M26" s="8">
        <v>1504870</v>
      </c>
      <c r="N26" s="8"/>
      <c r="O26" s="8">
        <v>2689774</v>
      </c>
      <c r="P26" s="8"/>
      <c r="Q26" s="8">
        <v>1729794</v>
      </c>
      <c r="R26" s="8"/>
      <c r="S26" s="8">
        <v>58681</v>
      </c>
      <c r="T26" s="8"/>
      <c r="U26" s="8">
        <v>3822071</v>
      </c>
      <c r="V26" s="8"/>
      <c r="W26" s="8">
        <v>876977</v>
      </c>
      <c r="X26" s="8"/>
      <c r="Y26" s="8">
        <v>56189</v>
      </c>
      <c r="Z26" s="8"/>
      <c r="AA26" s="8">
        <v>4201380</v>
      </c>
      <c r="AB26" s="8"/>
      <c r="AC26" s="8">
        <v>2681786</v>
      </c>
      <c r="AD26" s="8"/>
      <c r="AE26" s="8">
        <v>47782</v>
      </c>
      <c r="AF26" s="8"/>
      <c r="AG26" s="12" t="s">
        <v>514</v>
      </c>
      <c r="AH26" s="12"/>
      <c r="AI26" s="12" t="s">
        <v>45</v>
      </c>
      <c r="AJ26" s="12"/>
      <c r="AK26" s="8">
        <v>1848182</v>
      </c>
      <c r="AL26" s="8"/>
      <c r="AM26" s="8">
        <v>67682</v>
      </c>
      <c r="AN26" s="8"/>
      <c r="AO26" s="8">
        <v>1041810</v>
      </c>
      <c r="AP26" s="8"/>
      <c r="AQ26" s="8">
        <v>1234668</v>
      </c>
      <c r="AR26" s="8"/>
      <c r="AS26" s="8"/>
      <c r="AT26" s="8"/>
      <c r="AU26" s="8">
        <v>332569</v>
      </c>
      <c r="AV26" s="8"/>
      <c r="AW26" s="8">
        <f t="shared" si="0"/>
        <v>47452629</v>
      </c>
      <c r="AY26" s="8">
        <f>+'St of Activites - GA Rev'!AI25-'St of Activities - GA Exp'!AW26</f>
        <v>-177209</v>
      </c>
      <c r="BA26" s="8">
        <v>13218390</v>
      </c>
      <c r="BC26" s="8">
        <f t="shared" si="1"/>
        <v>13041181</v>
      </c>
      <c r="BE26" s="8">
        <f>+'St of Net Assets - GA'!AA25-'St of Activities - GA Exp'!BC26</f>
        <v>0</v>
      </c>
    </row>
    <row r="27" spans="1:57">
      <c r="A27" s="12" t="s">
        <v>489</v>
      </c>
      <c r="B27" s="12"/>
      <c r="C27" s="12" t="s">
        <v>44</v>
      </c>
      <c r="D27" s="12"/>
      <c r="E27" s="32">
        <v>48124</v>
      </c>
      <c r="G27" s="8">
        <v>17922399</v>
      </c>
      <c r="H27" s="8"/>
      <c r="I27" s="8">
        <v>2436905</v>
      </c>
      <c r="J27" s="8"/>
      <c r="K27" s="8">
        <v>224077</v>
      </c>
      <c r="L27" s="8"/>
      <c r="M27" s="8">
        <f>12723+873473</f>
        <v>886196</v>
      </c>
      <c r="N27" s="8"/>
      <c r="O27" s="8">
        <v>2823282</v>
      </c>
      <c r="P27" s="8"/>
      <c r="Q27" s="8">
        <v>761803</v>
      </c>
      <c r="R27" s="8"/>
      <c r="S27" s="8">
        <v>22687</v>
      </c>
      <c r="T27" s="8"/>
      <c r="U27" s="8">
        <v>2961136</v>
      </c>
      <c r="V27" s="8"/>
      <c r="W27" s="8">
        <v>1004099</v>
      </c>
      <c r="X27" s="8"/>
      <c r="Y27" s="8">
        <v>152539</v>
      </c>
      <c r="Z27" s="8"/>
      <c r="AA27" s="8">
        <v>4891117</v>
      </c>
      <c r="AB27" s="8"/>
      <c r="AC27" s="8">
        <v>1507204</v>
      </c>
      <c r="AD27" s="8"/>
      <c r="AE27" s="8">
        <v>280156</v>
      </c>
      <c r="AF27" s="8"/>
      <c r="AG27" s="12" t="s">
        <v>489</v>
      </c>
      <c r="AH27" s="12"/>
      <c r="AI27" s="12" t="s">
        <v>44</v>
      </c>
      <c r="AJ27" s="12"/>
      <c r="AK27" s="8">
        <v>1088114</v>
      </c>
      <c r="AL27" s="8"/>
      <c r="AM27" s="8">
        <v>340766</v>
      </c>
      <c r="AN27" s="8"/>
      <c r="AO27" s="8">
        <v>1186993</v>
      </c>
      <c r="AP27" s="8"/>
      <c r="AQ27" s="8">
        <v>2219378</v>
      </c>
      <c r="AR27" s="8"/>
      <c r="AS27" s="8"/>
      <c r="AT27" s="8"/>
      <c r="AU27" s="8">
        <v>0</v>
      </c>
      <c r="AV27" s="8"/>
      <c r="AW27" s="8">
        <f t="shared" si="0"/>
        <v>40708851</v>
      </c>
      <c r="AY27" s="8">
        <f>+'St of Activites - GA Rev'!AI26-'St of Activities - GA Exp'!AW27</f>
        <v>2580152</v>
      </c>
      <c r="BA27" s="8">
        <v>23550264</v>
      </c>
      <c r="BC27" s="8">
        <f t="shared" si="1"/>
        <v>26130416</v>
      </c>
      <c r="BE27" s="8">
        <f>+'St of Net Assets - GA'!AA26-'St of Activities - GA Exp'!BC27</f>
        <v>0</v>
      </c>
    </row>
    <row r="28" spans="1:57">
      <c r="A28" s="12" t="s">
        <v>490</v>
      </c>
      <c r="B28" s="12"/>
      <c r="C28" s="12" t="s">
        <v>44</v>
      </c>
      <c r="D28" s="12"/>
      <c r="E28" s="32">
        <v>48116</v>
      </c>
      <c r="G28" s="8">
        <v>13132552</v>
      </c>
      <c r="H28" s="8"/>
      <c r="I28" s="8">
        <v>2248676</v>
      </c>
      <c r="J28" s="8"/>
      <c r="K28" s="8">
        <v>134013</v>
      </c>
      <c r="L28" s="8"/>
      <c r="M28" s="8">
        <v>1122266</v>
      </c>
      <c r="N28" s="8"/>
      <c r="O28" s="8">
        <v>1102733</v>
      </c>
      <c r="P28" s="8"/>
      <c r="Q28" s="8">
        <v>1303224</v>
      </c>
      <c r="R28" s="8"/>
      <c r="S28" s="8">
        <v>295319</v>
      </c>
      <c r="T28" s="8"/>
      <c r="U28" s="8">
        <v>2113697</v>
      </c>
      <c r="V28" s="8"/>
      <c r="W28" s="8">
        <v>741471</v>
      </c>
      <c r="X28" s="8"/>
      <c r="Y28" s="8">
        <v>34851</v>
      </c>
      <c r="Z28" s="8"/>
      <c r="AA28" s="8">
        <v>2715233</v>
      </c>
      <c r="AB28" s="8"/>
      <c r="AC28" s="8">
        <v>2406813</v>
      </c>
      <c r="AD28" s="8"/>
      <c r="AE28" s="8">
        <v>246719</v>
      </c>
      <c r="AF28" s="8"/>
      <c r="AG28" s="12" t="s">
        <v>490</v>
      </c>
      <c r="AH28" s="12"/>
      <c r="AI28" s="12" t="s">
        <v>44</v>
      </c>
      <c r="AJ28" s="12"/>
      <c r="AK28" s="8">
        <v>766544</v>
      </c>
      <c r="AL28" s="8"/>
      <c r="AM28" s="8">
        <f>136110+486632</f>
        <v>622742</v>
      </c>
      <c r="AN28" s="8"/>
      <c r="AO28" s="8">
        <f>73702+839849+28523</f>
        <v>942074</v>
      </c>
      <c r="AP28" s="8"/>
      <c r="AQ28" s="8">
        <v>2160758</v>
      </c>
      <c r="AR28" s="8"/>
      <c r="AS28" s="8"/>
      <c r="AT28" s="8"/>
      <c r="AU28" s="8">
        <v>0</v>
      </c>
      <c r="AV28" s="8"/>
      <c r="AW28" s="8">
        <f t="shared" si="0"/>
        <v>32089685</v>
      </c>
      <c r="AY28" s="8">
        <f>+'St of Activites - GA Rev'!AI27-'St of Activities - GA Exp'!AW28</f>
        <v>75318</v>
      </c>
      <c r="BA28" s="8">
        <v>17479458</v>
      </c>
      <c r="BC28" s="8">
        <f t="shared" si="1"/>
        <v>17554776</v>
      </c>
      <c r="BE28" s="8">
        <f>+'St of Net Assets - GA'!AA27-'St of Activities - GA Exp'!BC28</f>
        <v>0</v>
      </c>
    </row>
    <row r="29" spans="1:57">
      <c r="A29" s="12" t="s">
        <v>334</v>
      </c>
      <c r="B29" s="12"/>
      <c r="C29" s="12" t="s">
        <v>22</v>
      </c>
      <c r="D29" s="12"/>
      <c r="E29" s="32">
        <v>46706</v>
      </c>
      <c r="G29" s="8">
        <v>3701070</v>
      </c>
      <c r="H29" s="8"/>
      <c r="I29" s="8">
        <v>615703</v>
      </c>
      <c r="J29" s="8"/>
      <c r="K29" s="8">
        <v>72056</v>
      </c>
      <c r="L29" s="8"/>
      <c r="M29" s="8">
        <v>347362</v>
      </c>
      <c r="N29" s="8"/>
      <c r="O29" s="8">
        <v>236529</v>
      </c>
      <c r="P29" s="8"/>
      <c r="Q29" s="8">
        <v>416967</v>
      </c>
      <c r="R29" s="8"/>
      <c r="S29" s="8">
        <v>30322</v>
      </c>
      <c r="T29" s="8"/>
      <c r="U29" s="8">
        <v>642130</v>
      </c>
      <c r="V29" s="8"/>
      <c r="W29" s="8">
        <v>282286</v>
      </c>
      <c r="X29" s="8"/>
      <c r="Y29" s="8">
        <v>0</v>
      </c>
      <c r="Z29" s="8"/>
      <c r="AA29" s="8">
        <v>654352</v>
      </c>
      <c r="AB29" s="8"/>
      <c r="AC29" s="8">
        <v>314543</v>
      </c>
      <c r="AD29" s="8"/>
      <c r="AE29" s="8">
        <v>63160</v>
      </c>
      <c r="AF29" s="8"/>
      <c r="AG29" s="12" t="s">
        <v>334</v>
      </c>
      <c r="AH29" s="12"/>
      <c r="AI29" s="12" t="s">
        <v>22</v>
      </c>
      <c r="AJ29" s="12"/>
      <c r="AK29" s="8">
        <v>336697</v>
      </c>
      <c r="AL29" s="8"/>
      <c r="AM29" s="8">
        <v>110015</v>
      </c>
      <c r="AN29" s="8"/>
      <c r="AO29" s="8">
        <v>431903</v>
      </c>
      <c r="AP29" s="8"/>
      <c r="AQ29" s="8">
        <v>5150</v>
      </c>
      <c r="AR29" s="8"/>
      <c r="AS29" s="8"/>
      <c r="AT29" s="8"/>
      <c r="AU29" s="8">
        <v>0</v>
      </c>
      <c r="AV29" s="8"/>
      <c r="AW29" s="8">
        <f t="shared" si="0"/>
        <v>8260245</v>
      </c>
      <c r="AY29" s="8">
        <f>+'St of Activites - GA Rev'!AI28-'St of Activities - GA Exp'!AW29</f>
        <v>-136982</v>
      </c>
      <c r="BA29" s="8">
        <v>4832404</v>
      </c>
      <c r="BC29" s="8">
        <f t="shared" si="1"/>
        <v>4695422</v>
      </c>
      <c r="BE29" s="8">
        <f>+'St of Net Assets - GA'!AA28-'St of Activities - GA Exp'!BC29</f>
        <v>0</v>
      </c>
    </row>
    <row r="30" spans="1:57">
      <c r="A30" s="12" t="s">
        <v>668</v>
      </c>
      <c r="B30" s="12"/>
      <c r="C30" s="12" t="s">
        <v>63</v>
      </c>
      <c r="D30" s="12"/>
      <c r="E30" s="32">
        <v>43539</v>
      </c>
      <c r="G30" s="8">
        <v>16952951</v>
      </c>
      <c r="H30" s="8"/>
      <c r="I30" s="8">
        <v>6673268</v>
      </c>
      <c r="J30" s="8"/>
      <c r="K30" s="8">
        <v>1069174</v>
      </c>
      <c r="L30" s="8"/>
      <c r="M30" s="8">
        <v>4350733</v>
      </c>
      <c r="N30" s="8"/>
      <c r="O30" s="8">
        <v>1953457</v>
      </c>
      <c r="P30" s="8"/>
      <c r="Q30" s="8">
        <v>2087768</v>
      </c>
      <c r="R30" s="8"/>
      <c r="S30" s="8">
        <v>17624</v>
      </c>
      <c r="T30" s="8"/>
      <c r="U30" s="8">
        <v>3125171</v>
      </c>
      <c r="V30" s="8"/>
      <c r="W30" s="8">
        <v>547840</v>
      </c>
      <c r="X30" s="8"/>
      <c r="Y30" s="8">
        <v>221480</v>
      </c>
      <c r="Z30" s="8"/>
      <c r="AA30" s="8">
        <v>4506756</v>
      </c>
      <c r="AB30" s="8"/>
      <c r="AC30" s="8">
        <v>844876</v>
      </c>
      <c r="AD30" s="8"/>
      <c r="AE30" s="8">
        <v>81747</v>
      </c>
      <c r="AF30" s="8"/>
      <c r="AG30" s="12" t="s">
        <v>668</v>
      </c>
      <c r="AH30" s="12"/>
      <c r="AI30" s="12" t="s">
        <v>63</v>
      </c>
      <c r="AJ30" s="12"/>
      <c r="AK30" s="8">
        <v>2131113</v>
      </c>
      <c r="AL30" s="8"/>
      <c r="AM30" s="8">
        <v>57875</v>
      </c>
      <c r="AN30" s="8"/>
      <c r="AO30" s="8">
        <v>1879488</v>
      </c>
      <c r="AP30" s="8"/>
      <c r="AQ30" s="8">
        <v>1283639</v>
      </c>
      <c r="AR30" s="8"/>
      <c r="AS30" s="8"/>
      <c r="AT30" s="8"/>
      <c r="AU30" s="8">
        <v>125956</v>
      </c>
      <c r="AV30" s="8"/>
      <c r="AW30" s="8">
        <f t="shared" si="0"/>
        <v>47910916</v>
      </c>
      <c r="AY30" s="8">
        <f>+'St of Activites - GA Rev'!AI29-'St of Activities - GA Exp'!AW30</f>
        <v>883327</v>
      </c>
      <c r="BA30" s="8">
        <v>29975219</v>
      </c>
      <c r="BC30" s="8">
        <f t="shared" si="1"/>
        <v>30858546</v>
      </c>
      <c r="BE30" s="8">
        <f>+'St of Net Assets - GA'!AA29-'St of Activities - GA Exp'!BC30</f>
        <v>0</v>
      </c>
    </row>
    <row r="31" spans="1:57">
      <c r="A31" s="12" t="s">
        <v>831</v>
      </c>
      <c r="B31" s="12"/>
      <c r="C31" s="12" t="s">
        <v>15</v>
      </c>
      <c r="D31" s="12"/>
      <c r="E31" s="32"/>
      <c r="G31" s="8">
        <v>4631942</v>
      </c>
      <c r="H31" s="8"/>
      <c r="I31" s="8">
        <v>1439157</v>
      </c>
      <c r="J31" s="8"/>
      <c r="K31" s="8">
        <v>261500</v>
      </c>
      <c r="L31" s="8"/>
      <c r="M31" s="8">
        <v>0</v>
      </c>
      <c r="N31" s="8"/>
      <c r="O31" s="8">
        <v>515496</v>
      </c>
      <c r="P31" s="8"/>
      <c r="Q31" s="8">
        <v>261953</v>
      </c>
      <c r="R31" s="8"/>
      <c r="S31" s="8">
        <v>141681</v>
      </c>
      <c r="T31" s="8"/>
      <c r="U31" s="8">
        <f>826593+221794</f>
        <v>1048387</v>
      </c>
      <c r="V31" s="8"/>
      <c r="W31" s="8">
        <v>409780</v>
      </c>
      <c r="X31" s="8"/>
      <c r="Y31" s="8">
        <v>25446</v>
      </c>
      <c r="Z31" s="8"/>
      <c r="AA31" s="8">
        <v>1315288</v>
      </c>
      <c r="AB31" s="8"/>
      <c r="AC31" s="8">
        <v>741348</v>
      </c>
      <c r="AD31" s="8"/>
      <c r="AE31" s="8">
        <v>43446</v>
      </c>
      <c r="AF31" s="8"/>
      <c r="AG31" s="12" t="s">
        <v>831</v>
      </c>
      <c r="AH31" s="12"/>
      <c r="AI31" s="12" t="s">
        <v>15</v>
      </c>
      <c r="AJ31" s="12"/>
      <c r="AK31" s="8">
        <v>485267</v>
      </c>
      <c r="AL31" s="8"/>
      <c r="AM31" s="8">
        <v>77095</v>
      </c>
      <c r="AN31" s="8"/>
      <c r="AO31" s="8">
        <v>208737</v>
      </c>
      <c r="AP31" s="8"/>
      <c r="AQ31" s="8">
        <v>152833</v>
      </c>
      <c r="AR31" s="8"/>
      <c r="AS31" s="8"/>
      <c r="AT31" s="8"/>
      <c r="AU31" s="8">
        <v>0</v>
      </c>
      <c r="AV31" s="8"/>
      <c r="AW31" s="8">
        <f t="shared" si="0"/>
        <v>11759356</v>
      </c>
      <c r="AY31" s="8">
        <f>+'St of Activites - GA Rev'!AI30-'St of Activities - GA Exp'!AW31</f>
        <v>-528330</v>
      </c>
      <c r="BA31" s="8">
        <v>16874900</v>
      </c>
      <c r="BC31" s="8">
        <f t="shared" si="1"/>
        <v>16346570</v>
      </c>
      <c r="BE31" s="8">
        <f>+'St of Net Assets - GA'!AA30-'St of Activities - GA Exp'!BC31</f>
        <v>0</v>
      </c>
    </row>
    <row r="32" spans="1:57" ht="12" customHeight="1">
      <c r="A32" s="12" t="s">
        <v>300</v>
      </c>
      <c r="B32" s="12"/>
      <c r="C32" s="12" t="s">
        <v>20</v>
      </c>
      <c r="D32" s="12"/>
      <c r="E32" s="32">
        <v>43547</v>
      </c>
      <c r="G32" s="8">
        <v>12971132</v>
      </c>
      <c r="H32" s="8"/>
      <c r="I32" s="8">
        <v>2024178</v>
      </c>
      <c r="J32" s="8"/>
      <c r="K32" s="8">
        <v>305490</v>
      </c>
      <c r="L32" s="8"/>
      <c r="M32" s="8">
        <v>830294</v>
      </c>
      <c r="N32" s="8"/>
      <c r="O32" s="8">
        <v>2786158</v>
      </c>
      <c r="P32" s="8"/>
      <c r="Q32" s="8">
        <v>978653</v>
      </c>
      <c r="R32" s="8"/>
      <c r="S32" s="8">
        <v>22820</v>
      </c>
      <c r="T32" s="8"/>
      <c r="U32" s="8">
        <v>2262457</v>
      </c>
      <c r="V32" s="8"/>
      <c r="W32" s="8">
        <v>618662</v>
      </c>
      <c r="X32" s="8"/>
      <c r="Y32" s="8">
        <v>321152</v>
      </c>
      <c r="Z32" s="8"/>
      <c r="AA32" s="8">
        <v>2919332</v>
      </c>
      <c r="AB32" s="8"/>
      <c r="AC32" s="8">
        <v>964897</v>
      </c>
      <c r="AD32" s="8"/>
      <c r="AE32" s="8">
        <v>382448</v>
      </c>
      <c r="AF32" s="8"/>
      <c r="AG32" s="12" t="s">
        <v>300</v>
      </c>
      <c r="AH32" s="12"/>
      <c r="AI32" s="12" t="s">
        <v>20</v>
      </c>
      <c r="AJ32" s="12"/>
      <c r="AK32" s="8">
        <v>859228</v>
      </c>
      <c r="AL32" s="8"/>
      <c r="AM32" s="8">
        <f>757275+757029</f>
        <v>1514304</v>
      </c>
      <c r="AN32" s="8"/>
      <c r="AO32" s="8">
        <f>89481+327+740423+437321</f>
        <v>1267552</v>
      </c>
      <c r="AP32" s="8"/>
      <c r="AQ32" s="8">
        <v>1044750</v>
      </c>
      <c r="AR32" s="8"/>
      <c r="AS32" s="8"/>
      <c r="AT32" s="8"/>
      <c r="AU32" s="8">
        <v>0</v>
      </c>
      <c r="AV32" s="8"/>
      <c r="AW32" s="8">
        <f t="shared" si="0"/>
        <v>32073507</v>
      </c>
      <c r="AY32" s="8">
        <f>+'St of Activites - GA Rev'!AI31-'St of Activities - GA Exp'!AW32</f>
        <v>2336090</v>
      </c>
      <c r="BA32" s="8">
        <v>14596820</v>
      </c>
      <c r="BC32" s="8">
        <f t="shared" si="1"/>
        <v>16932910</v>
      </c>
      <c r="BE32" s="8">
        <f>+'St of Net Assets - GA'!AA31-'St of Activities - GA Exp'!BC32</f>
        <v>0</v>
      </c>
    </row>
    <row r="33" spans="1:57">
      <c r="A33" s="12" t="s">
        <v>301</v>
      </c>
      <c r="B33" s="12"/>
      <c r="C33" s="12" t="s">
        <v>20</v>
      </c>
      <c r="D33" s="12"/>
      <c r="E33" s="32">
        <v>43554</v>
      </c>
      <c r="G33" s="8">
        <v>11629226</v>
      </c>
      <c r="H33" s="8"/>
      <c r="I33" s="8">
        <v>5871895</v>
      </c>
      <c r="J33" s="8"/>
      <c r="K33" s="8">
        <v>1242827</v>
      </c>
      <c r="L33" s="8"/>
      <c r="M33" s="8">
        <f>172720+664301</f>
        <v>837021</v>
      </c>
      <c r="N33" s="8"/>
      <c r="O33" s="8">
        <v>2616865</v>
      </c>
      <c r="P33" s="8"/>
      <c r="Q33" s="8">
        <v>1012486</v>
      </c>
      <c r="R33" s="8"/>
      <c r="S33" s="8">
        <v>356006</v>
      </c>
      <c r="T33" s="8"/>
      <c r="U33" s="8">
        <v>2371399</v>
      </c>
      <c r="V33" s="8"/>
      <c r="W33" s="8">
        <v>746614</v>
      </c>
      <c r="X33" s="8"/>
      <c r="Y33" s="8">
        <v>459817</v>
      </c>
      <c r="Z33" s="8"/>
      <c r="AA33" s="8">
        <v>3720729</v>
      </c>
      <c r="AB33" s="8"/>
      <c r="AC33" s="8">
        <v>1993252</v>
      </c>
      <c r="AD33" s="8"/>
      <c r="AE33" s="8">
        <v>796909</v>
      </c>
      <c r="AF33" s="8"/>
      <c r="AG33" s="12" t="s">
        <v>301</v>
      </c>
      <c r="AH33" s="12"/>
      <c r="AI33" s="12" t="s">
        <v>20</v>
      </c>
      <c r="AJ33" s="12"/>
      <c r="AK33" s="8">
        <v>701655</v>
      </c>
      <c r="AL33" s="8"/>
      <c r="AM33" s="8">
        <v>227695</v>
      </c>
      <c r="AN33" s="8"/>
      <c r="AO33" s="8">
        <v>1004529</v>
      </c>
      <c r="AP33" s="8"/>
      <c r="AQ33" s="8">
        <v>1141777</v>
      </c>
      <c r="AR33" s="8"/>
      <c r="AS33" s="8"/>
      <c r="AT33" s="8"/>
      <c r="AU33" s="8">
        <v>20640</v>
      </c>
      <c r="AV33" s="8"/>
      <c r="AW33" s="8">
        <f t="shared" si="0"/>
        <v>36751342</v>
      </c>
      <c r="AY33" s="8">
        <f>+'St of Activites - GA Rev'!AI32-'St of Activities - GA Exp'!AW33</f>
        <v>2880595</v>
      </c>
      <c r="BA33" s="8">
        <v>25555589</v>
      </c>
      <c r="BC33" s="8">
        <f t="shared" si="1"/>
        <v>28436184</v>
      </c>
      <c r="BE33" s="8">
        <f>+'St of Net Assets - GA'!AA32-'St of Activities - GA Exp'!BC33</f>
        <v>0</v>
      </c>
    </row>
    <row r="34" spans="1:57">
      <c r="A34" s="12" t="s">
        <v>282</v>
      </c>
      <c r="B34" s="12"/>
      <c r="C34" s="12" t="s">
        <v>115</v>
      </c>
      <c r="D34" s="12"/>
      <c r="E34" s="32">
        <v>46425</v>
      </c>
      <c r="G34" s="8">
        <v>10807640</v>
      </c>
      <c r="H34" s="8"/>
      <c r="I34" s="8">
        <v>2269106</v>
      </c>
      <c r="J34" s="8"/>
      <c r="K34" s="8">
        <v>19173</v>
      </c>
      <c r="L34" s="8"/>
      <c r="M34" s="8">
        <f>3901+20795</f>
        <v>24696</v>
      </c>
      <c r="N34" s="8"/>
      <c r="O34" s="8">
        <v>569760</v>
      </c>
      <c r="P34" s="8"/>
      <c r="Q34" s="8">
        <v>490005</v>
      </c>
      <c r="R34" s="8"/>
      <c r="S34" s="8">
        <v>20746</v>
      </c>
      <c r="T34" s="8"/>
      <c r="U34" s="8">
        <v>1895486</v>
      </c>
      <c r="V34" s="8"/>
      <c r="W34" s="8">
        <v>406316</v>
      </c>
      <c r="X34" s="8"/>
      <c r="Y34" s="8">
        <v>0</v>
      </c>
      <c r="Z34" s="8"/>
      <c r="AA34" s="8">
        <v>1721272</v>
      </c>
      <c r="AB34" s="8"/>
      <c r="AC34" s="8">
        <v>1325580</v>
      </c>
      <c r="AD34" s="8"/>
      <c r="AE34" s="8">
        <v>0</v>
      </c>
      <c r="AF34" s="8"/>
      <c r="AG34" s="12" t="s">
        <v>282</v>
      </c>
      <c r="AH34" s="12"/>
      <c r="AI34" s="12" t="s">
        <v>115</v>
      </c>
      <c r="AJ34" s="12"/>
      <c r="AK34" s="8">
        <v>0</v>
      </c>
      <c r="AL34" s="8"/>
      <c r="AM34" s="8">
        <v>902192</v>
      </c>
      <c r="AN34" s="8"/>
      <c r="AO34" s="8">
        <v>612232</v>
      </c>
      <c r="AP34" s="8"/>
      <c r="AQ34" s="8">
        <v>9017</v>
      </c>
      <c r="AR34" s="8"/>
      <c r="AS34" s="8"/>
      <c r="AT34" s="8"/>
      <c r="AU34" s="8">
        <v>278010</v>
      </c>
      <c r="AV34" s="8"/>
      <c r="AW34" s="8">
        <f t="shared" si="0"/>
        <v>21351231</v>
      </c>
      <c r="AY34" s="8">
        <f>+'St of Activites - GA Rev'!AI33-'St of Activities - GA Exp'!AW34</f>
        <v>-1191848</v>
      </c>
      <c r="BA34" s="8">
        <v>1918872</v>
      </c>
      <c r="BC34" s="8">
        <f t="shared" si="1"/>
        <v>727024</v>
      </c>
      <c r="BE34" s="8">
        <f>+'St of Net Assets - GA'!AA33-'St of Activities - GA Exp'!BC34</f>
        <v>0</v>
      </c>
    </row>
    <row r="35" spans="1:57">
      <c r="A35" s="12" t="s">
        <v>388</v>
      </c>
      <c r="B35" s="12"/>
      <c r="C35" s="12" t="s">
        <v>117</v>
      </c>
      <c r="D35" s="12"/>
      <c r="E35" s="32">
        <v>47241</v>
      </c>
      <c r="G35" s="8">
        <v>29608142</v>
      </c>
      <c r="H35" s="8"/>
      <c r="I35" s="8">
        <v>7964012</v>
      </c>
      <c r="J35" s="8"/>
      <c r="K35" s="8">
        <v>381973</v>
      </c>
      <c r="L35" s="8"/>
      <c r="M35" s="8">
        <v>1606716</v>
      </c>
      <c r="N35" s="8"/>
      <c r="O35" s="8">
        <v>4652292</v>
      </c>
      <c r="P35" s="8"/>
      <c r="Q35" s="8">
        <v>4643721</v>
      </c>
      <c r="R35" s="8"/>
      <c r="S35" s="8">
        <v>38471</v>
      </c>
      <c r="T35" s="8"/>
      <c r="U35" s="8">
        <v>3880017</v>
      </c>
      <c r="V35" s="8"/>
      <c r="W35" s="8">
        <v>1721820</v>
      </c>
      <c r="X35" s="8"/>
      <c r="Y35" s="8">
        <v>514695</v>
      </c>
      <c r="Z35" s="8"/>
      <c r="AA35" s="8">
        <v>2680154</v>
      </c>
      <c r="AB35" s="8"/>
      <c r="AC35" s="8">
        <v>4945809</v>
      </c>
      <c r="AD35" s="8"/>
      <c r="AE35" s="8">
        <v>2553327</v>
      </c>
      <c r="AF35" s="8"/>
      <c r="AG35" s="12" t="s">
        <v>388</v>
      </c>
      <c r="AH35" s="12"/>
      <c r="AI35" s="12" t="s">
        <v>117</v>
      </c>
      <c r="AJ35" s="12"/>
      <c r="AK35" s="8">
        <v>2370272</v>
      </c>
      <c r="AL35" s="8"/>
      <c r="AM35" s="8">
        <f>1106646+4286920</f>
        <v>5393566</v>
      </c>
      <c r="AN35" s="8"/>
      <c r="AO35" s="8">
        <f>373880+974476+26804</f>
        <v>1375160</v>
      </c>
      <c r="AP35" s="8"/>
      <c r="AQ35" s="8">
        <v>1669411</v>
      </c>
      <c r="AR35" s="8"/>
      <c r="AS35" s="8"/>
      <c r="AT35" s="8"/>
      <c r="AU35" s="8">
        <v>0</v>
      </c>
      <c r="AV35" s="8"/>
      <c r="AW35" s="8">
        <f t="shared" si="0"/>
        <v>75999558</v>
      </c>
      <c r="AY35" s="8">
        <f>+'St of Activites - GA Rev'!AI34-'St of Activities - GA Exp'!AW35</f>
        <v>3285294</v>
      </c>
      <c r="BA35" s="8">
        <v>24622700</v>
      </c>
      <c r="BC35" s="8">
        <f t="shared" si="1"/>
        <v>27907994</v>
      </c>
      <c r="BE35" s="8">
        <f>+'St of Net Assets - GA'!AA34-'St of Activities - GA Exp'!BC35</f>
        <v>0</v>
      </c>
    </row>
    <row r="36" spans="1:57">
      <c r="A36" s="12" t="s">
        <v>302</v>
      </c>
      <c r="B36" s="12"/>
      <c r="C36" s="12" t="s">
        <v>20</v>
      </c>
      <c r="D36" s="12"/>
      <c r="E36" s="32">
        <v>43562</v>
      </c>
      <c r="G36" s="8">
        <v>19622396</v>
      </c>
      <c r="H36" s="8"/>
      <c r="I36" s="8">
        <v>6176076</v>
      </c>
      <c r="J36" s="8"/>
      <c r="K36" s="8">
        <v>1752281</v>
      </c>
      <c r="L36" s="8"/>
      <c r="M36" s="8">
        <v>0</v>
      </c>
      <c r="N36" s="8"/>
      <c r="O36" s="8">
        <v>2984845</v>
      </c>
      <c r="P36" s="8"/>
      <c r="Q36" s="8">
        <v>1821915</v>
      </c>
      <c r="R36" s="8"/>
      <c r="S36" s="8">
        <v>235547</v>
      </c>
      <c r="T36" s="8"/>
      <c r="U36" s="8">
        <v>3411767</v>
      </c>
      <c r="V36" s="8"/>
      <c r="W36" s="8">
        <v>1320457</v>
      </c>
      <c r="X36" s="8"/>
      <c r="Y36" s="8">
        <v>839468</v>
      </c>
      <c r="Z36" s="8"/>
      <c r="AA36" s="8">
        <v>6658346</v>
      </c>
      <c r="AB36" s="8"/>
      <c r="AC36" s="8">
        <v>3792842</v>
      </c>
      <c r="AD36" s="8"/>
      <c r="AE36" s="8">
        <v>332451</v>
      </c>
      <c r="AF36" s="8"/>
      <c r="AG36" s="12" t="s">
        <v>302</v>
      </c>
      <c r="AH36" s="12"/>
      <c r="AI36" s="12" t="s">
        <v>20</v>
      </c>
      <c r="AJ36" s="12"/>
      <c r="AK36" s="8">
        <v>1623791</v>
      </c>
      <c r="AL36" s="8"/>
      <c r="AM36" s="8">
        <v>480645</v>
      </c>
      <c r="AN36" s="8"/>
      <c r="AO36" s="8">
        <v>867928</v>
      </c>
      <c r="AP36" s="8"/>
      <c r="AQ36" s="8">
        <v>524154</v>
      </c>
      <c r="AR36" s="8"/>
      <c r="AS36" s="8"/>
      <c r="AT36" s="8"/>
      <c r="AU36" s="8">
        <v>0</v>
      </c>
      <c r="AV36" s="8"/>
      <c r="AW36" s="8">
        <f t="shared" si="0"/>
        <v>52444909</v>
      </c>
      <c r="AY36" s="8">
        <f>+'St of Activites - GA Rev'!AI35-'St of Activities - GA Exp'!AW36</f>
        <v>1196915</v>
      </c>
      <c r="BA36" s="8">
        <v>31498286</v>
      </c>
      <c r="BC36" s="8">
        <f t="shared" si="1"/>
        <v>32695201</v>
      </c>
      <c r="BE36" s="8">
        <f>+'St of Net Assets - GA'!AA35-'St of Activities - GA Exp'!BC36</f>
        <v>0</v>
      </c>
    </row>
    <row r="37" spans="1:57">
      <c r="A37" s="12" t="s">
        <v>234</v>
      </c>
      <c r="B37" s="12"/>
      <c r="C37" s="12" t="s">
        <v>15</v>
      </c>
      <c r="D37" s="12"/>
      <c r="E37" s="32">
        <v>43570</v>
      </c>
      <c r="G37" s="8">
        <v>8346607</v>
      </c>
      <c r="H37" s="8"/>
      <c r="I37" s="8">
        <v>2100238</v>
      </c>
      <c r="J37" s="8"/>
      <c r="K37" s="8">
        <v>168320</v>
      </c>
      <c r="L37" s="8"/>
      <c r="M37" s="8">
        <v>0</v>
      </c>
      <c r="N37" s="8"/>
      <c r="O37" s="8">
        <v>1154547</v>
      </c>
      <c r="P37" s="8"/>
      <c r="Q37" s="8">
        <v>171060</v>
      </c>
      <c r="R37" s="8"/>
      <c r="S37" s="8">
        <v>28839</v>
      </c>
      <c r="T37" s="8"/>
      <c r="U37" s="8">
        <v>1401683</v>
      </c>
      <c r="V37" s="8"/>
      <c r="W37" s="8">
        <v>347905</v>
      </c>
      <c r="X37" s="8"/>
      <c r="Y37" s="8">
        <v>0</v>
      </c>
      <c r="Z37" s="8"/>
      <c r="AA37" s="8">
        <v>1223280</v>
      </c>
      <c r="AB37" s="8"/>
      <c r="AC37" s="8">
        <v>1126055</v>
      </c>
      <c r="AD37" s="8"/>
      <c r="AE37" s="8">
        <v>1046</v>
      </c>
      <c r="AF37" s="8"/>
      <c r="AG37" s="12" t="s">
        <v>234</v>
      </c>
      <c r="AH37" s="12"/>
      <c r="AI37" s="12" t="s">
        <v>15</v>
      </c>
      <c r="AJ37" s="12"/>
      <c r="AK37" s="8">
        <v>768318</v>
      </c>
      <c r="AL37" s="8"/>
      <c r="AM37" s="8">
        <v>271335</v>
      </c>
      <c r="AN37" s="8"/>
      <c r="AO37" s="8">
        <v>341028</v>
      </c>
      <c r="AP37" s="8"/>
      <c r="AQ37" s="8">
        <v>200483</v>
      </c>
      <c r="AR37" s="8"/>
      <c r="AS37" s="8"/>
      <c r="AT37" s="8"/>
      <c r="AU37" s="8">
        <v>0</v>
      </c>
      <c r="AV37" s="8"/>
      <c r="AW37" s="8">
        <f t="shared" si="0"/>
        <v>17650744</v>
      </c>
      <c r="AY37" s="8">
        <f>+'St of Activites - GA Rev'!AI36-'St of Activities - GA Exp'!AW37</f>
        <v>-1126331</v>
      </c>
      <c r="BA37" s="8">
        <v>20372080</v>
      </c>
      <c r="BC37" s="8">
        <f t="shared" si="1"/>
        <v>19245749</v>
      </c>
      <c r="BE37" s="8">
        <f>+'St of Net Assets - GA'!AA36-'St of Activities - GA Exp'!BC37</f>
        <v>0</v>
      </c>
    </row>
    <row r="38" spans="1:57">
      <c r="A38" s="12" t="s">
        <v>448</v>
      </c>
      <c r="B38" s="12"/>
      <c r="C38" s="12" t="s">
        <v>37</v>
      </c>
      <c r="D38" s="12"/>
      <c r="E38" s="32">
        <v>43596</v>
      </c>
      <c r="G38" s="8">
        <v>8056796</v>
      </c>
      <c r="H38" s="8"/>
      <c r="I38" s="8">
        <v>2915084</v>
      </c>
      <c r="J38" s="8"/>
      <c r="K38" s="8">
        <v>626604</v>
      </c>
      <c r="L38" s="8"/>
      <c r="M38" s="8">
        <f>7660+603011</f>
        <v>610671</v>
      </c>
      <c r="N38" s="8"/>
      <c r="O38" s="8">
        <v>1269244</v>
      </c>
      <c r="P38" s="8"/>
      <c r="Q38" s="8">
        <v>1144262</v>
      </c>
      <c r="R38" s="8"/>
      <c r="S38" s="8">
        <v>25053</v>
      </c>
      <c r="T38" s="8"/>
      <c r="U38" s="8">
        <v>1510375</v>
      </c>
      <c r="V38" s="8"/>
      <c r="W38" s="8">
        <v>528554</v>
      </c>
      <c r="X38" s="8"/>
      <c r="Y38" s="8">
        <v>16225</v>
      </c>
      <c r="Z38" s="8"/>
      <c r="AA38" s="8">
        <v>1929202</v>
      </c>
      <c r="AB38" s="8"/>
      <c r="AC38" s="8">
        <v>1036897</v>
      </c>
      <c r="AD38" s="8"/>
      <c r="AE38" s="8">
        <v>73014</v>
      </c>
      <c r="AF38" s="8"/>
      <c r="AG38" s="12" t="s">
        <v>448</v>
      </c>
      <c r="AH38" s="12"/>
      <c r="AI38" s="12" t="s">
        <v>37</v>
      </c>
      <c r="AJ38" s="12"/>
      <c r="AK38" s="8">
        <v>730792</v>
      </c>
      <c r="AL38" s="8"/>
      <c r="AM38" s="8">
        <v>76999</v>
      </c>
      <c r="AN38" s="8"/>
      <c r="AO38" s="8">
        <v>703259</v>
      </c>
      <c r="AP38" s="8"/>
      <c r="AQ38" s="8">
        <v>28517</v>
      </c>
      <c r="AR38" s="8"/>
      <c r="AS38" s="8"/>
      <c r="AT38" s="8"/>
      <c r="AU38" s="8">
        <v>155288</v>
      </c>
      <c r="AV38" s="8"/>
      <c r="AW38" s="8">
        <f t="shared" si="0"/>
        <v>21436836</v>
      </c>
      <c r="AY38" s="8">
        <f>+'St of Activites - GA Rev'!AI37-'St of Activities - GA Exp'!AW38</f>
        <v>1096185</v>
      </c>
      <c r="BA38" s="8">
        <v>5472156</v>
      </c>
      <c r="BC38" s="8">
        <f t="shared" si="1"/>
        <v>6568341</v>
      </c>
      <c r="BE38" s="8">
        <f>+'St of Net Assets - GA'!AA37-'St of Activities - GA Exp'!BC38</f>
        <v>0</v>
      </c>
    </row>
    <row r="39" spans="1:57">
      <c r="A39" s="12" t="s">
        <v>721</v>
      </c>
      <c r="B39" s="12"/>
      <c r="C39" s="12" t="s">
        <v>70</v>
      </c>
      <c r="D39" s="12"/>
      <c r="E39" s="32">
        <v>43604</v>
      </c>
      <c r="G39" s="8">
        <v>4864746</v>
      </c>
      <c r="H39" s="8"/>
      <c r="I39" s="8">
        <v>1414414</v>
      </c>
      <c r="J39" s="8"/>
      <c r="K39" s="8">
        <v>983</v>
      </c>
      <c r="L39" s="8"/>
      <c r="M39" s="8">
        <v>28001</v>
      </c>
      <c r="N39" s="8"/>
      <c r="O39" s="8">
        <v>843705</v>
      </c>
      <c r="P39" s="8"/>
      <c r="Q39" s="8">
        <v>608024</v>
      </c>
      <c r="R39" s="8"/>
      <c r="S39" s="8">
        <v>46493</v>
      </c>
      <c r="T39" s="8"/>
      <c r="U39" s="8">
        <v>846899</v>
      </c>
      <c r="V39" s="8"/>
      <c r="W39" s="8">
        <v>422021</v>
      </c>
      <c r="X39" s="8"/>
      <c r="Y39" s="8">
        <v>1808</v>
      </c>
      <c r="Z39" s="8"/>
      <c r="AA39" s="8">
        <v>1045142</v>
      </c>
      <c r="AB39" s="8"/>
      <c r="AC39" s="8">
        <v>410390</v>
      </c>
      <c r="AD39" s="8"/>
      <c r="AE39" s="8">
        <v>6735</v>
      </c>
      <c r="AF39" s="8"/>
      <c r="AG39" s="12" t="s">
        <v>721</v>
      </c>
      <c r="AH39" s="12"/>
      <c r="AI39" s="12" t="s">
        <v>70</v>
      </c>
      <c r="AJ39" s="12"/>
      <c r="AK39" s="8">
        <v>0</v>
      </c>
      <c r="AL39" s="8"/>
      <c r="AM39" s="8">
        <v>10455</v>
      </c>
      <c r="AN39" s="8"/>
      <c r="AO39" s="8">
        <v>292922</v>
      </c>
      <c r="AP39" s="8"/>
      <c r="AQ39" s="8">
        <v>5415</v>
      </c>
      <c r="AR39" s="8"/>
      <c r="AS39" s="8"/>
      <c r="AT39" s="8"/>
      <c r="AU39" s="8">
        <v>0</v>
      </c>
      <c r="AV39" s="8"/>
      <c r="AW39" s="8">
        <f t="shared" si="0"/>
        <v>10848153</v>
      </c>
      <c r="AY39" s="8">
        <f>+'St of Activites - GA Rev'!AI38-'St of Activities - GA Exp'!AW39</f>
        <v>-146834</v>
      </c>
      <c r="BA39" s="8">
        <v>6134460</v>
      </c>
      <c r="BC39" s="8">
        <f t="shared" si="1"/>
        <v>5987626</v>
      </c>
      <c r="BE39" s="8">
        <f>+'St of Net Assets - GA'!AA38-'St of Activities - GA Exp'!BC39</f>
        <v>0</v>
      </c>
    </row>
    <row r="40" spans="1:57">
      <c r="A40" s="12" t="s">
        <v>579</v>
      </c>
      <c r="B40" s="12"/>
      <c r="C40" s="12" t="s">
        <v>53</v>
      </c>
      <c r="D40" s="12"/>
      <c r="E40" s="32">
        <v>48926</v>
      </c>
      <c r="G40" s="8">
        <v>9003867</v>
      </c>
      <c r="H40" s="8"/>
      <c r="I40" s="8">
        <v>1426013</v>
      </c>
      <c r="J40" s="8"/>
      <c r="K40" s="8">
        <v>20488</v>
      </c>
      <c r="L40" s="8"/>
      <c r="M40" s="8">
        <f>268+270246</f>
        <v>270514</v>
      </c>
      <c r="N40" s="8"/>
      <c r="O40" s="8">
        <v>1216381</v>
      </c>
      <c r="P40" s="8"/>
      <c r="Q40" s="8">
        <v>949843</v>
      </c>
      <c r="R40" s="8"/>
      <c r="S40" s="8">
        <v>165291</v>
      </c>
      <c r="T40" s="8"/>
      <c r="U40" s="8">
        <v>1569102</v>
      </c>
      <c r="V40" s="8"/>
      <c r="W40" s="8">
        <v>458358</v>
      </c>
      <c r="X40" s="8"/>
      <c r="Y40" s="8">
        <v>0</v>
      </c>
      <c r="Z40" s="8"/>
      <c r="AA40" s="8">
        <v>2684946</v>
      </c>
      <c r="AB40" s="8"/>
      <c r="AC40" s="8">
        <v>1183242</v>
      </c>
      <c r="AD40" s="8"/>
      <c r="AE40" s="8">
        <v>452629</v>
      </c>
      <c r="AF40" s="8"/>
      <c r="AG40" s="12" t="s">
        <v>579</v>
      </c>
      <c r="AH40" s="12"/>
      <c r="AI40" s="12" t="s">
        <v>53</v>
      </c>
      <c r="AJ40" s="12"/>
      <c r="AK40" s="8">
        <v>859310</v>
      </c>
      <c r="AL40" s="8"/>
      <c r="AM40" s="8">
        <v>310333</v>
      </c>
      <c r="AN40" s="8"/>
      <c r="AO40" s="8">
        <v>667867</v>
      </c>
      <c r="AP40" s="8"/>
      <c r="AQ40" s="8">
        <v>5477</v>
      </c>
      <c r="AR40" s="8"/>
      <c r="AS40" s="8"/>
      <c r="AT40" s="8"/>
      <c r="AU40" s="8">
        <v>0</v>
      </c>
      <c r="AV40" s="8"/>
      <c r="AW40" s="8">
        <f t="shared" si="0"/>
        <v>21243661</v>
      </c>
      <c r="AY40" s="8">
        <f>+'St of Activites - GA Rev'!AI39-'St of Activities - GA Exp'!AW40</f>
        <v>240226</v>
      </c>
      <c r="BA40" s="8">
        <v>17749435</v>
      </c>
      <c r="BC40" s="8">
        <f t="shared" si="1"/>
        <v>17989661</v>
      </c>
      <c r="BE40" s="8">
        <f>+'St of Net Assets - GA'!AA39-'St of Activities - GA Exp'!BC40</f>
        <v>0</v>
      </c>
    </row>
    <row r="41" spans="1:57">
      <c r="A41" s="12" t="s">
        <v>303</v>
      </c>
      <c r="B41" s="12"/>
      <c r="C41" s="12" t="s">
        <v>20</v>
      </c>
      <c r="D41" s="12"/>
      <c r="E41" s="32">
        <v>43612</v>
      </c>
      <c r="G41" s="8">
        <v>39358016</v>
      </c>
      <c r="H41" s="8"/>
      <c r="I41" s="8">
        <v>11074764</v>
      </c>
      <c r="J41" s="8"/>
      <c r="K41" s="8">
        <v>700317</v>
      </c>
      <c r="L41" s="8"/>
      <c r="M41" s="8">
        <v>182990</v>
      </c>
      <c r="N41" s="8"/>
      <c r="O41" s="8">
        <v>4756650</v>
      </c>
      <c r="P41" s="8"/>
      <c r="Q41" s="8">
        <v>5788567</v>
      </c>
      <c r="R41" s="8"/>
      <c r="S41" s="8">
        <v>42261</v>
      </c>
      <c r="T41" s="8"/>
      <c r="U41" s="8">
        <v>4148412</v>
      </c>
      <c r="V41" s="8"/>
      <c r="W41" s="8">
        <v>2524738</v>
      </c>
      <c r="X41" s="8"/>
      <c r="Y41" s="8">
        <v>743284</v>
      </c>
      <c r="Z41" s="8"/>
      <c r="AA41" s="8">
        <v>7790941</v>
      </c>
      <c r="AB41" s="8"/>
      <c r="AC41" s="8">
        <v>4128443</v>
      </c>
      <c r="AD41" s="8"/>
      <c r="AE41" s="8">
        <v>2380593</v>
      </c>
      <c r="AF41" s="8"/>
      <c r="AG41" s="12" t="s">
        <v>303</v>
      </c>
      <c r="AH41" s="12"/>
      <c r="AI41" s="12" t="s">
        <v>20</v>
      </c>
      <c r="AJ41" s="12"/>
      <c r="AK41" s="8">
        <v>0</v>
      </c>
      <c r="AL41" s="8"/>
      <c r="AM41" s="8">
        <v>3908876</v>
      </c>
      <c r="AN41" s="8"/>
      <c r="AO41" s="8">
        <v>1679646</v>
      </c>
      <c r="AP41" s="8"/>
      <c r="AQ41" s="8">
        <v>794393</v>
      </c>
      <c r="AR41" s="8"/>
      <c r="AS41" s="8"/>
      <c r="AT41" s="8"/>
      <c r="AU41" s="8">
        <v>0</v>
      </c>
      <c r="AV41" s="8"/>
      <c r="AW41" s="8">
        <f t="shared" si="0"/>
        <v>90002891</v>
      </c>
      <c r="AY41" s="8">
        <f>+'St of Activites - GA Rev'!AI40-'St of Activities - GA Exp'!AW41</f>
        <v>5741993</v>
      </c>
      <c r="BA41" s="8">
        <v>42762633</v>
      </c>
      <c r="BC41" s="8">
        <f t="shared" si="1"/>
        <v>48504626</v>
      </c>
      <c r="BE41" s="8">
        <f>+'St of Net Assets - GA'!AA40-'St of Activities - GA Exp'!BC41</f>
        <v>0</v>
      </c>
    </row>
    <row r="42" spans="1:57" ht="12" customHeight="1">
      <c r="A42" s="12" t="s">
        <v>381</v>
      </c>
      <c r="B42" s="12"/>
      <c r="C42" s="12" t="s">
        <v>30</v>
      </c>
      <c r="D42" s="12"/>
      <c r="E42" s="32">
        <v>47167</v>
      </c>
      <c r="G42" s="8">
        <v>4800546</v>
      </c>
      <c r="H42" s="8"/>
      <c r="I42" s="8">
        <v>1263407</v>
      </c>
      <c r="J42" s="8"/>
      <c r="K42" s="8">
        <v>58924</v>
      </c>
      <c r="L42" s="8"/>
      <c r="M42" s="8">
        <v>0</v>
      </c>
      <c r="N42" s="8"/>
      <c r="O42" s="8">
        <v>619086</v>
      </c>
      <c r="P42" s="8"/>
      <c r="Q42" s="8">
        <v>485694</v>
      </c>
      <c r="R42" s="8"/>
      <c r="S42" s="8">
        <v>54834</v>
      </c>
      <c r="T42" s="8"/>
      <c r="U42" s="8">
        <v>1002491</v>
      </c>
      <c r="V42" s="8"/>
      <c r="W42" s="8">
        <v>334840</v>
      </c>
      <c r="X42" s="8"/>
      <c r="Y42" s="8">
        <v>32706</v>
      </c>
      <c r="Z42" s="8"/>
      <c r="AA42" s="8">
        <v>1048609</v>
      </c>
      <c r="AB42" s="8"/>
      <c r="AC42" s="8">
        <v>982780</v>
      </c>
      <c r="AD42" s="8"/>
      <c r="AE42" s="8">
        <v>0</v>
      </c>
      <c r="AF42" s="8"/>
      <c r="AG42" s="12" t="s">
        <v>381</v>
      </c>
      <c r="AH42" s="12"/>
      <c r="AI42" s="12" t="s">
        <v>30</v>
      </c>
      <c r="AJ42" s="12"/>
      <c r="AK42" s="8">
        <v>311629</v>
      </c>
      <c r="AL42" s="8"/>
      <c r="AM42" s="8">
        <v>0</v>
      </c>
      <c r="AN42" s="8"/>
      <c r="AO42" s="8">
        <v>446431</v>
      </c>
      <c r="AP42" s="8"/>
      <c r="AQ42" s="8">
        <v>0</v>
      </c>
      <c r="AR42" s="8"/>
      <c r="AS42" s="8"/>
      <c r="AT42" s="8"/>
      <c r="AU42" s="8">
        <v>0</v>
      </c>
      <c r="AV42" s="8"/>
      <c r="AW42" s="8">
        <f t="shared" si="0"/>
        <v>11441977</v>
      </c>
      <c r="AY42" s="8">
        <f>+'St of Activites - GA Rev'!AI41-'St of Activities - GA Exp'!AW42</f>
        <v>475844</v>
      </c>
      <c r="BA42" s="8">
        <v>4646342</v>
      </c>
      <c r="BC42" s="8">
        <f t="shared" si="1"/>
        <v>5122186</v>
      </c>
      <c r="BE42" s="8">
        <f>+'St of Net Assets - GA'!AA41-'St of Activities - GA Exp'!BC42</f>
        <v>0</v>
      </c>
    </row>
    <row r="43" spans="1:57">
      <c r="A43" s="12" t="s">
        <v>340</v>
      </c>
      <c r="B43" s="12"/>
      <c r="C43" s="12" t="s">
        <v>24</v>
      </c>
      <c r="D43" s="12"/>
      <c r="E43" s="32">
        <v>46789</v>
      </c>
      <c r="G43" s="8">
        <v>6736890</v>
      </c>
      <c r="H43" s="8"/>
      <c r="I43" s="8">
        <v>2328742</v>
      </c>
      <c r="J43" s="8"/>
      <c r="K43" s="8">
        <v>60447</v>
      </c>
      <c r="L43" s="8"/>
      <c r="M43" s="8">
        <v>365236</v>
      </c>
      <c r="N43" s="8"/>
      <c r="O43" s="8">
        <v>836781</v>
      </c>
      <c r="P43" s="8"/>
      <c r="Q43" s="8">
        <v>387100</v>
      </c>
      <c r="R43" s="8"/>
      <c r="S43" s="8">
        <v>28845</v>
      </c>
      <c r="T43" s="8"/>
      <c r="U43" s="8">
        <v>1234420</v>
      </c>
      <c r="V43" s="8"/>
      <c r="W43" s="8">
        <v>298502</v>
      </c>
      <c r="X43" s="8"/>
      <c r="Y43" s="8"/>
      <c r="Z43" s="8"/>
      <c r="AA43" s="8">
        <v>1378220</v>
      </c>
      <c r="AB43" s="8"/>
      <c r="AC43" s="8">
        <v>796087</v>
      </c>
      <c r="AD43" s="8"/>
      <c r="AE43" s="8">
        <v>146484</v>
      </c>
      <c r="AF43" s="8"/>
      <c r="AG43" s="12" t="s">
        <v>340</v>
      </c>
      <c r="AH43" s="12"/>
      <c r="AI43" s="12" t="s">
        <v>24</v>
      </c>
      <c r="AJ43" s="12"/>
      <c r="AK43" s="8">
        <v>566186</v>
      </c>
      <c r="AL43" s="8"/>
      <c r="AM43" s="8">
        <v>1090</v>
      </c>
      <c r="AN43" s="8"/>
      <c r="AO43" s="8">
        <v>675646</v>
      </c>
      <c r="AP43" s="8"/>
      <c r="AQ43" s="8">
        <v>2571</v>
      </c>
      <c r="AR43" s="8"/>
      <c r="AS43" s="8"/>
      <c r="AT43" s="8"/>
      <c r="AU43" s="8">
        <v>0</v>
      </c>
      <c r="AV43" s="8"/>
      <c r="AW43" s="8">
        <f t="shared" si="0"/>
        <v>15843247</v>
      </c>
      <c r="AY43" s="8">
        <f>+'St of Activites - GA Rev'!AI42-'St of Activities - GA Exp'!AW43</f>
        <v>836932</v>
      </c>
      <c r="BA43" s="8">
        <v>7499399</v>
      </c>
      <c r="BC43" s="8">
        <f t="shared" si="1"/>
        <v>8336331</v>
      </c>
      <c r="BE43" s="8">
        <f>+'St of Net Assets - GA'!AA42-'St of Activities - GA Exp'!BC43</f>
        <v>0</v>
      </c>
    </row>
    <row r="44" spans="1:57">
      <c r="A44" s="12" t="s">
        <v>348</v>
      </c>
      <c r="B44" s="12"/>
      <c r="C44" s="12" t="s">
        <v>25</v>
      </c>
      <c r="D44" s="12"/>
      <c r="E44" s="32">
        <v>46854</v>
      </c>
      <c r="G44" s="8">
        <v>3789761</v>
      </c>
      <c r="H44" s="8"/>
      <c r="I44" s="8">
        <v>1192546</v>
      </c>
      <c r="J44" s="8"/>
      <c r="K44" s="8">
        <v>140121</v>
      </c>
      <c r="L44" s="8"/>
      <c r="M44" s="8">
        <v>0</v>
      </c>
      <c r="N44" s="8"/>
      <c r="O44" s="8">
        <v>255293</v>
      </c>
      <c r="P44" s="8"/>
      <c r="Q44" s="8">
        <v>579555</v>
      </c>
      <c r="R44" s="8"/>
      <c r="S44" s="8">
        <v>22859</v>
      </c>
      <c r="T44" s="8"/>
      <c r="U44" s="8">
        <v>1063872</v>
      </c>
      <c r="V44" s="8"/>
      <c r="W44" s="8">
        <v>244481</v>
      </c>
      <c r="X44" s="8"/>
      <c r="Y44" s="8">
        <v>5909</v>
      </c>
      <c r="Z44" s="8"/>
      <c r="AA44" s="8">
        <v>930860</v>
      </c>
      <c r="AB44" s="8"/>
      <c r="AC44" s="8">
        <v>580677</v>
      </c>
      <c r="AD44" s="8"/>
      <c r="AE44" s="8">
        <v>61446</v>
      </c>
      <c r="AF44" s="8"/>
      <c r="AG44" s="12" t="s">
        <v>348</v>
      </c>
      <c r="AH44" s="12"/>
      <c r="AI44" s="12" t="s">
        <v>25</v>
      </c>
      <c r="AJ44" s="12"/>
      <c r="AK44" s="8">
        <v>278431</v>
      </c>
      <c r="AL44" s="8"/>
      <c r="AM44" s="8">
        <v>0</v>
      </c>
      <c r="AN44" s="8"/>
      <c r="AO44" s="8">
        <v>282022</v>
      </c>
      <c r="AP44" s="8"/>
      <c r="AQ44" s="8">
        <v>116236</v>
      </c>
      <c r="AR44" s="8"/>
      <c r="AS44" s="8"/>
      <c r="AT44" s="8"/>
      <c r="AU44" s="8">
        <v>0</v>
      </c>
      <c r="AV44" s="8"/>
      <c r="AW44" s="8">
        <f t="shared" si="0"/>
        <v>9544069</v>
      </c>
      <c r="AY44" s="8">
        <f>+'St of Activites - GA Rev'!AI43-'St of Activities - GA Exp'!AW44</f>
        <v>367490</v>
      </c>
      <c r="BA44" s="8">
        <v>7467228</v>
      </c>
      <c r="BC44" s="8">
        <f t="shared" si="1"/>
        <v>7834718</v>
      </c>
      <c r="BE44" s="8">
        <f>+'St of Net Assets - GA'!AA43-'St of Activities - GA Exp'!BC44</f>
        <v>0</v>
      </c>
    </row>
    <row r="45" spans="1:57">
      <c r="A45" s="12" t="s">
        <v>543</v>
      </c>
      <c r="B45" s="12"/>
      <c r="C45" s="12" t="s">
        <v>48</v>
      </c>
      <c r="D45" s="12"/>
      <c r="E45" s="32">
        <v>48611</v>
      </c>
      <c r="G45" s="8">
        <v>3142091</v>
      </c>
      <c r="H45" s="8"/>
      <c r="I45" s="8">
        <v>910107</v>
      </c>
      <c r="J45" s="8"/>
      <c r="K45" s="8">
        <v>0</v>
      </c>
      <c r="L45" s="8"/>
      <c r="M45" s="8">
        <v>263344</v>
      </c>
      <c r="N45" s="8"/>
      <c r="O45" s="8">
        <v>249100</v>
      </c>
      <c r="P45" s="8"/>
      <c r="Q45" s="8">
        <v>273086</v>
      </c>
      <c r="R45" s="8"/>
      <c r="S45" s="8">
        <v>38584</v>
      </c>
      <c r="T45" s="8"/>
      <c r="U45" s="8">
        <v>692296</v>
      </c>
      <c r="V45" s="8"/>
      <c r="W45" s="8">
        <v>297575</v>
      </c>
      <c r="X45" s="8"/>
      <c r="Y45" s="8">
        <v>75838</v>
      </c>
      <c r="Z45" s="8"/>
      <c r="AA45" s="8">
        <v>620367</v>
      </c>
      <c r="AB45" s="8"/>
      <c r="AC45" s="8">
        <v>692442</v>
      </c>
      <c r="AD45" s="8"/>
      <c r="AE45" s="8">
        <v>180683</v>
      </c>
      <c r="AF45" s="8"/>
      <c r="AG45" s="12" t="s">
        <v>543</v>
      </c>
      <c r="AH45" s="12"/>
      <c r="AI45" s="12" t="s">
        <v>48</v>
      </c>
      <c r="AJ45" s="12"/>
      <c r="AK45" s="8">
        <v>0</v>
      </c>
      <c r="AL45" s="8"/>
      <c r="AM45" s="8">
        <v>362008</v>
      </c>
      <c r="AN45" s="8"/>
      <c r="AO45" s="8">
        <v>318245</v>
      </c>
      <c r="AP45" s="8"/>
      <c r="AQ45" s="8">
        <v>46560</v>
      </c>
      <c r="AR45" s="8"/>
      <c r="AS45" s="8"/>
      <c r="AT45" s="8"/>
      <c r="AU45" s="8">
        <v>56992</v>
      </c>
      <c r="AV45" s="8"/>
      <c r="AW45" s="8">
        <f t="shared" si="0"/>
        <v>8219318</v>
      </c>
      <c r="AY45" s="8">
        <f>+'St of Activites - GA Rev'!AI44-'St of Activities - GA Exp'!AW45</f>
        <v>17314</v>
      </c>
      <c r="BA45" s="8">
        <v>5225397</v>
      </c>
      <c r="BC45" s="8">
        <f t="shared" si="1"/>
        <v>5242711</v>
      </c>
      <c r="BE45" s="8">
        <f>+'St of Net Assets - GA'!AA44-'St of Activities - GA Exp'!BC45</f>
        <v>0</v>
      </c>
    </row>
    <row r="46" spans="1:57">
      <c r="A46" s="12" t="s">
        <v>271</v>
      </c>
      <c r="B46" s="12"/>
      <c r="C46" s="12" t="s">
        <v>116</v>
      </c>
      <c r="D46" s="12"/>
      <c r="E46" s="32">
        <v>46318</v>
      </c>
      <c r="G46" s="8">
        <v>9163779</v>
      </c>
      <c r="H46" s="8"/>
      <c r="I46" s="8">
        <v>1599298</v>
      </c>
      <c r="J46" s="8"/>
      <c r="K46" s="8">
        <v>220782</v>
      </c>
      <c r="L46" s="8"/>
      <c r="M46" s="8">
        <v>102608</v>
      </c>
      <c r="N46" s="8"/>
      <c r="O46" s="8">
        <v>667477</v>
      </c>
      <c r="P46" s="8"/>
      <c r="Q46" s="8">
        <v>878548</v>
      </c>
      <c r="R46" s="8"/>
      <c r="S46" s="8">
        <v>26304</v>
      </c>
      <c r="T46" s="8"/>
      <c r="U46" s="8">
        <v>1092761</v>
      </c>
      <c r="V46" s="8"/>
      <c r="W46" s="8">
        <v>415680</v>
      </c>
      <c r="X46" s="8"/>
      <c r="Y46" s="8">
        <v>0</v>
      </c>
      <c r="Z46" s="8"/>
      <c r="AA46" s="8">
        <v>1665629</v>
      </c>
      <c r="AB46" s="8"/>
      <c r="AC46" s="8">
        <v>1363683</v>
      </c>
      <c r="AD46" s="8"/>
      <c r="AE46" s="8">
        <v>176562</v>
      </c>
      <c r="AF46" s="8"/>
      <c r="AG46" s="12" t="s">
        <v>271</v>
      </c>
      <c r="AH46" s="12"/>
      <c r="AI46" s="12" t="s">
        <v>116</v>
      </c>
      <c r="AJ46" s="12"/>
      <c r="AK46" s="8">
        <v>0</v>
      </c>
      <c r="AL46" s="8"/>
      <c r="AM46" s="8">
        <v>560553</v>
      </c>
      <c r="AN46" s="8"/>
      <c r="AO46" s="8">
        <v>438840</v>
      </c>
      <c r="AP46" s="8"/>
      <c r="AQ46" s="8">
        <v>402879</v>
      </c>
      <c r="AR46" s="8"/>
      <c r="AS46" s="8"/>
      <c r="AT46" s="8"/>
      <c r="AU46" s="8">
        <v>0</v>
      </c>
      <c r="AV46" s="8"/>
      <c r="AW46" s="8">
        <f t="shared" si="0"/>
        <v>18775383</v>
      </c>
      <c r="AY46" s="8">
        <f>+'St of Activites - GA Rev'!AI45-'St of Activities - GA Exp'!AW46</f>
        <v>-1532524</v>
      </c>
      <c r="BA46" s="8">
        <v>25047553</v>
      </c>
      <c r="BC46" s="8">
        <f t="shared" si="1"/>
        <v>23515029</v>
      </c>
      <c r="BE46" s="8">
        <f>+'St of Net Assets - GA'!AA45-'St of Activities - GA Exp'!BC46</f>
        <v>0</v>
      </c>
    </row>
    <row r="47" spans="1:57">
      <c r="A47" s="12" t="s">
        <v>356</v>
      </c>
      <c r="B47" s="12"/>
      <c r="C47" s="12" t="s">
        <v>27</v>
      </c>
      <c r="D47" s="12"/>
      <c r="E47" s="32">
        <v>43620</v>
      </c>
      <c r="G47" s="8">
        <v>14632991</v>
      </c>
      <c r="H47" s="8"/>
      <c r="I47" s="8">
        <v>3083685</v>
      </c>
      <c r="J47" s="8"/>
      <c r="K47" s="8">
        <v>332992</v>
      </c>
      <c r="L47" s="8"/>
      <c r="M47" s="8">
        <v>0</v>
      </c>
      <c r="N47" s="8"/>
      <c r="O47" s="8">
        <v>1346387</v>
      </c>
      <c r="P47" s="8"/>
      <c r="Q47" s="8">
        <v>2064549</v>
      </c>
      <c r="R47" s="8"/>
      <c r="S47" s="8">
        <v>45043</v>
      </c>
      <c r="T47" s="8"/>
      <c r="U47" s="8">
        <v>1876504</v>
      </c>
      <c r="V47" s="8"/>
      <c r="W47" s="8">
        <v>0</v>
      </c>
      <c r="X47" s="8"/>
      <c r="Y47" s="8">
        <v>1124641</v>
      </c>
      <c r="Z47" s="8"/>
      <c r="AA47" s="8">
        <v>3178939</v>
      </c>
      <c r="AB47" s="8"/>
      <c r="AC47" s="8">
        <v>813372</v>
      </c>
      <c r="AD47" s="8"/>
      <c r="AE47" s="8">
        <v>181623</v>
      </c>
      <c r="AF47" s="8"/>
      <c r="AG47" s="12" t="s">
        <v>356</v>
      </c>
      <c r="AH47" s="12"/>
      <c r="AI47" s="12" t="s">
        <v>27</v>
      </c>
      <c r="AJ47" s="12"/>
      <c r="AK47" s="8">
        <v>515997</v>
      </c>
      <c r="AL47" s="8"/>
      <c r="AM47" s="8">
        <v>797386</v>
      </c>
      <c r="AN47" s="8"/>
      <c r="AO47" s="8">
        <v>1075768</v>
      </c>
      <c r="AP47" s="8"/>
      <c r="AQ47" s="8">
        <v>1525690</v>
      </c>
      <c r="AR47" s="8"/>
      <c r="AS47" s="8"/>
      <c r="AT47" s="8"/>
      <c r="AU47" s="8">
        <v>1190227</v>
      </c>
      <c r="AV47" s="8"/>
      <c r="AW47" s="8">
        <f t="shared" si="0"/>
        <v>33785794</v>
      </c>
      <c r="AY47" s="8">
        <f>+'St of Activites - GA Rev'!AI46-'St of Activities - GA Exp'!AW47</f>
        <v>2710751</v>
      </c>
      <c r="BA47" s="8">
        <v>28070453</v>
      </c>
      <c r="BC47" s="8">
        <f t="shared" si="1"/>
        <v>30781204</v>
      </c>
      <c r="BE47" s="8">
        <f>+'St of Net Assets - GA'!AA46-'St of Activities - GA Exp'!BC47</f>
        <v>0</v>
      </c>
    </row>
    <row r="48" spans="1:57" ht="12" customHeight="1">
      <c r="A48" s="12" t="s">
        <v>336</v>
      </c>
      <c r="B48" s="12"/>
      <c r="C48" s="12" t="s">
        <v>23</v>
      </c>
      <c r="D48" s="12"/>
      <c r="E48" s="32">
        <v>46748</v>
      </c>
      <c r="G48" s="8">
        <v>12151170</v>
      </c>
      <c r="H48" s="8"/>
      <c r="I48" s="8">
        <v>3293665</v>
      </c>
      <c r="J48" s="8"/>
      <c r="K48" s="8">
        <v>402201</v>
      </c>
      <c r="L48" s="8"/>
      <c r="M48" s="8">
        <v>0</v>
      </c>
      <c r="N48" s="8"/>
      <c r="O48" s="8">
        <v>1330211</v>
      </c>
      <c r="P48" s="8"/>
      <c r="Q48" s="8">
        <v>1075658</v>
      </c>
      <c r="R48" s="8"/>
      <c r="S48" s="8">
        <v>203318</v>
      </c>
      <c r="T48" s="8"/>
      <c r="U48" s="8">
        <v>2390141</v>
      </c>
      <c r="V48" s="8"/>
      <c r="W48" s="8">
        <v>884013</v>
      </c>
      <c r="X48" s="8"/>
      <c r="Y48" s="8">
        <v>221413</v>
      </c>
      <c r="Z48" s="8"/>
      <c r="AA48" s="8">
        <v>2193705</v>
      </c>
      <c r="AB48" s="8"/>
      <c r="AC48" s="8">
        <v>1944429</v>
      </c>
      <c r="AD48" s="8"/>
      <c r="AE48" s="8">
        <v>7283</v>
      </c>
      <c r="AF48" s="8"/>
      <c r="AG48" s="12" t="s">
        <v>336</v>
      </c>
      <c r="AH48" s="12"/>
      <c r="AI48" s="12" t="s">
        <v>23</v>
      </c>
      <c r="AJ48" s="12"/>
      <c r="AK48" s="8">
        <v>0</v>
      </c>
      <c r="AL48" s="8"/>
      <c r="AM48" s="8">
        <v>990184</v>
      </c>
      <c r="AN48" s="8"/>
      <c r="AO48" s="8">
        <v>711089</v>
      </c>
      <c r="AP48" s="8"/>
      <c r="AQ48" s="8">
        <v>850009</v>
      </c>
      <c r="AR48" s="8"/>
      <c r="AS48" s="8"/>
      <c r="AT48" s="8"/>
      <c r="AU48" s="8">
        <v>0</v>
      </c>
      <c r="AV48" s="8"/>
      <c r="AW48" s="8">
        <f t="shared" si="0"/>
        <v>28648489</v>
      </c>
      <c r="AY48" s="8">
        <f>+'St of Activites - GA Rev'!AI47-'St of Activities - GA Exp'!AW48</f>
        <v>178300</v>
      </c>
      <c r="BA48" s="8">
        <v>9315681</v>
      </c>
      <c r="BC48" s="8">
        <f t="shared" si="1"/>
        <v>9493981</v>
      </c>
      <c r="BE48" s="8">
        <f>+'St of Net Assets - GA'!AA47-'St of Activities - GA Exp'!BC48</f>
        <v>0</v>
      </c>
    </row>
    <row r="49" spans="1:57" ht="12" customHeight="1">
      <c r="A49" s="12" t="s">
        <v>531</v>
      </c>
      <c r="B49" s="12"/>
      <c r="C49" s="12" t="s">
        <v>47</v>
      </c>
      <c r="D49" s="12"/>
      <c r="E49" s="32">
        <v>48462</v>
      </c>
      <c r="G49" s="8">
        <v>7493960</v>
      </c>
      <c r="H49" s="8"/>
      <c r="I49" s="8">
        <v>1906869</v>
      </c>
      <c r="J49" s="8"/>
      <c r="K49" s="8">
        <v>158475</v>
      </c>
      <c r="L49" s="8"/>
      <c r="M49" s="8">
        <v>5549</v>
      </c>
      <c r="N49" s="8"/>
      <c r="O49" s="8">
        <v>745138</v>
      </c>
      <c r="P49" s="8"/>
      <c r="Q49" s="8">
        <v>661370</v>
      </c>
      <c r="R49" s="8"/>
      <c r="S49" s="8">
        <v>38929</v>
      </c>
      <c r="T49" s="8"/>
      <c r="U49" s="8">
        <v>1107440</v>
      </c>
      <c r="V49" s="8"/>
      <c r="W49" s="8">
        <v>458134</v>
      </c>
      <c r="X49" s="8"/>
      <c r="Y49" s="8">
        <v>17528</v>
      </c>
      <c r="Z49" s="8"/>
      <c r="AA49" s="8">
        <v>1519938</v>
      </c>
      <c r="AB49" s="8"/>
      <c r="AC49" s="8">
        <v>1153048</v>
      </c>
      <c r="AD49" s="8"/>
      <c r="AE49" s="8">
        <v>53302</v>
      </c>
      <c r="AF49" s="8"/>
      <c r="AG49" s="12" t="s">
        <v>531</v>
      </c>
      <c r="AH49" s="12"/>
      <c r="AI49" s="12" t="s">
        <v>47</v>
      </c>
      <c r="AJ49" s="12"/>
      <c r="AK49" s="8">
        <v>532137</v>
      </c>
      <c r="AL49" s="8"/>
      <c r="AM49" s="8">
        <v>23736</v>
      </c>
      <c r="AN49" s="8"/>
      <c r="AO49" s="8">
        <v>584556</v>
      </c>
      <c r="AP49" s="8"/>
      <c r="AQ49" s="8">
        <v>374910</v>
      </c>
      <c r="AR49" s="8"/>
      <c r="AS49" s="8"/>
      <c r="AT49" s="8"/>
      <c r="AU49" s="8">
        <v>0</v>
      </c>
      <c r="AV49" s="8"/>
      <c r="AW49" s="8">
        <f t="shared" si="0"/>
        <v>16835019</v>
      </c>
      <c r="AY49" s="8">
        <f>+'St of Activites - GA Rev'!AI48-'St of Activities - GA Exp'!AW49</f>
        <v>-2255561</v>
      </c>
      <c r="BA49" s="8">
        <v>8868733</v>
      </c>
      <c r="BC49" s="8">
        <f t="shared" si="1"/>
        <v>6613172</v>
      </c>
      <c r="BE49" s="8">
        <f>+'St of Net Assets - GA'!AA48-'St of Activities - GA Exp'!BC49</f>
        <v>0</v>
      </c>
    </row>
    <row r="50" spans="1:57">
      <c r="A50" s="12" t="s">
        <v>278</v>
      </c>
      <c r="B50" s="12"/>
      <c r="C50" s="12" t="s">
        <v>18</v>
      </c>
      <c r="D50" s="12"/>
      <c r="E50" s="32">
        <v>46383</v>
      </c>
      <c r="G50" s="8">
        <v>6612172</v>
      </c>
      <c r="H50" s="8"/>
      <c r="I50" s="8">
        <v>1099038</v>
      </c>
      <c r="J50" s="8"/>
      <c r="K50" s="8">
        <v>377190</v>
      </c>
      <c r="L50" s="8"/>
      <c r="M50" s="8">
        <v>615357</v>
      </c>
      <c r="N50" s="8"/>
      <c r="O50" s="8">
        <v>704602</v>
      </c>
      <c r="P50" s="8"/>
      <c r="Q50" s="8">
        <v>1491777</v>
      </c>
      <c r="R50" s="8"/>
      <c r="S50" s="8">
        <v>27810</v>
      </c>
      <c r="T50" s="8"/>
      <c r="U50" s="8">
        <v>1150061</v>
      </c>
      <c r="V50" s="8"/>
      <c r="W50" s="8">
        <v>370035</v>
      </c>
      <c r="X50" s="8"/>
      <c r="Y50" s="8">
        <v>8261</v>
      </c>
      <c r="Z50" s="8"/>
      <c r="AA50" s="8">
        <v>1362839</v>
      </c>
      <c r="AB50" s="8"/>
      <c r="AC50" s="8">
        <v>1071645</v>
      </c>
      <c r="AD50" s="8"/>
      <c r="AE50" s="8">
        <v>27258</v>
      </c>
      <c r="AF50" s="8"/>
      <c r="AG50" s="12" t="s">
        <v>278</v>
      </c>
      <c r="AH50" s="12"/>
      <c r="AI50" s="12" t="s">
        <v>18</v>
      </c>
      <c r="AJ50" s="12"/>
      <c r="AK50" s="8">
        <v>0</v>
      </c>
      <c r="AL50" s="8"/>
      <c r="AM50" s="8">
        <v>848525</v>
      </c>
      <c r="AN50" s="8"/>
      <c r="AO50" s="8">
        <v>461943</v>
      </c>
      <c r="AP50" s="8"/>
      <c r="AQ50" s="8">
        <v>184342</v>
      </c>
      <c r="AR50" s="8"/>
      <c r="AS50" s="8"/>
      <c r="AT50" s="8"/>
      <c r="AU50" s="8">
        <v>0</v>
      </c>
      <c r="AV50" s="8"/>
      <c r="AW50" s="8">
        <f t="shared" si="0"/>
        <v>16412855</v>
      </c>
      <c r="AY50" s="8">
        <f>+'St of Activites - GA Rev'!AI49-'St of Activities - GA Exp'!AW50</f>
        <v>-989647</v>
      </c>
      <c r="BA50" s="8">
        <v>22456799</v>
      </c>
      <c r="BC50" s="8">
        <f t="shared" si="1"/>
        <v>21467152</v>
      </c>
      <c r="BE50" s="8">
        <f>+'St of Net Assets - GA'!AA49-'St of Activities - GA Exp'!BC50</f>
        <v>0</v>
      </c>
    </row>
    <row r="51" spans="1:57">
      <c r="A51" s="12" t="s">
        <v>349</v>
      </c>
      <c r="B51" s="12"/>
      <c r="C51" s="12" t="s">
        <v>25</v>
      </c>
      <c r="D51" s="12"/>
      <c r="E51" s="32">
        <v>46862</v>
      </c>
      <c r="G51" s="8">
        <v>5266713</v>
      </c>
      <c r="H51" s="8"/>
      <c r="I51" s="8">
        <v>1500518</v>
      </c>
      <c r="J51" s="8"/>
      <c r="K51" s="8">
        <v>215989</v>
      </c>
      <c r="L51" s="8"/>
      <c r="M51" s="8">
        <v>650591</v>
      </c>
      <c r="N51" s="8"/>
      <c r="O51" s="8">
        <v>636466</v>
      </c>
      <c r="P51" s="8"/>
      <c r="Q51" s="8">
        <v>802976</v>
      </c>
      <c r="R51" s="8"/>
      <c r="S51" s="8">
        <v>99343</v>
      </c>
      <c r="T51" s="8"/>
      <c r="U51" s="8">
        <v>1659235</v>
      </c>
      <c r="V51" s="8"/>
      <c r="W51" s="8">
        <v>132424</v>
      </c>
      <c r="X51" s="8"/>
      <c r="Y51" s="8">
        <v>0</v>
      </c>
      <c r="Z51" s="8"/>
      <c r="AA51" s="8">
        <v>790069</v>
      </c>
      <c r="AB51" s="8"/>
      <c r="AC51" s="8">
        <v>943116</v>
      </c>
      <c r="AD51" s="8"/>
      <c r="AE51" s="8">
        <v>46158</v>
      </c>
      <c r="AF51" s="8"/>
      <c r="AG51" s="12" t="s">
        <v>349</v>
      </c>
      <c r="AH51" s="12"/>
      <c r="AI51" s="12" t="s">
        <v>25</v>
      </c>
      <c r="AJ51" s="12"/>
      <c r="AK51" s="8">
        <v>408589</v>
      </c>
      <c r="AL51" s="8"/>
      <c r="AM51" s="8">
        <v>2000</v>
      </c>
      <c r="AN51" s="8"/>
      <c r="AO51" s="8">
        <v>607674</v>
      </c>
      <c r="AP51" s="8"/>
      <c r="AQ51" s="8">
        <v>0</v>
      </c>
      <c r="AR51" s="8"/>
      <c r="AS51" s="8"/>
      <c r="AT51" s="8"/>
      <c r="AU51" s="8">
        <v>0</v>
      </c>
      <c r="AV51" s="8"/>
      <c r="AW51" s="8">
        <f t="shared" si="0"/>
        <v>13761861</v>
      </c>
      <c r="AY51" s="8">
        <f>+'St of Activites - GA Rev'!AI50-'St of Activities - GA Exp'!AW51</f>
        <v>1226305</v>
      </c>
      <c r="BA51" s="8">
        <v>4947697</v>
      </c>
      <c r="BC51" s="8">
        <f t="shared" si="1"/>
        <v>6174002</v>
      </c>
      <c r="BE51" s="8">
        <f>+'St of Net Assets - GA'!AA50-'St of Activities - GA Exp'!BC51</f>
        <v>0</v>
      </c>
    </row>
    <row r="52" spans="1:57">
      <c r="A52" s="12" t="s">
        <v>680</v>
      </c>
      <c r="B52" s="12"/>
      <c r="C52" s="12" t="s">
        <v>64</v>
      </c>
      <c r="D52" s="12"/>
      <c r="E52" s="32">
        <v>50096</v>
      </c>
      <c r="G52" s="8">
        <v>1607815</v>
      </c>
      <c r="H52" s="8"/>
      <c r="I52" s="8">
        <v>401996</v>
      </c>
      <c r="J52" s="8"/>
      <c r="K52" s="8">
        <v>66018</v>
      </c>
      <c r="L52" s="8"/>
      <c r="M52" s="8">
        <v>18471</v>
      </c>
      <c r="N52" s="8"/>
      <c r="O52" s="8">
        <v>137385</v>
      </c>
      <c r="P52" s="8"/>
      <c r="Q52" s="8">
        <v>245045</v>
      </c>
      <c r="R52" s="8"/>
      <c r="S52" s="8">
        <v>20844</v>
      </c>
      <c r="T52" s="8"/>
      <c r="U52" s="8">
        <v>388402</v>
      </c>
      <c r="V52" s="8"/>
      <c r="W52" s="8">
        <v>202285</v>
      </c>
      <c r="X52" s="8"/>
      <c r="Y52" s="8">
        <v>0</v>
      </c>
      <c r="Z52" s="8"/>
      <c r="AA52" s="8">
        <v>353078</v>
      </c>
      <c r="AB52" s="8"/>
      <c r="AC52" s="8">
        <v>207894</v>
      </c>
      <c r="AD52" s="8"/>
      <c r="AE52" s="8">
        <v>6000</v>
      </c>
      <c r="AF52" s="8"/>
      <c r="AG52" s="12" t="s">
        <v>680</v>
      </c>
      <c r="AH52" s="12"/>
      <c r="AI52" s="12" t="s">
        <v>64</v>
      </c>
      <c r="AJ52" s="12"/>
      <c r="AK52" s="8">
        <v>127690</v>
      </c>
      <c r="AL52" s="8"/>
      <c r="AM52" s="8">
        <v>2516</v>
      </c>
      <c r="AN52" s="8"/>
      <c r="AO52" s="8">
        <v>88094</v>
      </c>
      <c r="AP52" s="8"/>
      <c r="AQ52" s="8">
        <v>167</v>
      </c>
      <c r="AR52" s="8"/>
      <c r="AS52" s="8"/>
      <c r="AT52" s="8"/>
      <c r="AU52" s="8">
        <v>0</v>
      </c>
      <c r="AV52" s="8"/>
      <c r="AW52" s="8">
        <f t="shared" si="0"/>
        <v>3873700</v>
      </c>
      <c r="AY52" s="8">
        <f>+'St of Activites - GA Rev'!AI51-'St of Activities - GA Exp'!AW52</f>
        <v>84345</v>
      </c>
      <c r="BA52" s="8">
        <v>1309052</v>
      </c>
      <c r="BC52" s="8">
        <f t="shared" si="1"/>
        <v>1393397</v>
      </c>
      <c r="BE52" s="8">
        <f>+'St of Net Assets - GA'!AA51-'St of Activities - GA Exp'!BC52</f>
        <v>0</v>
      </c>
    </row>
    <row r="53" spans="1:57">
      <c r="A53" s="12" t="s">
        <v>631</v>
      </c>
      <c r="B53" s="12"/>
      <c r="C53" s="12" t="s">
        <v>59</v>
      </c>
      <c r="D53" s="12"/>
      <c r="E53" s="32">
        <v>49593</v>
      </c>
      <c r="G53" s="8">
        <v>4602233</v>
      </c>
      <c r="H53" s="8"/>
      <c r="I53" s="8">
        <v>1120681</v>
      </c>
      <c r="J53" s="8"/>
      <c r="K53" s="8">
        <v>418</v>
      </c>
      <c r="L53" s="8"/>
      <c r="M53" s="8">
        <v>260893</v>
      </c>
      <c r="N53" s="8"/>
      <c r="O53" s="8">
        <v>352570</v>
      </c>
      <c r="P53" s="8"/>
      <c r="Q53" s="8">
        <v>517295</v>
      </c>
      <c r="R53" s="8"/>
      <c r="S53" s="8">
        <v>29204</v>
      </c>
      <c r="T53" s="8"/>
      <c r="U53" s="8">
        <v>799920</v>
      </c>
      <c r="V53" s="8"/>
      <c r="W53" s="8">
        <v>250396</v>
      </c>
      <c r="X53" s="8"/>
      <c r="Y53" s="8">
        <v>47238</v>
      </c>
      <c r="Z53" s="8"/>
      <c r="AA53" s="8">
        <v>1160895</v>
      </c>
      <c r="AB53" s="8"/>
      <c r="AC53" s="8">
        <v>826293</v>
      </c>
      <c r="AD53" s="8"/>
      <c r="AE53" s="8">
        <v>9407</v>
      </c>
      <c r="AF53" s="8"/>
      <c r="AG53" s="12" t="s">
        <v>631</v>
      </c>
      <c r="AH53" s="12"/>
      <c r="AI53" s="12" t="s">
        <v>59</v>
      </c>
      <c r="AJ53" s="12"/>
      <c r="AK53" s="8">
        <v>524900</v>
      </c>
      <c r="AL53" s="8"/>
      <c r="AM53" s="8">
        <f>677+43500</f>
        <v>44177</v>
      </c>
      <c r="AN53" s="8"/>
      <c r="AO53" s="8">
        <v>191498</v>
      </c>
      <c r="AP53" s="8"/>
      <c r="AQ53" s="8">
        <v>40805</v>
      </c>
      <c r="AR53" s="8"/>
      <c r="AS53" s="8"/>
      <c r="AT53" s="8"/>
      <c r="AU53" s="8">
        <v>0</v>
      </c>
      <c r="AV53" s="8"/>
      <c r="AW53" s="8">
        <f>SUM(G53:AV53)</f>
        <v>10778823</v>
      </c>
      <c r="AY53" s="8">
        <f>+'St of Activites - GA Rev'!AI52-'St of Activities - GA Exp'!AW53</f>
        <v>-778280</v>
      </c>
      <c r="BA53" s="8">
        <v>18648774</v>
      </c>
      <c r="BC53" s="8">
        <f>+AY53+BA53</f>
        <v>17870494</v>
      </c>
      <c r="BE53" s="8">
        <f>+'St of Net Assets - GA'!AA52-'St of Activities - GA Exp'!BC53</f>
        <v>0</v>
      </c>
    </row>
    <row r="54" spans="1:57" ht="12" customHeight="1">
      <c r="A54" s="12" t="s">
        <v>515</v>
      </c>
      <c r="B54" s="12"/>
      <c r="C54" s="12" t="s">
        <v>45</v>
      </c>
      <c r="D54" s="12"/>
      <c r="E54" s="32">
        <v>48306</v>
      </c>
      <c r="G54" s="8">
        <v>22144969</v>
      </c>
      <c r="H54" s="8"/>
      <c r="I54" s="8">
        <v>3479375</v>
      </c>
      <c r="J54" s="8"/>
      <c r="K54" s="8">
        <v>0</v>
      </c>
      <c r="L54" s="8"/>
      <c r="M54" s="8">
        <f>10602+398242</f>
        <v>408844</v>
      </c>
      <c r="N54" s="8"/>
      <c r="O54" s="8">
        <v>1822678</v>
      </c>
      <c r="P54" s="8"/>
      <c r="Q54" s="8">
        <v>2575986</v>
      </c>
      <c r="R54" s="8"/>
      <c r="S54" s="8">
        <v>117067</v>
      </c>
      <c r="T54" s="8"/>
      <c r="U54" s="8">
        <v>2632700</v>
      </c>
      <c r="V54" s="8"/>
      <c r="W54" s="8">
        <v>1010439</v>
      </c>
      <c r="X54" s="8"/>
      <c r="Y54" s="8">
        <v>136485</v>
      </c>
      <c r="Z54" s="8"/>
      <c r="AA54" s="8">
        <v>4145702</v>
      </c>
      <c r="AB54" s="8"/>
      <c r="AC54" s="8">
        <v>3069931</v>
      </c>
      <c r="AD54" s="8"/>
      <c r="AE54" s="8">
        <v>160856</v>
      </c>
      <c r="AF54" s="8"/>
      <c r="AG54" s="12" t="s">
        <v>515</v>
      </c>
      <c r="AH54" s="12"/>
      <c r="AI54" s="12" t="s">
        <v>45</v>
      </c>
      <c r="AJ54" s="12"/>
      <c r="AK54" s="8">
        <v>1340907</v>
      </c>
      <c r="AL54" s="8"/>
      <c r="AM54" s="8">
        <v>795646</v>
      </c>
      <c r="AN54" s="8"/>
      <c r="AO54" s="8">
        <v>1114688</v>
      </c>
      <c r="AP54" s="8"/>
      <c r="AQ54" s="8">
        <v>51698</v>
      </c>
      <c r="AR54" s="8"/>
      <c r="AS54" s="8"/>
      <c r="AT54" s="8"/>
      <c r="AU54" s="8">
        <v>0</v>
      </c>
      <c r="AV54" s="8"/>
      <c r="AW54" s="8">
        <f t="shared" si="0"/>
        <v>45007971</v>
      </c>
      <c r="AY54" s="8">
        <f>+'St of Activites - GA Rev'!AI53-'St of Activities - GA Exp'!AW54</f>
        <v>2797202</v>
      </c>
      <c r="BA54" s="8">
        <v>22524431</v>
      </c>
      <c r="BC54" s="8">
        <f t="shared" si="1"/>
        <v>25321633</v>
      </c>
      <c r="BE54" s="8">
        <f>+'St of Net Assets - GA'!AA53-'St of Activities - GA Exp'!BC54</f>
        <v>0</v>
      </c>
    </row>
    <row r="55" spans="1:57">
      <c r="A55" s="12" t="s">
        <v>647</v>
      </c>
      <c r="B55" s="12"/>
      <c r="C55" s="12" t="s">
        <v>61</v>
      </c>
      <c r="D55" s="12"/>
      <c r="E55" s="32">
        <v>49767</v>
      </c>
      <c r="G55" s="8">
        <v>2315489</v>
      </c>
      <c r="H55" s="8"/>
      <c r="I55" s="8">
        <v>473002</v>
      </c>
      <c r="J55" s="8"/>
      <c r="K55" s="8">
        <v>153449</v>
      </c>
      <c r="L55" s="8"/>
      <c r="M55" s="8">
        <v>40035</v>
      </c>
      <c r="N55" s="8"/>
      <c r="O55" s="8">
        <v>238786</v>
      </c>
      <c r="P55" s="8"/>
      <c r="Q55" s="8">
        <v>282142</v>
      </c>
      <c r="R55" s="8"/>
      <c r="S55" s="8">
        <v>11227</v>
      </c>
      <c r="T55" s="8"/>
      <c r="U55" s="8">
        <v>426499</v>
      </c>
      <c r="V55" s="8"/>
      <c r="W55" s="8">
        <v>181809</v>
      </c>
      <c r="X55" s="8"/>
      <c r="Y55" s="8">
        <v>0</v>
      </c>
      <c r="Z55" s="8"/>
      <c r="AA55" s="8">
        <v>341953</v>
      </c>
      <c r="AB55" s="8"/>
      <c r="AC55" s="8">
        <v>142707</v>
      </c>
      <c r="AD55" s="8"/>
      <c r="AE55" s="8">
        <v>5492</v>
      </c>
      <c r="AF55" s="8"/>
      <c r="AG55" s="12" t="s">
        <v>647</v>
      </c>
      <c r="AH55" s="12"/>
      <c r="AI55" s="12" t="s">
        <v>61</v>
      </c>
      <c r="AJ55" s="12"/>
      <c r="AK55" s="8">
        <v>0</v>
      </c>
      <c r="AL55" s="8"/>
      <c r="AM55" s="8">
        <v>222743</v>
      </c>
      <c r="AN55" s="8"/>
      <c r="AO55" s="8">
        <v>246696</v>
      </c>
      <c r="AP55" s="8"/>
      <c r="AQ55" s="8">
        <v>50923</v>
      </c>
      <c r="AR55" s="8"/>
      <c r="AS55" s="8"/>
      <c r="AT55" s="8"/>
      <c r="AU55" s="8">
        <v>0</v>
      </c>
      <c r="AV55" s="8"/>
      <c r="AW55" s="8">
        <f t="shared" si="0"/>
        <v>5132952</v>
      </c>
      <c r="AY55" s="8">
        <f>+'St of Activites - GA Rev'!AI54-'St of Activities - GA Exp'!AW55</f>
        <v>-162716</v>
      </c>
      <c r="BA55" s="8">
        <v>5206311</v>
      </c>
      <c r="BC55" s="8">
        <f t="shared" si="1"/>
        <v>5043595</v>
      </c>
      <c r="BE55" s="8">
        <f>+'St of Net Assets - GA'!AA54-'St of Activities - GA Exp'!BC55</f>
        <v>0</v>
      </c>
    </row>
    <row r="56" spans="1:57">
      <c r="A56" s="12" t="s">
        <v>782</v>
      </c>
      <c r="B56" s="12"/>
      <c r="C56" s="12" t="s">
        <v>72</v>
      </c>
      <c r="D56" s="12"/>
      <c r="E56" s="32">
        <v>43638</v>
      </c>
      <c r="G56" s="8">
        <v>19490449</v>
      </c>
      <c r="H56" s="8"/>
      <c r="I56" s="8">
        <v>0</v>
      </c>
      <c r="J56" s="8"/>
      <c r="K56" s="8">
        <v>0</v>
      </c>
      <c r="L56" s="8"/>
      <c r="M56" s="8">
        <v>0</v>
      </c>
      <c r="N56" s="8"/>
      <c r="O56" s="8">
        <v>11922517</v>
      </c>
      <c r="P56" s="8"/>
      <c r="Q56" s="8">
        <v>0</v>
      </c>
      <c r="R56" s="8"/>
      <c r="S56" s="8">
        <v>0</v>
      </c>
      <c r="T56" s="8"/>
      <c r="U56" s="8">
        <v>0</v>
      </c>
      <c r="V56" s="8"/>
      <c r="W56" s="8">
        <v>0</v>
      </c>
      <c r="X56" s="8"/>
      <c r="Y56" s="8">
        <v>0</v>
      </c>
      <c r="Z56" s="8"/>
      <c r="AA56" s="8">
        <v>0</v>
      </c>
      <c r="AB56" s="8"/>
      <c r="AC56" s="8">
        <v>0</v>
      </c>
      <c r="AD56" s="8"/>
      <c r="AE56" s="8">
        <v>0</v>
      </c>
      <c r="AF56" s="8"/>
      <c r="AG56" s="12" t="s">
        <v>782</v>
      </c>
      <c r="AH56" s="12"/>
      <c r="AI56" s="12" t="s">
        <v>72</v>
      </c>
      <c r="AJ56" s="12"/>
      <c r="AK56" s="8">
        <v>0</v>
      </c>
      <c r="AL56" s="8"/>
      <c r="AM56" s="8">
        <v>351051</v>
      </c>
      <c r="AN56" s="8"/>
      <c r="AO56" s="8">
        <v>1005867</v>
      </c>
      <c r="AP56" s="8"/>
      <c r="AQ56" s="8">
        <v>1314887</v>
      </c>
      <c r="AR56" s="8"/>
      <c r="AS56" s="8"/>
      <c r="AT56" s="8"/>
      <c r="AU56" s="8">
        <f>1533322+31629</f>
        <v>1564951</v>
      </c>
      <c r="AV56" s="8"/>
      <c r="AW56" s="8">
        <f t="shared" si="0"/>
        <v>35649722</v>
      </c>
      <c r="AY56" s="8">
        <f>+'St of Activites - GA Rev'!AI55-'St of Activities - GA Exp'!AW56</f>
        <v>167602</v>
      </c>
      <c r="BA56" s="8">
        <v>19342439</v>
      </c>
      <c r="BC56" s="8">
        <f t="shared" si="1"/>
        <v>19510041</v>
      </c>
      <c r="BE56" s="8">
        <f>+'St of Net Assets - GA'!AA55-'St of Activities - GA Exp'!BC56</f>
        <v>0</v>
      </c>
    </row>
    <row r="57" spans="1:57">
      <c r="A57" s="12" t="s">
        <v>984</v>
      </c>
      <c r="B57" s="12"/>
      <c r="C57" s="12" t="s">
        <v>20</v>
      </c>
      <c r="D57" s="12"/>
      <c r="E57" s="32">
        <v>43646</v>
      </c>
      <c r="G57" s="8">
        <v>23337016</v>
      </c>
      <c r="H57" s="8"/>
      <c r="I57" s="8">
        <v>5595524</v>
      </c>
      <c r="J57" s="8"/>
      <c r="K57" s="8">
        <v>236342</v>
      </c>
      <c r="L57" s="8"/>
      <c r="M57" s="8">
        <v>22538</v>
      </c>
      <c r="N57" s="8"/>
      <c r="O57" s="8">
        <v>3507991</v>
      </c>
      <c r="P57" s="8"/>
      <c r="Q57" s="8">
        <v>2879085</v>
      </c>
      <c r="R57" s="8"/>
      <c r="S57" s="8">
        <v>71971</v>
      </c>
      <c r="T57" s="8"/>
      <c r="U57" s="8">
        <v>3476218</v>
      </c>
      <c r="V57" s="8"/>
      <c r="W57" s="8">
        <v>1039207</v>
      </c>
      <c r="X57" s="8"/>
      <c r="Y57" s="8">
        <v>483937</v>
      </c>
      <c r="Z57" s="8"/>
      <c r="AA57" s="8">
        <v>4817779</v>
      </c>
      <c r="AB57" s="8"/>
      <c r="AC57" s="8">
        <v>3758657</v>
      </c>
      <c r="AD57" s="8"/>
      <c r="AE57" s="8">
        <v>269739</v>
      </c>
      <c r="AF57" s="8"/>
      <c r="AG57" s="12" t="s">
        <v>304</v>
      </c>
      <c r="AH57" s="12"/>
      <c r="AI57" s="12" t="s">
        <v>20</v>
      </c>
      <c r="AJ57" s="12"/>
      <c r="AK57" s="8">
        <v>1582295</v>
      </c>
      <c r="AL57" s="8"/>
      <c r="AM57" s="8">
        <v>460872</v>
      </c>
      <c r="AN57" s="8"/>
      <c r="AO57" s="8">
        <v>1109609</v>
      </c>
      <c r="AP57" s="8"/>
      <c r="AQ57" s="8">
        <v>1393269</v>
      </c>
      <c r="AR57" s="8"/>
      <c r="AS57" s="8"/>
      <c r="AT57" s="8"/>
      <c r="AU57" s="8">
        <v>701769</v>
      </c>
      <c r="AV57" s="8"/>
      <c r="AW57" s="8">
        <f t="shared" si="0"/>
        <v>54743818</v>
      </c>
      <c r="AY57" s="8">
        <f>+'St of Activites - GA Rev'!AI56-'St of Activities - GA Exp'!AW57</f>
        <v>6539311</v>
      </c>
      <c r="BA57" s="8">
        <v>23886844</v>
      </c>
      <c r="BC57" s="8">
        <f t="shared" si="1"/>
        <v>30426155</v>
      </c>
      <c r="BE57" s="8">
        <f>+'St of Net Assets - GA'!AA56-'St of Activities - GA Exp'!BC57</f>
        <v>0</v>
      </c>
    </row>
    <row r="58" spans="1:57">
      <c r="A58" s="12" t="s">
        <v>235</v>
      </c>
      <c r="B58" s="12"/>
      <c r="C58" s="12" t="s">
        <v>15</v>
      </c>
      <c r="D58" s="12"/>
      <c r="E58" s="32">
        <v>45237</v>
      </c>
      <c r="G58" s="8">
        <v>3902384</v>
      </c>
      <c r="H58" s="8"/>
      <c r="I58" s="8">
        <v>1138022</v>
      </c>
      <c r="J58" s="8"/>
      <c r="K58" s="8">
        <v>40521</v>
      </c>
      <c r="L58" s="8"/>
      <c r="M58" s="8">
        <v>163722</v>
      </c>
      <c r="N58" s="8"/>
      <c r="O58" s="8">
        <v>225140</v>
      </c>
      <c r="P58" s="8"/>
      <c r="Q58" s="8">
        <v>252240</v>
      </c>
      <c r="R58" s="8"/>
      <c r="S58" s="8">
        <v>26969</v>
      </c>
      <c r="T58" s="8"/>
      <c r="U58" s="8">
        <v>558641</v>
      </c>
      <c r="V58" s="8"/>
      <c r="W58" s="8">
        <v>267538</v>
      </c>
      <c r="X58" s="8"/>
      <c r="Y58" s="8">
        <v>37877</v>
      </c>
      <c r="Z58" s="8"/>
      <c r="AA58" s="8">
        <v>765273</v>
      </c>
      <c r="AB58" s="8"/>
      <c r="AC58" s="8">
        <v>299134</v>
      </c>
      <c r="AD58" s="8"/>
      <c r="AE58" s="8">
        <v>10519</v>
      </c>
      <c r="AF58" s="8"/>
      <c r="AG58" s="12" t="s">
        <v>235</v>
      </c>
      <c r="AH58" s="12"/>
      <c r="AI58" s="12" t="s">
        <v>15</v>
      </c>
      <c r="AJ58" s="12"/>
      <c r="AK58" s="8">
        <v>342776</v>
      </c>
      <c r="AL58" s="8"/>
      <c r="AM58" s="8">
        <v>92443</v>
      </c>
      <c r="AN58" s="8"/>
      <c r="AO58" s="8">
        <v>149358</v>
      </c>
      <c r="AP58" s="8"/>
      <c r="AQ58" s="8">
        <v>219313</v>
      </c>
      <c r="AR58" s="8"/>
      <c r="AS58" s="8"/>
      <c r="AT58" s="8"/>
      <c r="AU58" s="8">
        <v>0</v>
      </c>
      <c r="AV58" s="8"/>
      <c r="AW58" s="8">
        <f t="shared" si="0"/>
        <v>8491870</v>
      </c>
      <c r="AY58" s="8">
        <f>+'St of Activites - GA Rev'!AI57-'St of Activities - GA Exp'!AW58</f>
        <v>-216081</v>
      </c>
      <c r="BA58" s="8">
        <v>16113167</v>
      </c>
      <c r="BC58" s="8">
        <f t="shared" si="1"/>
        <v>15897086</v>
      </c>
      <c r="BE58" s="8">
        <f>+'St of Net Assets - GA'!AA57-'St of Activities - GA Exp'!BC58</f>
        <v>0</v>
      </c>
    </row>
    <row r="59" spans="1:57">
      <c r="A59" s="12" t="s">
        <v>439</v>
      </c>
      <c r="B59" s="12"/>
      <c r="C59" s="12" t="s">
        <v>440</v>
      </c>
      <c r="D59" s="12"/>
      <c r="E59" s="32">
        <v>47613</v>
      </c>
      <c r="G59" s="8">
        <v>3897508</v>
      </c>
      <c r="H59" s="8"/>
      <c r="I59" s="8">
        <v>875109</v>
      </c>
      <c r="J59" s="8"/>
      <c r="K59" s="8">
        <v>251875</v>
      </c>
      <c r="L59" s="8"/>
      <c r="M59" s="8">
        <v>48428</v>
      </c>
      <c r="N59" s="8"/>
      <c r="O59" s="8">
        <v>422862</v>
      </c>
      <c r="P59" s="8"/>
      <c r="Q59" s="8">
        <v>532018</v>
      </c>
      <c r="R59" s="8"/>
      <c r="S59" s="8">
        <v>53404</v>
      </c>
      <c r="T59" s="8"/>
      <c r="U59" s="8">
        <v>542776</v>
      </c>
      <c r="V59" s="8"/>
      <c r="W59" s="8">
        <v>306614</v>
      </c>
      <c r="X59" s="8"/>
      <c r="Y59" s="8">
        <v>4340</v>
      </c>
      <c r="Z59" s="8"/>
      <c r="AA59" s="8">
        <v>668641</v>
      </c>
      <c r="AB59" s="8"/>
      <c r="AC59" s="8">
        <v>783111</v>
      </c>
      <c r="AD59" s="8"/>
      <c r="AE59" s="8">
        <v>0</v>
      </c>
      <c r="AF59" s="8"/>
      <c r="AG59" s="12" t="s">
        <v>439</v>
      </c>
      <c r="AH59" s="12"/>
      <c r="AI59" s="12" t="s">
        <v>440</v>
      </c>
      <c r="AJ59" s="12"/>
      <c r="AK59" s="8">
        <v>53296</v>
      </c>
      <c r="AL59" s="8"/>
      <c r="AM59" s="8">
        <v>295946</v>
      </c>
      <c r="AN59" s="8"/>
      <c r="AO59" s="8">
        <v>121576</v>
      </c>
      <c r="AP59" s="8"/>
      <c r="AQ59" s="8">
        <v>43243</v>
      </c>
      <c r="AR59" s="8"/>
      <c r="AS59" s="8"/>
      <c r="AT59" s="8"/>
      <c r="AU59" s="8">
        <v>0</v>
      </c>
      <c r="AV59" s="8"/>
      <c r="AW59" s="8">
        <f t="shared" si="0"/>
        <v>8900747</v>
      </c>
      <c r="AY59" s="8">
        <f>+'St of Activites - GA Rev'!AI58-'St of Activities - GA Exp'!AW59</f>
        <v>-878165</v>
      </c>
      <c r="BA59" s="8">
        <v>17953459</v>
      </c>
      <c r="BC59" s="8">
        <f t="shared" si="1"/>
        <v>17075294</v>
      </c>
      <c r="BE59" s="8">
        <f>+'St of Net Assets - GA'!AA58-'St of Activities - GA Exp'!BC59</f>
        <v>0</v>
      </c>
    </row>
    <row r="60" spans="1:57">
      <c r="A60" s="12" t="s">
        <v>681</v>
      </c>
      <c r="B60" s="12"/>
      <c r="C60" s="12" t="s">
        <v>64</v>
      </c>
      <c r="D60" s="12"/>
      <c r="E60" s="32">
        <v>50112</v>
      </c>
      <c r="G60" s="8">
        <v>4118582</v>
      </c>
      <c r="H60" s="8"/>
      <c r="I60" s="8">
        <v>673019</v>
      </c>
      <c r="J60" s="8"/>
      <c r="K60" s="8">
        <v>48913</v>
      </c>
      <c r="L60" s="8"/>
      <c r="M60" s="8">
        <v>8562</v>
      </c>
      <c r="N60" s="8"/>
      <c r="O60" s="8">
        <v>226329</v>
      </c>
      <c r="P60" s="8"/>
      <c r="Q60" s="8">
        <v>180539</v>
      </c>
      <c r="R60" s="8"/>
      <c r="S60" s="8">
        <v>22113</v>
      </c>
      <c r="T60" s="8"/>
      <c r="U60" s="8">
        <v>530428</v>
      </c>
      <c r="V60" s="8"/>
      <c r="W60" s="8">
        <v>108631</v>
      </c>
      <c r="X60" s="8"/>
      <c r="Y60" s="8">
        <v>52218</v>
      </c>
      <c r="Z60" s="8"/>
      <c r="AA60" s="8">
        <v>693561</v>
      </c>
      <c r="AB60" s="8"/>
      <c r="AC60" s="8">
        <v>454368</v>
      </c>
      <c r="AD60" s="8"/>
      <c r="AE60" s="8">
        <v>7739</v>
      </c>
      <c r="AF60" s="8"/>
      <c r="AG60" s="12" t="s">
        <v>681</v>
      </c>
      <c r="AH60" s="12"/>
      <c r="AI60" s="12" t="s">
        <v>64</v>
      </c>
      <c r="AJ60" s="12"/>
      <c r="AK60" s="8">
        <v>202677</v>
      </c>
      <c r="AL60" s="8"/>
      <c r="AM60" s="8">
        <v>18299</v>
      </c>
      <c r="AN60" s="8"/>
      <c r="AO60" s="8">
        <v>178319</v>
      </c>
      <c r="AP60" s="8"/>
      <c r="AQ60" s="8">
        <v>91561</v>
      </c>
      <c r="AR60" s="8"/>
      <c r="AS60" s="8"/>
      <c r="AT60" s="8"/>
      <c r="AU60" s="8">
        <v>0</v>
      </c>
      <c r="AV60" s="8"/>
      <c r="AW60" s="8">
        <f t="shared" si="0"/>
        <v>7615858</v>
      </c>
      <c r="AY60" s="8">
        <f>+'St of Activites - GA Rev'!AI59-'St of Activities - GA Exp'!AW60</f>
        <v>435586</v>
      </c>
      <c r="BA60" s="8">
        <v>8309613</v>
      </c>
      <c r="BC60" s="8">
        <f t="shared" si="1"/>
        <v>8745199</v>
      </c>
      <c r="BE60" s="8">
        <f>+'St of Net Assets - GA'!AA59-'St of Activities - GA Exp'!BC60</f>
        <v>0</v>
      </c>
    </row>
    <row r="61" spans="1:57" ht="12" customHeight="1">
      <c r="A61" s="12" t="s">
        <v>682</v>
      </c>
      <c r="B61" s="12"/>
      <c r="C61" s="12" t="s">
        <v>64</v>
      </c>
      <c r="D61" s="12"/>
      <c r="E61" s="32">
        <v>50120</v>
      </c>
      <c r="G61" s="8">
        <v>5373870</v>
      </c>
      <c r="H61" s="8"/>
      <c r="I61" s="8">
        <v>1245861</v>
      </c>
      <c r="J61" s="8"/>
      <c r="K61" s="8">
        <v>132669</v>
      </c>
      <c r="L61" s="8"/>
      <c r="M61" s="8">
        <v>4976</v>
      </c>
      <c r="N61" s="8"/>
      <c r="O61" s="8">
        <v>454081</v>
      </c>
      <c r="P61" s="8"/>
      <c r="Q61" s="8">
        <v>353618</v>
      </c>
      <c r="R61" s="8"/>
      <c r="S61" s="8">
        <v>7002</v>
      </c>
      <c r="T61" s="8"/>
      <c r="U61" s="8">
        <v>869774</v>
      </c>
      <c r="V61" s="8"/>
      <c r="W61" s="8">
        <v>221427</v>
      </c>
      <c r="X61" s="8"/>
      <c r="Y61" s="8">
        <v>66885</v>
      </c>
      <c r="Z61" s="8"/>
      <c r="AA61" s="8">
        <v>1135369</v>
      </c>
      <c r="AB61" s="8"/>
      <c r="AC61" s="8">
        <v>481300</v>
      </c>
      <c r="AD61" s="8"/>
      <c r="AE61" s="8">
        <v>1050</v>
      </c>
      <c r="AF61" s="8"/>
      <c r="AG61" s="12" t="s">
        <v>682</v>
      </c>
      <c r="AH61" s="12"/>
      <c r="AI61" s="12" t="s">
        <v>64</v>
      </c>
      <c r="AJ61" s="12"/>
      <c r="AK61" s="8">
        <v>493445</v>
      </c>
      <c r="AL61" s="8"/>
      <c r="AM61" s="8">
        <v>0</v>
      </c>
      <c r="AN61" s="8"/>
      <c r="AO61" s="8">
        <v>256827</v>
      </c>
      <c r="AP61" s="8"/>
      <c r="AQ61" s="8">
        <v>143613</v>
      </c>
      <c r="AR61" s="8"/>
      <c r="AS61" s="8"/>
      <c r="AT61" s="8"/>
      <c r="AU61" s="8">
        <v>0</v>
      </c>
      <c r="AV61" s="8"/>
      <c r="AW61" s="8">
        <f>SUM(G61:AV61)</f>
        <v>11241767</v>
      </c>
      <c r="AY61" s="8">
        <f>+'St of Activites - GA Rev'!AI60-'St of Activities - GA Exp'!AW61</f>
        <v>20860365</v>
      </c>
      <c r="BA61" s="8">
        <v>429765</v>
      </c>
      <c r="BC61" s="8">
        <f t="shared" si="1"/>
        <v>21290130</v>
      </c>
      <c r="BE61" s="8">
        <f>+'St of Net Assets - GA'!AA60-'St of Activities - GA Exp'!BC61</f>
        <v>0</v>
      </c>
    </row>
    <row r="62" spans="1:57">
      <c r="A62" s="12" t="s">
        <v>305</v>
      </c>
      <c r="B62" s="12"/>
      <c r="C62" s="12" t="s">
        <v>20</v>
      </c>
      <c r="D62" s="12"/>
      <c r="E62" s="32">
        <v>43653</v>
      </c>
      <c r="G62" s="8">
        <v>7526379</v>
      </c>
      <c r="H62" s="8"/>
      <c r="I62" s="8">
        <v>1722788</v>
      </c>
      <c r="J62" s="8"/>
      <c r="K62" s="8">
        <v>106756</v>
      </c>
      <c r="L62" s="8"/>
      <c r="M62" s="8">
        <v>0</v>
      </c>
      <c r="N62" s="8"/>
      <c r="O62" s="8">
        <v>1454931</v>
      </c>
      <c r="P62" s="8"/>
      <c r="Q62" s="8">
        <v>258846</v>
      </c>
      <c r="R62" s="8"/>
      <c r="S62" s="8">
        <v>23584</v>
      </c>
      <c r="T62" s="8"/>
      <c r="U62" s="8">
        <v>1819285</v>
      </c>
      <c r="V62" s="8"/>
      <c r="W62" s="8">
        <v>535781</v>
      </c>
      <c r="X62" s="8"/>
      <c r="Y62" s="8">
        <v>107629</v>
      </c>
      <c r="Z62" s="8"/>
      <c r="AA62" s="8">
        <v>1554683</v>
      </c>
      <c r="AB62" s="8"/>
      <c r="AC62" s="8">
        <v>462498</v>
      </c>
      <c r="AD62" s="8"/>
      <c r="AE62" s="8">
        <v>171946</v>
      </c>
      <c r="AF62" s="8"/>
      <c r="AG62" s="12" t="s">
        <v>305</v>
      </c>
      <c r="AH62" s="12"/>
      <c r="AI62" s="12" t="s">
        <v>20</v>
      </c>
      <c r="AJ62" s="12"/>
      <c r="AK62" s="8">
        <v>455773</v>
      </c>
      <c r="AL62" s="8"/>
      <c r="AM62" s="8">
        <v>528307</v>
      </c>
      <c r="AN62" s="8"/>
      <c r="AO62" s="8">
        <v>475670</v>
      </c>
      <c r="AP62" s="8"/>
      <c r="AQ62" s="8">
        <v>0</v>
      </c>
      <c r="AR62" s="8"/>
      <c r="AS62" s="8"/>
      <c r="AT62" s="8"/>
      <c r="AU62" s="8">
        <v>0</v>
      </c>
      <c r="AV62" s="8"/>
      <c r="AW62" s="8">
        <f t="shared" si="0"/>
        <v>17204856</v>
      </c>
      <c r="AY62" s="8">
        <f>+'St of Activites - GA Rev'!AI61-'St of Activities - GA Exp'!AW62</f>
        <v>117156</v>
      </c>
      <c r="BA62" s="8">
        <v>5933881</v>
      </c>
      <c r="BC62" s="8">
        <f t="shared" si="1"/>
        <v>6051037</v>
      </c>
      <c r="BE62" s="8">
        <f>+'St of Net Assets - GA'!AA61-'St of Activities - GA Exp'!BC62</f>
        <v>0</v>
      </c>
    </row>
    <row r="63" spans="1:57">
      <c r="A63" s="12" t="s">
        <v>552</v>
      </c>
      <c r="B63" s="12"/>
      <c r="C63" s="12" t="s">
        <v>50</v>
      </c>
      <c r="D63" s="12"/>
      <c r="E63" s="32">
        <v>48678</v>
      </c>
      <c r="G63" s="8">
        <v>5990673</v>
      </c>
      <c r="H63" s="8"/>
      <c r="I63" s="8">
        <v>1003342</v>
      </c>
      <c r="J63" s="8"/>
      <c r="K63" s="8">
        <v>78173</v>
      </c>
      <c r="L63" s="8"/>
      <c r="M63" s="8">
        <v>35521</v>
      </c>
      <c r="N63" s="8"/>
      <c r="O63" s="8">
        <v>858569</v>
      </c>
      <c r="P63" s="8"/>
      <c r="Q63" s="8">
        <v>983479</v>
      </c>
      <c r="R63" s="8"/>
      <c r="S63" s="8">
        <v>27228</v>
      </c>
      <c r="T63" s="8"/>
      <c r="U63" s="8">
        <v>1134919</v>
      </c>
      <c r="V63" s="8"/>
      <c r="W63" s="8">
        <v>309860</v>
      </c>
      <c r="X63" s="8"/>
      <c r="Y63" s="8">
        <v>4830</v>
      </c>
      <c r="Z63" s="8"/>
      <c r="AA63" s="8">
        <v>1169618</v>
      </c>
      <c r="AB63" s="8"/>
      <c r="AC63" s="8">
        <v>672145</v>
      </c>
      <c r="AD63" s="8"/>
      <c r="AE63" s="8">
        <v>33206</v>
      </c>
      <c r="AF63" s="8"/>
      <c r="AG63" s="12" t="s">
        <v>552</v>
      </c>
      <c r="AH63" s="12"/>
      <c r="AI63" s="12" t="s">
        <v>50</v>
      </c>
      <c r="AJ63" s="12"/>
      <c r="AK63" s="8">
        <v>0</v>
      </c>
      <c r="AL63" s="8"/>
      <c r="AM63" s="8">
        <v>791480</v>
      </c>
      <c r="AN63" s="8"/>
      <c r="AO63" s="8">
        <v>492721</v>
      </c>
      <c r="AP63" s="8"/>
      <c r="AQ63" s="8">
        <v>901204</v>
      </c>
      <c r="AR63" s="8"/>
      <c r="AS63" s="8"/>
      <c r="AT63" s="8"/>
      <c r="AU63" s="8">
        <v>0</v>
      </c>
      <c r="AV63" s="8"/>
      <c r="AW63" s="8">
        <f t="shared" si="0"/>
        <v>14486968</v>
      </c>
      <c r="AY63" s="8">
        <f>+'St of Activites - GA Rev'!AI62-'St of Activities - GA Exp'!AW63</f>
        <v>362923</v>
      </c>
      <c r="BA63" s="8">
        <v>9807501</v>
      </c>
      <c r="BC63" s="8">
        <f t="shared" si="1"/>
        <v>10170424</v>
      </c>
      <c r="BE63" s="8">
        <f>+'St of Net Assets - GA'!AA62-'St of Activities - GA Exp'!BC63</f>
        <v>0</v>
      </c>
    </row>
    <row r="64" spans="1:57">
      <c r="A64" s="12" t="s">
        <v>256</v>
      </c>
      <c r="B64" s="12"/>
      <c r="C64" s="12" t="s">
        <v>16</v>
      </c>
      <c r="D64" s="12"/>
      <c r="E64" s="32">
        <v>46177</v>
      </c>
      <c r="G64" s="8">
        <v>4436450</v>
      </c>
      <c r="H64" s="8"/>
      <c r="I64" s="8">
        <v>227431</v>
      </c>
      <c r="J64" s="8"/>
      <c r="K64" s="8">
        <v>777</v>
      </c>
      <c r="L64" s="8"/>
      <c r="M64" s="8">
        <v>0</v>
      </c>
      <c r="N64" s="8"/>
      <c r="O64" s="8">
        <v>225425</v>
      </c>
      <c r="P64" s="8"/>
      <c r="Q64" s="8">
        <v>248365</v>
      </c>
      <c r="R64" s="8"/>
      <c r="S64" s="8">
        <v>194162</v>
      </c>
      <c r="T64" s="8"/>
      <c r="U64" s="8">
        <v>663058</v>
      </c>
      <c r="V64" s="8"/>
      <c r="W64" s="8">
        <v>220131</v>
      </c>
      <c r="X64" s="8"/>
      <c r="Y64" s="8">
        <v>0</v>
      </c>
      <c r="Z64" s="8"/>
      <c r="AA64" s="8">
        <v>470084</v>
      </c>
      <c r="AB64" s="8"/>
      <c r="AC64" s="8">
        <v>294356</v>
      </c>
      <c r="AD64" s="8"/>
      <c r="AE64" s="8">
        <v>26686</v>
      </c>
      <c r="AF64" s="8"/>
      <c r="AG64" s="12" t="s">
        <v>256</v>
      </c>
      <c r="AH64" s="12"/>
      <c r="AI64" s="12" t="s">
        <v>16</v>
      </c>
      <c r="AJ64" s="12"/>
      <c r="AK64" s="8">
        <v>322409</v>
      </c>
      <c r="AL64" s="8"/>
      <c r="AM64" s="8">
        <v>0</v>
      </c>
      <c r="AN64" s="8"/>
      <c r="AO64" s="8">
        <v>307649</v>
      </c>
      <c r="AP64" s="8"/>
      <c r="AQ64" s="8">
        <v>826</v>
      </c>
      <c r="AR64" s="8"/>
      <c r="AS64" s="8"/>
      <c r="AT64" s="8"/>
      <c r="AU64" s="8">
        <v>0</v>
      </c>
      <c r="AV64" s="8"/>
      <c r="AW64" s="8">
        <f t="shared" si="0"/>
        <v>7637809</v>
      </c>
      <c r="AY64" s="8">
        <f>+'St of Activites - GA Rev'!AI63-'St of Activities - GA Exp'!AW64</f>
        <v>1076576</v>
      </c>
      <c r="BA64" s="8">
        <v>2924650</v>
      </c>
      <c r="BC64" s="8">
        <f t="shared" si="1"/>
        <v>4001226</v>
      </c>
      <c r="BE64" s="8">
        <f>+'St of Net Assets - GA'!AA63-'St of Activities - GA Exp'!BC64</f>
        <v>0</v>
      </c>
    </row>
    <row r="65" spans="1:57">
      <c r="A65" s="12" t="s">
        <v>532</v>
      </c>
      <c r="B65" s="12"/>
      <c r="C65" s="12" t="s">
        <v>47</v>
      </c>
      <c r="D65" s="12"/>
      <c r="E65" s="32">
        <v>43661</v>
      </c>
      <c r="G65" s="8">
        <v>28627744</v>
      </c>
      <c r="H65" s="8"/>
      <c r="I65" s="8">
        <v>7161369</v>
      </c>
      <c r="J65" s="8"/>
      <c r="K65" s="8">
        <v>140014</v>
      </c>
      <c r="L65" s="8"/>
      <c r="M65" s="8">
        <v>1041936</v>
      </c>
      <c r="N65" s="8"/>
      <c r="O65" s="8">
        <v>5006133</v>
      </c>
      <c r="P65" s="8"/>
      <c r="Q65" s="8">
        <v>2506768</v>
      </c>
      <c r="R65" s="8"/>
      <c r="S65" s="8">
        <v>754170</v>
      </c>
      <c r="T65" s="8"/>
      <c r="U65" s="8">
        <v>4141301</v>
      </c>
      <c r="V65" s="8"/>
      <c r="W65" s="8">
        <v>1273449</v>
      </c>
      <c r="X65" s="8"/>
      <c r="Y65" s="8">
        <v>509353</v>
      </c>
      <c r="Z65" s="8"/>
      <c r="AA65" s="8">
        <v>5609689</v>
      </c>
      <c r="AB65" s="8"/>
      <c r="AC65" s="8">
        <v>3952133</v>
      </c>
      <c r="AD65" s="8"/>
      <c r="AE65" s="8">
        <v>327936</v>
      </c>
      <c r="AF65" s="8"/>
      <c r="AG65" s="12" t="s">
        <v>532</v>
      </c>
      <c r="AH65" s="12"/>
      <c r="AI65" s="12" t="s">
        <v>47</v>
      </c>
      <c r="AJ65" s="12"/>
      <c r="AK65" s="8">
        <v>2035356</v>
      </c>
      <c r="AL65" s="8"/>
      <c r="AM65" s="8">
        <v>361792</v>
      </c>
      <c r="AN65" s="8"/>
      <c r="AO65" s="8">
        <v>1670218</v>
      </c>
      <c r="AP65" s="8"/>
      <c r="AQ65" s="8">
        <v>1179042</v>
      </c>
      <c r="AR65" s="8"/>
      <c r="AS65" s="8"/>
      <c r="AT65" s="8"/>
      <c r="AU65" s="8">
        <v>0</v>
      </c>
      <c r="AV65" s="8"/>
      <c r="AW65" s="8">
        <f t="shared" si="0"/>
        <v>66298403</v>
      </c>
      <c r="AY65" s="8">
        <f>+'St of Activites - GA Rev'!AI64-'St of Activities - GA Exp'!AW65</f>
        <v>6250505</v>
      </c>
      <c r="BA65" s="8">
        <v>-7563593</v>
      </c>
      <c r="BC65" s="8">
        <f t="shared" si="1"/>
        <v>-1313088</v>
      </c>
      <c r="BE65" s="8">
        <f>+'St of Net Assets - GA'!AA64-'St of Activities - GA Exp'!BC65</f>
        <v>0</v>
      </c>
    </row>
    <row r="66" spans="1:57">
      <c r="A66" s="12" t="s">
        <v>294</v>
      </c>
      <c r="B66" s="12"/>
      <c r="C66" s="12" t="s">
        <v>114</v>
      </c>
      <c r="D66" s="12"/>
      <c r="E66" s="32">
        <v>46508</v>
      </c>
      <c r="G66" s="8">
        <v>4582426</v>
      </c>
      <c r="H66" s="8"/>
      <c r="I66" s="8">
        <v>615311</v>
      </c>
      <c r="J66" s="8"/>
      <c r="K66" s="8">
        <v>121384</v>
      </c>
      <c r="L66" s="8"/>
      <c r="M66" s="8">
        <v>22492</v>
      </c>
      <c r="N66" s="8"/>
      <c r="O66" s="8">
        <v>228100</v>
      </c>
      <c r="P66" s="8"/>
      <c r="Q66" s="8">
        <v>254304</v>
      </c>
      <c r="R66" s="8"/>
      <c r="S66" s="8">
        <v>16261</v>
      </c>
      <c r="T66" s="8"/>
      <c r="U66" s="8">
        <v>958624</v>
      </c>
      <c r="V66" s="8"/>
      <c r="W66" s="8">
        <v>259720</v>
      </c>
      <c r="X66" s="8"/>
      <c r="Y66" s="8">
        <v>24171</v>
      </c>
      <c r="Z66" s="8"/>
      <c r="AA66" s="8">
        <v>603354</v>
      </c>
      <c r="AB66" s="8"/>
      <c r="AC66" s="8">
        <v>491893</v>
      </c>
      <c r="AD66" s="8"/>
      <c r="AE66" s="8">
        <v>5009</v>
      </c>
      <c r="AF66" s="8"/>
      <c r="AG66" s="12" t="s">
        <v>294</v>
      </c>
      <c r="AH66" s="12"/>
      <c r="AI66" s="12" t="s">
        <v>114</v>
      </c>
      <c r="AJ66" s="12"/>
      <c r="AK66" s="8">
        <v>357703</v>
      </c>
      <c r="AL66" s="8"/>
      <c r="AM66" s="8">
        <v>27923</v>
      </c>
      <c r="AN66" s="8"/>
      <c r="AO66" s="8">
        <v>366305</v>
      </c>
      <c r="AP66" s="8"/>
      <c r="AQ66" s="8">
        <v>385434</v>
      </c>
      <c r="AR66" s="8"/>
      <c r="AS66" s="8"/>
      <c r="AT66" s="8"/>
      <c r="AU66" s="8">
        <v>87632</v>
      </c>
      <c r="AV66" s="8"/>
      <c r="AW66" s="8">
        <f t="shared" si="0"/>
        <v>9408046</v>
      </c>
      <c r="AY66" s="8">
        <f>+'St of Activites - GA Rev'!AI66-'St of Activities - GA Exp'!AW66</f>
        <v>737747</v>
      </c>
      <c r="BA66" s="8">
        <v>20341276</v>
      </c>
      <c r="BC66" s="8">
        <f t="shared" si="1"/>
        <v>21079023</v>
      </c>
      <c r="BE66" s="8">
        <f>+'St of Net Assets - GA'!AA65-'St of Activities - GA Exp'!BC66</f>
        <v>0</v>
      </c>
    </row>
    <row r="67" spans="1:57">
      <c r="A67" s="12" t="s">
        <v>219</v>
      </c>
      <c r="B67" s="12"/>
      <c r="C67" s="12" t="s">
        <v>12</v>
      </c>
      <c r="D67" s="12"/>
      <c r="E67" s="32">
        <v>45856</v>
      </c>
      <c r="G67" s="8">
        <v>10421503</v>
      </c>
      <c r="H67" s="8"/>
      <c r="I67" s="8">
        <v>1995456</v>
      </c>
      <c r="J67" s="8"/>
      <c r="K67" s="8">
        <v>270609</v>
      </c>
      <c r="L67" s="8"/>
      <c r="M67" s="8">
        <v>4900</v>
      </c>
      <c r="N67" s="8"/>
      <c r="O67" s="8">
        <v>539072</v>
      </c>
      <c r="P67" s="8"/>
      <c r="Q67" s="8">
        <v>278398</v>
      </c>
      <c r="R67" s="8"/>
      <c r="S67" s="8">
        <v>57238</v>
      </c>
      <c r="T67" s="8"/>
      <c r="U67" s="8">
        <v>1362775</v>
      </c>
      <c r="V67" s="8"/>
      <c r="W67" s="8">
        <v>533960</v>
      </c>
      <c r="X67" s="8"/>
      <c r="Y67" s="8">
        <v>75920</v>
      </c>
      <c r="Z67" s="8"/>
      <c r="AA67" s="8">
        <v>1901464</v>
      </c>
      <c r="AB67" s="8"/>
      <c r="AC67" s="8">
        <v>1396202</v>
      </c>
      <c r="AD67" s="8"/>
      <c r="AE67" s="8">
        <v>40361</v>
      </c>
      <c r="AF67" s="8"/>
      <c r="AG67" s="12" t="s">
        <v>219</v>
      </c>
      <c r="AH67" s="12"/>
      <c r="AI67" s="12" t="s">
        <v>12</v>
      </c>
      <c r="AJ67" s="12"/>
      <c r="AK67" s="8">
        <v>971780</v>
      </c>
      <c r="AL67" s="8"/>
      <c r="AM67" s="8">
        <v>7965</v>
      </c>
      <c r="AN67" s="8"/>
      <c r="AO67" s="8">
        <v>544573</v>
      </c>
      <c r="AP67" s="8"/>
      <c r="AQ67" s="8">
        <v>10579</v>
      </c>
      <c r="AR67" s="8"/>
      <c r="AS67" s="8"/>
      <c r="AT67" s="8"/>
      <c r="AU67" s="8">
        <v>0</v>
      </c>
      <c r="AV67" s="8"/>
      <c r="AW67" s="8">
        <f t="shared" si="0"/>
        <v>20412755</v>
      </c>
      <c r="AY67" s="8">
        <f>+'St of Activites - GA Rev'!AI67-'St of Activities - GA Exp'!AW67</f>
        <v>896522</v>
      </c>
      <c r="BA67" s="8">
        <v>7334145</v>
      </c>
      <c r="BC67" s="8">
        <f t="shared" si="1"/>
        <v>8230667</v>
      </c>
      <c r="BE67" s="8">
        <f>+'St of Net Assets - GA'!AA66-'St of Activities - GA Exp'!BC67</f>
        <v>0</v>
      </c>
    </row>
    <row r="68" spans="1:57">
      <c r="A68" s="12" t="s">
        <v>219</v>
      </c>
      <c r="B68" s="12"/>
      <c r="C68" s="12" t="s">
        <v>39</v>
      </c>
      <c r="D68" s="12"/>
      <c r="E68" s="32">
        <v>47787</v>
      </c>
      <c r="G68" s="8">
        <v>9421307</v>
      </c>
      <c r="H68" s="8"/>
      <c r="I68" s="8">
        <v>2380602</v>
      </c>
      <c r="J68" s="8"/>
      <c r="K68" s="8">
        <v>757266</v>
      </c>
      <c r="L68" s="8"/>
      <c r="M68" s="8">
        <v>0</v>
      </c>
      <c r="N68" s="8"/>
      <c r="O68" s="8">
        <v>551756</v>
      </c>
      <c r="P68" s="8"/>
      <c r="Q68" s="8">
        <v>552013</v>
      </c>
      <c r="R68" s="8"/>
      <c r="S68" s="8">
        <v>60981</v>
      </c>
      <c r="T68" s="8"/>
      <c r="U68" s="8">
        <v>2124952</v>
      </c>
      <c r="V68" s="8"/>
      <c r="W68" s="8">
        <v>460765</v>
      </c>
      <c r="X68" s="8"/>
      <c r="Y68" s="8">
        <v>53725</v>
      </c>
      <c r="Z68" s="8"/>
      <c r="AA68" s="8">
        <v>2189077</v>
      </c>
      <c r="AB68" s="8"/>
      <c r="AC68" s="8">
        <v>1780814</v>
      </c>
      <c r="AD68" s="8"/>
      <c r="AE68" s="8">
        <v>0</v>
      </c>
      <c r="AF68" s="8"/>
      <c r="AG68" s="12" t="s">
        <v>219</v>
      </c>
      <c r="AH68" s="12"/>
      <c r="AI68" s="12" t="s">
        <v>39</v>
      </c>
      <c r="AJ68" s="12"/>
      <c r="AK68" s="8">
        <v>841547</v>
      </c>
      <c r="AL68" s="8"/>
      <c r="AM68" s="8">
        <v>114461</v>
      </c>
      <c r="AN68" s="8"/>
      <c r="AO68" s="8">
        <v>390964</v>
      </c>
      <c r="AP68" s="8"/>
      <c r="AQ68" s="8">
        <v>176345</v>
      </c>
      <c r="AR68" s="8"/>
      <c r="AS68" s="8"/>
      <c r="AT68" s="8"/>
      <c r="AU68" s="8">
        <v>0</v>
      </c>
      <c r="AV68" s="8"/>
      <c r="AW68" s="8">
        <f t="shared" si="0"/>
        <v>21856575</v>
      </c>
      <c r="AY68" s="8">
        <f>+'St of Activites - GA Rev'!AI68-'St of Activities - GA Exp'!AW68</f>
        <v>-468507</v>
      </c>
      <c r="BA68" s="8">
        <v>7944313</v>
      </c>
      <c r="BC68" s="8">
        <f t="shared" si="1"/>
        <v>7475806</v>
      </c>
      <c r="BE68" s="8">
        <f>+'St of Net Assets - GA'!AA67-'St of Activities - GA Exp'!BC68</f>
        <v>0</v>
      </c>
    </row>
    <row r="69" spans="1:57" ht="12" customHeight="1">
      <c r="A69" s="12" t="s">
        <v>337</v>
      </c>
      <c r="B69" s="12"/>
      <c r="C69" s="12" t="s">
        <v>23</v>
      </c>
      <c r="D69" s="12"/>
      <c r="E69" s="32">
        <v>46755</v>
      </c>
      <c r="G69" s="8">
        <v>10520670</v>
      </c>
      <c r="H69" s="8"/>
      <c r="I69" s="8">
        <v>2149842</v>
      </c>
      <c r="J69" s="8"/>
      <c r="K69" s="8">
        <v>449425</v>
      </c>
      <c r="L69" s="8"/>
      <c r="M69" s="8">
        <v>1890</v>
      </c>
      <c r="N69" s="8"/>
      <c r="O69" s="8">
        <v>1791083</v>
      </c>
      <c r="P69" s="8"/>
      <c r="Q69" s="8">
        <v>550427</v>
      </c>
      <c r="R69" s="8"/>
      <c r="S69" s="8">
        <v>206425</v>
      </c>
      <c r="T69" s="8"/>
      <c r="U69" s="8">
        <v>1671088</v>
      </c>
      <c r="V69" s="8"/>
      <c r="W69" s="8">
        <v>649961</v>
      </c>
      <c r="X69" s="8"/>
      <c r="Y69" s="8">
        <v>0</v>
      </c>
      <c r="Z69" s="8"/>
      <c r="AA69" s="8">
        <v>2211150</v>
      </c>
      <c r="AB69" s="8"/>
      <c r="AC69" s="8">
        <v>1573120</v>
      </c>
      <c r="AD69" s="8"/>
      <c r="AE69" s="8">
        <v>34341</v>
      </c>
      <c r="AF69" s="8"/>
      <c r="AG69" s="12" t="s">
        <v>337</v>
      </c>
      <c r="AH69" s="12"/>
      <c r="AI69" s="12" t="s">
        <v>23</v>
      </c>
      <c r="AJ69" s="12"/>
      <c r="AK69" s="8">
        <v>838995</v>
      </c>
      <c r="AL69" s="8"/>
      <c r="AM69" s="8">
        <v>2900</v>
      </c>
      <c r="AN69" s="8"/>
      <c r="AO69" s="8">
        <v>534205</v>
      </c>
      <c r="AP69" s="8"/>
      <c r="AQ69" s="8">
        <v>595609</v>
      </c>
      <c r="AR69" s="8"/>
      <c r="AS69" s="8"/>
      <c r="AT69" s="8"/>
      <c r="AU69" s="8">
        <v>0</v>
      </c>
      <c r="AV69" s="8"/>
      <c r="AW69" s="8">
        <f t="shared" ref="AW69:AW74" si="2">SUM(G69:AV69)</f>
        <v>23781131</v>
      </c>
      <c r="AY69" s="8">
        <f>+'St of Activites - GA Rev'!AI71-'St of Activities - GA Exp'!AW69</f>
        <v>1290501</v>
      </c>
      <c r="BA69" s="8">
        <v>12094246</v>
      </c>
      <c r="BC69" s="8">
        <f t="shared" ref="BC69:BC74" si="3">+AY69+BA69</f>
        <v>13384747</v>
      </c>
      <c r="BE69" s="8">
        <f>+'St of Net Assets - GA'!AA68-'St of Activities - GA Exp'!BC69</f>
        <v>0</v>
      </c>
    </row>
    <row r="70" spans="1:57">
      <c r="A70" s="12" t="s">
        <v>295</v>
      </c>
      <c r="B70" s="12"/>
      <c r="C70" s="12" t="s">
        <v>114</v>
      </c>
      <c r="D70" s="12"/>
      <c r="E70" s="32">
        <v>43687</v>
      </c>
      <c r="G70" s="8">
        <v>5618087</v>
      </c>
      <c r="H70" s="8"/>
      <c r="I70" s="8">
        <v>2081468</v>
      </c>
      <c r="J70" s="8"/>
      <c r="K70" s="8">
        <v>193866</v>
      </c>
      <c r="L70" s="8"/>
      <c r="M70" s="8">
        <v>1250301</v>
      </c>
      <c r="N70" s="8"/>
      <c r="O70" s="8">
        <v>1084053</v>
      </c>
      <c r="P70" s="8"/>
      <c r="Q70" s="8">
        <v>1281485</v>
      </c>
      <c r="R70" s="8"/>
      <c r="S70" s="8">
        <v>124072</v>
      </c>
      <c r="T70" s="8"/>
      <c r="U70" s="8">
        <v>1475583</v>
      </c>
      <c r="V70" s="8"/>
      <c r="W70" s="8">
        <v>492023</v>
      </c>
      <c r="X70" s="8"/>
      <c r="Y70" s="8">
        <v>111374</v>
      </c>
      <c r="Z70" s="8"/>
      <c r="AA70" s="8">
        <v>1097534</v>
      </c>
      <c r="AB70" s="8"/>
      <c r="AC70" s="8">
        <v>323727</v>
      </c>
      <c r="AD70" s="8"/>
      <c r="AE70" s="8">
        <v>225361</v>
      </c>
      <c r="AF70" s="8"/>
      <c r="AG70" s="12" t="s">
        <v>295</v>
      </c>
      <c r="AH70" s="12"/>
      <c r="AI70" s="12" t="s">
        <v>114</v>
      </c>
      <c r="AJ70" s="12"/>
      <c r="AK70" s="8">
        <v>1033237</v>
      </c>
      <c r="AL70" s="8"/>
      <c r="AM70" s="8">
        <v>53072</v>
      </c>
      <c r="AN70" s="8"/>
      <c r="AO70" s="8">
        <v>456140</v>
      </c>
      <c r="AP70" s="8"/>
      <c r="AQ70" s="8">
        <v>586308</v>
      </c>
      <c r="AR70" s="8"/>
      <c r="AS70" s="8"/>
      <c r="AT70" s="8"/>
      <c r="AU70" s="8">
        <v>43166</v>
      </c>
      <c r="AV70" s="8"/>
      <c r="AW70" s="8">
        <f t="shared" si="2"/>
        <v>17530857</v>
      </c>
      <c r="AY70" s="8">
        <f>+'St of Activites - GA Rev'!AI72-'St of Activities - GA Exp'!AW70</f>
        <v>1272152</v>
      </c>
      <c r="BA70" s="8">
        <v>34826445</v>
      </c>
      <c r="BC70" s="8">
        <f t="shared" si="3"/>
        <v>36098597</v>
      </c>
      <c r="BE70" s="8">
        <f>+'St of Net Assets - GA'!AA69-'St of Activities - GA Exp'!BC70</f>
        <v>0</v>
      </c>
    </row>
    <row r="71" spans="1:57">
      <c r="A71" s="12" t="s">
        <v>577</v>
      </c>
      <c r="B71" s="12"/>
      <c r="C71" s="12" t="s">
        <v>52</v>
      </c>
      <c r="D71" s="12"/>
      <c r="E71" s="32">
        <v>45252</v>
      </c>
      <c r="G71" s="8">
        <v>3378808</v>
      </c>
      <c r="H71" s="8"/>
      <c r="I71" s="8">
        <v>804776</v>
      </c>
      <c r="J71" s="8"/>
      <c r="K71" s="8">
        <v>76082</v>
      </c>
      <c r="L71" s="8"/>
      <c r="M71" s="8">
        <f>5094+34607</f>
        <v>39701</v>
      </c>
      <c r="N71" s="8"/>
      <c r="O71" s="8">
        <v>456142</v>
      </c>
      <c r="P71" s="8"/>
      <c r="Q71" s="8">
        <v>328455</v>
      </c>
      <c r="R71" s="8"/>
      <c r="S71" s="8">
        <v>68873</v>
      </c>
      <c r="T71" s="8"/>
      <c r="U71" s="8">
        <v>583085</v>
      </c>
      <c r="V71" s="8"/>
      <c r="W71" s="8">
        <v>278428</v>
      </c>
      <c r="X71" s="8"/>
      <c r="Y71" s="8">
        <v>0</v>
      </c>
      <c r="Z71" s="8"/>
      <c r="AA71" s="8">
        <v>505624</v>
      </c>
      <c r="AB71" s="8"/>
      <c r="AC71" s="8">
        <v>663118</v>
      </c>
      <c r="AD71" s="8"/>
      <c r="AE71" s="8">
        <v>0</v>
      </c>
      <c r="AF71" s="8"/>
      <c r="AG71" s="12" t="s">
        <v>577</v>
      </c>
      <c r="AH71" s="12"/>
      <c r="AI71" s="12" t="s">
        <v>52</v>
      </c>
      <c r="AJ71" s="12"/>
      <c r="AK71" s="8">
        <v>366299</v>
      </c>
      <c r="AL71" s="8"/>
      <c r="AM71" s="8">
        <v>44603</v>
      </c>
      <c r="AN71" s="8"/>
      <c r="AO71" s="8">
        <v>258982</v>
      </c>
      <c r="AP71" s="8"/>
      <c r="AQ71" s="8">
        <v>4746</v>
      </c>
      <c r="AR71" s="8"/>
      <c r="AS71" s="8"/>
      <c r="AT71" s="8"/>
      <c r="AU71" s="8">
        <v>0</v>
      </c>
      <c r="AV71" s="8"/>
      <c r="AW71" s="8">
        <f t="shared" si="2"/>
        <v>7857722</v>
      </c>
      <c r="AY71" s="8">
        <f>+'St of Activites - GA Rev'!AI73-'St of Activities - GA Exp'!AW71</f>
        <v>108975</v>
      </c>
      <c r="BA71" s="8">
        <v>7320575</v>
      </c>
      <c r="BC71" s="8">
        <f t="shared" si="3"/>
        <v>7429550</v>
      </c>
      <c r="BE71" s="8">
        <f>+'St of Net Assets - GA'!AA72-'St of Activities - GA Exp'!BC71</f>
        <v>0</v>
      </c>
    </row>
    <row r="72" spans="1:57">
      <c r="A72" s="12" t="s">
        <v>393</v>
      </c>
      <c r="B72" s="12"/>
      <c r="C72" s="12" t="s">
        <v>31</v>
      </c>
      <c r="D72" s="12"/>
      <c r="E72" s="32">
        <v>43695</v>
      </c>
      <c r="G72" s="8">
        <v>11574480</v>
      </c>
      <c r="H72" s="8"/>
      <c r="I72" s="8">
        <v>2391606</v>
      </c>
      <c r="J72" s="8"/>
      <c r="K72" s="8">
        <v>151508</v>
      </c>
      <c r="L72" s="8"/>
      <c r="M72" s="8">
        <v>236549</v>
      </c>
      <c r="N72" s="8"/>
      <c r="O72" s="8">
        <v>936359</v>
      </c>
      <c r="P72" s="8"/>
      <c r="Q72" s="8">
        <v>1152896</v>
      </c>
      <c r="R72" s="8"/>
      <c r="S72" s="8">
        <v>34550</v>
      </c>
      <c r="T72" s="8"/>
      <c r="U72" s="8">
        <v>1658115</v>
      </c>
      <c r="V72" s="8"/>
      <c r="W72" s="8">
        <v>533240</v>
      </c>
      <c r="X72" s="8"/>
      <c r="Y72" s="8">
        <v>134860</v>
      </c>
      <c r="Z72" s="8"/>
      <c r="AA72" s="8">
        <v>2336714</v>
      </c>
      <c r="AB72" s="8"/>
      <c r="AC72" s="8">
        <v>1154934</v>
      </c>
      <c r="AD72" s="8"/>
      <c r="AE72" s="8">
        <v>171200</v>
      </c>
      <c r="AF72" s="8"/>
      <c r="AG72" s="12" t="s">
        <v>393</v>
      </c>
      <c r="AH72" s="12"/>
      <c r="AI72" s="12" t="s">
        <v>31</v>
      </c>
      <c r="AJ72" s="12"/>
      <c r="AK72" s="8">
        <v>1341792</v>
      </c>
      <c r="AL72" s="8"/>
      <c r="AM72" s="8">
        <v>102928</v>
      </c>
      <c r="AN72" s="8"/>
      <c r="AO72" s="8">
        <v>508873</v>
      </c>
      <c r="AP72" s="8"/>
      <c r="AQ72" s="8">
        <v>337509</v>
      </c>
      <c r="AR72" s="8"/>
      <c r="AS72" s="8"/>
      <c r="AT72" s="8"/>
      <c r="AU72" s="8">
        <v>0</v>
      </c>
      <c r="AV72" s="8"/>
      <c r="AW72" s="8">
        <f t="shared" si="2"/>
        <v>24758113</v>
      </c>
      <c r="AY72" s="8">
        <f>+'St of Activites - GA Rev'!AI74-'St of Activities - GA Exp'!AW72</f>
        <v>236781</v>
      </c>
      <c r="BA72" s="8">
        <v>41973595</v>
      </c>
      <c r="BC72" s="8">
        <f t="shared" si="3"/>
        <v>42210376</v>
      </c>
      <c r="BE72" s="8">
        <f>+'St of Net Assets - GA'!AA73-'St of Activities - GA Exp'!BC72</f>
        <v>0</v>
      </c>
    </row>
    <row r="73" spans="1:57">
      <c r="A73" s="12" t="s">
        <v>357</v>
      </c>
      <c r="B73" s="12"/>
      <c r="C73" s="12" t="s">
        <v>27</v>
      </c>
      <c r="D73" s="12"/>
      <c r="E73" s="32">
        <v>46946</v>
      </c>
      <c r="G73" s="8">
        <v>13406367</v>
      </c>
      <c r="H73" s="8"/>
      <c r="I73" s="8">
        <v>3849962</v>
      </c>
      <c r="J73" s="8"/>
      <c r="K73" s="8">
        <v>683055</v>
      </c>
      <c r="L73" s="8"/>
      <c r="M73" s="8">
        <v>29262</v>
      </c>
      <c r="N73" s="8"/>
      <c r="O73" s="8">
        <v>1648711</v>
      </c>
      <c r="P73" s="8"/>
      <c r="Q73" s="8">
        <v>1445735</v>
      </c>
      <c r="R73" s="8"/>
      <c r="S73" s="8">
        <v>438621</v>
      </c>
      <c r="T73" s="8"/>
      <c r="U73" s="8">
        <v>2614111</v>
      </c>
      <c r="V73" s="8"/>
      <c r="W73" s="8">
        <v>781779</v>
      </c>
      <c r="X73" s="8"/>
      <c r="Y73" s="8">
        <v>0</v>
      </c>
      <c r="Z73" s="8"/>
      <c r="AA73" s="8">
        <v>3294246</v>
      </c>
      <c r="AB73" s="8"/>
      <c r="AC73" s="8">
        <v>2196182</v>
      </c>
      <c r="AD73" s="8"/>
      <c r="AE73" s="8">
        <v>215771</v>
      </c>
      <c r="AF73" s="8"/>
      <c r="AG73" s="12" t="s">
        <v>357</v>
      </c>
      <c r="AH73" s="12"/>
      <c r="AI73" s="12" t="s">
        <v>27</v>
      </c>
      <c r="AJ73" s="12"/>
      <c r="AK73" s="8">
        <v>0</v>
      </c>
      <c r="AL73" s="8"/>
      <c r="AM73" s="8">
        <v>16492</v>
      </c>
      <c r="AN73" s="8"/>
      <c r="AO73" s="8">
        <v>1084147</v>
      </c>
      <c r="AP73" s="8"/>
      <c r="AQ73" s="8">
        <v>3146362</v>
      </c>
      <c r="AR73" s="8"/>
      <c r="AS73" s="8"/>
      <c r="AT73" s="8"/>
      <c r="AU73" s="8">
        <v>0</v>
      </c>
      <c r="AV73" s="8"/>
      <c r="AW73" s="8">
        <f t="shared" si="2"/>
        <v>34850803</v>
      </c>
      <c r="AY73" s="8">
        <f>+'St of Activites - GA Rev'!AI75-'St of Activities - GA Exp'!AW73</f>
        <v>-207126</v>
      </c>
      <c r="BA73" s="8">
        <v>14971259</v>
      </c>
      <c r="BC73" s="8">
        <f t="shared" si="3"/>
        <v>14764133</v>
      </c>
      <c r="BE73" s="8">
        <f>+'St of Net Assets - GA'!AA74-'St of Activities - GA Exp'!BC73</f>
        <v>0</v>
      </c>
    </row>
    <row r="74" spans="1:57">
      <c r="A74" s="12" t="s">
        <v>517</v>
      </c>
      <c r="B74" s="12"/>
      <c r="C74" s="12" t="s">
        <v>45</v>
      </c>
      <c r="D74" s="12"/>
      <c r="E74" s="32">
        <v>48314</v>
      </c>
      <c r="G74" s="8">
        <v>13253798</v>
      </c>
      <c r="H74" s="8"/>
      <c r="I74" s="8">
        <v>1827812</v>
      </c>
      <c r="J74" s="8"/>
      <c r="K74" s="8">
        <v>260587</v>
      </c>
      <c r="L74" s="8"/>
      <c r="M74" s="8">
        <v>0</v>
      </c>
      <c r="N74" s="8"/>
      <c r="O74" s="8">
        <v>1002417</v>
      </c>
      <c r="P74" s="8"/>
      <c r="Q74" s="8">
        <v>1453589</v>
      </c>
      <c r="R74" s="8"/>
      <c r="S74" s="8">
        <v>34049</v>
      </c>
      <c r="T74" s="8"/>
      <c r="U74" s="8">
        <v>1730786</v>
      </c>
      <c r="V74" s="8"/>
      <c r="W74" s="8">
        <v>592546</v>
      </c>
      <c r="X74" s="8"/>
      <c r="Y74" s="8">
        <v>265358</v>
      </c>
      <c r="Z74" s="8"/>
      <c r="AA74" s="8">
        <v>2233139</v>
      </c>
      <c r="AB74" s="8"/>
      <c r="AC74" s="8">
        <v>1897869</v>
      </c>
      <c r="AD74" s="8"/>
      <c r="AE74" s="8">
        <v>129746</v>
      </c>
      <c r="AF74" s="8"/>
      <c r="AG74" s="12" t="s">
        <v>517</v>
      </c>
      <c r="AH74" s="12"/>
      <c r="AI74" s="12" t="s">
        <v>45</v>
      </c>
      <c r="AJ74" s="12"/>
      <c r="AK74" s="8">
        <v>850143</v>
      </c>
      <c r="AL74" s="8"/>
      <c r="AM74" s="8">
        <v>39204</v>
      </c>
      <c r="AN74" s="8"/>
      <c r="AO74" s="8">
        <v>957883</v>
      </c>
      <c r="AP74" s="8"/>
      <c r="AQ74" s="8">
        <v>255772</v>
      </c>
      <c r="AR74" s="8"/>
      <c r="AS74" s="8"/>
      <c r="AT74" s="8"/>
      <c r="AU74" s="8">
        <v>0</v>
      </c>
      <c r="AV74" s="8"/>
      <c r="AW74" s="8">
        <f t="shared" si="2"/>
        <v>26784698</v>
      </c>
      <c r="AY74" s="8">
        <f>+'St of Activites - GA Rev'!AI76-'St of Activities - GA Exp'!AW74</f>
        <v>1518819</v>
      </c>
      <c r="BA74" s="8">
        <v>14003539</v>
      </c>
      <c r="BC74" s="8">
        <f t="shared" si="3"/>
        <v>15522358</v>
      </c>
      <c r="BE74" s="8">
        <f>+'St of Net Assets - GA'!AA75-'St of Activities - GA Exp'!BC74</f>
        <v>0</v>
      </c>
    </row>
    <row r="75" spans="1:57" s="8" customFormat="1" ht="12" customHeight="1">
      <c r="A75" s="13" t="s">
        <v>655</v>
      </c>
      <c r="B75" s="13"/>
      <c r="C75" s="13" t="s">
        <v>62</v>
      </c>
      <c r="D75" s="13"/>
      <c r="E75" s="13">
        <v>43711</v>
      </c>
      <c r="G75" s="8">
        <v>10365915</v>
      </c>
      <c r="I75" s="8">
        <v>2756531</v>
      </c>
      <c r="K75" s="8">
        <v>1981690</v>
      </c>
      <c r="M75" s="8">
        <v>1483768</v>
      </c>
      <c r="O75" s="8">
        <v>1645356</v>
      </c>
      <c r="Q75" s="8">
        <v>1400378</v>
      </c>
      <c r="S75" s="8">
        <v>23650</v>
      </c>
      <c r="U75" s="8">
        <v>1995487</v>
      </c>
      <c r="W75" s="8">
        <v>291464</v>
      </c>
      <c r="Y75" s="8">
        <v>339030</v>
      </c>
      <c r="AA75" s="8">
        <v>3093151</v>
      </c>
      <c r="AC75" s="8">
        <v>1383269</v>
      </c>
      <c r="AE75" s="8">
        <v>371585</v>
      </c>
      <c r="AG75" s="13" t="s">
        <v>654</v>
      </c>
      <c r="AH75" s="13"/>
      <c r="AI75" s="13" t="s">
        <v>62</v>
      </c>
      <c r="AJ75" s="13"/>
      <c r="AK75" s="8">
        <v>1005959</v>
      </c>
      <c r="AM75" s="8">
        <v>49726</v>
      </c>
      <c r="AO75" s="8">
        <v>702139</v>
      </c>
      <c r="AQ75" s="8">
        <v>72353</v>
      </c>
      <c r="AU75" s="8">
        <v>0</v>
      </c>
      <c r="AW75" s="8">
        <f t="shared" ref="AW75:AW129" si="4">SUM(G75:AV75)</f>
        <v>28961451</v>
      </c>
      <c r="AY75" s="8">
        <f>+'St of Activites - GA Rev'!AI77-'St of Activities - GA Exp'!AW75</f>
        <v>-1215612</v>
      </c>
      <c r="BA75" s="8">
        <v>2453484</v>
      </c>
      <c r="BC75" s="8">
        <f t="shared" ref="BC75:BC126" si="5">+AY75+BA75</f>
        <v>1237872</v>
      </c>
      <c r="BE75" s="8">
        <f>+'St of Net Assets - GA'!AA76-'St of Activities - GA Exp'!BC75</f>
        <v>0</v>
      </c>
    </row>
    <row r="76" spans="1:57" s="8" customFormat="1">
      <c r="A76" s="13" t="s">
        <v>654</v>
      </c>
      <c r="B76" s="13"/>
      <c r="C76" s="13" t="s">
        <v>62</v>
      </c>
      <c r="D76" s="13"/>
      <c r="E76" s="13">
        <v>49833</v>
      </c>
      <c r="G76" s="8">
        <v>44430</v>
      </c>
      <c r="I76" s="8">
        <v>14150</v>
      </c>
      <c r="K76" s="8">
        <v>1677</v>
      </c>
      <c r="M76" s="8">
        <f>747+14044</f>
        <v>14791</v>
      </c>
      <c r="O76" s="8">
        <v>6969</v>
      </c>
      <c r="Q76" s="8">
        <v>6708</v>
      </c>
      <c r="S76" s="8">
        <v>20</v>
      </c>
      <c r="U76" s="8">
        <v>8340</v>
      </c>
      <c r="W76" s="8">
        <v>1405</v>
      </c>
      <c r="Y76" s="8">
        <v>603</v>
      </c>
      <c r="AA76" s="8">
        <v>11996</v>
      </c>
      <c r="AC76" s="8">
        <v>2966</v>
      </c>
      <c r="AE76" s="8">
        <v>3679</v>
      </c>
      <c r="AG76" s="13" t="s">
        <v>655</v>
      </c>
      <c r="AH76" s="13"/>
      <c r="AI76" s="13" t="s">
        <v>62</v>
      </c>
      <c r="AJ76" s="13"/>
      <c r="AK76" s="8">
        <v>0</v>
      </c>
      <c r="AM76" s="8">
        <v>1129</v>
      </c>
      <c r="AO76" s="8">
        <v>2268</v>
      </c>
      <c r="AQ76" s="8">
        <v>1848</v>
      </c>
      <c r="AU76" s="8">
        <v>328</v>
      </c>
      <c r="AW76" s="8">
        <f t="shared" si="4"/>
        <v>123307</v>
      </c>
      <c r="AY76" s="8">
        <f>+'St of Activites - GA Rev'!AI78-'St of Activities - GA Exp'!AW76</f>
        <v>7254</v>
      </c>
      <c r="BA76" s="8">
        <v>154575</v>
      </c>
      <c r="BC76" s="8">
        <f t="shared" si="5"/>
        <v>161829</v>
      </c>
      <c r="BE76" s="8">
        <f>+'St of Net Assets - GA'!AA77-'St of Activities - GA Exp'!BC76</f>
        <v>0</v>
      </c>
    </row>
    <row r="77" spans="1:57" ht="12" customHeight="1">
      <c r="A77" s="12" t="s">
        <v>382</v>
      </c>
      <c r="B77" s="12"/>
      <c r="C77" s="12" t="s">
        <v>30</v>
      </c>
      <c r="D77" s="12"/>
      <c r="E77" s="32">
        <v>47175</v>
      </c>
      <c r="G77" s="8">
        <v>6316892</v>
      </c>
      <c r="H77" s="8"/>
      <c r="I77" s="8">
        <v>2092346</v>
      </c>
      <c r="J77" s="8"/>
      <c r="K77" s="8">
        <v>0</v>
      </c>
      <c r="L77" s="8"/>
      <c r="M77" s="8">
        <v>0</v>
      </c>
      <c r="N77" s="8"/>
      <c r="O77" s="8">
        <v>953872</v>
      </c>
      <c r="P77" s="8"/>
      <c r="Q77" s="8">
        <v>590956</v>
      </c>
      <c r="R77" s="8"/>
      <c r="S77" s="8">
        <v>25129</v>
      </c>
      <c r="T77" s="8"/>
      <c r="U77" s="8">
        <v>1051643</v>
      </c>
      <c r="V77" s="8"/>
      <c r="W77" s="8">
        <v>441607</v>
      </c>
      <c r="X77" s="8"/>
      <c r="Y77" s="8">
        <v>49905</v>
      </c>
      <c r="Z77" s="8"/>
      <c r="AA77" s="8">
        <v>1443113</v>
      </c>
      <c r="AB77" s="8"/>
      <c r="AC77" s="8">
        <v>1322595</v>
      </c>
      <c r="AD77" s="8"/>
      <c r="AE77" s="8">
        <v>248745</v>
      </c>
      <c r="AF77" s="8"/>
      <c r="AG77" s="12" t="s">
        <v>382</v>
      </c>
      <c r="AH77" s="12"/>
      <c r="AI77" s="12" t="s">
        <v>30</v>
      </c>
      <c r="AJ77" s="12"/>
      <c r="AK77" s="8">
        <v>414956</v>
      </c>
      <c r="AL77" s="8"/>
      <c r="AM77" s="8">
        <v>39871</v>
      </c>
      <c r="AN77" s="8"/>
      <c r="AO77" s="8">
        <v>322416</v>
      </c>
      <c r="AP77" s="8"/>
      <c r="AQ77" s="8">
        <v>567916</v>
      </c>
      <c r="AR77" s="8"/>
      <c r="AS77" s="8"/>
      <c r="AT77" s="8"/>
      <c r="AU77" s="8">
        <v>0</v>
      </c>
      <c r="AV77" s="8"/>
      <c r="AW77" s="8">
        <f t="shared" si="4"/>
        <v>15881962</v>
      </c>
      <c r="AY77" s="8">
        <f>+'St of Activites - GA Rev'!AI79-'St of Activities - GA Exp'!AW77</f>
        <v>-374381</v>
      </c>
      <c r="BA77" s="8">
        <v>2999518</v>
      </c>
      <c r="BC77" s="8">
        <f t="shared" si="5"/>
        <v>2625137</v>
      </c>
      <c r="BE77" s="8">
        <f>+'St of Net Assets - GA'!AA78-'St of Activities - GA Exp'!BC77</f>
        <v>0</v>
      </c>
    </row>
    <row r="78" spans="1:57">
      <c r="A78" s="12" t="s">
        <v>568</v>
      </c>
      <c r="B78" s="12"/>
      <c r="C78" s="12" t="s">
        <v>78</v>
      </c>
      <c r="D78" s="12"/>
      <c r="E78" s="32">
        <v>48793</v>
      </c>
      <c r="G78" s="8">
        <v>5668411</v>
      </c>
      <c r="H78" s="8"/>
      <c r="I78" s="8">
        <v>1183986</v>
      </c>
      <c r="J78" s="8"/>
      <c r="K78" s="8">
        <v>357557</v>
      </c>
      <c r="L78" s="8"/>
      <c r="M78" s="8">
        <v>1343356</v>
      </c>
      <c r="N78" s="8"/>
      <c r="O78" s="8">
        <v>466996</v>
      </c>
      <c r="P78" s="8"/>
      <c r="Q78" s="8">
        <v>524259</v>
      </c>
      <c r="R78" s="8"/>
      <c r="S78" s="8">
        <v>24008</v>
      </c>
      <c r="T78" s="8"/>
      <c r="U78" s="8">
        <v>908202</v>
      </c>
      <c r="V78" s="8"/>
      <c r="W78" s="8">
        <v>249229</v>
      </c>
      <c r="X78" s="8"/>
      <c r="Y78" s="8">
        <v>0</v>
      </c>
      <c r="Z78" s="8"/>
      <c r="AA78" s="8">
        <v>1576123</v>
      </c>
      <c r="AB78" s="8"/>
      <c r="AC78" s="8">
        <v>599888</v>
      </c>
      <c r="AD78" s="8"/>
      <c r="AE78" s="8">
        <v>0</v>
      </c>
      <c r="AF78" s="8"/>
      <c r="AG78" s="12" t="s">
        <v>568</v>
      </c>
      <c r="AH78" s="12"/>
      <c r="AI78" s="12" t="s">
        <v>78</v>
      </c>
      <c r="AJ78" s="12"/>
      <c r="AK78" s="8">
        <v>511825</v>
      </c>
      <c r="AL78" s="8"/>
      <c r="AM78" s="8">
        <v>1522</v>
      </c>
      <c r="AN78" s="8"/>
      <c r="AO78" s="8">
        <v>326133</v>
      </c>
      <c r="AP78" s="8"/>
      <c r="AQ78" s="8">
        <v>252414</v>
      </c>
      <c r="AR78" s="8"/>
      <c r="AS78" s="8"/>
      <c r="AT78" s="8"/>
      <c r="AU78" s="8">
        <v>0</v>
      </c>
      <c r="AV78" s="8"/>
      <c r="AW78" s="8">
        <f t="shared" si="4"/>
        <v>13993909</v>
      </c>
      <c r="AY78" s="8">
        <f>+'St of Activites - GA Rev'!AI80-'St of Activities - GA Exp'!AW78</f>
        <v>-1224510</v>
      </c>
      <c r="BA78" s="8">
        <v>29647477</v>
      </c>
      <c r="BC78" s="8">
        <f t="shared" si="5"/>
        <v>28422967</v>
      </c>
      <c r="BE78" s="8">
        <f>+'St of Net Assets - GA'!AA79-'St of Activities - GA Exp'!BC78</f>
        <v>0</v>
      </c>
    </row>
    <row r="79" spans="1:57">
      <c r="A79" s="12" t="s">
        <v>713</v>
      </c>
      <c r="B79" s="12"/>
      <c r="C79" s="12" t="s">
        <v>69</v>
      </c>
      <c r="D79" s="12"/>
      <c r="E79" s="32">
        <v>48793</v>
      </c>
      <c r="G79" s="8">
        <v>7196469</v>
      </c>
      <c r="H79" s="8"/>
      <c r="I79" s="8">
        <v>1702433</v>
      </c>
      <c r="J79" s="8"/>
      <c r="K79" s="8">
        <v>243621</v>
      </c>
      <c r="L79" s="8"/>
      <c r="M79" s="8">
        <v>44231</v>
      </c>
      <c r="N79" s="8"/>
      <c r="O79" s="8">
        <v>760819</v>
      </c>
      <c r="P79" s="8"/>
      <c r="Q79" s="8">
        <v>931189</v>
      </c>
      <c r="R79" s="8"/>
      <c r="S79" s="8">
        <v>23095</v>
      </c>
      <c r="T79" s="8"/>
      <c r="U79" s="8">
        <v>1265743</v>
      </c>
      <c r="V79" s="8"/>
      <c r="W79" s="8">
        <v>439634</v>
      </c>
      <c r="X79" s="8"/>
      <c r="Y79" s="8">
        <v>43264</v>
      </c>
      <c r="Z79" s="8"/>
      <c r="AA79" s="8">
        <v>1325925</v>
      </c>
      <c r="AB79" s="8"/>
      <c r="AC79" s="8">
        <v>802192</v>
      </c>
      <c r="AD79" s="8"/>
      <c r="AE79" s="8">
        <v>40678</v>
      </c>
      <c r="AF79" s="8"/>
      <c r="AG79" s="12" t="s">
        <v>713</v>
      </c>
      <c r="AH79" s="12"/>
      <c r="AI79" s="12" t="s">
        <v>69</v>
      </c>
      <c r="AJ79" s="12"/>
      <c r="AK79" s="8">
        <v>558031</v>
      </c>
      <c r="AL79" s="8"/>
      <c r="AM79" s="8">
        <v>3332</v>
      </c>
      <c r="AN79" s="8"/>
      <c r="AO79" s="8">
        <v>391406</v>
      </c>
      <c r="AP79" s="8"/>
      <c r="AQ79" s="8">
        <v>41021</v>
      </c>
      <c r="AR79" s="8"/>
      <c r="AS79" s="8"/>
      <c r="AT79" s="8"/>
      <c r="AU79" s="8">
        <v>0</v>
      </c>
      <c r="AV79" s="8"/>
      <c r="AW79" s="8">
        <f>SUM(G79:AV79)</f>
        <v>15813083</v>
      </c>
      <c r="AY79" s="8">
        <f>+'St of Activites - GA Rev'!AI81-'St of Activities - GA Exp'!AW79</f>
        <v>990124</v>
      </c>
      <c r="BA79" s="8">
        <v>452750</v>
      </c>
      <c r="BC79" s="8">
        <f>+AY79+BA79</f>
        <v>1442874</v>
      </c>
      <c r="BE79" s="8">
        <f>+'St of Net Assets - GA'!AA80-'St of Activities - GA Exp'!BC79</f>
        <v>0</v>
      </c>
    </row>
    <row r="80" spans="1:57" ht="11.25" customHeight="1">
      <c r="A80" s="12" t="s">
        <v>257</v>
      </c>
      <c r="B80" s="12"/>
      <c r="C80" s="12" t="s">
        <v>16</v>
      </c>
      <c r="D80" s="12"/>
      <c r="E80" s="32">
        <v>45278</v>
      </c>
      <c r="G80" s="8">
        <v>9204695</v>
      </c>
      <c r="H80" s="8"/>
      <c r="I80" s="8">
        <v>2347669</v>
      </c>
      <c r="J80" s="8"/>
      <c r="K80" s="8">
        <v>238441</v>
      </c>
      <c r="L80" s="8"/>
      <c r="M80" s="8">
        <v>324332</v>
      </c>
      <c r="N80" s="8"/>
      <c r="O80" s="8">
        <v>1016469</v>
      </c>
      <c r="P80" s="8"/>
      <c r="Q80" s="8">
        <v>1308400</v>
      </c>
      <c r="R80" s="8"/>
      <c r="S80" s="8">
        <v>33839</v>
      </c>
      <c r="T80" s="8"/>
      <c r="U80" s="8">
        <v>1627439</v>
      </c>
      <c r="V80" s="8"/>
      <c r="W80" s="8">
        <v>525825</v>
      </c>
      <c r="X80" s="8"/>
      <c r="Y80" s="8">
        <v>65996</v>
      </c>
      <c r="Z80" s="8"/>
      <c r="AA80" s="8">
        <v>1810032</v>
      </c>
      <c r="AB80" s="8"/>
      <c r="AC80" s="8">
        <v>1769204</v>
      </c>
      <c r="AD80" s="8"/>
      <c r="AE80" s="8">
        <v>43235</v>
      </c>
      <c r="AF80" s="8"/>
      <c r="AG80" s="12" t="s">
        <v>257</v>
      </c>
      <c r="AH80" s="12"/>
      <c r="AI80" s="12" t="s">
        <v>16</v>
      </c>
      <c r="AJ80" s="12"/>
      <c r="AK80" s="8">
        <v>935720</v>
      </c>
      <c r="AL80" s="8"/>
      <c r="AM80" s="8">
        <v>45157</v>
      </c>
      <c r="AN80" s="8"/>
      <c r="AO80" s="8">
        <v>562701</v>
      </c>
      <c r="AP80" s="8"/>
      <c r="AQ80" s="8">
        <v>5203</v>
      </c>
      <c r="AR80" s="8"/>
      <c r="AS80" s="8"/>
      <c r="AT80" s="8"/>
      <c r="AU80" s="8">
        <v>0</v>
      </c>
      <c r="AV80" s="8"/>
      <c r="AW80" s="8">
        <f t="shared" si="4"/>
        <v>21864357</v>
      </c>
      <c r="AY80" s="8">
        <f>+'St of Activites - GA Rev'!AI82-'St of Activities - GA Exp'!AW80</f>
        <v>1516095</v>
      </c>
      <c r="BA80" s="8">
        <v>7426727</v>
      </c>
      <c r="BC80" s="8">
        <f t="shared" si="5"/>
        <v>8942822</v>
      </c>
      <c r="BE80" s="8">
        <f>+'St of Net Assets - GA'!AA81-'St of Activities - GA Exp'!BC80</f>
        <v>0</v>
      </c>
    </row>
    <row r="81" spans="1:57">
      <c r="A81" s="12" t="s">
        <v>389</v>
      </c>
      <c r="B81" s="12"/>
      <c r="C81" s="12" t="s">
        <v>117</v>
      </c>
      <c r="D81" s="12"/>
      <c r="E81" s="32">
        <v>47258</v>
      </c>
      <c r="G81" s="8">
        <v>2470009</v>
      </c>
      <c r="H81" s="8"/>
      <c r="I81" s="8">
        <v>473803</v>
      </c>
      <c r="J81" s="8"/>
      <c r="K81" s="8">
        <v>5939</v>
      </c>
      <c r="L81" s="8"/>
      <c r="M81" s="8">
        <v>319812</v>
      </c>
      <c r="N81" s="8"/>
      <c r="O81" s="8">
        <v>435069</v>
      </c>
      <c r="P81" s="8"/>
      <c r="Q81" s="8">
        <v>286969</v>
      </c>
      <c r="R81" s="8"/>
      <c r="S81" s="8">
        <v>37763</v>
      </c>
      <c r="T81" s="8"/>
      <c r="U81" s="8">
        <v>529671</v>
      </c>
      <c r="V81" s="8"/>
      <c r="W81" s="8">
        <v>229443</v>
      </c>
      <c r="X81" s="8"/>
      <c r="Y81" s="8">
        <v>1555</v>
      </c>
      <c r="Z81" s="8"/>
      <c r="AA81" s="8">
        <v>492802</v>
      </c>
      <c r="AB81" s="8"/>
      <c r="AC81" s="8">
        <v>217515</v>
      </c>
      <c r="AD81" s="8"/>
      <c r="AE81" s="8">
        <v>12342</v>
      </c>
      <c r="AF81" s="8"/>
      <c r="AG81" s="12" t="s">
        <v>389</v>
      </c>
      <c r="AH81" s="12"/>
      <c r="AI81" s="12" t="s">
        <v>117</v>
      </c>
      <c r="AJ81" s="12"/>
      <c r="AK81" s="8">
        <v>0</v>
      </c>
      <c r="AL81" s="8"/>
      <c r="AM81" s="8">
        <v>175907</v>
      </c>
      <c r="AN81" s="8"/>
      <c r="AO81" s="8">
        <v>219981</v>
      </c>
      <c r="AP81" s="8"/>
      <c r="AQ81" s="8">
        <v>0</v>
      </c>
      <c r="AR81" s="8"/>
      <c r="AS81" s="8"/>
      <c r="AT81" s="8"/>
      <c r="AU81" s="8">
        <v>0</v>
      </c>
      <c r="AV81" s="8"/>
      <c r="AW81" s="8">
        <f t="shared" si="4"/>
        <v>5908580</v>
      </c>
      <c r="AY81" s="8">
        <f>+'St of Activites - GA Rev'!AI83-'St of Activities - GA Exp'!AW81</f>
        <v>612656</v>
      </c>
      <c r="BA81" s="8">
        <v>2507780</v>
      </c>
      <c r="BC81" s="8">
        <f t="shared" si="5"/>
        <v>3120436</v>
      </c>
      <c r="BE81" s="8">
        <f>+'St of Net Assets - GA'!AA82-'St of Activities - GA Exp'!BC81</f>
        <v>0</v>
      </c>
    </row>
    <row r="82" spans="1:57">
      <c r="A82" s="12" t="s">
        <v>459</v>
      </c>
      <c r="B82" s="12"/>
      <c r="C82" s="12" t="s">
        <v>40</v>
      </c>
      <c r="D82" s="12"/>
      <c r="E82" s="32">
        <v>47829</v>
      </c>
      <c r="G82" s="8">
        <v>4807497</v>
      </c>
      <c r="H82" s="8"/>
      <c r="I82" s="8">
        <v>1673314</v>
      </c>
      <c r="J82" s="8"/>
      <c r="K82" s="8">
        <v>187416</v>
      </c>
      <c r="L82" s="8"/>
      <c r="M82" s="8">
        <v>0</v>
      </c>
      <c r="N82" s="8"/>
      <c r="O82" s="8">
        <v>324039</v>
      </c>
      <c r="P82" s="8"/>
      <c r="Q82" s="8">
        <v>152511</v>
      </c>
      <c r="R82" s="8"/>
      <c r="S82" s="8">
        <v>9553</v>
      </c>
      <c r="T82" s="8"/>
      <c r="U82" s="8">
        <v>819947</v>
      </c>
      <c r="V82" s="8"/>
      <c r="W82" s="8">
        <v>339336</v>
      </c>
      <c r="X82" s="8"/>
      <c r="Y82" s="8">
        <v>0</v>
      </c>
      <c r="Z82" s="8"/>
      <c r="AA82" s="8">
        <v>1004384</v>
      </c>
      <c r="AB82" s="8"/>
      <c r="AC82" s="8">
        <v>621847</v>
      </c>
      <c r="AD82" s="8"/>
      <c r="AE82" s="8">
        <v>13194</v>
      </c>
      <c r="AF82" s="8"/>
      <c r="AG82" s="12" t="s">
        <v>459</v>
      </c>
      <c r="AH82" s="12"/>
      <c r="AI82" s="12" t="s">
        <v>40</v>
      </c>
      <c r="AJ82" s="12"/>
      <c r="AK82" s="8">
        <v>0</v>
      </c>
      <c r="AL82" s="8"/>
      <c r="AM82" s="8">
        <v>278342</v>
      </c>
      <c r="AN82" s="8"/>
      <c r="AO82" s="8">
        <v>343357</v>
      </c>
      <c r="AP82" s="8"/>
      <c r="AQ82" s="8">
        <v>279780</v>
      </c>
      <c r="AR82" s="8"/>
      <c r="AS82" s="8"/>
      <c r="AT82" s="8"/>
      <c r="AU82" s="8">
        <v>0</v>
      </c>
      <c r="AV82" s="8"/>
      <c r="AW82" s="8">
        <f t="shared" si="4"/>
        <v>10854517</v>
      </c>
      <c r="AY82" s="8">
        <f>+'St of Activites - GA Rev'!AI85-'St of Activities - GA Exp'!AW82</f>
        <v>-649622</v>
      </c>
      <c r="BA82" s="8">
        <v>21475013</v>
      </c>
      <c r="BC82" s="8">
        <f t="shared" si="5"/>
        <v>20825391</v>
      </c>
      <c r="BE82" s="8">
        <f>+'St of Net Assets - GA'!AA83-'St of Activities - GA Exp'!BC82</f>
        <v>0</v>
      </c>
    </row>
    <row r="83" spans="1:57">
      <c r="A83" s="12"/>
      <c r="B83" s="12"/>
      <c r="C83" s="12"/>
      <c r="D83" s="12"/>
      <c r="E83" s="32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12"/>
      <c r="AH83" s="12"/>
      <c r="AI83" s="12"/>
      <c r="AJ83" s="12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</row>
    <row r="84" spans="1:57">
      <c r="A84" s="12"/>
      <c r="B84" s="12"/>
      <c r="C84" s="12"/>
      <c r="D84" s="12"/>
      <c r="E84" s="32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 t="s">
        <v>819</v>
      </c>
      <c r="AF84" s="8"/>
      <c r="AG84" s="12"/>
      <c r="AH84" s="12"/>
      <c r="AI84" s="12"/>
      <c r="AJ84" s="12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BC84" s="8" t="s">
        <v>819</v>
      </c>
    </row>
    <row r="85" spans="1:57" s="35" customFormat="1">
      <c r="A85" s="34" t="s">
        <v>553</v>
      </c>
      <c r="B85" s="34"/>
      <c r="C85" s="34" t="s">
        <v>50</v>
      </c>
      <c r="D85" s="34"/>
      <c r="E85" s="34">
        <v>43737</v>
      </c>
      <c r="G85" s="35">
        <v>41212750</v>
      </c>
      <c r="I85" s="35">
        <v>8407831</v>
      </c>
      <c r="K85" s="35">
        <v>2546280</v>
      </c>
      <c r="M85" s="35">
        <v>662986</v>
      </c>
      <c r="O85" s="35">
        <v>3968691</v>
      </c>
      <c r="Q85" s="35">
        <v>6921246</v>
      </c>
      <c r="S85" s="35">
        <v>27428</v>
      </c>
      <c r="U85" s="35">
        <v>4689445</v>
      </c>
      <c r="W85" s="35">
        <v>1598472</v>
      </c>
      <c r="Y85" s="35">
        <v>644649</v>
      </c>
      <c r="AA85" s="35">
        <v>6436060</v>
      </c>
      <c r="AC85" s="35">
        <v>6287495</v>
      </c>
      <c r="AE85" s="35">
        <v>88823</v>
      </c>
      <c r="AG85" s="34" t="s">
        <v>553</v>
      </c>
      <c r="AH85" s="34"/>
      <c r="AI85" s="34" t="s">
        <v>50</v>
      </c>
      <c r="AJ85" s="34"/>
      <c r="AK85" s="35">
        <v>0</v>
      </c>
      <c r="AM85" s="35">
        <v>4722429</v>
      </c>
      <c r="AO85" s="35">
        <v>660133</v>
      </c>
      <c r="AQ85" s="35">
        <v>3351454</v>
      </c>
      <c r="AU85" s="35">
        <v>1549295</v>
      </c>
      <c r="AW85" s="35">
        <f t="shared" si="4"/>
        <v>93775467</v>
      </c>
      <c r="AY85" s="35">
        <f>+'St of Activites - GA Rev'!AI88-'St of Activities - GA Exp'!AW85</f>
        <v>-1666054</v>
      </c>
      <c r="BA85" s="35">
        <v>49956243</v>
      </c>
      <c r="BC85" s="35">
        <f t="shared" si="5"/>
        <v>48290189</v>
      </c>
      <c r="BE85" s="35">
        <f>+'St of Net Assets - GA'!AA84-'St of Activities - GA Exp'!BC85</f>
        <v>0</v>
      </c>
    </row>
    <row r="86" spans="1:57">
      <c r="A86" s="12" t="s">
        <v>807</v>
      </c>
      <c r="B86" s="12"/>
      <c r="C86" s="12" t="s">
        <v>22</v>
      </c>
      <c r="D86" s="12"/>
      <c r="E86" s="32">
        <v>46714</v>
      </c>
      <c r="G86" s="8">
        <v>4438709</v>
      </c>
      <c r="H86" s="8"/>
      <c r="I86" s="8">
        <v>1153033</v>
      </c>
      <c r="J86" s="8"/>
      <c r="K86" s="8">
        <v>193665</v>
      </c>
      <c r="L86" s="8"/>
      <c r="M86" s="8">
        <f>25663+631045</f>
        <v>656708</v>
      </c>
      <c r="N86" s="8"/>
      <c r="O86" s="8">
        <v>510393</v>
      </c>
      <c r="P86" s="8"/>
      <c r="Q86" s="8">
        <v>233251</v>
      </c>
      <c r="R86" s="8"/>
      <c r="S86" s="8">
        <v>27221</v>
      </c>
      <c r="T86" s="8"/>
      <c r="U86" s="8">
        <v>855468</v>
      </c>
      <c r="V86" s="8"/>
      <c r="W86" s="8">
        <v>243991</v>
      </c>
      <c r="X86" s="8"/>
      <c r="Y86" s="8">
        <v>71876</v>
      </c>
      <c r="Z86" s="8"/>
      <c r="AA86" s="8">
        <v>773364</v>
      </c>
      <c r="AB86" s="8"/>
      <c r="AC86" s="8">
        <v>787056</v>
      </c>
      <c r="AD86" s="8"/>
      <c r="AE86" s="8">
        <v>187321</v>
      </c>
      <c r="AF86" s="8"/>
      <c r="AG86" s="12" t="s">
        <v>807</v>
      </c>
      <c r="AH86" s="12"/>
      <c r="AI86" s="12" t="s">
        <v>22</v>
      </c>
      <c r="AJ86" s="12"/>
      <c r="AK86" s="8">
        <v>491166</v>
      </c>
      <c r="AL86" s="8"/>
      <c r="AM86" s="8">
        <v>0</v>
      </c>
      <c r="AN86" s="8"/>
      <c r="AO86" s="8">
        <v>516789</v>
      </c>
      <c r="AP86" s="8"/>
      <c r="AQ86" s="8">
        <v>128578</v>
      </c>
      <c r="AR86" s="8"/>
      <c r="AS86" s="8"/>
      <c r="AT86" s="8"/>
      <c r="AU86" s="8">
        <v>271777</v>
      </c>
      <c r="AV86" s="8"/>
      <c r="AW86" s="8">
        <f t="shared" si="4"/>
        <v>11540366</v>
      </c>
      <c r="AY86" s="8">
        <f>+'St of Activites - GA Rev'!AI89-'St of Activities - GA Exp'!AW86</f>
        <v>-453066</v>
      </c>
      <c r="BA86" s="8">
        <v>10083717</v>
      </c>
      <c r="BC86" s="8">
        <f t="shared" si="5"/>
        <v>9630651</v>
      </c>
      <c r="BE86" s="8">
        <f>+'St of Net Assets - GA'!AA85-'St of Activities - GA Exp'!BC86</f>
        <v>0</v>
      </c>
    </row>
    <row r="87" spans="1:57">
      <c r="A87" s="12" t="s">
        <v>306</v>
      </c>
      <c r="B87" s="12"/>
      <c r="C87" s="12" t="s">
        <v>20</v>
      </c>
      <c r="D87" s="12"/>
      <c r="E87" s="32">
        <v>45286</v>
      </c>
      <c r="G87" s="8">
        <v>10211305</v>
      </c>
      <c r="H87" s="8"/>
      <c r="I87" s="8">
        <v>1851409</v>
      </c>
      <c r="J87" s="8"/>
      <c r="K87" s="8">
        <v>108040</v>
      </c>
      <c r="L87" s="8"/>
      <c r="M87" s="8">
        <v>0</v>
      </c>
      <c r="N87" s="8"/>
      <c r="O87" s="8">
        <v>962287</v>
      </c>
      <c r="P87" s="8"/>
      <c r="Q87" s="8">
        <v>1343348</v>
      </c>
      <c r="R87" s="8"/>
      <c r="S87" s="8">
        <v>62223</v>
      </c>
      <c r="T87" s="8"/>
      <c r="U87" s="8">
        <v>1963707</v>
      </c>
      <c r="V87" s="8"/>
      <c r="W87" s="8">
        <v>707475</v>
      </c>
      <c r="X87" s="8"/>
      <c r="Y87" s="8">
        <v>800</v>
      </c>
      <c r="Z87" s="8"/>
      <c r="AA87" s="8">
        <v>2442552</v>
      </c>
      <c r="AB87" s="8"/>
      <c r="AC87" s="8">
        <v>1157144</v>
      </c>
      <c r="AD87" s="8"/>
      <c r="AE87" s="8">
        <v>16001</v>
      </c>
      <c r="AF87" s="8"/>
      <c r="AG87" s="12" t="s">
        <v>306</v>
      </c>
      <c r="AH87" s="12"/>
      <c r="AI87" s="12" t="s">
        <v>20</v>
      </c>
      <c r="AJ87" s="12"/>
      <c r="AK87" s="8">
        <v>0</v>
      </c>
      <c r="AL87" s="8"/>
      <c r="AM87" s="8">
        <v>165741</v>
      </c>
      <c r="AN87" s="8"/>
      <c r="AO87" s="8">
        <v>623811</v>
      </c>
      <c r="AP87" s="8"/>
      <c r="AQ87" s="8">
        <v>1333641</v>
      </c>
      <c r="AR87" s="8"/>
      <c r="AS87" s="8"/>
      <c r="AT87" s="8"/>
      <c r="AU87" s="8">
        <v>0</v>
      </c>
      <c r="AV87" s="8"/>
      <c r="AW87" s="8">
        <f t="shared" si="4"/>
        <v>22949484</v>
      </c>
      <c r="AY87" s="8">
        <f>+'St of Activites - GA Rev'!AI90-'St of Activities - GA Exp'!AW87</f>
        <v>2650472</v>
      </c>
      <c r="BA87" s="8">
        <v>3975186</v>
      </c>
      <c r="BC87" s="8">
        <f t="shared" si="5"/>
        <v>6625658</v>
      </c>
      <c r="BE87" s="8">
        <f>+'St of Net Assets - GA'!AA86-'St of Activities - GA Exp'!BC87</f>
        <v>0</v>
      </c>
    </row>
    <row r="88" spans="1:57">
      <c r="A88" s="12" t="s">
        <v>683</v>
      </c>
      <c r="B88" s="12"/>
      <c r="C88" s="12" t="s">
        <v>64</v>
      </c>
      <c r="D88" s="12"/>
      <c r="E88" s="32">
        <v>50138</v>
      </c>
      <c r="G88" s="8">
        <v>6142863</v>
      </c>
      <c r="H88" s="8"/>
      <c r="I88" s="8">
        <v>1625054</v>
      </c>
      <c r="J88" s="8"/>
      <c r="K88" s="8">
        <v>189846</v>
      </c>
      <c r="L88" s="8"/>
      <c r="M88" s="8">
        <v>516134</v>
      </c>
      <c r="N88" s="8"/>
      <c r="O88" s="8">
        <v>633524</v>
      </c>
      <c r="P88" s="8"/>
      <c r="Q88" s="8">
        <v>501615</v>
      </c>
      <c r="R88" s="8"/>
      <c r="S88" s="8">
        <v>47382</v>
      </c>
      <c r="T88" s="8"/>
      <c r="U88" s="8">
        <v>1754042</v>
      </c>
      <c r="V88" s="8"/>
      <c r="W88" s="8">
        <v>358797</v>
      </c>
      <c r="X88" s="8"/>
      <c r="Y88" s="8">
        <v>0</v>
      </c>
      <c r="Z88" s="8"/>
      <c r="AA88" s="8">
        <v>1645446</v>
      </c>
      <c r="AB88" s="8"/>
      <c r="AC88" s="8">
        <v>855685</v>
      </c>
      <c r="AD88" s="8"/>
      <c r="AE88" s="8">
        <v>12030</v>
      </c>
      <c r="AF88" s="8"/>
      <c r="AG88" s="12" t="s">
        <v>683</v>
      </c>
      <c r="AH88" s="12"/>
      <c r="AI88" s="12" t="s">
        <v>64</v>
      </c>
      <c r="AJ88" s="12"/>
      <c r="AK88" s="8">
        <v>448204</v>
      </c>
      <c r="AL88" s="8"/>
      <c r="AM88" s="8">
        <v>569</v>
      </c>
      <c r="AN88" s="8"/>
      <c r="AO88" s="8">
        <v>506634</v>
      </c>
      <c r="AP88" s="8"/>
      <c r="AQ88" s="8">
        <v>83860</v>
      </c>
      <c r="AR88" s="8"/>
      <c r="AS88" s="8"/>
      <c r="AT88" s="8"/>
      <c r="AU88" s="8">
        <v>0</v>
      </c>
      <c r="AV88" s="8"/>
      <c r="AW88" s="8">
        <f t="shared" si="4"/>
        <v>15321685</v>
      </c>
      <c r="AY88" s="8">
        <f>+'St of Activites - GA Rev'!AI91-'St of Activities - GA Exp'!AW88</f>
        <v>-168240</v>
      </c>
      <c r="BA88" s="8">
        <v>737982</v>
      </c>
      <c r="BC88" s="8">
        <f t="shared" si="5"/>
        <v>569742</v>
      </c>
      <c r="BE88" s="8">
        <f>+'St of Net Assets - GA'!AA87-'St of Activities - GA Exp'!BC88</f>
        <v>0</v>
      </c>
    </row>
    <row r="89" spans="1:57">
      <c r="A89" s="12" t="s">
        <v>383</v>
      </c>
      <c r="B89" s="12"/>
      <c r="C89" s="12" t="s">
        <v>30</v>
      </c>
      <c r="D89" s="12"/>
      <c r="E89" s="32">
        <v>47183</v>
      </c>
      <c r="G89" s="8">
        <v>12979338</v>
      </c>
      <c r="H89" s="8"/>
      <c r="I89" s="8">
        <v>3988272</v>
      </c>
      <c r="J89" s="8"/>
      <c r="K89" s="8">
        <v>239690</v>
      </c>
      <c r="L89" s="8"/>
      <c r="M89" s="8">
        <v>4651</v>
      </c>
      <c r="N89" s="8"/>
      <c r="O89" s="8">
        <v>1561416</v>
      </c>
      <c r="P89" s="8"/>
      <c r="Q89" s="8">
        <v>1485804</v>
      </c>
      <c r="R89" s="8"/>
      <c r="S89" s="8">
        <v>117374</v>
      </c>
      <c r="T89" s="8"/>
      <c r="U89" s="8">
        <v>2360401</v>
      </c>
      <c r="V89" s="8"/>
      <c r="W89" s="8">
        <v>908397</v>
      </c>
      <c r="X89" s="8"/>
      <c r="Y89" s="8">
        <v>359350</v>
      </c>
      <c r="Z89" s="8"/>
      <c r="AA89" s="8">
        <v>2444016</v>
      </c>
      <c r="AB89" s="8"/>
      <c r="AC89" s="8">
        <v>2572806</v>
      </c>
      <c r="AD89" s="8"/>
      <c r="AE89" s="8">
        <v>246953</v>
      </c>
      <c r="AF89" s="8"/>
      <c r="AG89" s="12" t="s">
        <v>383</v>
      </c>
      <c r="AH89" s="12"/>
      <c r="AI89" s="12" t="s">
        <v>30</v>
      </c>
      <c r="AJ89" s="12"/>
      <c r="AK89" s="8">
        <v>1003818</v>
      </c>
      <c r="AL89" s="8"/>
      <c r="AM89" s="8">
        <v>1088267</v>
      </c>
      <c r="AN89" s="8"/>
      <c r="AO89" s="8">
        <v>692580</v>
      </c>
      <c r="AP89" s="8"/>
      <c r="AQ89" s="8">
        <v>523</v>
      </c>
      <c r="AR89" s="8"/>
      <c r="AS89" s="8"/>
      <c r="AT89" s="8"/>
      <c r="AU89" s="8">
        <v>0</v>
      </c>
      <c r="AV89" s="8"/>
      <c r="AW89" s="8">
        <f t="shared" si="4"/>
        <v>32053656</v>
      </c>
      <c r="AY89" s="8">
        <f>+'St of Activites - GA Rev'!AI92-'St of Activities - GA Exp'!AW89</f>
        <v>790666</v>
      </c>
      <c r="BA89" s="8">
        <v>7974539</v>
      </c>
      <c r="BC89" s="8">
        <f t="shared" si="5"/>
        <v>8765205</v>
      </c>
      <c r="BE89" s="8">
        <f>+'St of Net Assets - GA'!AA88-'St of Activities - GA Exp'!BC89</f>
        <v>0</v>
      </c>
    </row>
    <row r="90" spans="1:57">
      <c r="A90" s="12" t="s">
        <v>470</v>
      </c>
      <c r="B90" s="12"/>
      <c r="C90" s="12" t="s">
        <v>471</v>
      </c>
      <c r="D90" s="12"/>
      <c r="E90" s="32">
        <v>45294</v>
      </c>
      <c r="G90" s="8">
        <v>6424121</v>
      </c>
      <c r="H90" s="8"/>
      <c r="I90" s="8">
        <v>1085154</v>
      </c>
      <c r="J90" s="8"/>
      <c r="K90" s="8">
        <v>0</v>
      </c>
      <c r="L90" s="8"/>
      <c r="M90" s="8">
        <v>321077</v>
      </c>
      <c r="N90" s="8"/>
      <c r="O90" s="8">
        <v>545825</v>
      </c>
      <c r="P90" s="8"/>
      <c r="Q90" s="8">
        <v>518424</v>
      </c>
      <c r="R90" s="8"/>
      <c r="S90" s="8">
        <v>65558</v>
      </c>
      <c r="T90" s="8"/>
      <c r="U90" s="8">
        <v>922750</v>
      </c>
      <c r="V90" s="8"/>
      <c r="W90" s="8">
        <v>276159</v>
      </c>
      <c r="X90" s="8"/>
      <c r="Y90" s="8">
        <v>0</v>
      </c>
      <c r="Z90" s="8"/>
      <c r="AA90" s="8">
        <v>1094455</v>
      </c>
      <c r="AB90" s="8"/>
      <c r="AC90" s="8">
        <v>681723</v>
      </c>
      <c r="AD90" s="8"/>
      <c r="AE90" s="8">
        <v>162126</v>
      </c>
      <c r="AF90" s="8"/>
      <c r="AG90" s="12" t="s">
        <v>470</v>
      </c>
      <c r="AH90" s="12"/>
      <c r="AI90" s="12" t="s">
        <v>471</v>
      </c>
      <c r="AJ90" s="12"/>
      <c r="AK90" s="8">
        <v>0</v>
      </c>
      <c r="AL90" s="8"/>
      <c r="AM90" s="8">
        <v>575759</v>
      </c>
      <c r="AN90" s="8"/>
      <c r="AO90" s="8">
        <v>249271</v>
      </c>
      <c r="AP90" s="8"/>
      <c r="AQ90" s="8">
        <v>127500</v>
      </c>
      <c r="AR90" s="8"/>
      <c r="AS90" s="8"/>
      <c r="AT90" s="8"/>
      <c r="AU90" s="8">
        <v>0</v>
      </c>
      <c r="AV90" s="8"/>
      <c r="AW90" s="8">
        <f t="shared" si="4"/>
        <v>13049902</v>
      </c>
      <c r="AY90" s="8">
        <f>+'St of Activites - GA Rev'!AI93-'St of Activities - GA Exp'!AW90</f>
        <v>-483091</v>
      </c>
      <c r="BA90" s="8">
        <v>23389897</v>
      </c>
      <c r="BC90" s="8">
        <f t="shared" si="5"/>
        <v>22906806</v>
      </c>
      <c r="BE90" s="8">
        <f>+'St of Net Assets - GA'!AA89-'St of Activities - GA Exp'!BC90</f>
        <v>0</v>
      </c>
    </row>
    <row r="91" spans="1:57">
      <c r="A91" s="12" t="s">
        <v>622</v>
      </c>
      <c r="B91" s="12"/>
      <c r="C91" s="12" t="s">
        <v>58</v>
      </c>
      <c r="D91" s="12"/>
      <c r="E91" s="32">
        <v>43745</v>
      </c>
      <c r="G91" s="8">
        <v>16852376</v>
      </c>
      <c r="H91" s="8"/>
      <c r="I91" s="8">
        <v>3005510</v>
      </c>
      <c r="J91" s="8"/>
      <c r="K91" s="8">
        <v>5892</v>
      </c>
      <c r="L91" s="8"/>
      <c r="M91" s="8">
        <v>614995</v>
      </c>
      <c r="N91" s="8"/>
      <c r="O91" s="8">
        <v>1668494</v>
      </c>
      <c r="P91" s="8"/>
      <c r="Q91" s="8">
        <v>1528952</v>
      </c>
      <c r="R91" s="8"/>
      <c r="S91" s="8">
        <v>79622</v>
      </c>
      <c r="T91" s="8"/>
      <c r="U91" s="8">
        <v>1993530</v>
      </c>
      <c r="V91" s="8"/>
      <c r="W91" s="8">
        <v>851805</v>
      </c>
      <c r="X91" s="8"/>
      <c r="Y91" s="8">
        <v>131676</v>
      </c>
      <c r="Z91" s="8"/>
      <c r="AA91" s="8">
        <v>2958034</v>
      </c>
      <c r="AB91" s="8"/>
      <c r="AC91" s="8">
        <v>1033711</v>
      </c>
      <c r="AD91" s="8"/>
      <c r="AE91" s="8">
        <v>319951</v>
      </c>
      <c r="AF91" s="8"/>
      <c r="AG91" s="12" t="s">
        <v>622</v>
      </c>
      <c r="AH91" s="12"/>
      <c r="AI91" s="12" t="s">
        <v>58</v>
      </c>
      <c r="AJ91" s="12"/>
      <c r="AK91" s="8">
        <v>0</v>
      </c>
      <c r="AL91" s="8"/>
      <c r="AM91" s="8">
        <v>1539225</v>
      </c>
      <c r="AN91" s="8"/>
      <c r="AO91" s="8">
        <v>553444</v>
      </c>
      <c r="AP91" s="8"/>
      <c r="AQ91" s="8">
        <v>1657433</v>
      </c>
      <c r="AR91" s="8"/>
      <c r="AS91" s="8"/>
      <c r="AT91" s="8"/>
      <c r="AU91" s="8">
        <v>0</v>
      </c>
      <c r="AV91" s="8"/>
      <c r="AW91" s="8">
        <f t="shared" si="4"/>
        <v>34794650</v>
      </c>
      <c r="AY91" s="8">
        <f>+'St of Activites - GA Rev'!AI94-'St of Activities - GA Exp'!AW91</f>
        <v>513933</v>
      </c>
      <c r="BA91" s="8">
        <v>9727004</v>
      </c>
      <c r="BC91" s="8">
        <f t="shared" si="5"/>
        <v>10240937</v>
      </c>
      <c r="BE91" s="8">
        <f>+'St of Net Assets - GA'!AA90-'St of Activities - GA Exp'!BC91</f>
        <v>0</v>
      </c>
    </row>
    <row r="92" spans="1:57">
      <c r="A92" s="12" t="s">
        <v>727</v>
      </c>
      <c r="B92" s="12"/>
      <c r="C92" s="12" t="s">
        <v>71</v>
      </c>
      <c r="D92" s="12"/>
      <c r="E92" s="32">
        <v>43745</v>
      </c>
      <c r="G92" s="8">
        <v>4638262</v>
      </c>
      <c r="H92" s="8"/>
      <c r="I92" s="8">
        <v>1189984</v>
      </c>
      <c r="J92" s="8"/>
      <c r="K92" s="8">
        <v>25577</v>
      </c>
      <c r="L92" s="8"/>
      <c r="M92" s="8">
        <v>297036</v>
      </c>
      <c r="N92" s="8"/>
      <c r="O92" s="8">
        <v>186052</v>
      </c>
      <c r="P92" s="8"/>
      <c r="Q92" s="8">
        <v>270378</v>
      </c>
      <c r="R92" s="8"/>
      <c r="S92" s="8">
        <v>27654</v>
      </c>
      <c r="T92" s="8"/>
      <c r="U92" s="8">
        <v>828529</v>
      </c>
      <c r="V92" s="8"/>
      <c r="W92" s="8">
        <v>274139</v>
      </c>
      <c r="X92" s="8"/>
      <c r="Y92" s="8">
        <v>0</v>
      </c>
      <c r="Z92" s="8"/>
      <c r="AA92" s="8">
        <v>839821</v>
      </c>
      <c r="AB92" s="8"/>
      <c r="AC92" s="8">
        <v>402894</v>
      </c>
      <c r="AD92" s="8"/>
      <c r="AE92" s="8">
        <v>142197</v>
      </c>
      <c r="AF92" s="8"/>
      <c r="AG92" s="12" t="s">
        <v>622</v>
      </c>
      <c r="AH92" s="12"/>
      <c r="AI92" s="12" t="s">
        <v>58</v>
      </c>
      <c r="AJ92" s="12"/>
      <c r="AK92" s="8">
        <v>470630</v>
      </c>
      <c r="AL92" s="8"/>
      <c r="AM92" s="8">
        <v>76879</v>
      </c>
      <c r="AN92" s="8"/>
      <c r="AO92" s="8">
        <v>464500</v>
      </c>
      <c r="AP92" s="8"/>
      <c r="AQ92" s="8">
        <v>0</v>
      </c>
      <c r="AR92" s="8"/>
      <c r="AS92" s="8"/>
      <c r="AT92" s="8"/>
      <c r="AU92" s="8">
        <v>0</v>
      </c>
      <c r="AV92" s="8"/>
      <c r="AW92" s="8">
        <f>SUM(G92:AV92)</f>
        <v>10134532</v>
      </c>
      <c r="AY92" s="8">
        <f>+'St of Activites - GA Rev'!AI96-'St of Activities - GA Exp'!AW92</f>
        <v>2256860</v>
      </c>
      <c r="BA92" s="8">
        <v>4315722</v>
      </c>
      <c r="BC92" s="8">
        <f>+AY92+BA92</f>
        <v>6572582</v>
      </c>
      <c r="BE92" s="8">
        <f>+'St of Net Assets - GA'!AA91-'St of Activities - GA Exp'!BC92</f>
        <v>0</v>
      </c>
    </row>
    <row r="93" spans="1:57">
      <c r="A93" s="12" t="s">
        <v>396</v>
      </c>
      <c r="B93" s="12"/>
      <c r="C93" s="12" t="s">
        <v>32</v>
      </c>
      <c r="D93" s="12"/>
      <c r="E93" s="32"/>
      <c r="G93" s="8">
        <v>175998596</v>
      </c>
      <c r="H93" s="8"/>
      <c r="I93" s="8">
        <v>72421383</v>
      </c>
      <c r="J93" s="8"/>
      <c r="K93" s="8">
        <v>7216845</v>
      </c>
      <c r="L93" s="8"/>
      <c r="M93" s="8">
        <v>40553924</v>
      </c>
      <c r="N93" s="8"/>
      <c r="O93" s="8">
        <v>23484223</v>
      </c>
      <c r="P93" s="8"/>
      <c r="Q93" s="8">
        <v>44812063</v>
      </c>
      <c r="R93" s="8"/>
      <c r="S93" s="8">
        <v>403963</v>
      </c>
      <c r="T93" s="8"/>
      <c r="U93" s="8">
        <v>33167537</v>
      </c>
      <c r="V93" s="8"/>
      <c r="W93" s="8">
        <v>2905859</v>
      </c>
      <c r="X93" s="8"/>
      <c r="Y93" s="8">
        <v>1217184</v>
      </c>
      <c r="Z93" s="8"/>
      <c r="AA93" s="8">
        <v>40791667</v>
      </c>
      <c r="AB93" s="8"/>
      <c r="AC93" s="8">
        <v>23321223</v>
      </c>
      <c r="AD93" s="8"/>
      <c r="AE93" s="8">
        <v>19888633</v>
      </c>
      <c r="AF93" s="8"/>
      <c r="AG93" s="12" t="s">
        <v>396</v>
      </c>
      <c r="AH93" s="12"/>
      <c r="AI93" s="12" t="s">
        <v>32</v>
      </c>
      <c r="AJ93" s="12"/>
      <c r="AK93" s="8">
        <v>0</v>
      </c>
      <c r="AL93" s="8"/>
      <c r="AM93" s="8">
        <v>32584206</v>
      </c>
      <c r="AN93" s="8"/>
      <c r="AO93" s="8">
        <v>5066751</v>
      </c>
      <c r="AP93" s="8"/>
      <c r="AQ93" s="8">
        <v>36789707</v>
      </c>
      <c r="AR93" s="8"/>
      <c r="AS93" s="8"/>
      <c r="AT93" s="8"/>
      <c r="AU93" s="8">
        <v>0</v>
      </c>
      <c r="AV93" s="8"/>
      <c r="AW93" s="8">
        <f t="shared" si="4"/>
        <v>560623764</v>
      </c>
      <c r="AY93" s="8">
        <f>+'St of Activites - GA Rev'!AI97-'St of Activities - GA Exp'!AW93</f>
        <v>19174116</v>
      </c>
      <c r="BA93" s="8">
        <v>423164824</v>
      </c>
      <c r="BC93" s="8">
        <f t="shared" si="5"/>
        <v>442338940</v>
      </c>
      <c r="BE93" s="8">
        <f>+'St of Net Assets - GA'!AA92-'St of Activities - GA Exp'!BC93</f>
        <v>0</v>
      </c>
    </row>
    <row r="94" spans="1:57" s="8" customFormat="1">
      <c r="A94" s="13" t="s">
        <v>588</v>
      </c>
      <c r="B94" s="13"/>
      <c r="C94" s="13" t="s">
        <v>54</v>
      </c>
      <c r="D94" s="13"/>
      <c r="E94" s="13">
        <v>43760</v>
      </c>
      <c r="G94" s="8">
        <v>9724559</v>
      </c>
      <c r="I94" s="8">
        <v>2313781</v>
      </c>
      <c r="K94" s="8">
        <v>30647</v>
      </c>
      <c r="M94" s="8">
        <v>97245</v>
      </c>
      <c r="O94" s="8">
        <v>1014889</v>
      </c>
      <c r="Q94" s="8">
        <v>1915741</v>
      </c>
      <c r="S94" s="8">
        <v>103247</v>
      </c>
      <c r="U94" s="8">
        <v>1801078</v>
      </c>
      <c r="W94" s="8">
        <v>783032</v>
      </c>
      <c r="Y94" s="8">
        <v>0</v>
      </c>
      <c r="AA94" s="8">
        <v>2538937</v>
      </c>
      <c r="AC94" s="8">
        <v>849389</v>
      </c>
      <c r="AE94" s="8">
        <v>0</v>
      </c>
      <c r="AG94" s="13" t="s">
        <v>588</v>
      </c>
      <c r="AH94" s="13"/>
      <c r="AI94" s="13" t="s">
        <v>54</v>
      </c>
      <c r="AJ94" s="13"/>
      <c r="AK94" s="8">
        <v>1071247</v>
      </c>
      <c r="AM94" s="8">
        <v>30081</v>
      </c>
      <c r="AO94" s="8">
        <v>489417</v>
      </c>
      <c r="AQ94" s="8">
        <v>16161</v>
      </c>
      <c r="AU94" s="8">
        <v>62818</v>
      </c>
      <c r="AW94" s="8">
        <f t="shared" si="4"/>
        <v>22842269</v>
      </c>
      <c r="AY94" s="8">
        <f>+'St of Activites - GA Rev'!AI98-'St of Activities - GA Exp'!AW94</f>
        <v>3549952</v>
      </c>
      <c r="BA94" s="8">
        <v>11953807</v>
      </c>
      <c r="BC94" s="8">
        <f t="shared" si="5"/>
        <v>15503759</v>
      </c>
      <c r="BE94" s="8">
        <f>+'St of Net Assets - GA'!AA93-'St of Activities - GA Exp'!BC94</f>
        <v>0</v>
      </c>
    </row>
    <row r="95" spans="1:57">
      <c r="A95" s="12" t="s">
        <v>264</v>
      </c>
      <c r="B95" s="12"/>
      <c r="C95" s="12" t="s">
        <v>17</v>
      </c>
      <c r="D95" s="12"/>
      <c r="E95" s="32">
        <v>46284</v>
      </c>
      <c r="G95" s="8">
        <v>10454088</v>
      </c>
      <c r="H95" s="8"/>
      <c r="I95" s="8">
        <v>2005068</v>
      </c>
      <c r="J95" s="8"/>
      <c r="K95" s="8">
        <v>190062</v>
      </c>
      <c r="L95" s="8"/>
      <c r="M95" s="8">
        <v>33884</v>
      </c>
      <c r="N95" s="8"/>
      <c r="O95" s="8">
        <v>819180</v>
      </c>
      <c r="P95" s="8"/>
      <c r="Q95" s="8">
        <v>639086</v>
      </c>
      <c r="R95" s="8"/>
      <c r="S95" s="8">
        <v>85247</v>
      </c>
      <c r="T95" s="8"/>
      <c r="U95" s="8">
        <v>1657518</v>
      </c>
      <c r="V95" s="8"/>
      <c r="W95" s="8">
        <v>536712</v>
      </c>
      <c r="X95" s="8"/>
      <c r="Y95" s="8">
        <v>13383</v>
      </c>
      <c r="Z95" s="8"/>
      <c r="AA95" s="8">
        <v>1853883</v>
      </c>
      <c r="AB95" s="8"/>
      <c r="AC95" s="8">
        <v>1018925</v>
      </c>
      <c r="AD95" s="8"/>
      <c r="AE95" s="8">
        <v>65811</v>
      </c>
      <c r="AF95" s="8"/>
      <c r="AG95" s="12" t="s">
        <v>264</v>
      </c>
      <c r="AH95" s="12"/>
      <c r="AI95" s="12" t="s">
        <v>17</v>
      </c>
      <c r="AJ95" s="12"/>
      <c r="AK95" s="8">
        <v>0</v>
      </c>
      <c r="AL95" s="8"/>
      <c r="AM95" s="8">
        <v>890379</v>
      </c>
      <c r="AN95" s="8"/>
      <c r="AO95" s="8">
        <v>719532</v>
      </c>
      <c r="AP95" s="8"/>
      <c r="AQ95" s="8">
        <v>876</v>
      </c>
      <c r="AR95" s="8"/>
      <c r="AS95" s="8"/>
      <c r="AT95" s="8"/>
      <c r="AU95" s="8">
        <v>0</v>
      </c>
      <c r="AV95" s="8"/>
      <c r="AW95" s="8">
        <f t="shared" si="4"/>
        <v>20983634</v>
      </c>
      <c r="AY95" s="8">
        <f>+'St of Activites - GA Rev'!AI99-'St of Activities - GA Exp'!AW95</f>
        <v>-257440</v>
      </c>
      <c r="BA95" s="8">
        <v>15501152</v>
      </c>
      <c r="BC95" s="8">
        <f t="shared" si="5"/>
        <v>15243712</v>
      </c>
      <c r="BE95" s="8">
        <f>+'St of Net Assets - GA'!AA94-'St of Activities - GA Exp'!BC95</f>
        <v>0</v>
      </c>
    </row>
    <row r="96" spans="1:57">
      <c r="A96" s="12" t="s">
        <v>632</v>
      </c>
      <c r="B96" s="12"/>
      <c r="C96" s="12" t="s">
        <v>59</v>
      </c>
      <c r="D96" s="12"/>
      <c r="E96" s="32">
        <v>49601</v>
      </c>
      <c r="G96" s="8">
        <v>3144051</v>
      </c>
      <c r="H96" s="8"/>
      <c r="I96" s="8">
        <v>455532</v>
      </c>
      <c r="J96" s="8"/>
      <c r="K96" s="8">
        <v>28227</v>
      </c>
      <c r="L96" s="8"/>
      <c r="M96" s="8">
        <v>193711</v>
      </c>
      <c r="N96" s="8"/>
      <c r="O96" s="8">
        <v>342727</v>
      </c>
      <c r="P96" s="8"/>
      <c r="Q96" s="8">
        <v>238201</v>
      </c>
      <c r="R96" s="8"/>
      <c r="S96" s="8">
        <v>20737</v>
      </c>
      <c r="T96" s="8"/>
      <c r="U96" s="8">
        <v>514917</v>
      </c>
      <c r="V96" s="8"/>
      <c r="W96" s="8">
        <v>175588</v>
      </c>
      <c r="X96" s="8"/>
      <c r="Y96" s="8">
        <v>0</v>
      </c>
      <c r="Z96" s="8"/>
      <c r="AA96" s="8">
        <v>417745</v>
      </c>
      <c r="AB96" s="8"/>
      <c r="AC96" s="8">
        <v>286096</v>
      </c>
      <c r="AD96" s="8"/>
      <c r="AE96" s="8">
        <v>32429</v>
      </c>
      <c r="AF96" s="8"/>
      <c r="AG96" s="12" t="s">
        <v>632</v>
      </c>
      <c r="AH96" s="12"/>
      <c r="AI96" s="12" t="s">
        <v>59</v>
      </c>
      <c r="AJ96" s="12"/>
      <c r="AK96" s="8">
        <v>290853</v>
      </c>
      <c r="AL96" s="8"/>
      <c r="AM96" s="8">
        <v>0</v>
      </c>
      <c r="AN96" s="8"/>
      <c r="AO96" s="8">
        <v>136940</v>
      </c>
      <c r="AP96" s="8"/>
      <c r="AQ96" s="8">
        <v>11981</v>
      </c>
      <c r="AR96" s="8"/>
      <c r="AS96" s="8"/>
      <c r="AT96" s="8"/>
      <c r="AU96" s="8">
        <v>0</v>
      </c>
      <c r="AV96" s="8"/>
      <c r="AW96" s="8">
        <f t="shared" si="4"/>
        <v>6289735</v>
      </c>
      <c r="AY96" s="8">
        <f>+'St of Activites - GA Rev'!AI100-'St of Activities - GA Exp'!AW96</f>
        <v>-124131</v>
      </c>
      <c r="BA96" s="8">
        <v>1902911</v>
      </c>
      <c r="BC96" s="8">
        <f t="shared" si="5"/>
        <v>1778780</v>
      </c>
      <c r="BE96" s="8">
        <f>+'St of Net Assets - GA'!AA95-'St of Activities - GA Exp'!BC96</f>
        <v>0</v>
      </c>
    </row>
    <row r="97" spans="1:57">
      <c r="A97" s="12" t="s">
        <v>699</v>
      </c>
      <c r="B97" s="12"/>
      <c r="C97" s="12" t="s">
        <v>65</v>
      </c>
      <c r="D97" s="12"/>
      <c r="E97" s="32">
        <v>43778</v>
      </c>
      <c r="G97" s="8">
        <v>9513229</v>
      </c>
      <c r="H97" s="8"/>
      <c r="I97" s="8">
        <v>2661777</v>
      </c>
      <c r="J97" s="8"/>
      <c r="K97" s="8">
        <v>282422</v>
      </c>
      <c r="L97" s="8"/>
      <c r="M97" s="8">
        <v>0</v>
      </c>
      <c r="N97" s="8"/>
      <c r="O97" s="8">
        <v>840853</v>
      </c>
      <c r="P97" s="8"/>
      <c r="Q97" s="8">
        <v>1105069</v>
      </c>
      <c r="R97" s="8"/>
      <c r="S97" s="8">
        <v>23717</v>
      </c>
      <c r="T97" s="8"/>
      <c r="U97" s="8">
        <v>1445695</v>
      </c>
      <c r="V97" s="8"/>
      <c r="W97" s="8">
        <v>356056</v>
      </c>
      <c r="X97" s="8"/>
      <c r="Y97" s="8">
        <v>52403</v>
      </c>
      <c r="Z97" s="8"/>
      <c r="AA97" s="8">
        <v>1907492</v>
      </c>
      <c r="AB97" s="8"/>
      <c r="AC97" s="8">
        <v>771035</v>
      </c>
      <c r="AD97" s="8"/>
      <c r="AE97" s="8">
        <v>495310</v>
      </c>
      <c r="AF97" s="8"/>
      <c r="AG97" s="12" t="s">
        <v>699</v>
      </c>
      <c r="AH97" s="12"/>
      <c r="AI97" s="12" t="s">
        <v>65</v>
      </c>
      <c r="AJ97" s="12"/>
      <c r="AK97" s="8">
        <v>813206</v>
      </c>
      <c r="AL97" s="8"/>
      <c r="AM97" s="8">
        <v>68162</v>
      </c>
      <c r="AN97" s="8"/>
      <c r="AO97" s="8">
        <v>600853</v>
      </c>
      <c r="AP97" s="8"/>
      <c r="AQ97" s="8">
        <v>177262</v>
      </c>
      <c r="AR97" s="8"/>
      <c r="AS97" s="8"/>
      <c r="AT97" s="8"/>
      <c r="AU97" s="8">
        <v>104136</v>
      </c>
      <c r="AV97" s="8"/>
      <c r="AW97" s="8">
        <f t="shared" si="4"/>
        <v>21218677</v>
      </c>
      <c r="AY97" s="8">
        <f>+'St of Activites - GA Rev'!AI101-'St of Activities - GA Exp'!AW97</f>
        <v>-1532346</v>
      </c>
      <c r="BA97" s="8">
        <v>23544988</v>
      </c>
      <c r="BC97" s="8">
        <f t="shared" si="5"/>
        <v>22012642</v>
      </c>
      <c r="BE97" s="8">
        <f>+'St of Net Assets - GA'!AA96-'St of Activities - GA Exp'!BC97</f>
        <v>0</v>
      </c>
    </row>
    <row r="98" spans="1:57">
      <c r="A98" s="12" t="s">
        <v>614</v>
      </c>
      <c r="B98" s="12"/>
      <c r="C98" s="12" t="s">
        <v>113</v>
      </c>
      <c r="D98" s="12"/>
      <c r="E98" s="32">
        <v>49411</v>
      </c>
      <c r="G98" s="8">
        <v>6227860</v>
      </c>
      <c r="H98" s="8"/>
      <c r="I98" s="8">
        <v>1363092</v>
      </c>
      <c r="J98" s="8"/>
      <c r="K98" s="8">
        <v>161299</v>
      </c>
      <c r="L98" s="8"/>
      <c r="M98" s="8">
        <v>659105</v>
      </c>
      <c r="N98" s="8"/>
      <c r="O98" s="8">
        <v>566210</v>
      </c>
      <c r="P98" s="8"/>
      <c r="Q98" s="8">
        <v>717442</v>
      </c>
      <c r="R98" s="8"/>
      <c r="S98" s="8">
        <v>82455</v>
      </c>
      <c r="T98" s="8"/>
      <c r="U98" s="8">
        <v>871548</v>
      </c>
      <c r="V98" s="8"/>
      <c r="W98" s="8">
        <v>309759</v>
      </c>
      <c r="X98" s="8"/>
      <c r="Y98" s="8">
        <v>0</v>
      </c>
      <c r="Z98" s="8"/>
      <c r="AA98" s="8">
        <v>1768779</v>
      </c>
      <c r="AB98" s="8"/>
      <c r="AC98" s="8">
        <v>1171306</v>
      </c>
      <c r="AD98" s="8"/>
      <c r="AE98" s="8">
        <v>56142</v>
      </c>
      <c r="AF98" s="8"/>
      <c r="AG98" s="12" t="s">
        <v>614</v>
      </c>
      <c r="AH98" s="12"/>
      <c r="AI98" s="12" t="s">
        <v>113</v>
      </c>
      <c r="AJ98" s="12"/>
      <c r="AK98" s="8">
        <v>705521</v>
      </c>
      <c r="AL98" s="8"/>
      <c r="AM98" s="8">
        <v>26706</v>
      </c>
      <c r="AN98" s="8"/>
      <c r="AO98" s="8">
        <v>484415</v>
      </c>
      <c r="AP98" s="8"/>
      <c r="AQ98" s="8">
        <v>421027</v>
      </c>
      <c r="AR98" s="8"/>
      <c r="AS98" s="8"/>
      <c r="AT98" s="8"/>
      <c r="AU98" s="8">
        <v>0</v>
      </c>
      <c r="AV98" s="8"/>
      <c r="AW98" s="8">
        <f t="shared" si="4"/>
        <v>15592666</v>
      </c>
      <c r="AY98" s="8">
        <f>+'St of Activites - GA Rev'!AI102-'St of Activities - GA Exp'!AW98</f>
        <v>876543</v>
      </c>
      <c r="BA98" s="8">
        <v>7916426</v>
      </c>
      <c r="BC98" s="8">
        <f t="shared" si="5"/>
        <v>8792969</v>
      </c>
      <c r="BE98" s="8">
        <f>+'St of Net Assets - GA'!AA97-'St of Activities - GA Exp'!BC98</f>
        <v>0</v>
      </c>
    </row>
    <row r="99" spans="1:57">
      <c r="A99" s="12" t="s">
        <v>491</v>
      </c>
      <c r="B99" s="12"/>
      <c r="C99" s="12" t="s">
        <v>44</v>
      </c>
      <c r="D99" s="12"/>
      <c r="E99" s="32">
        <v>48132</v>
      </c>
      <c r="G99" s="8">
        <v>7362611</v>
      </c>
      <c r="H99" s="8"/>
      <c r="I99" s="8">
        <v>1332627</v>
      </c>
      <c r="J99" s="8"/>
      <c r="K99" s="8">
        <v>163092</v>
      </c>
      <c r="L99" s="8"/>
      <c r="M99" s="8">
        <v>0</v>
      </c>
      <c r="N99" s="8"/>
      <c r="O99" s="8">
        <v>825530</v>
      </c>
      <c r="P99" s="8"/>
      <c r="Q99" s="8">
        <v>614724</v>
      </c>
      <c r="R99" s="8"/>
      <c r="S99" s="8">
        <v>50446</v>
      </c>
      <c r="T99" s="8"/>
      <c r="U99" s="8">
        <v>1051290</v>
      </c>
      <c r="V99" s="8"/>
      <c r="W99" s="8">
        <v>415696</v>
      </c>
      <c r="X99" s="8"/>
      <c r="Y99" s="8">
        <v>155160</v>
      </c>
      <c r="Z99" s="8"/>
      <c r="AA99" s="8">
        <v>1556228</v>
      </c>
      <c r="AB99" s="8"/>
      <c r="AC99" s="8">
        <v>358384</v>
      </c>
      <c r="AD99" s="8"/>
      <c r="AE99" s="8">
        <v>71383</v>
      </c>
      <c r="AF99" s="8"/>
      <c r="AG99" s="12" t="s">
        <v>491</v>
      </c>
      <c r="AH99" s="12"/>
      <c r="AI99" s="12" t="s">
        <v>44</v>
      </c>
      <c r="AJ99" s="12"/>
      <c r="AK99" s="8">
        <v>906155</v>
      </c>
      <c r="AL99" s="8"/>
      <c r="AM99" s="8">
        <f>174187+39514</f>
        <v>213701</v>
      </c>
      <c r="AN99" s="8"/>
      <c r="AO99" s="8">
        <v>370358</v>
      </c>
      <c r="AP99" s="8"/>
      <c r="AQ99" s="8">
        <v>309942</v>
      </c>
      <c r="AR99" s="8"/>
      <c r="AS99" s="8"/>
      <c r="AT99" s="8"/>
      <c r="AU99" s="8">
        <v>0</v>
      </c>
      <c r="AV99" s="8"/>
      <c r="AW99" s="8">
        <f t="shared" si="4"/>
        <v>15757327</v>
      </c>
      <c r="AY99" s="8">
        <f>+'St of Activites - GA Rev'!AI103-'St of Activities - GA Exp'!AW99</f>
        <v>-441909</v>
      </c>
      <c r="BA99" s="8">
        <v>14416254</v>
      </c>
      <c r="BC99" s="8">
        <f t="shared" si="5"/>
        <v>13974345</v>
      </c>
      <c r="BE99" s="8">
        <f>+'St of Net Assets - GA'!AA98-'St of Activities - GA Exp'!BC99</f>
        <v>0</v>
      </c>
    </row>
    <row r="100" spans="1:57">
      <c r="A100" s="12" t="s">
        <v>970</v>
      </c>
      <c r="B100" s="12"/>
      <c r="C100" s="12" t="s">
        <v>116</v>
      </c>
      <c r="D100" s="12"/>
      <c r="E100" s="32">
        <v>48132</v>
      </c>
      <c r="G100" s="8">
        <v>7636795</v>
      </c>
      <c r="H100" s="8"/>
      <c r="I100" s="8">
        <v>2084084</v>
      </c>
      <c r="J100" s="8"/>
      <c r="K100" s="8">
        <v>0</v>
      </c>
      <c r="L100" s="8"/>
      <c r="M100" s="8">
        <v>277943</v>
      </c>
      <c r="N100" s="8"/>
      <c r="O100" s="8">
        <v>681352</v>
      </c>
      <c r="P100" s="8"/>
      <c r="Q100" s="8">
        <v>789257</v>
      </c>
      <c r="R100" s="8"/>
      <c r="S100" s="8">
        <v>81160</v>
      </c>
      <c r="T100" s="8"/>
      <c r="U100" s="8">
        <v>1581039</v>
      </c>
      <c r="V100" s="8"/>
      <c r="W100" s="8">
        <v>525355</v>
      </c>
      <c r="X100" s="8"/>
      <c r="Y100" s="8">
        <v>53589</v>
      </c>
      <c r="Z100" s="8"/>
      <c r="AA100" s="8">
        <v>1562287</v>
      </c>
      <c r="AB100" s="8"/>
      <c r="AC100" s="8">
        <v>1576761</v>
      </c>
      <c r="AD100" s="8"/>
      <c r="AE100" s="8">
        <v>269468</v>
      </c>
      <c r="AF100" s="8"/>
      <c r="AG100" s="12" t="s">
        <v>491</v>
      </c>
      <c r="AH100" s="12"/>
      <c r="AI100" s="12" t="s">
        <v>44</v>
      </c>
      <c r="AJ100" s="12"/>
      <c r="AK100" s="8">
        <v>696312</v>
      </c>
      <c r="AL100" s="8"/>
      <c r="AM100" s="8">
        <v>197369</v>
      </c>
      <c r="AN100" s="8"/>
      <c r="AO100" s="8">
        <v>453755</v>
      </c>
      <c r="AP100" s="8"/>
      <c r="AQ100" s="8">
        <v>59369</v>
      </c>
      <c r="AR100" s="8"/>
      <c r="AS100" s="8"/>
      <c r="AT100" s="8"/>
      <c r="AU100" s="8">
        <v>0</v>
      </c>
      <c r="AV100" s="8"/>
      <c r="AW100" s="8">
        <f>SUM(G100:AV100)</f>
        <v>18525895</v>
      </c>
      <c r="AY100" s="8">
        <f>+'St of Activites - GA Rev'!AI104-'St of Activities - GA Exp'!AW100</f>
        <v>285122</v>
      </c>
      <c r="BA100" s="8">
        <v>6668606</v>
      </c>
      <c r="BC100" s="8">
        <f>+AY100+BA100</f>
        <v>6953728</v>
      </c>
      <c r="BE100" s="8">
        <f>+'St of Net Assets - GA'!AA99-'St of Activities - GA Exp'!BC100</f>
        <v>0</v>
      </c>
    </row>
    <row r="101" spans="1:57">
      <c r="A101" s="12" t="s">
        <v>307</v>
      </c>
      <c r="B101" s="12"/>
      <c r="C101" s="12" t="s">
        <v>20</v>
      </c>
      <c r="D101" s="12"/>
      <c r="E101" s="32">
        <v>43794</v>
      </c>
      <c r="G101" s="8">
        <v>36794327</v>
      </c>
      <c r="H101" s="8"/>
      <c r="I101" s="8">
        <v>9531722</v>
      </c>
      <c r="J101" s="8"/>
      <c r="K101" s="8">
        <v>1738386</v>
      </c>
      <c r="L101" s="8"/>
      <c r="M101" s="8">
        <f>981637+3152431</f>
        <v>4134068</v>
      </c>
      <c r="N101" s="8"/>
      <c r="O101" s="8">
        <v>8713755</v>
      </c>
      <c r="P101" s="8"/>
      <c r="Q101" s="8">
        <v>6024296</v>
      </c>
      <c r="R101" s="8"/>
      <c r="S101" s="8">
        <v>545385</v>
      </c>
      <c r="T101" s="8"/>
      <c r="U101" s="8">
        <v>7041253</v>
      </c>
      <c r="V101" s="8"/>
      <c r="W101" s="8">
        <v>2077340</v>
      </c>
      <c r="X101" s="8"/>
      <c r="Y101" s="8">
        <v>1881251</v>
      </c>
      <c r="Z101" s="8"/>
      <c r="AA101" s="8">
        <v>11149385</v>
      </c>
      <c r="AB101" s="8"/>
      <c r="AC101" s="8">
        <v>4265255</v>
      </c>
      <c r="AD101" s="8"/>
      <c r="AE101" s="8">
        <v>2825873</v>
      </c>
      <c r="AF101" s="8"/>
      <c r="AG101" s="12" t="s">
        <v>307</v>
      </c>
      <c r="AH101" s="12"/>
      <c r="AI101" s="12" t="s">
        <v>20</v>
      </c>
      <c r="AJ101" s="12"/>
      <c r="AK101" s="8">
        <v>0</v>
      </c>
      <c r="AL101" s="8"/>
      <c r="AM101" s="8">
        <v>2065415</v>
      </c>
      <c r="AN101" s="8"/>
      <c r="AO101" s="8">
        <v>1612459</v>
      </c>
      <c r="AP101" s="8"/>
      <c r="AQ101" s="8">
        <v>713571</v>
      </c>
      <c r="AR101" s="8"/>
      <c r="AS101" s="8"/>
      <c r="AT101" s="8"/>
      <c r="AU101" s="8">
        <v>0</v>
      </c>
      <c r="AV101" s="8"/>
      <c r="AW101" s="8">
        <f t="shared" si="4"/>
        <v>101113741</v>
      </c>
      <c r="AY101" s="8">
        <f>+'St of Activites - GA Rev'!AI105-'St of Activities - GA Exp'!AW101</f>
        <v>9901964</v>
      </c>
      <c r="BA101" s="8">
        <v>82362112</v>
      </c>
      <c r="BC101" s="8">
        <f t="shared" si="5"/>
        <v>92264076</v>
      </c>
      <c r="BE101" s="8">
        <f>+'St of Net Assets - GA'!AA100-'St of Activities - GA Exp'!BC101</f>
        <v>0</v>
      </c>
    </row>
    <row r="102" spans="1:57">
      <c r="A102" s="12" t="s">
        <v>308</v>
      </c>
      <c r="B102" s="12"/>
      <c r="C102" s="12" t="s">
        <v>20</v>
      </c>
      <c r="D102" s="12"/>
      <c r="E102" s="32">
        <v>43786</v>
      </c>
      <c r="G102" s="8">
        <v>327247872</v>
      </c>
      <c r="H102" s="8"/>
      <c r="I102" s="8">
        <v>168823350</v>
      </c>
      <c r="J102" s="8"/>
      <c r="K102" s="8">
        <v>13985560</v>
      </c>
      <c r="L102" s="8"/>
      <c r="M102" s="8">
        <f>2833813+19765060</f>
        <v>22598873</v>
      </c>
      <c r="N102" s="8"/>
      <c r="O102" s="8">
        <v>32218673</v>
      </c>
      <c r="P102" s="8"/>
      <c r="Q102" s="8">
        <v>48850968</v>
      </c>
      <c r="R102" s="8"/>
      <c r="S102" s="8">
        <v>258840</v>
      </c>
      <c r="T102" s="8"/>
      <c r="U102" s="8">
        <v>46792065</v>
      </c>
      <c r="V102" s="8"/>
      <c r="W102" s="8">
        <v>12361270</v>
      </c>
      <c r="X102" s="8"/>
      <c r="Y102" s="8">
        <v>1873943</v>
      </c>
      <c r="Z102" s="8"/>
      <c r="AA102" s="8">
        <v>59926040</v>
      </c>
      <c r="AB102" s="8"/>
      <c r="AC102" s="8">
        <v>27527934</v>
      </c>
      <c r="AD102" s="8"/>
      <c r="AE102" s="8">
        <v>15035691</v>
      </c>
      <c r="AF102" s="8"/>
      <c r="AG102" s="12" t="s">
        <v>308</v>
      </c>
      <c r="AH102" s="12"/>
      <c r="AI102" s="12" t="s">
        <v>20</v>
      </c>
      <c r="AJ102" s="12"/>
      <c r="AK102" s="8">
        <v>0</v>
      </c>
      <c r="AL102" s="8"/>
      <c r="AM102" s="8">
        <v>42585167</v>
      </c>
      <c r="AN102" s="8"/>
      <c r="AO102" s="8">
        <v>6783614</v>
      </c>
      <c r="AP102" s="8"/>
      <c r="AQ102" s="8">
        <v>9219611</v>
      </c>
      <c r="AR102" s="8"/>
      <c r="AS102" s="8"/>
      <c r="AT102" s="8"/>
      <c r="AU102" s="8">
        <v>0</v>
      </c>
      <c r="AV102" s="8"/>
      <c r="AW102" s="8">
        <f t="shared" si="4"/>
        <v>836089471</v>
      </c>
      <c r="AY102" s="8">
        <f>+'St of Activites - GA Rev'!AI106-'St of Activities - GA Exp'!AW102</f>
        <v>46440755</v>
      </c>
      <c r="BA102" s="8">
        <v>741866414</v>
      </c>
      <c r="BC102" s="8">
        <f t="shared" si="5"/>
        <v>788307169</v>
      </c>
      <c r="BE102" s="8">
        <f>+'St of Net Assets - GA'!AA101-'St of Activities - GA Exp'!BC102</f>
        <v>0</v>
      </c>
    </row>
    <row r="103" spans="1:57">
      <c r="A103" s="12" t="s">
        <v>279</v>
      </c>
      <c r="B103" s="12"/>
      <c r="C103" s="12" t="s">
        <v>18</v>
      </c>
      <c r="D103" s="12"/>
      <c r="E103" s="32">
        <v>46391</v>
      </c>
      <c r="G103" s="8">
        <v>7315263</v>
      </c>
      <c r="H103" s="8"/>
      <c r="I103" s="8">
        <v>935414</v>
      </c>
      <c r="J103" s="8"/>
      <c r="K103" s="8">
        <v>0</v>
      </c>
      <c r="L103" s="8"/>
      <c r="M103" s="8">
        <v>1029722</v>
      </c>
      <c r="N103" s="8"/>
      <c r="O103" s="8">
        <v>912760</v>
      </c>
      <c r="P103" s="8"/>
      <c r="Q103" s="8">
        <v>1273710</v>
      </c>
      <c r="R103" s="8"/>
      <c r="S103" s="8">
        <v>17092</v>
      </c>
      <c r="T103" s="8"/>
      <c r="U103" s="8">
        <v>1100960</v>
      </c>
      <c r="V103" s="8"/>
      <c r="W103" s="8">
        <v>462710</v>
      </c>
      <c r="X103" s="8"/>
      <c r="Y103" s="8">
        <v>35883</v>
      </c>
      <c r="Z103" s="8"/>
      <c r="AA103" s="8">
        <v>1411518</v>
      </c>
      <c r="AB103" s="8"/>
      <c r="AC103" s="8">
        <v>1048923</v>
      </c>
      <c r="AD103" s="8"/>
      <c r="AE103" s="8">
        <v>8157</v>
      </c>
      <c r="AF103" s="8"/>
      <c r="AG103" s="12" t="s">
        <v>279</v>
      </c>
      <c r="AH103" s="12"/>
      <c r="AI103" s="12" t="s">
        <v>18</v>
      </c>
      <c r="AJ103" s="12"/>
      <c r="AK103" s="8">
        <v>615248</v>
      </c>
      <c r="AL103" s="8"/>
      <c r="AM103" s="8">
        <v>8000</v>
      </c>
      <c r="AN103" s="8"/>
      <c r="AO103" s="8">
        <v>618719</v>
      </c>
      <c r="AP103" s="8"/>
      <c r="AQ103" s="8">
        <v>831729</v>
      </c>
      <c r="AR103" s="8"/>
      <c r="AS103" s="8"/>
      <c r="AT103" s="8"/>
      <c r="AU103" s="8">
        <v>0</v>
      </c>
      <c r="AV103" s="8"/>
      <c r="AW103" s="8">
        <f t="shared" si="4"/>
        <v>17625808</v>
      </c>
      <c r="AY103" s="8">
        <f>+'St of Activites - GA Rev'!AI107-'St of Activities - GA Exp'!AW103</f>
        <v>3882882</v>
      </c>
      <c r="BA103" s="8">
        <v>44953290</v>
      </c>
      <c r="BC103" s="8">
        <f t="shared" si="5"/>
        <v>48836172</v>
      </c>
      <c r="BE103" s="8">
        <f>+'St of Net Assets - GA'!AA102-'St of Activities - GA Exp'!BC103</f>
        <v>0</v>
      </c>
    </row>
    <row r="104" spans="1:57">
      <c r="A104" s="12" t="s">
        <v>533</v>
      </c>
      <c r="B104" s="12"/>
      <c r="C104" s="12" t="s">
        <v>47</v>
      </c>
      <c r="D104" s="12"/>
      <c r="E104" s="32">
        <v>48488</v>
      </c>
      <c r="G104" s="8">
        <v>17461064</v>
      </c>
      <c r="H104" s="8"/>
      <c r="I104" s="8">
        <v>0</v>
      </c>
      <c r="J104" s="8"/>
      <c r="K104" s="8">
        <v>0</v>
      </c>
      <c r="L104" s="8"/>
      <c r="M104" s="8">
        <v>0</v>
      </c>
      <c r="N104" s="8"/>
      <c r="O104" s="8">
        <v>1541351</v>
      </c>
      <c r="P104" s="8"/>
      <c r="Q104" s="8">
        <v>1558459</v>
      </c>
      <c r="R104" s="8"/>
      <c r="S104" s="8">
        <v>32444</v>
      </c>
      <c r="T104" s="8"/>
      <c r="U104" s="8">
        <v>2560407</v>
      </c>
      <c r="V104" s="8"/>
      <c r="W104" s="8">
        <v>608347</v>
      </c>
      <c r="X104" s="8"/>
      <c r="Y104" s="8">
        <v>427056</v>
      </c>
      <c r="Z104" s="8"/>
      <c r="AA104" s="8">
        <v>1648113</v>
      </c>
      <c r="AB104" s="8"/>
      <c r="AC104" s="8">
        <v>3057452</v>
      </c>
      <c r="AD104" s="8"/>
      <c r="AE104" s="8">
        <v>213921</v>
      </c>
      <c r="AF104" s="8"/>
      <c r="AG104" s="12" t="s">
        <v>533</v>
      </c>
      <c r="AH104" s="12"/>
      <c r="AI104" s="12" t="s">
        <v>47</v>
      </c>
      <c r="AJ104" s="12"/>
      <c r="AK104" s="8">
        <v>939784</v>
      </c>
      <c r="AL104" s="8"/>
      <c r="AM104" s="8">
        <v>611332</v>
      </c>
      <c r="AN104" s="8"/>
      <c r="AO104" s="8">
        <v>849483</v>
      </c>
      <c r="AP104" s="8"/>
      <c r="AQ104" s="8">
        <v>9907</v>
      </c>
      <c r="AR104" s="8"/>
      <c r="AS104" s="8"/>
      <c r="AT104" s="8"/>
      <c r="AU104" s="8">
        <v>0</v>
      </c>
      <c r="AV104" s="8"/>
      <c r="AW104" s="8">
        <f t="shared" si="4"/>
        <v>31519120</v>
      </c>
      <c r="AY104" s="8">
        <f>+'St of Activites - GA Rev'!AI108-'St of Activities - GA Exp'!AW104</f>
        <v>-1016088</v>
      </c>
      <c r="BA104" s="8">
        <v>7023392</v>
      </c>
      <c r="BC104" s="8">
        <f t="shared" si="5"/>
        <v>6007304</v>
      </c>
      <c r="BE104" s="8">
        <f>+'St of Net Assets - GA'!AA103-'St of Activities - GA Exp'!BC104</f>
        <v>0</v>
      </c>
    </row>
    <row r="105" spans="1:57">
      <c r="A105" s="12" t="s">
        <v>627</v>
      </c>
      <c r="B105" s="12"/>
      <c r="C105" s="12" t="s">
        <v>79</v>
      </c>
      <c r="D105" s="12"/>
      <c r="E105" s="32">
        <v>45302</v>
      </c>
      <c r="G105" s="8">
        <v>10218857</v>
      </c>
      <c r="H105" s="8"/>
      <c r="I105" s="8">
        <v>2430417</v>
      </c>
      <c r="J105" s="8"/>
      <c r="K105" s="8">
        <v>56049</v>
      </c>
      <c r="L105" s="8"/>
      <c r="M105" s="8">
        <v>607149</v>
      </c>
      <c r="N105" s="8"/>
      <c r="O105" s="8">
        <v>1131076</v>
      </c>
      <c r="P105" s="8"/>
      <c r="Q105" s="8">
        <v>541360</v>
      </c>
      <c r="R105" s="8"/>
      <c r="S105" s="8">
        <v>26365</v>
      </c>
      <c r="T105" s="8"/>
      <c r="U105" s="8">
        <v>1763246</v>
      </c>
      <c r="V105" s="8"/>
      <c r="W105" s="8">
        <v>580802</v>
      </c>
      <c r="X105" s="8"/>
      <c r="Y105" s="8">
        <v>7546</v>
      </c>
      <c r="Z105" s="8"/>
      <c r="AA105" s="8">
        <v>1785600</v>
      </c>
      <c r="AB105" s="8"/>
      <c r="AC105" s="8">
        <v>1003384</v>
      </c>
      <c r="AD105" s="8"/>
      <c r="AE105" s="8">
        <v>26661</v>
      </c>
      <c r="AF105" s="8"/>
      <c r="AG105" s="12" t="s">
        <v>627</v>
      </c>
      <c r="AH105" s="12"/>
      <c r="AI105" s="12" t="s">
        <v>79</v>
      </c>
      <c r="AJ105" s="12"/>
      <c r="AK105" s="8">
        <v>951175</v>
      </c>
      <c r="AL105" s="8"/>
      <c r="AM105" s="8">
        <v>11624</v>
      </c>
      <c r="AN105" s="8"/>
      <c r="AO105" s="8">
        <v>819781</v>
      </c>
      <c r="AP105" s="8"/>
      <c r="AQ105" s="8">
        <v>353553</v>
      </c>
      <c r="AR105" s="8"/>
      <c r="AS105" s="8"/>
      <c r="AT105" s="8"/>
      <c r="AU105" s="8">
        <v>43949</v>
      </c>
      <c r="AV105" s="8"/>
      <c r="AW105" s="8">
        <f t="shared" si="4"/>
        <v>22358594</v>
      </c>
      <c r="AY105" s="8">
        <f>+'St of Activites - GA Rev'!AI109-'St of Activities - GA Exp'!AW105</f>
        <v>298202</v>
      </c>
      <c r="BA105" s="8">
        <v>7358168</v>
      </c>
      <c r="BC105" s="8">
        <f t="shared" si="5"/>
        <v>7656370</v>
      </c>
      <c r="BE105" s="8">
        <f>+'St of Net Assets - GA'!AA104-'St of Activities - GA Exp'!BC105</f>
        <v>0</v>
      </c>
    </row>
    <row r="106" spans="1:57">
      <c r="A106" s="12" t="s">
        <v>296</v>
      </c>
      <c r="B106" s="12"/>
      <c r="C106" s="12" t="s">
        <v>114</v>
      </c>
      <c r="D106" s="12"/>
      <c r="E106" s="32">
        <v>46516</v>
      </c>
      <c r="G106" s="8">
        <v>4217108</v>
      </c>
      <c r="H106" s="8"/>
      <c r="I106" s="8">
        <v>1121011</v>
      </c>
      <c r="J106" s="8"/>
      <c r="K106" s="8">
        <v>7122</v>
      </c>
      <c r="L106" s="8"/>
      <c r="M106" s="8">
        <v>3926</v>
      </c>
      <c r="N106" s="8"/>
      <c r="O106" s="8">
        <v>463206</v>
      </c>
      <c r="P106" s="8"/>
      <c r="Q106" s="8">
        <v>239840</v>
      </c>
      <c r="R106" s="8"/>
      <c r="S106" s="8">
        <v>32934</v>
      </c>
      <c r="T106" s="8"/>
      <c r="U106" s="8">
        <v>638376</v>
      </c>
      <c r="V106" s="8"/>
      <c r="W106" s="8">
        <v>330587</v>
      </c>
      <c r="X106" s="8"/>
      <c r="Y106" s="8">
        <v>234</v>
      </c>
      <c r="Z106" s="8"/>
      <c r="AA106" s="8">
        <v>782427</v>
      </c>
      <c r="AB106" s="8"/>
      <c r="AC106" s="8">
        <v>581144</v>
      </c>
      <c r="AD106" s="8"/>
      <c r="AE106" s="8">
        <v>41473</v>
      </c>
      <c r="AF106" s="8"/>
      <c r="AG106" s="12" t="s">
        <v>296</v>
      </c>
      <c r="AH106" s="12"/>
      <c r="AI106" s="12" t="s">
        <v>114</v>
      </c>
      <c r="AJ106" s="12"/>
      <c r="AK106" s="8">
        <v>370359</v>
      </c>
      <c r="AL106" s="8"/>
      <c r="AM106" s="8">
        <v>44644</v>
      </c>
      <c r="AN106" s="8"/>
      <c r="AO106" s="8">
        <v>353709</v>
      </c>
      <c r="AP106" s="8"/>
      <c r="AQ106" s="8">
        <v>814315</v>
      </c>
      <c r="AR106" s="8"/>
      <c r="AS106" s="8"/>
      <c r="AT106" s="8"/>
      <c r="AU106" s="8">
        <v>0</v>
      </c>
      <c r="AV106" s="8"/>
      <c r="AW106" s="8">
        <f t="shared" si="4"/>
        <v>10042415</v>
      </c>
      <c r="AY106" s="8">
        <f>+'St of Activites - GA Rev'!AI110-'St of Activities - GA Exp'!AW106</f>
        <v>-200636</v>
      </c>
      <c r="BA106" s="8">
        <v>4978726</v>
      </c>
      <c r="BC106" s="8">
        <f t="shared" si="5"/>
        <v>4778090</v>
      </c>
      <c r="BE106" s="8">
        <f>+'St of Net Assets - GA'!AA105-'St of Activities - GA Exp'!BC106</f>
        <v>0</v>
      </c>
    </row>
    <row r="107" spans="1:57">
      <c r="A107" s="12" t="s">
        <v>492</v>
      </c>
      <c r="B107" s="12"/>
      <c r="C107" s="12" t="s">
        <v>44</v>
      </c>
      <c r="D107" s="12"/>
      <c r="E107" s="32">
        <v>48140</v>
      </c>
      <c r="G107" s="8">
        <v>5706882</v>
      </c>
      <c r="H107" s="8"/>
      <c r="I107" s="8">
        <v>702285</v>
      </c>
      <c r="J107" s="8"/>
      <c r="K107" s="8">
        <v>80985</v>
      </c>
      <c r="L107" s="8"/>
      <c r="M107" s="8">
        <v>0</v>
      </c>
      <c r="N107" s="8"/>
      <c r="O107" s="8">
        <v>634368</v>
      </c>
      <c r="P107" s="8"/>
      <c r="Q107" s="8">
        <v>375057</v>
      </c>
      <c r="R107" s="8"/>
      <c r="S107" s="8">
        <v>59047</v>
      </c>
      <c r="T107" s="8"/>
      <c r="U107" s="8">
        <v>1112394</v>
      </c>
      <c r="V107" s="8"/>
      <c r="W107" s="8">
        <v>402068</v>
      </c>
      <c r="X107" s="8"/>
      <c r="Y107" s="8">
        <v>0</v>
      </c>
      <c r="Z107" s="8"/>
      <c r="AA107" s="8">
        <v>980103</v>
      </c>
      <c r="AB107" s="8"/>
      <c r="AC107" s="8">
        <v>845866</v>
      </c>
      <c r="AD107" s="8"/>
      <c r="AE107" s="8">
        <v>145542</v>
      </c>
      <c r="AF107" s="8"/>
      <c r="AG107" s="12" t="s">
        <v>492</v>
      </c>
      <c r="AH107" s="12"/>
      <c r="AI107" s="12" t="s">
        <v>44</v>
      </c>
      <c r="AJ107" s="12"/>
      <c r="AK107" s="8">
        <v>334253</v>
      </c>
      <c r="AL107" s="8"/>
      <c r="AM107" s="8">
        <v>210</v>
      </c>
      <c r="AN107" s="8"/>
      <c r="AO107" s="8">
        <v>421758</v>
      </c>
      <c r="AP107" s="8"/>
      <c r="AQ107" s="8">
        <v>0</v>
      </c>
      <c r="AR107" s="8"/>
      <c r="AS107" s="8"/>
      <c r="AT107" s="8"/>
      <c r="AU107" s="8">
        <v>0</v>
      </c>
      <c r="AV107" s="8"/>
      <c r="AW107" s="8">
        <f t="shared" si="4"/>
        <v>11800818</v>
      </c>
      <c r="AY107" s="8">
        <f>+'St of Activites - GA Rev'!AI111-'St of Activities - GA Exp'!AW107</f>
        <v>-773869</v>
      </c>
      <c r="BA107" s="8">
        <v>5212340</v>
      </c>
      <c r="BC107" s="8">
        <f t="shared" si="5"/>
        <v>4438471</v>
      </c>
      <c r="BE107" s="8">
        <f>+'St of Net Assets - GA'!AA106-'St of Activities - GA Exp'!BC107</f>
        <v>0</v>
      </c>
    </row>
    <row r="108" spans="1:57">
      <c r="A108" s="12" t="s">
        <v>283</v>
      </c>
      <c r="B108" s="12"/>
      <c r="C108" s="12" t="s">
        <v>115</v>
      </c>
      <c r="D108" s="12"/>
      <c r="E108" s="32">
        <v>45328</v>
      </c>
      <c r="G108" s="8">
        <v>4873217</v>
      </c>
      <c r="H108" s="8"/>
      <c r="I108" s="8">
        <v>1345027</v>
      </c>
      <c r="J108" s="8"/>
      <c r="K108" s="8">
        <v>0</v>
      </c>
      <c r="L108" s="8"/>
      <c r="M108" s="8">
        <v>0</v>
      </c>
      <c r="N108" s="8"/>
      <c r="O108" s="8">
        <v>266154</v>
      </c>
      <c r="P108" s="8"/>
      <c r="Q108" s="8">
        <v>154745</v>
      </c>
      <c r="R108" s="8"/>
      <c r="S108" s="8">
        <v>18633</v>
      </c>
      <c r="T108" s="8"/>
      <c r="U108" s="8">
        <v>742361</v>
      </c>
      <c r="V108" s="8"/>
      <c r="W108" s="8">
        <v>356053</v>
      </c>
      <c r="X108" s="8"/>
      <c r="Y108" s="8">
        <v>0</v>
      </c>
      <c r="Z108" s="8"/>
      <c r="AA108" s="8">
        <v>706011</v>
      </c>
      <c r="AB108" s="8"/>
      <c r="AC108" s="8">
        <v>325702</v>
      </c>
      <c r="AD108" s="8"/>
      <c r="AE108" s="8">
        <v>0</v>
      </c>
      <c r="AF108" s="8"/>
      <c r="AG108" s="12" t="s">
        <v>283</v>
      </c>
      <c r="AH108" s="12"/>
      <c r="AI108" s="12" t="s">
        <v>115</v>
      </c>
      <c r="AJ108" s="12"/>
      <c r="AK108" s="8">
        <v>310585</v>
      </c>
      <c r="AL108" s="8"/>
      <c r="AM108" s="8">
        <v>0</v>
      </c>
      <c r="AN108" s="8"/>
      <c r="AO108" s="8">
        <v>411709</v>
      </c>
      <c r="AP108" s="8"/>
      <c r="AQ108" s="8">
        <v>514454</v>
      </c>
      <c r="AR108" s="8"/>
      <c r="AS108" s="8"/>
      <c r="AT108" s="8"/>
      <c r="AU108" s="8">
        <v>0</v>
      </c>
      <c r="AV108" s="8"/>
      <c r="AW108" s="8">
        <f t="shared" si="4"/>
        <v>10024651</v>
      </c>
      <c r="AY108" s="8">
        <f>+'St of Activites - GA Rev'!AI112-'St of Activities - GA Exp'!AW108</f>
        <v>634438</v>
      </c>
      <c r="BA108" s="8">
        <v>837144</v>
      </c>
      <c r="BC108" s="8">
        <f t="shared" si="5"/>
        <v>1471582</v>
      </c>
      <c r="BE108" s="8">
        <f>+'St of Net Assets - GA'!AA107-'St of Activities - GA Exp'!BC108</f>
        <v>0</v>
      </c>
    </row>
    <row r="109" spans="1:57">
      <c r="A109" s="12" t="s">
        <v>358</v>
      </c>
      <c r="B109" s="12"/>
      <c r="C109" s="12" t="s">
        <v>27</v>
      </c>
      <c r="D109" s="12"/>
      <c r="E109" s="32">
        <v>43802</v>
      </c>
      <c r="G109" s="8">
        <v>333637633</v>
      </c>
      <c r="H109" s="8"/>
      <c r="I109" s="8">
        <v>92964504</v>
      </c>
      <c r="J109" s="8"/>
      <c r="K109" s="8">
        <v>13340466</v>
      </c>
      <c r="L109" s="8"/>
      <c r="M109" s="8">
        <v>16492084</v>
      </c>
      <c r="N109" s="8"/>
      <c r="O109" s="8">
        <v>50564641</v>
      </c>
      <c r="P109" s="8"/>
      <c r="Q109" s="8">
        <v>66939400</v>
      </c>
      <c r="R109" s="8"/>
      <c r="S109" s="8">
        <v>0</v>
      </c>
      <c r="T109" s="8"/>
      <c r="U109" s="8">
        <v>49500873</v>
      </c>
      <c r="V109" s="8"/>
      <c r="W109" s="8">
        <v>24661173</v>
      </c>
      <c r="X109" s="8"/>
      <c r="Y109" s="8">
        <v>0</v>
      </c>
      <c r="Z109" s="8"/>
      <c r="AA109" s="8">
        <v>64967754</v>
      </c>
      <c r="AB109" s="8"/>
      <c r="AC109" s="8">
        <v>48671909</v>
      </c>
      <c r="AD109" s="8"/>
      <c r="AE109" s="8">
        <v>0</v>
      </c>
      <c r="AF109" s="8"/>
      <c r="AG109" s="12" t="s">
        <v>358</v>
      </c>
      <c r="AH109" s="12"/>
      <c r="AI109" s="12" t="s">
        <v>27</v>
      </c>
      <c r="AJ109" s="12"/>
      <c r="AK109" s="8">
        <v>0</v>
      </c>
      <c r="AL109" s="8"/>
      <c r="AM109" s="8">
        <v>36959899</v>
      </c>
      <c r="AN109" s="8"/>
      <c r="AO109" s="8">
        <v>7366538</v>
      </c>
      <c r="AP109" s="8"/>
      <c r="AQ109" s="8">
        <v>20545047</v>
      </c>
      <c r="AR109" s="8"/>
      <c r="AS109" s="8"/>
      <c r="AT109" s="8"/>
      <c r="AU109" s="8">
        <v>23671897</v>
      </c>
      <c r="AV109" s="8"/>
      <c r="AW109" s="8">
        <f t="shared" si="4"/>
        <v>850283818</v>
      </c>
      <c r="AY109" s="8">
        <f>+'St of Activites - GA Rev'!AI113-'St of Activities - GA Exp'!AW109</f>
        <v>5419335</v>
      </c>
      <c r="BA109" s="8">
        <v>409706863</v>
      </c>
      <c r="BC109" s="8">
        <f t="shared" si="5"/>
        <v>415126198</v>
      </c>
      <c r="BE109" s="8">
        <f>+'St of Net Assets - GA'!AA108-'St of Activities - GA Exp'!BC109</f>
        <v>0</v>
      </c>
    </row>
    <row r="110" spans="1:57">
      <c r="A110" s="12" t="s">
        <v>220</v>
      </c>
      <c r="B110" s="12"/>
      <c r="C110" s="12" t="s">
        <v>12</v>
      </c>
      <c r="D110" s="12"/>
      <c r="E110" s="32">
        <v>43810</v>
      </c>
      <c r="G110" s="8">
        <v>10193663</v>
      </c>
      <c r="H110" s="8"/>
      <c r="I110" s="8">
        <v>2654937</v>
      </c>
      <c r="J110" s="8"/>
      <c r="K110" s="8">
        <v>54175</v>
      </c>
      <c r="L110" s="8"/>
      <c r="M110" s="8">
        <v>0</v>
      </c>
      <c r="N110" s="8"/>
      <c r="O110" s="8">
        <v>1077647</v>
      </c>
      <c r="P110" s="8"/>
      <c r="Q110" s="8">
        <v>1373719</v>
      </c>
      <c r="R110" s="8"/>
      <c r="S110" s="8">
        <v>39052</v>
      </c>
      <c r="T110" s="8"/>
      <c r="U110" s="8">
        <v>1686961</v>
      </c>
      <c r="V110" s="8"/>
      <c r="W110" s="8">
        <v>428714</v>
      </c>
      <c r="X110" s="8"/>
      <c r="Y110" s="8">
        <v>0</v>
      </c>
      <c r="Z110" s="8"/>
      <c r="AA110" s="8">
        <v>2304418</v>
      </c>
      <c r="AB110" s="8"/>
      <c r="AC110" s="8">
        <v>1049469</v>
      </c>
      <c r="AD110" s="8"/>
      <c r="AE110" s="8">
        <v>83331</v>
      </c>
      <c r="AF110" s="8"/>
      <c r="AG110" s="12" t="s">
        <v>220</v>
      </c>
      <c r="AH110" s="12"/>
      <c r="AI110" s="12" t="s">
        <v>12</v>
      </c>
      <c r="AJ110" s="12"/>
      <c r="AK110" s="8">
        <v>942902</v>
      </c>
      <c r="AL110" s="8"/>
      <c r="AM110" s="8">
        <v>0</v>
      </c>
      <c r="AN110" s="8"/>
      <c r="AO110" s="8">
        <v>421699</v>
      </c>
      <c r="AP110" s="8"/>
      <c r="AQ110" s="8">
        <v>289842</v>
      </c>
      <c r="AR110" s="8"/>
      <c r="AS110" s="8"/>
      <c r="AT110" s="8"/>
      <c r="AU110" s="8">
        <v>0</v>
      </c>
      <c r="AV110" s="8"/>
      <c r="AW110" s="8">
        <f t="shared" si="4"/>
        <v>22600529</v>
      </c>
      <c r="AY110" s="8">
        <f>+'St of Activites - GA Rev'!AI114-'St of Activities - GA Exp'!AW110</f>
        <v>-971730</v>
      </c>
      <c r="BA110" s="8">
        <v>43217965</v>
      </c>
      <c r="BC110" s="8">
        <f t="shared" si="5"/>
        <v>42246235</v>
      </c>
      <c r="BE110" s="8">
        <f>+'St of Net Assets - GA'!AA109-'St of Activities - GA Exp'!BC110</f>
        <v>0</v>
      </c>
    </row>
    <row r="111" spans="1:57">
      <c r="A111" s="12" t="s">
        <v>432</v>
      </c>
      <c r="B111" s="12"/>
      <c r="C111" s="12" t="s">
        <v>433</v>
      </c>
      <c r="D111" s="12"/>
      <c r="E111" s="32">
        <v>47548</v>
      </c>
      <c r="G111" s="8">
        <v>2505252</v>
      </c>
      <c r="H111" s="8"/>
      <c r="I111" s="8">
        <v>595559</v>
      </c>
      <c r="J111" s="8"/>
      <c r="K111" s="8">
        <v>71420</v>
      </c>
      <c r="L111" s="8"/>
      <c r="M111" s="8">
        <v>45263</v>
      </c>
      <c r="N111" s="8"/>
      <c r="O111" s="8">
        <v>243472</v>
      </c>
      <c r="P111" s="8"/>
      <c r="Q111" s="8">
        <v>311464</v>
      </c>
      <c r="R111" s="8"/>
      <c r="S111" s="8">
        <v>12816</v>
      </c>
      <c r="T111" s="8"/>
      <c r="U111" s="8">
        <v>546692</v>
      </c>
      <c r="V111" s="8"/>
      <c r="W111" s="8">
        <v>228900</v>
      </c>
      <c r="X111" s="8"/>
      <c r="Y111" s="8">
        <v>0</v>
      </c>
      <c r="Z111" s="8"/>
      <c r="AA111" s="8">
        <v>490526</v>
      </c>
      <c r="AB111" s="8"/>
      <c r="AC111" s="8">
        <v>493040</v>
      </c>
      <c r="AD111" s="8"/>
      <c r="AE111" s="8">
        <v>26607</v>
      </c>
      <c r="AF111" s="8"/>
      <c r="AG111" s="12" t="s">
        <v>432</v>
      </c>
      <c r="AH111" s="12"/>
      <c r="AI111" s="12" t="s">
        <v>433</v>
      </c>
      <c r="AJ111" s="12"/>
      <c r="AK111" s="8">
        <v>269112</v>
      </c>
      <c r="AL111" s="8"/>
      <c r="AM111" s="8">
        <v>0</v>
      </c>
      <c r="AN111" s="8"/>
      <c r="AO111" s="8">
        <v>138613</v>
      </c>
      <c r="AP111" s="8"/>
      <c r="AQ111" s="8">
        <v>4115</v>
      </c>
      <c r="AR111" s="8"/>
      <c r="AS111" s="8"/>
      <c r="AT111" s="8"/>
      <c r="AU111" s="8">
        <v>0</v>
      </c>
      <c r="AV111" s="8"/>
      <c r="AW111" s="8">
        <f t="shared" si="4"/>
        <v>5982851</v>
      </c>
      <c r="AY111" s="8">
        <f>+'St of Activites - GA Rev'!AI115-'St of Activities - GA Exp'!AW111</f>
        <v>16360</v>
      </c>
      <c r="BA111" s="8">
        <v>2056819</v>
      </c>
      <c r="BC111" s="8">
        <f t="shared" si="5"/>
        <v>2073179</v>
      </c>
      <c r="BE111" s="8">
        <f>+'St of Net Assets - GA'!AA110-'St of Activities - GA Exp'!BC111</f>
        <v>0</v>
      </c>
    </row>
    <row r="112" spans="1:57">
      <c r="A112" s="12" t="s">
        <v>669</v>
      </c>
      <c r="B112" s="12"/>
      <c r="C112" s="12" t="s">
        <v>63</v>
      </c>
      <c r="D112" s="12"/>
      <c r="E112" s="32">
        <v>49981</v>
      </c>
      <c r="G112" s="8">
        <v>16833120</v>
      </c>
      <c r="H112" s="8"/>
      <c r="I112" s="8">
        <v>2351849</v>
      </c>
      <c r="J112" s="8"/>
      <c r="K112" s="8">
        <v>754600</v>
      </c>
      <c r="L112" s="8"/>
      <c r="M112" s="8">
        <v>0</v>
      </c>
      <c r="N112" s="8"/>
      <c r="O112" s="8">
        <v>1634686</v>
      </c>
      <c r="P112" s="8"/>
      <c r="Q112" s="8">
        <v>1622072</v>
      </c>
      <c r="R112" s="8"/>
      <c r="S112" s="8">
        <v>147645</v>
      </c>
      <c r="T112" s="8"/>
      <c r="U112" s="8">
        <v>1841174</v>
      </c>
      <c r="V112" s="8"/>
      <c r="W112" s="8">
        <v>760910</v>
      </c>
      <c r="X112" s="8"/>
      <c r="Y112" s="8">
        <v>127789</v>
      </c>
      <c r="Z112" s="8"/>
      <c r="AA112" s="8">
        <v>3413428</v>
      </c>
      <c r="AB112" s="8"/>
      <c r="AC112" s="8">
        <v>1572422</v>
      </c>
      <c r="AD112" s="8"/>
      <c r="AE112" s="8">
        <v>218666</v>
      </c>
      <c r="AF112" s="8"/>
      <c r="AG112" s="12" t="s">
        <v>669</v>
      </c>
      <c r="AH112" s="12"/>
      <c r="AI112" s="12" t="s">
        <v>63</v>
      </c>
      <c r="AJ112" s="12"/>
      <c r="AK112" s="8">
        <v>930585</v>
      </c>
      <c r="AL112" s="8"/>
      <c r="AM112" s="8">
        <v>875556</v>
      </c>
      <c r="AN112" s="8"/>
      <c r="AO112" s="8">
        <v>1036892</v>
      </c>
      <c r="AP112" s="8"/>
      <c r="AQ112" s="8">
        <v>368184</v>
      </c>
      <c r="AR112" s="8"/>
      <c r="AS112" s="8"/>
      <c r="AT112" s="8"/>
      <c r="AU112" s="8">
        <v>0</v>
      </c>
      <c r="AV112" s="8"/>
      <c r="AW112" s="8">
        <f t="shared" si="4"/>
        <v>34489578</v>
      </c>
      <c r="AY112" s="8">
        <f>+'St of Activites - GA Rev'!AI116-'St of Activities - GA Exp'!AW112</f>
        <v>-152008</v>
      </c>
      <c r="BA112" s="8">
        <v>21233175</v>
      </c>
      <c r="BC112" s="8">
        <f t="shared" si="5"/>
        <v>21081167</v>
      </c>
      <c r="BE112" s="8">
        <f>+'St of Net Assets - GA'!AA111-'St of Activities - GA Exp'!BC112</f>
        <v>0</v>
      </c>
    </row>
    <row r="113" spans="1:57" ht="12" customHeight="1">
      <c r="A113" s="12" t="s">
        <v>420</v>
      </c>
      <c r="B113" s="12"/>
      <c r="C113" s="12" t="s">
        <v>33</v>
      </c>
      <c r="D113" s="12"/>
      <c r="E113" s="32">
        <v>47431</v>
      </c>
      <c r="G113" s="8">
        <v>3162124</v>
      </c>
      <c r="H113" s="8"/>
      <c r="I113" s="8">
        <v>666781</v>
      </c>
      <c r="J113" s="8"/>
      <c r="K113" s="8">
        <v>233299</v>
      </c>
      <c r="L113" s="8"/>
      <c r="M113" s="8">
        <v>0</v>
      </c>
      <c r="N113" s="8"/>
      <c r="O113" s="8">
        <v>214467</v>
      </c>
      <c r="P113" s="8"/>
      <c r="Q113" s="8">
        <v>378510</v>
      </c>
      <c r="R113" s="8"/>
      <c r="S113" s="8">
        <v>48259</v>
      </c>
      <c r="T113" s="8"/>
      <c r="U113" s="8">
        <v>690148</v>
      </c>
      <c r="V113" s="8"/>
      <c r="W113" s="8">
        <v>225516</v>
      </c>
      <c r="X113" s="8"/>
      <c r="Y113" s="8">
        <v>0</v>
      </c>
      <c r="Z113" s="8"/>
      <c r="AA113" s="8">
        <v>733989</v>
      </c>
      <c r="AB113" s="8"/>
      <c r="AC113" s="8">
        <v>374819</v>
      </c>
      <c r="AD113" s="8"/>
      <c r="AE113" s="8">
        <v>11632</v>
      </c>
      <c r="AF113" s="8"/>
      <c r="AG113" s="12" t="s">
        <v>420</v>
      </c>
      <c r="AH113" s="12"/>
      <c r="AI113" s="12" t="s">
        <v>33</v>
      </c>
      <c r="AJ113" s="12"/>
      <c r="AK113" s="8">
        <v>0</v>
      </c>
      <c r="AL113" s="8"/>
      <c r="AM113" s="8">
        <v>270077</v>
      </c>
      <c r="AN113" s="8"/>
      <c r="AO113" s="8">
        <v>309180</v>
      </c>
      <c r="AP113" s="8"/>
      <c r="AQ113" s="8">
        <v>2503</v>
      </c>
      <c r="AR113" s="8"/>
      <c r="AS113" s="8"/>
      <c r="AT113" s="8"/>
      <c r="AU113" s="8">
        <v>0</v>
      </c>
      <c r="AV113" s="8"/>
      <c r="AW113" s="8">
        <f t="shared" si="4"/>
        <v>7321304</v>
      </c>
      <c r="AY113" s="8">
        <f>+'St of Activites - GA Rev'!AI117-'St of Activities - GA Exp'!AW113</f>
        <v>-145687</v>
      </c>
      <c r="BA113" s="8">
        <v>3043696</v>
      </c>
      <c r="BC113" s="8">
        <f t="shared" si="5"/>
        <v>2898009</v>
      </c>
      <c r="BE113" s="8">
        <f>+'St of Net Assets - GA'!AA112-'St of Activities - GA Exp'!BC113</f>
        <v>0</v>
      </c>
    </row>
    <row r="114" spans="1:57">
      <c r="A114" s="12" t="s">
        <v>291</v>
      </c>
      <c r="B114" s="12"/>
      <c r="C114" s="12" t="s">
        <v>19</v>
      </c>
      <c r="D114" s="12"/>
      <c r="E114" s="32">
        <v>43828</v>
      </c>
      <c r="G114" s="8">
        <v>10437188</v>
      </c>
      <c r="H114" s="8"/>
      <c r="I114" s="8">
        <v>0</v>
      </c>
      <c r="J114" s="8"/>
      <c r="K114" s="8">
        <v>0</v>
      </c>
      <c r="L114" s="8"/>
      <c r="M114" s="8">
        <v>0</v>
      </c>
      <c r="N114" s="8"/>
      <c r="O114" s="8">
        <v>671841</v>
      </c>
      <c r="P114" s="8"/>
      <c r="Q114" s="8">
        <v>686934</v>
      </c>
      <c r="R114" s="8"/>
      <c r="S114" s="8">
        <v>27662</v>
      </c>
      <c r="T114" s="8"/>
      <c r="U114" s="8">
        <v>1259400</v>
      </c>
      <c r="V114" s="8"/>
      <c r="W114" s="8">
        <v>412055</v>
      </c>
      <c r="X114" s="8"/>
      <c r="Y114" s="8">
        <v>247766</v>
      </c>
      <c r="Z114" s="8"/>
      <c r="AA114" s="8">
        <v>1523077</v>
      </c>
      <c r="AB114" s="8"/>
      <c r="AC114" s="8">
        <v>313954</v>
      </c>
      <c r="AD114" s="8"/>
      <c r="AE114" s="8">
        <v>32960</v>
      </c>
      <c r="AF114" s="8"/>
      <c r="AG114" s="12" t="s">
        <v>291</v>
      </c>
      <c r="AH114" s="12"/>
      <c r="AI114" s="12" t="s">
        <v>19</v>
      </c>
      <c r="AJ114" s="12"/>
      <c r="AK114" s="8">
        <v>772590</v>
      </c>
      <c r="AL114" s="8"/>
      <c r="AM114" s="8">
        <v>85183</v>
      </c>
      <c r="AN114" s="8"/>
      <c r="AO114" s="8">
        <v>427986</v>
      </c>
      <c r="AP114" s="8"/>
      <c r="AQ114" s="8">
        <v>0</v>
      </c>
      <c r="AR114" s="8"/>
      <c r="AS114" s="8"/>
      <c r="AT114" s="8"/>
      <c r="AU114" s="8">
        <v>0</v>
      </c>
      <c r="AV114" s="8"/>
      <c r="AW114" s="8">
        <f t="shared" si="4"/>
        <v>16898596</v>
      </c>
      <c r="AY114" s="8">
        <f>+'St of Activites - GA Rev'!AI118-'St of Activities - GA Exp'!AW114</f>
        <v>664522</v>
      </c>
      <c r="BA114" s="8">
        <v>3727538</v>
      </c>
      <c r="BC114" s="8">
        <f t="shared" si="5"/>
        <v>4392060</v>
      </c>
      <c r="BE114" s="8">
        <f>+'St of Net Assets - GA'!AA113-'St of Activities - GA Exp'!BC114</f>
        <v>0</v>
      </c>
    </row>
    <row r="115" spans="1:57">
      <c r="A115" s="12" t="s">
        <v>832</v>
      </c>
      <c r="B115" s="12"/>
      <c r="C115" s="12" t="s">
        <v>63</v>
      </c>
      <c r="D115" s="12"/>
      <c r="E115" s="32"/>
      <c r="G115" s="8">
        <v>9272962</v>
      </c>
      <c r="H115" s="8"/>
      <c r="I115" s="8">
        <v>2168537</v>
      </c>
      <c r="J115" s="8"/>
      <c r="K115" s="8">
        <v>244249</v>
      </c>
      <c r="L115" s="8"/>
      <c r="M115" s="8">
        <v>576716</v>
      </c>
      <c r="N115" s="8"/>
      <c r="O115" s="8">
        <v>976217</v>
      </c>
      <c r="P115" s="8"/>
      <c r="Q115" s="8">
        <v>1103551</v>
      </c>
      <c r="R115" s="8"/>
      <c r="S115" s="8">
        <v>48346</v>
      </c>
      <c r="T115" s="8"/>
      <c r="U115" s="8">
        <v>2014912</v>
      </c>
      <c r="V115" s="8"/>
      <c r="W115" s="8">
        <v>566216</v>
      </c>
      <c r="X115" s="8"/>
      <c r="Y115" s="8">
        <v>34546</v>
      </c>
      <c r="Z115" s="8"/>
      <c r="AA115" s="8">
        <v>2791482</v>
      </c>
      <c r="AB115" s="8"/>
      <c r="AC115" s="8">
        <v>1039280</v>
      </c>
      <c r="AD115" s="8"/>
      <c r="AE115" s="8">
        <v>169472</v>
      </c>
      <c r="AF115" s="8"/>
      <c r="AG115" s="12" t="s">
        <v>832</v>
      </c>
      <c r="AH115" s="12"/>
      <c r="AI115" s="12" t="s">
        <v>63</v>
      </c>
      <c r="AJ115" s="12"/>
      <c r="AK115" s="8">
        <v>744420</v>
      </c>
      <c r="AL115" s="8"/>
      <c r="AM115" s="8">
        <v>396364</v>
      </c>
      <c r="AN115" s="8"/>
      <c r="AO115" s="8">
        <v>489727</v>
      </c>
      <c r="AP115" s="8"/>
      <c r="AQ115" s="8">
        <v>222131</v>
      </c>
      <c r="AR115" s="8"/>
      <c r="AS115" s="8"/>
      <c r="AT115" s="8"/>
      <c r="AU115" s="8">
        <v>0</v>
      </c>
      <c r="AV115" s="8"/>
      <c r="AW115" s="8">
        <f t="shared" si="4"/>
        <v>22859128</v>
      </c>
      <c r="AY115" s="8">
        <f>+'St of Activites - GA Rev'!AI119-'St of Activities - GA Exp'!AW115</f>
        <v>-1525630</v>
      </c>
      <c r="BA115" s="8">
        <v>-622539</v>
      </c>
      <c r="BC115" s="8">
        <f t="shared" si="5"/>
        <v>-2148169</v>
      </c>
      <c r="BE115" s="8">
        <f>+'St of Net Assets - GA'!AA114-'St of Activities - GA Exp'!BC115</f>
        <v>0</v>
      </c>
    </row>
    <row r="116" spans="1:57">
      <c r="A116" s="12" t="s">
        <v>544</v>
      </c>
      <c r="B116" s="12"/>
      <c r="C116" s="12" t="s">
        <v>48</v>
      </c>
      <c r="D116" s="12"/>
      <c r="E116" s="32">
        <v>45336</v>
      </c>
      <c r="G116" s="8">
        <v>3465216</v>
      </c>
      <c r="H116" s="8"/>
      <c r="I116" s="8">
        <v>686344</v>
      </c>
      <c r="J116" s="8"/>
      <c r="K116" s="8">
        <v>0</v>
      </c>
      <c r="L116" s="8"/>
      <c r="M116" s="8">
        <v>5013</v>
      </c>
      <c r="N116" s="8"/>
      <c r="O116" s="8">
        <v>286211</v>
      </c>
      <c r="P116" s="8"/>
      <c r="Q116" s="8">
        <v>327371</v>
      </c>
      <c r="R116" s="8"/>
      <c r="S116" s="8">
        <v>14759</v>
      </c>
      <c r="T116" s="8"/>
      <c r="U116" s="8">
        <v>738872</v>
      </c>
      <c r="V116" s="8"/>
      <c r="W116" s="8">
        <v>227011</v>
      </c>
      <c r="X116" s="8"/>
      <c r="Y116" s="8">
        <v>2743</v>
      </c>
      <c r="Z116" s="8"/>
      <c r="AA116" s="8">
        <v>555414</v>
      </c>
      <c r="AB116" s="8"/>
      <c r="AC116" s="8">
        <v>264982</v>
      </c>
      <c r="AD116" s="8"/>
      <c r="AE116" s="8">
        <v>126791</v>
      </c>
      <c r="AF116" s="8"/>
      <c r="AG116" s="12" t="s">
        <v>544</v>
      </c>
      <c r="AH116" s="12"/>
      <c r="AI116" s="12" t="s">
        <v>48</v>
      </c>
      <c r="AJ116" s="12"/>
      <c r="AK116" s="8">
        <v>284240</v>
      </c>
      <c r="AL116" s="8"/>
      <c r="AM116" s="8">
        <v>95595</v>
      </c>
      <c r="AN116" s="8"/>
      <c r="AO116" s="8">
        <v>434587</v>
      </c>
      <c r="AP116" s="8"/>
      <c r="AQ116" s="8">
        <v>13740</v>
      </c>
      <c r="AR116" s="8"/>
      <c r="AS116" s="8"/>
      <c r="AT116" s="8"/>
      <c r="AU116" s="8">
        <v>0</v>
      </c>
      <c r="AV116" s="8"/>
      <c r="AW116" s="8">
        <f t="shared" si="4"/>
        <v>7528889</v>
      </c>
      <c r="AY116" s="8">
        <f>+'St of Activites - GA Rev'!AI120-'St of Activities - GA Exp'!AW116</f>
        <v>696443</v>
      </c>
      <c r="BA116" s="8">
        <v>1874562</v>
      </c>
      <c r="BC116" s="8">
        <f t="shared" si="5"/>
        <v>2571005</v>
      </c>
      <c r="BE116" s="8">
        <f>+'St of Net Assets - GA'!AA115-'St of Activities - GA Exp'!BC116</f>
        <v>0</v>
      </c>
    </row>
    <row r="117" spans="1:57">
      <c r="A117" s="12" t="s">
        <v>297</v>
      </c>
      <c r="B117" s="12"/>
      <c r="C117" s="12" t="s">
        <v>114</v>
      </c>
      <c r="D117" s="12"/>
      <c r="E117" s="32">
        <v>45344</v>
      </c>
      <c r="G117" s="8">
        <v>3384153</v>
      </c>
      <c r="H117" s="8"/>
      <c r="I117" s="8">
        <v>933182</v>
      </c>
      <c r="J117" s="8"/>
      <c r="K117" s="8">
        <v>3579</v>
      </c>
      <c r="L117" s="8"/>
      <c r="M117" s="8">
        <v>390095</v>
      </c>
      <c r="N117" s="8"/>
      <c r="O117" s="8">
        <v>373680</v>
      </c>
      <c r="P117" s="8"/>
      <c r="Q117" s="8">
        <v>534677</v>
      </c>
      <c r="R117" s="8"/>
      <c r="S117" s="8">
        <v>26229</v>
      </c>
      <c r="T117" s="8"/>
      <c r="U117" s="8">
        <v>775812</v>
      </c>
      <c r="V117" s="8"/>
      <c r="W117" s="8">
        <v>274400</v>
      </c>
      <c r="X117" s="8"/>
      <c r="Y117" s="8">
        <v>0</v>
      </c>
      <c r="Z117" s="8"/>
      <c r="AA117" s="8">
        <v>694938</v>
      </c>
      <c r="AB117" s="8"/>
      <c r="AC117" s="8">
        <v>336357</v>
      </c>
      <c r="AD117" s="8"/>
      <c r="AE117" s="8">
        <v>41084</v>
      </c>
      <c r="AF117" s="8"/>
      <c r="AG117" s="12" t="s">
        <v>297</v>
      </c>
      <c r="AH117" s="12"/>
      <c r="AI117" s="12" t="s">
        <v>114</v>
      </c>
      <c r="AJ117" s="12"/>
      <c r="AK117" s="8">
        <v>306600</v>
      </c>
      <c r="AL117" s="8"/>
      <c r="AM117" s="8">
        <v>74428</v>
      </c>
      <c r="AN117" s="8"/>
      <c r="AO117" s="8">
        <v>386988</v>
      </c>
      <c r="AP117" s="8"/>
      <c r="AQ117" s="8">
        <v>0</v>
      </c>
      <c r="AR117" s="8"/>
      <c r="AS117" s="8"/>
      <c r="AT117" s="8"/>
      <c r="AU117" s="8">
        <v>0</v>
      </c>
      <c r="AV117" s="8"/>
      <c r="AW117" s="8">
        <f t="shared" si="4"/>
        <v>8536202</v>
      </c>
      <c r="AY117" s="8">
        <f>+'St of Activites - GA Rev'!AI121-'St of Activities - GA Exp'!AW117</f>
        <v>333103</v>
      </c>
      <c r="BA117" s="8">
        <v>3956311</v>
      </c>
      <c r="BC117" s="8">
        <f t="shared" si="5"/>
        <v>4289414</v>
      </c>
      <c r="BE117" s="8">
        <f>+'St of Net Assets - GA'!AA116-'St of Activities - GA Exp'!BC117</f>
        <v>0</v>
      </c>
    </row>
    <row r="118" spans="1:57">
      <c r="A118" s="12" t="s">
        <v>284</v>
      </c>
      <c r="B118" s="12"/>
      <c r="C118" s="12" t="s">
        <v>115</v>
      </c>
      <c r="D118" s="12"/>
      <c r="E118" s="32">
        <v>46433</v>
      </c>
      <c r="G118" s="8">
        <v>5167296</v>
      </c>
      <c r="H118" s="8"/>
      <c r="I118" s="8">
        <v>816570</v>
      </c>
      <c r="J118" s="8"/>
      <c r="K118" s="8">
        <v>138862</v>
      </c>
      <c r="L118" s="8"/>
      <c r="M118" s="8">
        <v>27909</v>
      </c>
      <c r="N118" s="8"/>
      <c r="O118" s="8">
        <v>456470</v>
      </c>
      <c r="P118" s="8"/>
      <c r="Q118" s="8">
        <v>398920</v>
      </c>
      <c r="R118" s="8"/>
      <c r="S118" s="8">
        <v>21954</v>
      </c>
      <c r="T118" s="8"/>
      <c r="U118" s="8">
        <v>735112</v>
      </c>
      <c r="V118" s="8"/>
      <c r="W118" s="8">
        <v>321486</v>
      </c>
      <c r="X118" s="8"/>
      <c r="Y118" s="8">
        <v>345</v>
      </c>
      <c r="Z118" s="8"/>
      <c r="AA118" s="8">
        <v>1115079</v>
      </c>
      <c r="AB118" s="8"/>
      <c r="AC118" s="8">
        <v>584330</v>
      </c>
      <c r="AD118" s="8"/>
      <c r="AE118" s="8">
        <v>19147</v>
      </c>
      <c r="AF118" s="8"/>
      <c r="AG118" s="12" t="s">
        <v>284</v>
      </c>
      <c r="AH118" s="12"/>
      <c r="AI118" s="12" t="s">
        <v>115</v>
      </c>
      <c r="AJ118" s="12"/>
      <c r="AK118" s="8">
        <v>527474</v>
      </c>
      <c r="AL118" s="8"/>
      <c r="AM118" s="8">
        <v>1614</v>
      </c>
      <c r="AN118" s="8"/>
      <c r="AO118" s="8">
        <v>352573</v>
      </c>
      <c r="AP118" s="8"/>
      <c r="AQ118" s="8">
        <v>91634</v>
      </c>
      <c r="AR118" s="8"/>
      <c r="AS118" s="8"/>
      <c r="AT118" s="8"/>
      <c r="AU118" s="8">
        <v>0</v>
      </c>
      <c r="AV118" s="8"/>
      <c r="AW118" s="8">
        <f t="shared" si="4"/>
        <v>10776775</v>
      </c>
      <c r="AY118" s="8">
        <f>+'St of Activites - GA Rev'!AI122-'St of Activities - GA Exp'!AW118</f>
        <v>496029</v>
      </c>
      <c r="BA118" s="8">
        <v>12061270</v>
      </c>
      <c r="BC118" s="8">
        <f t="shared" si="5"/>
        <v>12557299</v>
      </c>
      <c r="BE118" s="8">
        <f>+'St of Net Assets - GA'!AA117-'St of Activities - GA Exp'!BC118</f>
        <v>0</v>
      </c>
    </row>
    <row r="119" spans="1:57">
      <c r="A119" s="12" t="s">
        <v>284</v>
      </c>
      <c r="B119" s="12"/>
      <c r="C119" s="12" t="s">
        <v>113</v>
      </c>
      <c r="D119" s="12"/>
      <c r="E119" s="32">
        <v>49429</v>
      </c>
      <c r="G119" s="8">
        <v>5015037</v>
      </c>
      <c r="H119" s="8"/>
      <c r="I119" s="8">
        <v>1307745</v>
      </c>
      <c r="J119" s="8"/>
      <c r="K119" s="8">
        <v>228960</v>
      </c>
      <c r="L119" s="8"/>
      <c r="M119" s="8">
        <v>41555</v>
      </c>
      <c r="N119" s="8"/>
      <c r="O119" s="8">
        <v>425095</v>
      </c>
      <c r="P119" s="8"/>
      <c r="Q119" s="8">
        <v>343191</v>
      </c>
      <c r="R119" s="8"/>
      <c r="S119" s="8">
        <v>76444</v>
      </c>
      <c r="T119" s="8"/>
      <c r="U119" s="8">
        <v>725441</v>
      </c>
      <c r="V119" s="8"/>
      <c r="W119" s="8">
        <v>243452</v>
      </c>
      <c r="X119" s="8"/>
      <c r="Y119" s="8">
        <v>962</v>
      </c>
      <c r="Z119" s="8"/>
      <c r="AA119" s="8">
        <v>1173579</v>
      </c>
      <c r="AB119" s="8"/>
      <c r="AC119" s="8">
        <v>801782</v>
      </c>
      <c r="AD119" s="8"/>
      <c r="AE119" s="8">
        <v>75018</v>
      </c>
      <c r="AF119" s="8"/>
      <c r="AG119" s="12" t="s">
        <v>284</v>
      </c>
      <c r="AH119" s="12"/>
      <c r="AI119" s="12" t="s">
        <v>113</v>
      </c>
      <c r="AJ119" s="12"/>
      <c r="AK119" s="8">
        <v>435461</v>
      </c>
      <c r="AL119" s="8"/>
      <c r="AM119" s="8">
        <v>8201</v>
      </c>
      <c r="AN119" s="8"/>
      <c r="AO119" s="8">
        <v>422636</v>
      </c>
      <c r="AP119" s="8"/>
      <c r="AQ119" s="8">
        <v>247015</v>
      </c>
      <c r="AR119" s="8"/>
      <c r="AS119" s="8"/>
      <c r="AT119" s="8"/>
      <c r="AU119" s="8">
        <v>93571</v>
      </c>
      <c r="AV119" s="8"/>
      <c r="AW119" s="8">
        <f t="shared" si="4"/>
        <v>11665145</v>
      </c>
      <c r="AY119" s="8">
        <f>+'St of Activites - GA Rev'!AI123-'St of Activities - GA Exp'!AW119</f>
        <v>231000</v>
      </c>
      <c r="BA119" s="8">
        <v>26319312</v>
      </c>
      <c r="BC119" s="8">
        <f t="shared" si="5"/>
        <v>26550312</v>
      </c>
      <c r="BE119" s="8">
        <f>+'St of Net Assets - GA'!AA118-'St of Activities - GA Exp'!BC119</f>
        <v>0</v>
      </c>
    </row>
    <row r="120" spans="1:57">
      <c r="A120" s="12" t="s">
        <v>596</v>
      </c>
      <c r="B120" s="12"/>
      <c r="C120" s="12" t="s">
        <v>56</v>
      </c>
      <c r="D120" s="12"/>
      <c r="E120" s="32">
        <v>49189</v>
      </c>
      <c r="G120" s="8">
        <v>9385230</v>
      </c>
      <c r="H120" s="8"/>
      <c r="I120" s="8">
        <v>1592683</v>
      </c>
      <c r="J120" s="8"/>
      <c r="K120" s="8">
        <v>194219</v>
      </c>
      <c r="L120" s="8"/>
      <c r="M120" s="8">
        <v>1221533</v>
      </c>
      <c r="N120" s="8"/>
      <c r="O120" s="8">
        <v>1007108</v>
      </c>
      <c r="P120" s="8"/>
      <c r="Q120" s="8">
        <v>1062002</v>
      </c>
      <c r="R120" s="8"/>
      <c r="S120" s="8">
        <v>12737</v>
      </c>
      <c r="T120" s="8"/>
      <c r="U120" s="8">
        <v>1950916</v>
      </c>
      <c r="V120" s="8"/>
      <c r="W120" s="8">
        <v>489515</v>
      </c>
      <c r="X120" s="8"/>
      <c r="Y120" s="8">
        <v>25781</v>
      </c>
      <c r="Z120" s="8"/>
      <c r="AA120" s="8">
        <v>2193938</v>
      </c>
      <c r="AB120" s="8"/>
      <c r="AC120" s="8">
        <v>1580354</v>
      </c>
      <c r="AD120" s="8"/>
      <c r="AE120" s="8">
        <v>326366</v>
      </c>
      <c r="AF120" s="8"/>
      <c r="AG120" s="12" t="s">
        <v>596</v>
      </c>
      <c r="AH120" s="12"/>
      <c r="AI120" s="12" t="s">
        <v>56</v>
      </c>
      <c r="AJ120" s="12"/>
      <c r="AK120" s="8">
        <v>630205</v>
      </c>
      <c r="AL120" s="8"/>
      <c r="AM120" s="8">
        <v>148571</v>
      </c>
      <c r="AN120" s="8"/>
      <c r="AO120" s="8">
        <v>607889</v>
      </c>
      <c r="AP120" s="8"/>
      <c r="AQ120" s="8">
        <v>381273</v>
      </c>
      <c r="AR120" s="8"/>
      <c r="AS120" s="8"/>
      <c r="AT120" s="8"/>
      <c r="AU120" s="8">
        <v>0</v>
      </c>
      <c r="AV120" s="8"/>
      <c r="AW120" s="8">
        <f t="shared" si="4"/>
        <v>22810320</v>
      </c>
      <c r="AY120" s="8">
        <f>+'St of Activites - GA Rev'!AI124-'St of Activities - GA Exp'!AW120</f>
        <v>879413</v>
      </c>
      <c r="BA120" s="8">
        <v>21683272</v>
      </c>
      <c r="BC120" s="8">
        <f t="shared" si="5"/>
        <v>22562685</v>
      </c>
      <c r="BE120" s="8">
        <f>+'St of Net Assets - GA'!AA119-'St of Activities - GA Exp'!BC120</f>
        <v>0</v>
      </c>
    </row>
    <row r="121" spans="1:57">
      <c r="A121" s="12" t="s">
        <v>833</v>
      </c>
      <c r="B121" s="12"/>
      <c r="C121" s="12" t="s">
        <v>586</v>
      </c>
      <c r="D121" s="12"/>
      <c r="E121" s="32"/>
      <c r="G121" s="8">
        <v>6275144</v>
      </c>
      <c r="H121" s="8"/>
      <c r="I121" s="8">
        <v>0</v>
      </c>
      <c r="J121" s="8"/>
      <c r="K121" s="8">
        <v>0</v>
      </c>
      <c r="L121" s="8"/>
      <c r="M121" s="8">
        <v>0</v>
      </c>
      <c r="N121" s="8"/>
      <c r="O121" s="8">
        <v>770675</v>
      </c>
      <c r="P121" s="8"/>
      <c r="Q121" s="8">
        <v>416564</v>
      </c>
      <c r="R121" s="8"/>
      <c r="S121" s="8">
        <v>39305</v>
      </c>
      <c r="T121" s="8"/>
      <c r="U121" s="8">
        <v>865776</v>
      </c>
      <c r="V121" s="8"/>
      <c r="W121" s="8">
        <v>283981</v>
      </c>
      <c r="X121" s="8"/>
      <c r="Y121" s="8">
        <v>0</v>
      </c>
      <c r="Z121" s="8"/>
      <c r="AA121" s="8">
        <v>1031626</v>
      </c>
      <c r="AB121" s="8"/>
      <c r="AC121" s="8">
        <v>717010</v>
      </c>
      <c r="AD121" s="8"/>
      <c r="AE121" s="8">
        <v>0</v>
      </c>
      <c r="AF121" s="8"/>
      <c r="AG121" s="12" t="s">
        <v>833</v>
      </c>
      <c r="AH121" s="12"/>
      <c r="AI121" s="12" t="s">
        <v>586</v>
      </c>
      <c r="AJ121" s="12"/>
      <c r="AK121" s="8">
        <v>0</v>
      </c>
      <c r="AL121" s="8"/>
      <c r="AM121" s="8">
        <v>487686</v>
      </c>
      <c r="AN121" s="8"/>
      <c r="AO121" s="8">
        <v>382069</v>
      </c>
      <c r="AP121" s="8"/>
      <c r="AQ121" s="8">
        <v>77024</v>
      </c>
      <c r="AR121" s="8"/>
      <c r="AS121" s="8"/>
      <c r="AT121" s="8"/>
      <c r="AU121" s="8">
        <v>0</v>
      </c>
      <c r="AV121" s="8"/>
      <c r="AW121" s="8">
        <f t="shared" si="4"/>
        <v>11346860</v>
      </c>
      <c r="AY121" s="8">
        <f>+'St of Activites - GA Rev'!AI125-'St of Activities - GA Exp'!AW121</f>
        <v>-851298</v>
      </c>
      <c r="BA121" s="8">
        <v>13723066</v>
      </c>
      <c r="BC121" s="8">
        <f t="shared" si="5"/>
        <v>12871768</v>
      </c>
      <c r="BE121" s="8">
        <f>+'St of Net Assets - GA'!AA120-'St of Activities - GA Exp'!BC121</f>
        <v>0</v>
      </c>
    </row>
    <row r="122" spans="1:57">
      <c r="A122" s="12" t="s">
        <v>670</v>
      </c>
      <c r="B122" s="12"/>
      <c r="C122" s="12" t="s">
        <v>63</v>
      </c>
      <c r="D122" s="12"/>
      <c r="E122" s="32">
        <v>43836</v>
      </c>
      <c r="G122" s="8">
        <v>20972123</v>
      </c>
      <c r="H122" s="8"/>
      <c r="I122" s="8">
        <v>5048106</v>
      </c>
      <c r="J122" s="8"/>
      <c r="K122" s="8">
        <v>1094918</v>
      </c>
      <c r="L122" s="8"/>
      <c r="M122" s="8">
        <v>3946914</v>
      </c>
      <c r="N122" s="8"/>
      <c r="O122" s="8">
        <v>2665442</v>
      </c>
      <c r="P122" s="8"/>
      <c r="Q122" s="8">
        <v>1123122</v>
      </c>
      <c r="R122" s="8"/>
      <c r="S122" s="8">
        <v>84189</v>
      </c>
      <c r="T122" s="8"/>
      <c r="U122" s="8">
        <v>2885382</v>
      </c>
      <c r="V122" s="8"/>
      <c r="W122" s="8">
        <v>863124</v>
      </c>
      <c r="X122" s="8"/>
      <c r="Y122" s="8">
        <v>395803</v>
      </c>
      <c r="Z122" s="8"/>
      <c r="AA122" s="8">
        <v>4614331</v>
      </c>
      <c r="AB122" s="8"/>
      <c r="AC122" s="8">
        <v>1217933</v>
      </c>
      <c r="AD122" s="8"/>
      <c r="AE122" s="8">
        <v>291078</v>
      </c>
      <c r="AF122" s="8"/>
      <c r="AG122" s="12" t="s">
        <v>670</v>
      </c>
      <c r="AH122" s="12"/>
      <c r="AI122" s="12" t="s">
        <v>63</v>
      </c>
      <c r="AJ122" s="12"/>
      <c r="AK122" s="8">
        <v>1406797</v>
      </c>
      <c r="AL122" s="8"/>
      <c r="AM122" s="8">
        <v>250804</v>
      </c>
      <c r="AN122" s="8"/>
      <c r="AO122" s="8">
        <v>1026108</v>
      </c>
      <c r="AP122" s="8"/>
      <c r="AQ122" s="8">
        <v>357786</v>
      </c>
      <c r="AR122" s="8"/>
      <c r="AS122" s="8"/>
      <c r="AT122" s="8"/>
      <c r="AU122" s="8">
        <v>775114</v>
      </c>
      <c r="AV122" s="8"/>
      <c r="AW122" s="8">
        <f t="shared" si="4"/>
        <v>49019074</v>
      </c>
      <c r="AY122" s="8">
        <f>+'St of Activites - GA Rev'!AI126-'St of Activities - GA Exp'!AW122</f>
        <v>4713466</v>
      </c>
      <c r="BA122" s="8">
        <v>2207226</v>
      </c>
      <c r="BC122" s="8">
        <f t="shared" si="5"/>
        <v>6920692</v>
      </c>
      <c r="BE122" s="8">
        <f>+'St of Net Assets - GA'!AA121-'St of Activities - GA Exp'!BC122</f>
        <v>0</v>
      </c>
    </row>
    <row r="123" spans="1:57">
      <c r="A123" s="12" t="s">
        <v>309</v>
      </c>
      <c r="B123" s="12"/>
      <c r="C123" s="12" t="s">
        <v>20</v>
      </c>
      <c r="D123" s="12"/>
      <c r="E123" s="32">
        <v>46557</v>
      </c>
      <c r="G123" s="8">
        <v>5794544</v>
      </c>
      <c r="H123" s="8"/>
      <c r="I123" s="8">
        <v>918337</v>
      </c>
      <c r="J123" s="8"/>
      <c r="K123" s="8">
        <v>0</v>
      </c>
      <c r="L123" s="8"/>
      <c r="M123" s="8">
        <v>511308</v>
      </c>
      <c r="N123" s="8"/>
      <c r="O123" s="8">
        <v>1404783</v>
      </c>
      <c r="P123" s="8"/>
      <c r="Q123" s="8">
        <v>706863</v>
      </c>
      <c r="R123" s="8"/>
      <c r="S123" s="8">
        <v>70736</v>
      </c>
      <c r="T123" s="8"/>
      <c r="U123" s="8">
        <v>1439936</v>
      </c>
      <c r="V123" s="8"/>
      <c r="W123" s="8">
        <v>562305</v>
      </c>
      <c r="X123" s="8"/>
      <c r="Y123" s="8">
        <v>137018</v>
      </c>
      <c r="Z123" s="8"/>
      <c r="AA123" s="8">
        <v>2136883</v>
      </c>
      <c r="AB123" s="8"/>
      <c r="AC123" s="8">
        <v>914736</v>
      </c>
      <c r="AD123" s="8"/>
      <c r="AE123" s="8">
        <v>501819</v>
      </c>
      <c r="AF123" s="8"/>
      <c r="AG123" s="12" t="s">
        <v>309</v>
      </c>
      <c r="AH123" s="12"/>
      <c r="AI123" s="12" t="s">
        <v>20</v>
      </c>
      <c r="AJ123" s="12"/>
      <c r="AK123" s="8">
        <v>329448</v>
      </c>
      <c r="AL123" s="8"/>
      <c r="AM123" s="8">
        <v>132732</v>
      </c>
      <c r="AN123" s="8"/>
      <c r="AO123" s="8">
        <v>889491</v>
      </c>
      <c r="AP123" s="8"/>
      <c r="AQ123" s="8">
        <v>105913</v>
      </c>
      <c r="AR123" s="8"/>
      <c r="AS123" s="8"/>
      <c r="AT123" s="8"/>
      <c r="AU123" s="8">
        <v>0</v>
      </c>
      <c r="AV123" s="8"/>
      <c r="AW123" s="8">
        <f t="shared" si="4"/>
        <v>16556852</v>
      </c>
      <c r="AY123" s="8">
        <f>+'St of Activites - GA Rev'!AI127-'St of Activities - GA Exp'!AW123</f>
        <v>1479392</v>
      </c>
      <c r="BA123" s="8">
        <v>10894405</v>
      </c>
      <c r="BC123" s="8">
        <f t="shared" si="5"/>
        <v>12373797</v>
      </c>
      <c r="BE123" s="8">
        <f>+'St of Net Assets - GA'!AA122-'St of Activities - GA Exp'!BC123</f>
        <v>0</v>
      </c>
    </row>
    <row r="124" spans="1:57">
      <c r="A124" s="12" t="s">
        <v>846</v>
      </c>
      <c r="B124" s="12"/>
      <c r="C124" s="12" t="s">
        <v>71</v>
      </c>
      <c r="D124" s="12"/>
      <c r="E124" s="32"/>
      <c r="G124" s="8">
        <v>3648786</v>
      </c>
      <c r="H124" s="8"/>
      <c r="I124" s="8">
        <v>686525</v>
      </c>
      <c r="J124" s="8"/>
      <c r="K124" s="8">
        <v>74666</v>
      </c>
      <c r="L124" s="8"/>
      <c r="M124" s="8">
        <v>260438</v>
      </c>
      <c r="N124" s="8"/>
      <c r="O124" s="8">
        <v>352375</v>
      </c>
      <c r="P124" s="8"/>
      <c r="Q124" s="8">
        <v>454396</v>
      </c>
      <c r="R124" s="8"/>
      <c r="S124" s="8">
        <v>21370</v>
      </c>
      <c r="T124" s="8"/>
      <c r="U124" s="8">
        <v>821107</v>
      </c>
      <c r="V124" s="8"/>
      <c r="W124" s="8">
        <v>291524</v>
      </c>
      <c r="X124" s="8"/>
      <c r="Y124" s="8">
        <v>4910</v>
      </c>
      <c r="Z124" s="8"/>
      <c r="AA124" s="8">
        <v>918527</v>
      </c>
      <c r="AB124" s="8"/>
      <c r="AC124" s="8">
        <v>482135</v>
      </c>
      <c r="AD124" s="8"/>
      <c r="AE124" s="8">
        <v>20424</v>
      </c>
      <c r="AF124" s="8"/>
      <c r="AG124" s="12" t="s">
        <v>846</v>
      </c>
      <c r="AH124" s="12"/>
      <c r="AI124" s="12" t="s">
        <v>71</v>
      </c>
      <c r="AJ124" s="12"/>
      <c r="AK124" s="8">
        <v>325641</v>
      </c>
      <c r="AL124" s="8"/>
      <c r="AM124" s="8">
        <v>218258</v>
      </c>
      <c r="AN124" s="8"/>
      <c r="AO124" s="8">
        <v>353423</v>
      </c>
      <c r="AP124" s="8"/>
      <c r="AQ124" s="8">
        <v>5672</v>
      </c>
      <c r="AR124" s="8"/>
      <c r="AS124" s="8"/>
      <c r="AT124" s="8"/>
      <c r="AU124" s="8">
        <v>0</v>
      </c>
      <c r="AV124" s="8"/>
      <c r="AW124" s="8">
        <f t="shared" si="4"/>
        <v>8940177</v>
      </c>
      <c r="AY124" s="8">
        <f>+'St of Activites - GA Rev'!AI128-'St of Activities - GA Exp'!AW124</f>
        <v>-60452</v>
      </c>
      <c r="BA124" s="8">
        <v>2141177</v>
      </c>
      <c r="BC124" s="8">
        <f t="shared" si="5"/>
        <v>2080725</v>
      </c>
      <c r="BE124" s="8">
        <f>+'St of Net Assets - GA'!AA123-'St of Activities - GA Exp'!BC124</f>
        <v>0</v>
      </c>
    </row>
    <row r="125" spans="1:57">
      <c r="A125" s="12" t="s">
        <v>460</v>
      </c>
      <c r="B125" s="12"/>
      <c r="C125" s="12" t="s">
        <v>40</v>
      </c>
      <c r="D125" s="12"/>
      <c r="E125" s="32">
        <v>47837</v>
      </c>
      <c r="G125" s="8">
        <v>2593160</v>
      </c>
      <c r="H125" s="8"/>
      <c r="I125" s="8">
        <v>730278</v>
      </c>
      <c r="J125" s="8"/>
      <c r="K125" s="8">
        <v>115108</v>
      </c>
      <c r="L125" s="8"/>
      <c r="M125" s="8">
        <v>0</v>
      </c>
      <c r="N125" s="8"/>
      <c r="O125" s="8">
        <v>497938</v>
      </c>
      <c r="P125" s="8"/>
      <c r="Q125" s="8">
        <v>499424</v>
      </c>
      <c r="R125" s="8"/>
      <c r="S125" s="8">
        <v>25303</v>
      </c>
      <c r="T125" s="8"/>
      <c r="U125" s="8">
        <v>522792</v>
      </c>
      <c r="V125" s="8"/>
      <c r="W125" s="8">
        <v>166333</v>
      </c>
      <c r="X125" s="8"/>
      <c r="Y125" s="8">
        <v>0</v>
      </c>
      <c r="Z125" s="8"/>
      <c r="AA125" s="8">
        <v>742850</v>
      </c>
      <c r="AB125" s="8"/>
      <c r="AC125" s="8">
        <v>366933</v>
      </c>
      <c r="AD125" s="8"/>
      <c r="AE125" s="8">
        <v>67616</v>
      </c>
      <c r="AF125" s="8"/>
      <c r="AG125" s="12" t="s">
        <v>460</v>
      </c>
      <c r="AH125" s="12"/>
      <c r="AI125" s="12" t="s">
        <v>40</v>
      </c>
      <c r="AJ125" s="12"/>
      <c r="AK125" s="8">
        <v>0</v>
      </c>
      <c r="AL125" s="8"/>
      <c r="AM125" s="8">
        <v>284397</v>
      </c>
      <c r="AN125" s="8"/>
      <c r="AO125" s="8">
        <v>232751</v>
      </c>
      <c r="AP125" s="8"/>
      <c r="AQ125" s="8">
        <v>93576</v>
      </c>
      <c r="AR125" s="8"/>
      <c r="AS125" s="8"/>
      <c r="AT125" s="8"/>
      <c r="AU125" s="8">
        <v>0</v>
      </c>
      <c r="AV125" s="8"/>
      <c r="AW125" s="8">
        <f t="shared" si="4"/>
        <v>6938459</v>
      </c>
      <c r="AY125" s="8">
        <f>+'St of Activites - GA Rev'!AI129-'St of Activities - GA Exp'!AW125</f>
        <v>-20377</v>
      </c>
      <c r="BA125" s="8">
        <v>10646836</v>
      </c>
      <c r="BC125" s="8">
        <f t="shared" si="5"/>
        <v>10626459</v>
      </c>
      <c r="BE125" s="8">
        <f>+'St of Net Assets - GA'!AA124-'St of Activities - GA Exp'!BC125</f>
        <v>0</v>
      </c>
    </row>
    <row r="126" spans="1:57">
      <c r="A126" s="12" t="s">
        <v>472</v>
      </c>
      <c r="B126" s="12"/>
      <c r="C126" s="12" t="s">
        <v>471</v>
      </c>
      <c r="D126" s="12"/>
      <c r="E126" s="32">
        <v>47928</v>
      </c>
      <c r="G126" s="8">
        <v>6830110</v>
      </c>
      <c r="H126" s="8"/>
      <c r="I126" s="8">
        <v>995673</v>
      </c>
      <c r="J126" s="8"/>
      <c r="K126" s="8">
        <v>125772</v>
      </c>
      <c r="L126" s="8"/>
      <c r="M126" s="8">
        <v>0</v>
      </c>
      <c r="N126" s="8"/>
      <c r="O126" s="8">
        <v>564975</v>
      </c>
      <c r="P126" s="8"/>
      <c r="Q126" s="8">
        <v>319139</v>
      </c>
      <c r="R126" s="8"/>
      <c r="S126" s="8">
        <v>31592</v>
      </c>
      <c r="T126" s="8"/>
      <c r="U126" s="8">
        <v>829203</v>
      </c>
      <c r="V126" s="8"/>
      <c r="W126" s="8">
        <v>370742</v>
      </c>
      <c r="X126" s="8"/>
      <c r="Y126" s="8">
        <v>15934</v>
      </c>
      <c r="Z126" s="8"/>
      <c r="AA126" s="8">
        <v>1535982</v>
      </c>
      <c r="AB126" s="8"/>
      <c r="AC126" s="8">
        <v>775346</v>
      </c>
      <c r="AD126" s="8"/>
      <c r="AE126" s="8">
        <v>186374</v>
      </c>
      <c r="AF126" s="8"/>
      <c r="AG126" s="12" t="s">
        <v>472</v>
      </c>
      <c r="AH126" s="12"/>
      <c r="AI126" s="12" t="s">
        <v>471</v>
      </c>
      <c r="AJ126" s="12"/>
      <c r="AK126" s="8">
        <v>818627</v>
      </c>
      <c r="AL126" s="8"/>
      <c r="AM126" s="8">
        <v>8620</v>
      </c>
      <c r="AN126" s="8"/>
      <c r="AO126" s="8">
        <v>546963</v>
      </c>
      <c r="AP126" s="8"/>
      <c r="AQ126" s="8">
        <v>102136</v>
      </c>
      <c r="AR126" s="8"/>
      <c r="AS126" s="8"/>
      <c r="AT126" s="8"/>
      <c r="AU126" s="8">
        <v>0</v>
      </c>
      <c r="AV126" s="8"/>
      <c r="AW126" s="8">
        <f t="shared" si="4"/>
        <v>14057188</v>
      </c>
      <c r="AY126" s="8">
        <f>+'St of Activites - GA Rev'!AI130-'St of Activities - GA Exp'!AW126</f>
        <v>-89583</v>
      </c>
      <c r="BA126" s="8">
        <v>35912562</v>
      </c>
      <c r="BC126" s="8">
        <f t="shared" si="5"/>
        <v>35822979</v>
      </c>
      <c r="BE126" s="8">
        <f>+'St of Net Assets - GA'!AA125-'St of Activities - GA Exp'!BC126</f>
        <v>0</v>
      </c>
    </row>
    <row r="127" spans="1:57">
      <c r="A127" s="12" t="s">
        <v>554</v>
      </c>
      <c r="B127" s="12"/>
      <c r="C127" s="12" t="s">
        <v>50</v>
      </c>
      <c r="D127" s="12"/>
      <c r="E127" s="32">
        <v>43844</v>
      </c>
      <c r="G127" s="8">
        <v>57678686</v>
      </c>
      <c r="H127" s="8"/>
      <c r="I127" s="8">
        <v>26161340</v>
      </c>
      <c r="J127" s="8"/>
      <c r="K127" s="8">
        <v>3380014</v>
      </c>
      <c r="L127" s="8"/>
      <c r="M127" s="8">
        <f>816311+4647275</f>
        <v>5463586</v>
      </c>
      <c r="N127" s="8"/>
      <c r="O127" s="8">
        <v>10155766</v>
      </c>
      <c r="P127" s="8"/>
      <c r="Q127" s="8">
        <v>13464968</v>
      </c>
      <c r="R127" s="8"/>
      <c r="S127" s="8">
        <v>1525305</v>
      </c>
      <c r="T127" s="8"/>
      <c r="U127" s="8">
        <v>12003326</v>
      </c>
      <c r="V127" s="8"/>
      <c r="W127" s="8">
        <v>4289621</v>
      </c>
      <c r="X127" s="8"/>
      <c r="Y127" s="8">
        <v>2145686</v>
      </c>
      <c r="Z127" s="8"/>
      <c r="AA127" s="8">
        <v>22628479</v>
      </c>
      <c r="AB127" s="8"/>
      <c r="AC127" s="8">
        <v>18765970</v>
      </c>
      <c r="AD127" s="8"/>
      <c r="AE127" s="8">
        <v>6615020</v>
      </c>
      <c r="AF127" s="8"/>
      <c r="AG127" s="12" t="s">
        <v>554</v>
      </c>
      <c r="AH127" s="12"/>
      <c r="AI127" s="12" t="s">
        <v>50</v>
      </c>
      <c r="AJ127" s="12"/>
      <c r="AK127" s="8">
        <v>0</v>
      </c>
      <c r="AL127" s="8"/>
      <c r="AM127" s="8">
        <v>69946502</v>
      </c>
      <c r="AN127" s="8"/>
      <c r="AO127" s="8">
        <v>1458700</v>
      </c>
      <c r="AP127" s="8"/>
      <c r="AQ127" s="8">
        <v>11951294</v>
      </c>
      <c r="AR127" s="8"/>
      <c r="AS127" s="8"/>
      <c r="AT127" s="8"/>
      <c r="AU127" s="8">
        <v>4603690</v>
      </c>
      <c r="AV127" s="8"/>
      <c r="AW127" s="8">
        <f t="shared" si="4"/>
        <v>272237953</v>
      </c>
      <c r="AY127" s="8">
        <f>+'St of Activites - GA Rev'!AI131-'St of Activities - GA Exp'!AW127</f>
        <v>6021681</v>
      </c>
      <c r="BA127" s="8">
        <v>329031495</v>
      </c>
      <c r="BC127" s="8">
        <f t="shared" ref="BC127:BC146" si="6">+AY127+BA127</f>
        <v>335053176</v>
      </c>
      <c r="BE127" s="8">
        <f>+'St of Net Assets - GA'!AA126-'St of Activities - GA Exp'!BC127</f>
        <v>0</v>
      </c>
    </row>
    <row r="128" spans="1:57">
      <c r="A128" s="12" t="s">
        <v>397</v>
      </c>
      <c r="B128" s="12"/>
      <c r="C128" s="12" t="s">
        <v>32</v>
      </c>
      <c r="D128" s="12"/>
      <c r="E128" s="32">
        <v>43851</v>
      </c>
      <c r="G128" s="8">
        <v>6483924</v>
      </c>
      <c r="H128" s="8"/>
      <c r="I128" s="8">
        <v>1658007</v>
      </c>
      <c r="J128" s="8"/>
      <c r="K128" s="8">
        <v>157308</v>
      </c>
      <c r="L128" s="8"/>
      <c r="M128" s="8">
        <v>2244</v>
      </c>
      <c r="N128" s="8"/>
      <c r="O128" s="8">
        <v>902557</v>
      </c>
      <c r="P128" s="8"/>
      <c r="Q128" s="8">
        <v>954019</v>
      </c>
      <c r="R128" s="8"/>
      <c r="S128" s="8">
        <v>77006</v>
      </c>
      <c r="T128" s="8"/>
      <c r="U128" s="8">
        <v>1175654</v>
      </c>
      <c r="V128" s="8"/>
      <c r="W128" s="8">
        <v>554135</v>
      </c>
      <c r="X128" s="8"/>
      <c r="Y128" s="8">
        <v>150784</v>
      </c>
      <c r="Z128" s="8"/>
      <c r="AA128" s="8">
        <v>1487042</v>
      </c>
      <c r="AB128" s="8"/>
      <c r="AC128" s="8">
        <v>293115</v>
      </c>
      <c r="AD128" s="8"/>
      <c r="AE128" s="8">
        <v>121877</v>
      </c>
      <c r="AF128" s="8"/>
      <c r="AG128" s="12" t="s">
        <v>397</v>
      </c>
      <c r="AH128" s="12"/>
      <c r="AI128" s="12" t="s">
        <v>32</v>
      </c>
      <c r="AJ128" s="12"/>
      <c r="AK128" s="8">
        <v>0</v>
      </c>
      <c r="AL128" s="8"/>
      <c r="AM128" s="8">
        <v>583667</v>
      </c>
      <c r="AN128" s="8"/>
      <c r="AO128" s="8">
        <v>510704</v>
      </c>
      <c r="AP128" s="8"/>
      <c r="AQ128" s="8">
        <v>35469</v>
      </c>
      <c r="AR128" s="8"/>
      <c r="AS128" s="8"/>
      <c r="AT128" s="8"/>
      <c r="AU128" s="8">
        <v>0</v>
      </c>
      <c r="AV128" s="8"/>
      <c r="AW128" s="8">
        <f t="shared" si="4"/>
        <v>15147512</v>
      </c>
      <c r="AY128" s="8">
        <f>+'St of Activites - GA Rev'!AI132-'St of Activities - GA Exp'!AW128</f>
        <v>987634</v>
      </c>
      <c r="BA128" s="8">
        <v>6072179</v>
      </c>
      <c r="BC128" s="8">
        <f t="shared" si="6"/>
        <v>7059813</v>
      </c>
      <c r="BE128" s="8">
        <f>+'St of Net Assets - GA'!AA127-'St of Activities - GA Exp'!BC128</f>
        <v>0</v>
      </c>
    </row>
    <row r="129" spans="1:57">
      <c r="A129" s="12" t="s">
        <v>338</v>
      </c>
      <c r="B129" s="12"/>
      <c r="C129" s="12" t="s">
        <v>23</v>
      </c>
      <c r="D129" s="12"/>
      <c r="E129" s="32">
        <v>43877</v>
      </c>
      <c r="G129" s="8">
        <v>20377366</v>
      </c>
      <c r="H129" s="8"/>
      <c r="I129" s="8">
        <v>4862505</v>
      </c>
      <c r="J129" s="8"/>
      <c r="K129" s="8">
        <v>322964</v>
      </c>
      <c r="L129" s="8"/>
      <c r="M129" s="8">
        <v>1580947</v>
      </c>
      <c r="N129" s="8"/>
      <c r="O129" s="8">
        <v>2260802</v>
      </c>
      <c r="P129" s="8"/>
      <c r="Q129" s="8">
        <v>2921736</v>
      </c>
      <c r="R129" s="8"/>
      <c r="S129" s="8">
        <v>219277</v>
      </c>
      <c r="T129" s="8"/>
      <c r="U129" s="8">
        <v>2845860</v>
      </c>
      <c r="V129" s="8"/>
      <c r="W129" s="8">
        <v>1074402</v>
      </c>
      <c r="X129" s="8"/>
      <c r="Y129" s="8">
        <v>424312</v>
      </c>
      <c r="Z129" s="8"/>
      <c r="AA129" s="8">
        <v>4557649</v>
      </c>
      <c r="AB129" s="8"/>
      <c r="AC129" s="8">
        <v>2575892</v>
      </c>
      <c r="AD129" s="8"/>
      <c r="AE129" s="8">
        <v>135834</v>
      </c>
      <c r="AF129" s="8"/>
      <c r="AG129" s="12" t="s">
        <v>338</v>
      </c>
      <c r="AH129" s="12"/>
      <c r="AI129" s="12" t="s">
        <v>23</v>
      </c>
      <c r="AJ129" s="12"/>
      <c r="AK129" s="8">
        <v>0</v>
      </c>
      <c r="AL129" s="8"/>
      <c r="AM129" s="8">
        <v>1619968</v>
      </c>
      <c r="AN129" s="8"/>
      <c r="AO129" s="8">
        <v>1171598</v>
      </c>
      <c r="AP129" s="8"/>
      <c r="AQ129" s="8">
        <v>1695938</v>
      </c>
      <c r="AR129" s="8"/>
      <c r="AS129" s="8"/>
      <c r="AT129" s="8"/>
      <c r="AU129" s="8">
        <v>940105</v>
      </c>
      <c r="AV129" s="8"/>
      <c r="AW129" s="8">
        <f t="shared" si="4"/>
        <v>49587155</v>
      </c>
      <c r="AY129" s="8">
        <f>+'St of Activites - GA Rev'!AI133-'St of Activities - GA Exp'!AW129</f>
        <v>5375139</v>
      </c>
      <c r="BA129" s="8">
        <v>9588696</v>
      </c>
      <c r="BC129" s="8">
        <f t="shared" si="6"/>
        <v>14963835</v>
      </c>
      <c r="BE129" s="8">
        <f>+'St of Net Assets - GA'!AA128-'St of Activities - GA Exp'!BC129</f>
        <v>0</v>
      </c>
    </row>
    <row r="130" spans="1:57">
      <c r="A130" s="12" t="s">
        <v>212</v>
      </c>
      <c r="B130" s="12"/>
      <c r="C130" s="12" t="s">
        <v>10</v>
      </c>
      <c r="D130" s="12"/>
      <c r="E130" s="32">
        <v>43885</v>
      </c>
      <c r="F130" s="8"/>
      <c r="G130" s="8">
        <v>4660033</v>
      </c>
      <c r="H130" s="8"/>
      <c r="I130" s="8">
        <v>949239</v>
      </c>
      <c r="J130" s="8"/>
      <c r="K130" s="8">
        <v>523468</v>
      </c>
      <c r="L130" s="8"/>
      <c r="M130" s="8">
        <v>0</v>
      </c>
      <c r="N130" s="8"/>
      <c r="O130" s="8">
        <v>473317</v>
      </c>
      <c r="P130" s="8"/>
      <c r="Q130" s="8">
        <v>479620</v>
      </c>
      <c r="R130" s="8"/>
      <c r="S130" s="8">
        <v>31937</v>
      </c>
      <c r="T130" s="8"/>
      <c r="U130" s="8">
        <v>787947</v>
      </c>
      <c r="V130" s="8"/>
      <c r="W130" s="8">
        <v>315306</v>
      </c>
      <c r="X130" s="8"/>
      <c r="Y130" s="8">
        <v>0</v>
      </c>
      <c r="Z130" s="8"/>
      <c r="AA130" s="8">
        <v>681706</v>
      </c>
      <c r="AB130" s="8"/>
      <c r="AC130" s="8">
        <v>491404</v>
      </c>
      <c r="AD130" s="8"/>
      <c r="AE130" s="8">
        <v>10733</v>
      </c>
      <c r="AF130" s="8"/>
      <c r="AG130" s="13" t="s">
        <v>212</v>
      </c>
      <c r="AH130" s="13"/>
      <c r="AI130" s="13" t="s">
        <v>10</v>
      </c>
      <c r="AJ130" s="13"/>
      <c r="AK130" s="8">
        <v>0</v>
      </c>
      <c r="AL130" s="8"/>
      <c r="AM130" s="8">
        <v>1083775</v>
      </c>
      <c r="AN130" s="8"/>
      <c r="AO130" s="8">
        <v>535490</v>
      </c>
      <c r="AP130" s="8"/>
      <c r="AQ130" s="8">
        <v>0</v>
      </c>
      <c r="AR130" s="8"/>
      <c r="AS130" s="8"/>
      <c r="AT130" s="8"/>
      <c r="AU130" s="8">
        <v>0</v>
      </c>
      <c r="AV130" s="8"/>
      <c r="AW130" s="8">
        <f t="shared" ref="AW130:AW146" si="7">SUM(G130:AV130)</f>
        <v>11023975</v>
      </c>
      <c r="AY130" s="8">
        <f>+'St of Activites - GA Rev'!AI134-'St of Activities - GA Exp'!AW130</f>
        <v>-350712</v>
      </c>
      <c r="BA130" s="8">
        <v>4328414</v>
      </c>
      <c r="BC130" s="8">
        <f t="shared" si="6"/>
        <v>3977702</v>
      </c>
      <c r="BE130" s="8">
        <f>+'St of Net Assets - GA'!AA129-'St of Activities - GA Exp'!BC130</f>
        <v>0</v>
      </c>
    </row>
    <row r="131" spans="1:57">
      <c r="A131" s="12" t="s">
        <v>700</v>
      </c>
      <c r="B131" s="12"/>
      <c r="C131" s="12" t="s">
        <v>65</v>
      </c>
      <c r="D131" s="12"/>
      <c r="E131" s="32">
        <v>43893</v>
      </c>
      <c r="G131" s="8">
        <v>10205211</v>
      </c>
      <c r="H131" s="8"/>
      <c r="I131" s="8">
        <v>2204485</v>
      </c>
      <c r="J131" s="8"/>
      <c r="K131" s="8">
        <v>446</v>
      </c>
      <c r="L131" s="8"/>
      <c r="M131" s="8">
        <v>202459</v>
      </c>
      <c r="N131" s="8"/>
      <c r="O131" s="8">
        <v>1283514</v>
      </c>
      <c r="P131" s="8"/>
      <c r="Q131" s="8">
        <v>1088817</v>
      </c>
      <c r="R131" s="8"/>
      <c r="S131" s="8">
        <v>179469</v>
      </c>
      <c r="T131" s="8"/>
      <c r="U131" s="8">
        <v>1870016</v>
      </c>
      <c r="V131" s="8"/>
      <c r="W131" s="8">
        <v>708877</v>
      </c>
      <c r="X131" s="8"/>
      <c r="Y131" s="8">
        <v>0</v>
      </c>
      <c r="Z131" s="8"/>
      <c r="AA131" s="8">
        <v>1904353</v>
      </c>
      <c r="AB131" s="8"/>
      <c r="AC131" s="8">
        <v>602601</v>
      </c>
      <c r="AD131" s="8"/>
      <c r="AE131" s="8">
        <v>0</v>
      </c>
      <c r="AF131" s="8"/>
      <c r="AG131" s="12" t="s">
        <v>700</v>
      </c>
      <c r="AH131" s="12"/>
      <c r="AI131" s="12" t="s">
        <v>65</v>
      </c>
      <c r="AJ131" s="12"/>
      <c r="AK131" s="8">
        <v>724592</v>
      </c>
      <c r="AL131" s="8"/>
      <c r="AM131" s="8">
        <f>197731+3659</f>
        <v>201390</v>
      </c>
      <c r="AN131" s="8"/>
      <c r="AO131" s="8">
        <v>867671</v>
      </c>
      <c r="AP131" s="8"/>
      <c r="AQ131" s="8">
        <v>252767</v>
      </c>
      <c r="AR131" s="8"/>
      <c r="AS131" s="8"/>
      <c r="AT131" s="8"/>
      <c r="AU131" s="8">
        <v>0</v>
      </c>
      <c r="AV131" s="8"/>
      <c r="AW131" s="8">
        <f t="shared" si="7"/>
        <v>22296668</v>
      </c>
      <c r="AY131" s="8">
        <f>+'St of Activites - GA Rev'!AI135-'St of Activities - GA Exp'!AW131</f>
        <v>-828144</v>
      </c>
      <c r="BA131" s="8">
        <v>6278531</v>
      </c>
      <c r="BC131" s="8">
        <f t="shared" si="6"/>
        <v>5450387</v>
      </c>
      <c r="BE131" s="8">
        <f>+'St of Net Assets - GA'!AA130-'St of Activities - GA Exp'!BC131</f>
        <v>0</v>
      </c>
    </row>
    <row r="132" spans="1:57">
      <c r="A132" s="12" t="s">
        <v>359</v>
      </c>
      <c r="B132" s="12"/>
      <c r="C132" s="12" t="s">
        <v>27</v>
      </c>
      <c r="D132" s="12"/>
      <c r="E132" s="32">
        <v>47027</v>
      </c>
      <c r="G132" s="8">
        <v>68172327</v>
      </c>
      <c r="H132" s="8"/>
      <c r="I132" s="8">
        <v>18346623</v>
      </c>
      <c r="J132" s="8"/>
      <c r="K132" s="8">
        <v>295738</v>
      </c>
      <c r="L132" s="8"/>
      <c r="M132" s="8">
        <v>0</v>
      </c>
      <c r="N132" s="8"/>
      <c r="O132" s="8">
        <v>8966336</v>
      </c>
      <c r="P132" s="8"/>
      <c r="Q132" s="8">
        <v>13885153</v>
      </c>
      <c r="R132" s="8"/>
      <c r="S132" s="8">
        <v>122888</v>
      </c>
      <c r="T132" s="8"/>
      <c r="U132" s="8">
        <v>10308516</v>
      </c>
      <c r="V132" s="8"/>
      <c r="W132" s="8">
        <v>3130769</v>
      </c>
      <c r="X132" s="8"/>
      <c r="Y132" s="8">
        <v>949338</v>
      </c>
      <c r="Z132" s="8"/>
      <c r="AA132" s="8">
        <v>13483571</v>
      </c>
      <c r="AB132" s="8"/>
      <c r="AC132" s="8">
        <v>7526542</v>
      </c>
      <c r="AD132" s="8"/>
      <c r="AE132" s="8">
        <v>7885106</v>
      </c>
      <c r="AF132" s="8"/>
      <c r="AG132" s="12" t="s">
        <v>359</v>
      </c>
      <c r="AH132" s="12"/>
      <c r="AI132" s="12" t="s">
        <v>27</v>
      </c>
      <c r="AJ132" s="12"/>
      <c r="AK132" s="8">
        <v>0</v>
      </c>
      <c r="AL132" s="8"/>
      <c r="AM132" s="8">
        <v>595272</v>
      </c>
      <c r="AN132" s="8"/>
      <c r="AO132" s="8">
        <v>5034089</v>
      </c>
      <c r="AP132" s="8"/>
      <c r="AQ132" s="8">
        <v>8754868</v>
      </c>
      <c r="AR132" s="8"/>
      <c r="AS132" s="8"/>
      <c r="AT132" s="8"/>
      <c r="AU132" s="8">
        <v>35480</v>
      </c>
      <c r="AV132" s="8"/>
      <c r="AW132" s="8">
        <f t="shared" si="7"/>
        <v>167492616</v>
      </c>
      <c r="AY132" s="8">
        <f>+'St of Activites - GA Rev'!AI136-'St of Activities - GA Exp'!AW132</f>
        <v>-5418191</v>
      </c>
      <c r="BA132" s="8">
        <f>71084392-10097</f>
        <v>71074295</v>
      </c>
      <c r="BC132" s="8">
        <f t="shared" si="6"/>
        <v>65656104</v>
      </c>
      <c r="BE132" s="8">
        <f>+'St of Net Assets - GA'!AA133-'St of Activities - GA Exp'!BC132</f>
        <v>0</v>
      </c>
    </row>
    <row r="133" spans="1:57">
      <c r="A133" s="12" t="s">
        <v>280</v>
      </c>
      <c r="B133" s="12"/>
      <c r="C133" s="12" t="s">
        <v>18</v>
      </c>
      <c r="D133" s="12"/>
      <c r="E133" s="32">
        <v>46409</v>
      </c>
      <c r="G133" s="8">
        <v>6243494</v>
      </c>
      <c r="H133" s="8"/>
      <c r="I133" s="8">
        <v>1267840</v>
      </c>
      <c r="J133" s="8"/>
      <c r="K133" s="8">
        <v>115989</v>
      </c>
      <c r="L133" s="8"/>
      <c r="M133" s="8">
        <v>0</v>
      </c>
      <c r="N133" s="8"/>
      <c r="O133" s="8">
        <v>464217</v>
      </c>
      <c r="P133" s="8"/>
      <c r="Q133" s="8">
        <v>981866</v>
      </c>
      <c r="R133" s="8"/>
      <c r="S133" s="8">
        <v>47910</v>
      </c>
      <c r="T133" s="8"/>
      <c r="U133" s="8">
        <v>1451162</v>
      </c>
      <c r="V133" s="8"/>
      <c r="W133" s="8">
        <v>306670</v>
      </c>
      <c r="X133" s="8"/>
      <c r="Y133" s="8">
        <v>7691</v>
      </c>
      <c r="Z133" s="8"/>
      <c r="AA133" s="8">
        <v>1340989</v>
      </c>
      <c r="AB133" s="8"/>
      <c r="AC133" s="8">
        <v>954773</v>
      </c>
      <c r="AD133" s="8"/>
      <c r="AE133" s="8">
        <v>46588</v>
      </c>
      <c r="AF133" s="8"/>
      <c r="AG133" s="12" t="s">
        <v>280</v>
      </c>
      <c r="AH133" s="12"/>
      <c r="AI133" s="12" t="s">
        <v>18</v>
      </c>
      <c r="AJ133" s="12"/>
      <c r="AK133" s="8">
        <v>504284</v>
      </c>
      <c r="AL133" s="8"/>
      <c r="AM133" s="8">
        <v>0</v>
      </c>
      <c r="AN133" s="8"/>
      <c r="AO133" s="8">
        <f>29697+31071+273902+8247</f>
        <v>342917</v>
      </c>
      <c r="AP133" s="8"/>
      <c r="AQ133" s="8">
        <v>126912</v>
      </c>
      <c r="AR133" s="8"/>
      <c r="AS133" s="8"/>
      <c r="AT133" s="8"/>
      <c r="AU133" s="8">
        <v>0</v>
      </c>
      <c r="AV133" s="8"/>
      <c r="AW133" s="8">
        <f t="shared" si="7"/>
        <v>14203302</v>
      </c>
      <c r="AY133" s="8">
        <f>+'St of Activites - GA Rev'!AI137-'St of Activities - GA Exp'!AW133</f>
        <v>-1046548</v>
      </c>
      <c r="BA133" s="8">
        <v>16184252</v>
      </c>
      <c r="BC133" s="8">
        <f t="shared" si="6"/>
        <v>15137704</v>
      </c>
      <c r="BE133" s="8">
        <f>+'St of Net Assets - GA'!AA134-'St of Activities - GA Exp'!BC133</f>
        <v>0</v>
      </c>
    </row>
    <row r="134" spans="1:57">
      <c r="A134" s="12" t="s">
        <v>394</v>
      </c>
      <c r="B134" s="12"/>
      <c r="C134" s="12" t="s">
        <v>31</v>
      </c>
      <c r="D134" s="12"/>
      <c r="E134" s="32">
        <v>69682</v>
      </c>
      <c r="G134" s="8">
        <v>4979428</v>
      </c>
      <c r="H134" s="8"/>
      <c r="I134" s="8">
        <v>1071721</v>
      </c>
      <c r="J134" s="8"/>
      <c r="K134" s="8">
        <v>266663</v>
      </c>
      <c r="L134" s="8"/>
      <c r="M134" s="8">
        <v>6287</v>
      </c>
      <c r="N134" s="8"/>
      <c r="O134" s="8">
        <v>630993</v>
      </c>
      <c r="P134" s="8"/>
      <c r="Q134" s="8">
        <v>512382</v>
      </c>
      <c r="R134" s="8"/>
      <c r="S134" s="8">
        <v>27501</v>
      </c>
      <c r="T134" s="8"/>
      <c r="U134" s="8">
        <v>920853</v>
      </c>
      <c r="V134" s="8"/>
      <c r="W134" s="8">
        <v>334943</v>
      </c>
      <c r="X134" s="8"/>
      <c r="Y134" s="8">
        <v>0</v>
      </c>
      <c r="Z134" s="8"/>
      <c r="AA134" s="8">
        <v>1029053</v>
      </c>
      <c r="AB134" s="8"/>
      <c r="AC134" s="8">
        <v>977795</v>
      </c>
      <c r="AD134" s="8"/>
      <c r="AE134" s="8">
        <v>39170</v>
      </c>
      <c r="AF134" s="8"/>
      <c r="AG134" s="12" t="s">
        <v>394</v>
      </c>
      <c r="AH134" s="12"/>
      <c r="AI134" s="12" t="s">
        <v>31</v>
      </c>
      <c r="AJ134" s="12"/>
      <c r="AK134" s="8">
        <v>475844</v>
      </c>
      <c r="AL134" s="8"/>
      <c r="AM134" s="8">
        <v>0</v>
      </c>
      <c r="AN134" s="8"/>
      <c r="AO134" s="8">
        <v>333287</v>
      </c>
      <c r="AP134" s="8"/>
      <c r="AQ134" s="8">
        <v>201961</v>
      </c>
      <c r="AR134" s="8"/>
      <c r="AS134" s="8"/>
      <c r="AT134" s="8"/>
      <c r="AU134" s="8">
        <v>0</v>
      </c>
      <c r="AV134" s="8"/>
      <c r="AW134" s="8">
        <f t="shared" si="7"/>
        <v>11807881</v>
      </c>
      <c r="AY134" s="8">
        <f>+'St of Activites - GA Rev'!AI138-'St of Activities - GA Exp'!AW134</f>
        <v>235813</v>
      </c>
      <c r="BA134" s="8">
        <v>23744546</v>
      </c>
      <c r="BC134" s="8">
        <f t="shared" si="6"/>
        <v>23980359</v>
      </c>
      <c r="BE134" s="8">
        <f>+'St of Net Assets - GA'!AA135-'St of Activities - GA Exp'!BC134</f>
        <v>0</v>
      </c>
    </row>
    <row r="135" spans="1:57" ht="12" customHeight="1">
      <c r="A135" s="12" t="s">
        <v>446</v>
      </c>
      <c r="B135" s="12"/>
      <c r="C135" s="12" t="s">
        <v>36</v>
      </c>
      <c r="D135" s="12"/>
      <c r="E135" s="32">
        <v>47688</v>
      </c>
      <c r="G135" s="8">
        <v>8373772</v>
      </c>
      <c r="H135" s="8"/>
      <c r="I135" s="8">
        <v>1944766</v>
      </c>
      <c r="J135" s="8"/>
      <c r="K135" s="8">
        <v>507791</v>
      </c>
      <c r="L135" s="8"/>
      <c r="M135" s="8">
        <v>0</v>
      </c>
      <c r="N135" s="8"/>
      <c r="O135" s="8">
        <v>844259</v>
      </c>
      <c r="P135" s="8"/>
      <c r="Q135" s="8">
        <v>833678</v>
      </c>
      <c r="R135" s="8"/>
      <c r="S135" s="8">
        <v>31348</v>
      </c>
      <c r="T135" s="8"/>
      <c r="U135" s="8">
        <v>1650676</v>
      </c>
      <c r="V135" s="8"/>
      <c r="W135" s="8">
        <v>439660</v>
      </c>
      <c r="X135" s="8"/>
      <c r="Y135" s="8">
        <v>0</v>
      </c>
      <c r="Z135" s="8"/>
      <c r="AA135" s="8">
        <v>1438880</v>
      </c>
      <c r="AB135" s="8"/>
      <c r="AC135" s="8">
        <v>1251593</v>
      </c>
      <c r="AD135" s="8"/>
      <c r="AE135" s="8">
        <v>129317</v>
      </c>
      <c r="AF135" s="8"/>
      <c r="AG135" s="12" t="s">
        <v>446</v>
      </c>
      <c r="AH135" s="12"/>
      <c r="AI135" s="12" t="s">
        <v>36</v>
      </c>
      <c r="AJ135" s="12"/>
      <c r="AK135" s="8">
        <v>756969</v>
      </c>
      <c r="AL135" s="8"/>
      <c r="AM135" s="8">
        <v>0</v>
      </c>
      <c r="AN135" s="8"/>
      <c r="AO135" s="8">
        <v>493495</v>
      </c>
      <c r="AP135" s="8"/>
      <c r="AQ135" s="8">
        <v>118693</v>
      </c>
      <c r="AR135" s="8"/>
      <c r="AS135" s="8"/>
      <c r="AT135" s="8"/>
      <c r="AU135" s="8">
        <v>0</v>
      </c>
      <c r="AV135" s="8"/>
      <c r="AW135" s="8">
        <f t="shared" si="7"/>
        <v>18814897</v>
      </c>
      <c r="AY135" s="8">
        <f>+'St of Activites - GA Rev'!AI139-'St of Activities - GA Exp'!AW135</f>
        <v>-958043</v>
      </c>
      <c r="BA135" s="8">
        <v>15346672</v>
      </c>
      <c r="BC135" s="8">
        <f t="shared" si="6"/>
        <v>14388629</v>
      </c>
      <c r="BE135" s="8">
        <f>+'St of Net Assets - GA'!AA136-'St of Activities - GA Exp'!BC135</f>
        <v>0</v>
      </c>
    </row>
    <row r="136" spans="1:57">
      <c r="A136" s="12" t="s">
        <v>285</v>
      </c>
      <c r="B136" s="12"/>
      <c r="C136" s="12" t="s">
        <v>115</v>
      </c>
      <c r="D136" s="12"/>
      <c r="E136" s="32">
        <v>43919</v>
      </c>
      <c r="G136" s="8">
        <v>13508613</v>
      </c>
      <c r="H136" s="8"/>
      <c r="I136" s="8">
        <v>2462953</v>
      </c>
      <c r="J136" s="8"/>
      <c r="K136" s="8">
        <v>756264</v>
      </c>
      <c r="L136" s="8"/>
      <c r="M136" s="8">
        <f>7499+91282</f>
        <v>98781</v>
      </c>
      <c r="N136" s="8"/>
      <c r="O136" s="8">
        <v>1010533</v>
      </c>
      <c r="P136" s="8"/>
      <c r="Q136" s="8">
        <v>1212869</v>
      </c>
      <c r="R136" s="8"/>
      <c r="S136" s="8">
        <v>300791</v>
      </c>
      <c r="T136" s="8"/>
      <c r="U136" s="8">
        <v>1411521</v>
      </c>
      <c r="V136" s="8"/>
      <c r="W136" s="8">
        <v>527744</v>
      </c>
      <c r="X136" s="8"/>
      <c r="Y136" s="8">
        <v>96455</v>
      </c>
      <c r="Z136" s="8"/>
      <c r="AA136" s="8">
        <v>3539444</v>
      </c>
      <c r="AB136" s="8"/>
      <c r="AC136" s="8">
        <v>1004282</v>
      </c>
      <c r="AD136" s="8"/>
      <c r="AE136" s="8">
        <v>21300</v>
      </c>
      <c r="AF136" s="8"/>
      <c r="AG136" s="12" t="s">
        <v>285</v>
      </c>
      <c r="AH136" s="12"/>
      <c r="AI136" s="12" t="s">
        <v>115</v>
      </c>
      <c r="AJ136" s="12"/>
      <c r="AK136" s="8">
        <v>965930</v>
      </c>
      <c r="AL136" s="8"/>
      <c r="AM136" s="8">
        <v>155708</v>
      </c>
      <c r="AN136" s="8"/>
      <c r="AO136" s="8">
        <v>359392</v>
      </c>
      <c r="AP136" s="8"/>
      <c r="AQ136" s="8">
        <v>14256</v>
      </c>
      <c r="AR136" s="8"/>
      <c r="AS136" s="8"/>
      <c r="AT136" s="8"/>
      <c r="AU136" s="8">
        <v>0</v>
      </c>
      <c r="AV136" s="8"/>
      <c r="AW136" s="8">
        <f t="shared" si="7"/>
        <v>27446836</v>
      </c>
      <c r="AY136" s="8">
        <f>+'St of Activites - GA Rev'!AI140-'St of Activities - GA Exp'!AW136</f>
        <v>1729177</v>
      </c>
      <c r="BA136" s="8">
        <v>51720839</v>
      </c>
      <c r="BC136" s="8">
        <f t="shared" si="6"/>
        <v>53450016</v>
      </c>
      <c r="BE136" s="8">
        <f>+'St of Net Assets - GA'!AA137-'St of Activities - GA Exp'!BC136</f>
        <v>0</v>
      </c>
    </row>
    <row r="137" spans="1:57">
      <c r="A137" s="12" t="s">
        <v>571</v>
      </c>
      <c r="B137" s="12"/>
      <c r="C137" s="12" t="s">
        <v>51</v>
      </c>
      <c r="D137" s="12"/>
      <c r="E137" s="32">
        <v>48835</v>
      </c>
      <c r="G137" s="8">
        <v>8464199</v>
      </c>
      <c r="H137" s="8"/>
      <c r="I137" s="8">
        <v>1464784</v>
      </c>
      <c r="J137" s="8"/>
      <c r="K137" s="8">
        <v>251415</v>
      </c>
      <c r="L137" s="8"/>
      <c r="M137" s="8">
        <v>11499</v>
      </c>
      <c r="N137" s="8"/>
      <c r="O137" s="8">
        <v>379777</v>
      </c>
      <c r="P137" s="8"/>
      <c r="Q137" s="8">
        <v>1166723</v>
      </c>
      <c r="R137" s="8"/>
      <c r="S137" s="8">
        <v>53685</v>
      </c>
      <c r="T137" s="8"/>
      <c r="U137" s="8">
        <v>1945472</v>
      </c>
      <c r="V137" s="8"/>
      <c r="W137" s="8">
        <v>394640</v>
      </c>
      <c r="X137" s="8"/>
      <c r="Y137" s="8">
        <v>0</v>
      </c>
      <c r="Z137" s="8"/>
      <c r="AA137" s="8">
        <v>1654303</v>
      </c>
      <c r="AB137" s="8"/>
      <c r="AC137" s="8">
        <v>1247647</v>
      </c>
      <c r="AD137" s="8"/>
      <c r="AE137" s="8">
        <v>149490</v>
      </c>
      <c r="AF137" s="8"/>
      <c r="AG137" s="12" t="s">
        <v>571</v>
      </c>
      <c r="AH137" s="12"/>
      <c r="AI137" s="12" t="s">
        <v>51</v>
      </c>
      <c r="AJ137" s="12"/>
      <c r="AK137" s="8">
        <v>1001503</v>
      </c>
      <c r="AL137" s="8"/>
      <c r="AM137" s="8">
        <v>0</v>
      </c>
      <c r="AN137" s="8"/>
      <c r="AO137" s="8">
        <v>486287</v>
      </c>
      <c r="AP137" s="8"/>
      <c r="AQ137" s="8">
        <v>349473</v>
      </c>
      <c r="AR137" s="8"/>
      <c r="AS137" s="8"/>
      <c r="AT137" s="8"/>
      <c r="AU137" s="8">
        <v>0</v>
      </c>
      <c r="AV137" s="8"/>
      <c r="AW137" s="8">
        <f t="shared" si="7"/>
        <v>19020897</v>
      </c>
      <c r="AY137" s="8">
        <f>+'St of Activites - GA Rev'!AI141-'St of Activities - GA Exp'!AW137</f>
        <v>-745567</v>
      </c>
      <c r="BA137" s="8">
        <v>27788528</v>
      </c>
      <c r="BC137" s="8">
        <f t="shared" si="6"/>
        <v>27042961</v>
      </c>
      <c r="BE137" s="8">
        <f>+'St of Net Assets - GA'!AA138-'St of Activities - GA Exp'!BC137</f>
        <v>0</v>
      </c>
    </row>
    <row r="138" spans="1:57">
      <c r="A138" s="12" t="s">
        <v>286</v>
      </c>
      <c r="B138" s="12"/>
      <c r="C138" s="12" t="s">
        <v>115</v>
      </c>
      <c r="D138" s="12"/>
      <c r="E138" s="32">
        <v>43927</v>
      </c>
      <c r="G138" s="8">
        <v>5280369</v>
      </c>
      <c r="H138" s="8"/>
      <c r="I138" s="8">
        <v>1879283</v>
      </c>
      <c r="J138" s="8"/>
      <c r="K138" s="8">
        <v>72325</v>
      </c>
      <c r="L138" s="8"/>
      <c r="M138" s="8">
        <v>0</v>
      </c>
      <c r="N138" s="8"/>
      <c r="O138" s="8">
        <v>640155</v>
      </c>
      <c r="P138" s="8"/>
      <c r="Q138" s="8">
        <v>386369</v>
      </c>
      <c r="R138" s="8"/>
      <c r="S138" s="8">
        <v>67180</v>
      </c>
      <c r="T138" s="8"/>
      <c r="U138" s="8">
        <v>705513</v>
      </c>
      <c r="V138" s="8"/>
      <c r="W138" s="8">
        <v>265808</v>
      </c>
      <c r="X138" s="8"/>
      <c r="Y138" s="8">
        <v>423081</v>
      </c>
      <c r="Z138" s="8"/>
      <c r="AA138" s="8">
        <v>1207285</v>
      </c>
      <c r="AB138" s="8"/>
      <c r="AC138" s="8">
        <v>532196</v>
      </c>
      <c r="AD138" s="8"/>
      <c r="AE138" s="8">
        <v>0</v>
      </c>
      <c r="AF138" s="8"/>
      <c r="AG138" s="12" t="s">
        <v>286</v>
      </c>
      <c r="AH138" s="12"/>
      <c r="AI138" s="12" t="s">
        <v>115</v>
      </c>
      <c r="AJ138" s="12"/>
      <c r="AK138" s="8">
        <v>466858</v>
      </c>
      <c r="AL138" s="8"/>
      <c r="AM138" s="8">
        <v>12750</v>
      </c>
      <c r="AN138" s="8"/>
      <c r="AO138" s="8">
        <v>433469</v>
      </c>
      <c r="AP138" s="8"/>
      <c r="AQ138" s="8">
        <v>205046</v>
      </c>
      <c r="AR138" s="8"/>
      <c r="AS138" s="8"/>
      <c r="AT138" s="8"/>
      <c r="AU138" s="8">
        <v>0</v>
      </c>
      <c r="AV138" s="8"/>
      <c r="AW138" s="8">
        <f t="shared" si="7"/>
        <v>12577687</v>
      </c>
      <c r="AY138" s="8">
        <f>+'St of Activites - GA Rev'!AI142-'St of Activities - GA Exp'!AW138</f>
        <v>95711</v>
      </c>
      <c r="BA138" s="8">
        <v>22602109</v>
      </c>
      <c r="BC138" s="8">
        <f t="shared" si="6"/>
        <v>22697820</v>
      </c>
      <c r="BE138" s="8">
        <f>+'St of Net Assets - GA'!AA139-'St of Activities - GA Exp'!BC138</f>
        <v>0</v>
      </c>
    </row>
    <row r="139" spans="1:57">
      <c r="A139" s="12" t="s">
        <v>240</v>
      </c>
      <c r="B139" s="12"/>
      <c r="C139" s="12" t="s">
        <v>77</v>
      </c>
      <c r="D139" s="12"/>
      <c r="E139" s="32">
        <v>46037</v>
      </c>
      <c r="G139" s="8">
        <v>5482677</v>
      </c>
      <c r="H139" s="8"/>
      <c r="I139" s="8">
        <v>1270506</v>
      </c>
      <c r="J139" s="8"/>
      <c r="K139" s="8">
        <v>214140</v>
      </c>
      <c r="L139" s="8"/>
      <c r="M139" s="8">
        <v>723761</v>
      </c>
      <c r="N139" s="8"/>
      <c r="O139" s="8">
        <v>407087</v>
      </c>
      <c r="P139" s="8"/>
      <c r="Q139" s="8">
        <v>828781</v>
      </c>
      <c r="R139" s="8"/>
      <c r="S139" s="8">
        <v>25361</v>
      </c>
      <c r="T139" s="8"/>
      <c r="U139" s="8">
        <v>1018154</v>
      </c>
      <c r="V139" s="8"/>
      <c r="W139" s="8">
        <v>397092</v>
      </c>
      <c r="X139" s="8"/>
      <c r="Y139" s="8">
        <v>5012</v>
      </c>
      <c r="Z139" s="8"/>
      <c r="AA139" s="8">
        <v>956471</v>
      </c>
      <c r="AB139" s="8"/>
      <c r="AC139" s="8">
        <v>900188</v>
      </c>
      <c r="AD139" s="8"/>
      <c r="AE139" s="8">
        <v>38858</v>
      </c>
      <c r="AF139" s="8"/>
      <c r="AG139" s="12" t="s">
        <v>240</v>
      </c>
      <c r="AH139" s="12"/>
      <c r="AI139" s="12" t="s">
        <v>77</v>
      </c>
      <c r="AJ139" s="12"/>
      <c r="AK139" s="8">
        <v>0</v>
      </c>
      <c r="AL139" s="8"/>
      <c r="AM139" s="8">
        <v>522670</v>
      </c>
      <c r="AN139" s="8"/>
      <c r="AO139" s="8">
        <v>182648</v>
      </c>
      <c r="AP139" s="8"/>
      <c r="AQ139" s="8">
        <v>564580</v>
      </c>
      <c r="AR139" s="8"/>
      <c r="AS139" s="8"/>
      <c r="AT139" s="8"/>
      <c r="AU139" s="8">
        <v>0</v>
      </c>
      <c r="AV139" s="8"/>
      <c r="AW139" s="8">
        <f t="shared" si="7"/>
        <v>13537986</v>
      </c>
      <c r="AY139" s="8">
        <f>+'St of Activites - GA Rev'!AI143-'St of Activities - GA Exp'!AW139</f>
        <v>20995132</v>
      </c>
      <c r="BA139" s="8">
        <v>18984452</v>
      </c>
      <c r="BC139" s="8">
        <f t="shared" si="6"/>
        <v>39979584</v>
      </c>
      <c r="BE139" s="8">
        <f>+'St of Net Assets - GA'!AA140-'St of Activities - GA Exp'!BC139</f>
        <v>0</v>
      </c>
    </row>
    <row r="140" spans="1:57">
      <c r="A140" s="12" t="s">
        <v>740</v>
      </c>
      <c r="B140" s="12"/>
      <c r="C140" s="12" t="s">
        <v>72</v>
      </c>
      <c r="D140" s="12"/>
      <c r="E140" s="32">
        <v>50674</v>
      </c>
      <c r="G140" s="8">
        <v>7193057</v>
      </c>
      <c r="H140" s="8"/>
      <c r="I140" s="8">
        <v>1800867</v>
      </c>
      <c r="J140" s="8"/>
      <c r="K140" s="8">
        <v>164737</v>
      </c>
      <c r="L140" s="8"/>
      <c r="M140" s="8">
        <v>55</v>
      </c>
      <c r="N140" s="8"/>
      <c r="O140" s="8">
        <v>469866</v>
      </c>
      <c r="P140" s="8"/>
      <c r="Q140" s="8">
        <v>483527</v>
      </c>
      <c r="R140" s="8"/>
      <c r="S140" s="8">
        <v>24772</v>
      </c>
      <c r="T140" s="8"/>
      <c r="U140" s="8">
        <v>1271689</v>
      </c>
      <c r="V140" s="8"/>
      <c r="W140" s="8">
        <v>451267</v>
      </c>
      <c r="X140" s="8"/>
      <c r="Y140" s="8">
        <v>55</v>
      </c>
      <c r="Z140" s="8"/>
      <c r="AA140" s="8">
        <v>1336023</v>
      </c>
      <c r="AB140" s="8"/>
      <c r="AC140" s="8">
        <v>1044781</v>
      </c>
      <c r="AD140" s="8"/>
      <c r="AE140" s="8">
        <v>1402</v>
      </c>
      <c r="AF140" s="8"/>
      <c r="AG140" s="12" t="s">
        <v>740</v>
      </c>
      <c r="AH140" s="12"/>
      <c r="AI140" s="12" t="s">
        <v>72</v>
      </c>
      <c r="AJ140" s="12"/>
      <c r="AK140" s="8">
        <v>0</v>
      </c>
      <c r="AL140" s="8"/>
      <c r="AM140" s="8">
        <v>714043</v>
      </c>
      <c r="AN140" s="8"/>
      <c r="AO140" s="8">
        <v>525644</v>
      </c>
      <c r="AP140" s="8"/>
      <c r="AQ140" s="8">
        <v>194325</v>
      </c>
      <c r="AR140" s="8"/>
      <c r="AS140" s="8"/>
      <c r="AT140" s="8"/>
      <c r="AU140" s="8">
        <v>0</v>
      </c>
      <c r="AV140" s="8"/>
      <c r="AW140" s="8">
        <f t="shared" si="7"/>
        <v>15676110</v>
      </c>
      <c r="AY140" s="8">
        <f>+'St of Activites - GA Rev'!AI144-'St of Activities - GA Exp'!AW140</f>
        <v>1542992</v>
      </c>
      <c r="BA140" s="8">
        <v>3511227</v>
      </c>
      <c r="BC140" s="8">
        <f t="shared" si="6"/>
        <v>5054219</v>
      </c>
      <c r="BE140" s="8">
        <f>+'St of Net Assets - GA'!AA141-'St of Activities - GA Exp'!BC140</f>
        <v>0</v>
      </c>
    </row>
    <row r="141" spans="1:57">
      <c r="A141" s="12" t="s">
        <v>974</v>
      </c>
      <c r="B141" s="12"/>
      <c r="C141" s="12" t="s">
        <v>57</v>
      </c>
      <c r="D141" s="12"/>
      <c r="E141" s="32">
        <v>43935</v>
      </c>
      <c r="G141" s="8">
        <v>11483681</v>
      </c>
      <c r="H141" s="8"/>
      <c r="I141" s="8">
        <v>0</v>
      </c>
      <c r="J141" s="8"/>
      <c r="K141" s="8">
        <v>0</v>
      </c>
      <c r="L141" s="8"/>
      <c r="M141" s="8">
        <v>0</v>
      </c>
      <c r="N141" s="8"/>
      <c r="O141" s="8">
        <v>893083</v>
      </c>
      <c r="P141" s="8"/>
      <c r="Q141" s="8">
        <v>501295</v>
      </c>
      <c r="R141" s="8"/>
      <c r="S141" s="8">
        <v>20055</v>
      </c>
      <c r="T141" s="8"/>
      <c r="U141" s="8">
        <v>1683808</v>
      </c>
      <c r="V141" s="8"/>
      <c r="W141" s="8">
        <v>634650</v>
      </c>
      <c r="X141" s="8"/>
      <c r="Y141" s="8">
        <v>5668</v>
      </c>
      <c r="Z141" s="8"/>
      <c r="AA141" s="8">
        <v>1818452</v>
      </c>
      <c r="AB141" s="8"/>
      <c r="AC141" s="8">
        <v>1159793</v>
      </c>
      <c r="AD141" s="8"/>
      <c r="AE141" s="8">
        <v>94819</v>
      </c>
      <c r="AF141" s="8"/>
      <c r="AG141" s="12" t="s">
        <v>787</v>
      </c>
      <c r="AH141" s="12"/>
      <c r="AI141" s="12" t="s">
        <v>57</v>
      </c>
      <c r="AJ141" s="12"/>
      <c r="AK141" s="8">
        <v>0</v>
      </c>
      <c r="AL141" s="8"/>
      <c r="AM141" s="8">
        <v>14083</v>
      </c>
      <c r="AN141" s="8"/>
      <c r="AO141" s="8">
        <v>713504</v>
      </c>
      <c r="AP141" s="8"/>
      <c r="AQ141" s="8">
        <v>1346174</v>
      </c>
      <c r="AR141" s="8"/>
      <c r="AS141" s="8"/>
      <c r="AT141" s="8"/>
      <c r="AU141" s="8">
        <v>0</v>
      </c>
      <c r="AV141" s="8"/>
      <c r="AW141" s="8">
        <f t="shared" si="7"/>
        <v>20369065</v>
      </c>
      <c r="AY141" s="8">
        <f>+'St of Activites - GA Rev'!AI145-'St of Activities - GA Exp'!AW141</f>
        <v>2668478</v>
      </c>
      <c r="BA141" s="8">
        <v>11971942</v>
      </c>
      <c r="BC141" s="8">
        <f t="shared" si="6"/>
        <v>14640420</v>
      </c>
      <c r="BE141" s="8">
        <f>+'St of Net Assets - GA'!AA142-'St of Activities - GA Exp'!BC141</f>
        <v>0</v>
      </c>
    </row>
    <row r="142" spans="1:57" hidden="1">
      <c r="A142" s="12" t="s">
        <v>734</v>
      </c>
      <c r="B142" s="12"/>
      <c r="C142" s="12" t="s">
        <v>733</v>
      </c>
      <c r="D142" s="12"/>
      <c r="E142" s="32">
        <v>50617</v>
      </c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12" t="s">
        <v>734</v>
      </c>
      <c r="AH142" s="12"/>
      <c r="AI142" s="12" t="s">
        <v>733</v>
      </c>
      <c r="AJ142" s="12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>
        <v>0</v>
      </c>
      <c r="AV142" s="8"/>
      <c r="AW142" s="8">
        <f t="shared" si="7"/>
        <v>0</v>
      </c>
      <c r="AY142" s="8">
        <f>+'St of Activites - GA Rev'!AI146-'St of Activities - GA Exp'!AW142</f>
        <v>0</v>
      </c>
      <c r="BC142" s="8">
        <f t="shared" si="6"/>
        <v>0</v>
      </c>
      <c r="BE142" s="8">
        <f>+'St of Net Assets - GA'!AA143-'St of Activities - GA Exp'!BC142</f>
        <v>0</v>
      </c>
    </row>
    <row r="143" spans="1:57" ht="12" hidden="1" customHeight="1">
      <c r="A143" s="12" t="s">
        <v>245</v>
      </c>
      <c r="B143" s="12"/>
      <c r="C143" s="12" t="s">
        <v>246</v>
      </c>
      <c r="D143" s="12"/>
      <c r="E143" s="32">
        <v>46094</v>
      </c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12" t="s">
        <v>245</v>
      </c>
      <c r="AH143" s="12"/>
      <c r="AI143" s="12" t="s">
        <v>246</v>
      </c>
      <c r="AJ143" s="12"/>
      <c r="AK143" s="8">
        <v>0</v>
      </c>
      <c r="AL143" s="8"/>
      <c r="AM143" s="8"/>
      <c r="AN143" s="8"/>
      <c r="AO143" s="8"/>
      <c r="AP143" s="8"/>
      <c r="AQ143" s="8"/>
      <c r="AR143" s="8"/>
      <c r="AS143" s="8"/>
      <c r="AT143" s="8"/>
      <c r="AU143" s="8">
        <v>0</v>
      </c>
      <c r="AV143" s="8"/>
      <c r="AW143" s="8">
        <f t="shared" si="7"/>
        <v>0</v>
      </c>
      <c r="AY143" s="8">
        <f>+'St of Activites - GA Rev'!AI147-'St of Activities - GA Exp'!AW143</f>
        <v>0</v>
      </c>
      <c r="BC143" s="8">
        <f t="shared" si="6"/>
        <v>0</v>
      </c>
      <c r="BE143" s="8">
        <f>+'St of Net Assets - GA'!AA144-'St of Activities - GA Exp'!BC143</f>
        <v>0</v>
      </c>
    </row>
    <row r="144" spans="1:57">
      <c r="A144" s="12" t="s">
        <v>245</v>
      </c>
      <c r="B144" s="12"/>
      <c r="C144" s="12" t="s">
        <v>57</v>
      </c>
      <c r="D144" s="12"/>
      <c r="E144" s="32">
        <v>43935</v>
      </c>
      <c r="G144" s="8">
        <v>14480106</v>
      </c>
      <c r="H144" s="8"/>
      <c r="I144" s="8">
        <v>3594517</v>
      </c>
      <c r="J144" s="8"/>
      <c r="K144" s="8">
        <v>0</v>
      </c>
      <c r="L144" s="8"/>
      <c r="M144" s="8">
        <v>12087</v>
      </c>
      <c r="N144" s="8"/>
      <c r="O144" s="8">
        <v>2391556</v>
      </c>
      <c r="P144" s="8"/>
      <c r="Q144" s="8">
        <v>3089161</v>
      </c>
      <c r="R144" s="8"/>
      <c r="S144" s="8">
        <v>233224</v>
      </c>
      <c r="T144" s="8"/>
      <c r="U144" s="8">
        <v>2288863</v>
      </c>
      <c r="V144" s="8"/>
      <c r="W144" s="8">
        <v>887162</v>
      </c>
      <c r="X144" s="8"/>
      <c r="Y144" s="8">
        <v>159454</v>
      </c>
      <c r="Z144" s="8"/>
      <c r="AA144" s="8">
        <v>2651239</v>
      </c>
      <c r="AB144" s="8"/>
      <c r="AC144" s="8">
        <v>1304179</v>
      </c>
      <c r="AD144" s="8"/>
      <c r="AE144" s="8">
        <v>206243</v>
      </c>
      <c r="AF144" s="8"/>
      <c r="AG144" s="12" t="s">
        <v>245</v>
      </c>
      <c r="AH144" s="12"/>
      <c r="AI144" s="12" t="s">
        <v>57</v>
      </c>
      <c r="AJ144" s="12"/>
      <c r="AK144" s="8">
        <v>1373891</v>
      </c>
      <c r="AL144" s="8"/>
      <c r="AM144" s="8">
        <v>0</v>
      </c>
      <c r="AN144" s="8"/>
      <c r="AO144" s="8">
        <v>551572</v>
      </c>
      <c r="AP144" s="8"/>
      <c r="AQ144" s="8">
        <v>1100790</v>
      </c>
      <c r="AR144" s="8"/>
      <c r="AS144" s="8"/>
      <c r="AT144" s="8"/>
      <c r="AU144" s="8">
        <v>83438</v>
      </c>
      <c r="AV144" s="8"/>
      <c r="AW144" s="8">
        <f>SUM(G144:AV144)</f>
        <v>34407482</v>
      </c>
      <c r="AY144" s="8">
        <f>+'St of Activites - GA Rev'!AI148-'St of Activities - GA Exp'!AW144</f>
        <v>1353216</v>
      </c>
      <c r="BA144" s="8">
        <v>10371885</v>
      </c>
      <c r="BC144" s="8">
        <f>+AY144+BA144</f>
        <v>11725101</v>
      </c>
      <c r="BE144" s="8">
        <f>+'St of Net Assets - GA'!AA145-'St of Activities - GA Exp'!BC144</f>
        <v>0</v>
      </c>
    </row>
    <row r="145" spans="1:57">
      <c r="A145" s="12" t="s">
        <v>455</v>
      </c>
      <c r="B145" s="12"/>
      <c r="C145" s="12" t="s">
        <v>39</v>
      </c>
      <c r="D145" s="12"/>
      <c r="E145" s="32">
        <v>47795</v>
      </c>
      <c r="G145" s="8">
        <v>7032893</v>
      </c>
      <c r="H145" s="8"/>
      <c r="I145" s="8">
        <v>1588845</v>
      </c>
      <c r="J145" s="8"/>
      <c r="K145" s="8">
        <v>205455</v>
      </c>
      <c r="L145" s="8"/>
      <c r="M145" s="8">
        <v>1817111</v>
      </c>
      <c r="N145" s="8"/>
      <c r="O145" s="8">
        <v>681106</v>
      </c>
      <c r="P145" s="8"/>
      <c r="Q145" s="8">
        <v>1140353</v>
      </c>
      <c r="R145" s="8"/>
      <c r="S145" s="8">
        <v>229493</v>
      </c>
      <c r="T145" s="8"/>
      <c r="U145" s="8">
        <v>1505534</v>
      </c>
      <c r="V145" s="8"/>
      <c r="W145" s="8">
        <v>483999</v>
      </c>
      <c r="X145" s="8"/>
      <c r="Y145" s="8">
        <v>112371</v>
      </c>
      <c r="Z145" s="8"/>
      <c r="AA145" s="8">
        <v>1585975</v>
      </c>
      <c r="AB145" s="8"/>
      <c r="AC145" s="8">
        <v>2076761</v>
      </c>
      <c r="AD145" s="8"/>
      <c r="AE145" s="8">
        <v>366783</v>
      </c>
      <c r="AF145" s="8"/>
      <c r="AG145" s="12" t="s">
        <v>455</v>
      </c>
      <c r="AH145" s="12"/>
      <c r="AI145" s="12" t="s">
        <v>39</v>
      </c>
      <c r="AJ145" s="12"/>
      <c r="AK145" s="8">
        <v>734322</v>
      </c>
      <c r="AL145" s="8"/>
      <c r="AM145" s="8">
        <v>11643</v>
      </c>
      <c r="AN145" s="8"/>
      <c r="AO145" s="8">
        <v>392728</v>
      </c>
      <c r="AP145" s="8"/>
      <c r="AQ145" s="8">
        <v>90719</v>
      </c>
      <c r="AR145" s="8"/>
      <c r="AS145" s="8"/>
      <c r="AT145" s="8"/>
      <c r="AU145" s="8">
        <v>0</v>
      </c>
      <c r="AV145" s="8"/>
      <c r="AW145" s="8">
        <f t="shared" si="7"/>
        <v>20056091</v>
      </c>
      <c r="AY145" s="8">
        <f>+'St of Activites - GA Rev'!AI149-'St of Activities - GA Exp'!AW145</f>
        <v>-219165</v>
      </c>
      <c r="BA145" s="8">
        <v>3238884</v>
      </c>
      <c r="BC145" s="8">
        <f t="shared" si="6"/>
        <v>3019719</v>
      </c>
      <c r="BE145" s="8">
        <f>+'St of Net Assets - GA'!AA146-'St of Activities - GA Exp'!BC145</f>
        <v>0</v>
      </c>
    </row>
    <row r="146" spans="1:57" s="35" customFormat="1">
      <c r="A146" s="34" t="s">
        <v>735</v>
      </c>
      <c r="B146" s="34"/>
      <c r="C146" s="34" t="s">
        <v>733</v>
      </c>
      <c r="D146" s="34"/>
      <c r="E146" s="32">
        <v>50625</v>
      </c>
      <c r="G146" s="8">
        <v>2632336</v>
      </c>
      <c r="H146" s="8"/>
      <c r="I146" s="8">
        <v>645784</v>
      </c>
      <c r="J146" s="8"/>
      <c r="K146" s="8">
        <v>194314</v>
      </c>
      <c r="L146" s="8"/>
      <c r="M146" s="8">
        <f>144+10298</f>
        <v>10442</v>
      </c>
      <c r="N146" s="8"/>
      <c r="O146" s="8">
        <v>278312</v>
      </c>
      <c r="P146" s="8"/>
      <c r="Q146" s="8">
        <v>432633</v>
      </c>
      <c r="R146" s="8"/>
      <c r="S146" s="8">
        <v>13377</v>
      </c>
      <c r="T146" s="8"/>
      <c r="U146" s="8">
        <v>516334</v>
      </c>
      <c r="V146" s="8"/>
      <c r="W146" s="8">
        <v>268466</v>
      </c>
      <c r="X146" s="8"/>
      <c r="Y146" s="8">
        <v>5421</v>
      </c>
      <c r="Z146" s="8"/>
      <c r="AA146" s="8">
        <v>1465985</v>
      </c>
      <c r="AB146" s="8"/>
      <c r="AC146" s="8">
        <v>451786</v>
      </c>
      <c r="AD146" s="8"/>
      <c r="AE146" s="8">
        <v>45191</v>
      </c>
      <c r="AG146" s="34" t="s">
        <v>735</v>
      </c>
      <c r="AH146" s="34"/>
      <c r="AI146" s="34" t="s">
        <v>733</v>
      </c>
      <c r="AJ146" s="34"/>
      <c r="AK146" s="8">
        <v>0</v>
      </c>
      <c r="AL146" s="8"/>
      <c r="AM146" s="8">
        <f>324241+124927</f>
        <v>449168</v>
      </c>
      <c r="AN146" s="8"/>
      <c r="AO146" s="8">
        <v>337180</v>
      </c>
      <c r="AP146" s="8"/>
      <c r="AQ146" s="8">
        <v>214590</v>
      </c>
      <c r="AR146" s="8"/>
      <c r="AS146" s="8"/>
      <c r="AT146" s="8"/>
      <c r="AU146" s="8">
        <v>0</v>
      </c>
      <c r="AV146" s="8"/>
      <c r="AW146" s="8">
        <f t="shared" si="7"/>
        <v>7961319</v>
      </c>
      <c r="AX146" s="8"/>
      <c r="AY146" s="8">
        <f>+'St of Activites - GA Rev'!AI150-'St of Activities - GA Exp'!AW146</f>
        <v>-1192739</v>
      </c>
      <c r="AZ146" s="8"/>
      <c r="BA146" s="8">
        <v>19009413</v>
      </c>
      <c r="BB146" s="8"/>
      <c r="BC146" s="8">
        <f t="shared" si="6"/>
        <v>17816674</v>
      </c>
      <c r="BD146" s="8"/>
      <c r="BE146" s="8">
        <f>+'St of Net Assets - GA'!AA147-'St of Activities - GA Exp'!BC146</f>
        <v>0</v>
      </c>
    </row>
    <row r="147" spans="1:57" s="8" customFormat="1">
      <c r="A147" s="13" t="s">
        <v>526</v>
      </c>
      <c r="B147" s="13"/>
      <c r="C147" s="13" t="s">
        <v>46</v>
      </c>
      <c r="D147" s="13"/>
      <c r="E147" s="13">
        <v>48413</v>
      </c>
      <c r="G147" s="8">
        <v>7460835</v>
      </c>
      <c r="I147" s="8">
        <v>1074719</v>
      </c>
      <c r="K147" s="8">
        <v>269408</v>
      </c>
      <c r="M147" s="8">
        <v>0</v>
      </c>
      <c r="O147" s="8">
        <v>747856</v>
      </c>
      <c r="Q147" s="8">
        <v>482334</v>
      </c>
      <c r="S147" s="8">
        <v>34121</v>
      </c>
      <c r="U147" s="8">
        <v>1249303</v>
      </c>
      <c r="W147" s="8">
        <v>372235</v>
      </c>
      <c r="Y147" s="8">
        <v>0</v>
      </c>
      <c r="AA147" s="8">
        <v>1223007</v>
      </c>
      <c r="AC147" s="8">
        <v>903230</v>
      </c>
      <c r="AE147" s="8">
        <v>0</v>
      </c>
      <c r="AG147" s="13" t="s">
        <v>526</v>
      </c>
      <c r="AH147" s="13"/>
      <c r="AI147" s="13" t="s">
        <v>46</v>
      </c>
      <c r="AJ147" s="13"/>
      <c r="AK147" s="8">
        <v>0</v>
      </c>
      <c r="AM147" s="8">
        <v>637402</v>
      </c>
      <c r="AO147" s="8">
        <v>382114</v>
      </c>
      <c r="AQ147" s="8">
        <v>0</v>
      </c>
      <c r="AU147" s="8">
        <v>0</v>
      </c>
      <c r="AW147" s="8">
        <f>SUM(G147:AV147)</f>
        <v>14836564</v>
      </c>
      <c r="AY147" s="8">
        <f>+'St of Activites - GA Rev'!AI151-'St of Activities - GA Exp'!AW147</f>
        <v>-469702</v>
      </c>
      <c r="BA147" s="8">
        <v>3464264</v>
      </c>
      <c r="BC147" s="8">
        <f>+AY147+BA147</f>
        <v>2994562</v>
      </c>
      <c r="BE147" s="8">
        <f>+'St of Net Assets - GA'!AA148-'St of Activities - GA Exp'!BC147</f>
        <v>0</v>
      </c>
    </row>
    <row r="148" spans="1:57">
      <c r="A148" s="12" t="s">
        <v>493</v>
      </c>
      <c r="B148" s="12"/>
      <c r="C148" s="12" t="s">
        <v>44</v>
      </c>
      <c r="D148" s="12"/>
      <c r="E148" s="32">
        <v>43943</v>
      </c>
      <c r="G148" s="8">
        <v>30764332</v>
      </c>
      <c r="H148" s="8"/>
      <c r="I148" s="8">
        <v>10523165</v>
      </c>
      <c r="J148" s="8"/>
      <c r="K148" s="8">
        <v>371108</v>
      </c>
      <c r="L148" s="8"/>
      <c r="M148" s="8">
        <f>63066+6907469</f>
        <v>6970535</v>
      </c>
      <c r="N148" s="8"/>
      <c r="O148" s="8">
        <v>4737676</v>
      </c>
      <c r="P148" s="8"/>
      <c r="Q148" s="8">
        <v>5090319</v>
      </c>
      <c r="R148" s="8"/>
      <c r="S148" s="8">
        <v>51691</v>
      </c>
      <c r="T148" s="8"/>
      <c r="U148" s="8">
        <v>5330847</v>
      </c>
      <c r="V148" s="8"/>
      <c r="W148" s="8">
        <v>1736054</v>
      </c>
      <c r="X148" s="8"/>
      <c r="Y148" s="8">
        <v>793716</v>
      </c>
      <c r="Z148" s="8"/>
      <c r="AA148" s="8">
        <v>7273037</v>
      </c>
      <c r="AB148" s="8"/>
      <c r="AC148" s="8">
        <v>3236629</v>
      </c>
      <c r="AD148" s="8"/>
      <c r="AE148" s="8">
        <v>1287930</v>
      </c>
      <c r="AF148" s="8"/>
      <c r="AG148" s="12" t="s">
        <v>493</v>
      </c>
      <c r="AH148" s="12"/>
      <c r="AI148" s="12" t="s">
        <v>44</v>
      </c>
      <c r="AJ148" s="12"/>
      <c r="AK148" s="8">
        <v>0</v>
      </c>
      <c r="AL148" s="8"/>
      <c r="AM148" s="8">
        <v>1875308</v>
      </c>
      <c r="AN148" s="8"/>
      <c r="AO148" s="8">
        <v>1258526</v>
      </c>
      <c r="AP148" s="8"/>
      <c r="AQ148" s="8">
        <v>2159395</v>
      </c>
      <c r="AR148" s="8"/>
      <c r="AS148" s="8"/>
      <c r="AT148" s="8"/>
      <c r="AU148" s="8">
        <v>0</v>
      </c>
      <c r="AV148" s="8"/>
      <c r="AW148" s="8">
        <f>SUM(G148:AV148)</f>
        <v>83460268</v>
      </c>
      <c r="AY148" s="8">
        <f>+'St of Activites - GA Rev'!AI152-'St of Activities - GA Exp'!AW148</f>
        <v>630568</v>
      </c>
      <c r="BA148" s="8">
        <v>6500666</v>
      </c>
      <c r="BC148" s="8">
        <f>+AY148+BA148</f>
        <v>7131234</v>
      </c>
      <c r="BE148" s="8">
        <f>+'St of Net Assets - GA'!AA149-'St of Activities - GA Exp'!BC148</f>
        <v>0</v>
      </c>
    </row>
    <row r="149" spans="1:57">
      <c r="A149" s="12" t="s">
        <v>310</v>
      </c>
      <c r="B149" s="12"/>
      <c r="C149" s="12" t="s">
        <v>20</v>
      </c>
      <c r="D149" s="12"/>
      <c r="E149" s="32">
        <v>43950</v>
      </c>
      <c r="G149" s="8">
        <v>29166887</v>
      </c>
      <c r="H149" s="8"/>
      <c r="I149" s="8">
        <v>14488562</v>
      </c>
      <c r="J149" s="8"/>
      <c r="K149" s="8">
        <v>1402642</v>
      </c>
      <c r="L149" s="8"/>
      <c r="M149" s="8">
        <f>86990+1118075</f>
        <v>1205065</v>
      </c>
      <c r="N149" s="8"/>
      <c r="O149" s="8">
        <v>3869019</v>
      </c>
      <c r="P149" s="8"/>
      <c r="Q149" s="8">
        <v>4807402</v>
      </c>
      <c r="R149" s="8"/>
      <c r="S149" s="8">
        <v>77856</v>
      </c>
      <c r="T149" s="8"/>
      <c r="U149" s="8">
        <v>5201897</v>
      </c>
      <c r="V149" s="8"/>
      <c r="W149" s="8">
        <v>2030498</v>
      </c>
      <c r="X149" s="8"/>
      <c r="Y149" s="8">
        <v>802476</v>
      </c>
      <c r="Z149" s="8"/>
      <c r="AA149" s="8">
        <v>8444510</v>
      </c>
      <c r="AB149" s="8"/>
      <c r="AC149" s="8">
        <v>4128390</v>
      </c>
      <c r="AD149" s="8"/>
      <c r="AE149" s="8">
        <v>1356385</v>
      </c>
      <c r="AF149" s="8"/>
      <c r="AG149" s="12" t="s">
        <v>310</v>
      </c>
      <c r="AH149" s="12"/>
      <c r="AI149" s="12" t="s">
        <v>20</v>
      </c>
      <c r="AJ149" s="12"/>
      <c r="AK149" s="8">
        <v>0</v>
      </c>
      <c r="AL149" s="8"/>
      <c r="AM149" s="8">
        <v>4916594</v>
      </c>
      <c r="AN149" s="8"/>
      <c r="AO149" s="8">
        <v>1307174</v>
      </c>
      <c r="AP149" s="8"/>
      <c r="AQ149" s="8">
        <v>693877</v>
      </c>
      <c r="AR149" s="8"/>
      <c r="AS149" s="8"/>
      <c r="AT149" s="8"/>
      <c r="AU149" s="8">
        <v>0</v>
      </c>
      <c r="AV149" s="8"/>
      <c r="AW149" s="8">
        <f t="shared" ref="AW149:AW216" si="8">SUM(G149:AV149)</f>
        <v>83899234</v>
      </c>
      <c r="AY149" s="8">
        <f>+'St of Activites - GA Rev'!AI153-'St of Activities - GA Exp'!AW149</f>
        <v>-644953</v>
      </c>
      <c r="BA149" s="8">
        <v>28090643</v>
      </c>
      <c r="BC149" s="8">
        <f t="shared" ref="BC149:BC217" si="9">+AY149+BA149</f>
        <v>27445690</v>
      </c>
      <c r="BE149" s="8">
        <f>+'St of Net Assets - GA'!AA150-'St of Activities - GA Exp'!BC149</f>
        <v>0</v>
      </c>
    </row>
    <row r="150" spans="1:57" ht="12" hidden="1" customHeight="1">
      <c r="A150" s="12" t="s">
        <v>373</v>
      </c>
      <c r="B150" s="12"/>
      <c r="C150" s="12" t="s">
        <v>28</v>
      </c>
      <c r="D150" s="12"/>
      <c r="E150" s="32">
        <v>47050</v>
      </c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12" t="s">
        <v>373</v>
      </c>
      <c r="AH150" s="12"/>
      <c r="AI150" s="12" t="s">
        <v>28</v>
      </c>
      <c r="AJ150" s="12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>
        <v>0</v>
      </c>
      <c r="AV150" s="8"/>
      <c r="AW150" s="8">
        <f t="shared" si="8"/>
        <v>0</v>
      </c>
      <c r="AY150" s="8">
        <f>+'St of Activites - GA Rev'!AI154-'St of Activities - GA Exp'!AW150</f>
        <v>0</v>
      </c>
      <c r="BC150" s="8">
        <f t="shared" si="9"/>
        <v>0</v>
      </c>
      <c r="BE150" s="8">
        <f>+'St of Net Assets - GA'!AA151-'St of Activities - GA Exp'!BC150</f>
        <v>0</v>
      </c>
    </row>
    <row r="151" spans="1:57">
      <c r="A151" s="12" t="s">
        <v>707</v>
      </c>
      <c r="B151" s="12"/>
      <c r="C151" s="12" t="s">
        <v>66</v>
      </c>
      <c r="D151" s="12"/>
      <c r="E151" s="32">
        <v>50328</v>
      </c>
      <c r="G151" s="8">
        <v>4540324</v>
      </c>
      <c r="H151" s="8"/>
      <c r="I151" s="8">
        <v>786186</v>
      </c>
      <c r="J151" s="8"/>
      <c r="K151" s="8">
        <v>35254</v>
      </c>
      <c r="L151" s="8"/>
      <c r="M151" s="8">
        <v>54729</v>
      </c>
      <c r="N151" s="8"/>
      <c r="O151" s="8">
        <v>664310</v>
      </c>
      <c r="P151" s="8"/>
      <c r="Q151" s="8">
        <v>520044</v>
      </c>
      <c r="R151" s="8"/>
      <c r="S151" s="8">
        <v>68967</v>
      </c>
      <c r="T151" s="8"/>
      <c r="U151" s="8">
        <v>891326</v>
      </c>
      <c r="V151" s="8"/>
      <c r="W151" s="8">
        <v>360360</v>
      </c>
      <c r="X151" s="8"/>
      <c r="Y151" s="8">
        <v>0</v>
      </c>
      <c r="Z151" s="8"/>
      <c r="AA151" s="8">
        <v>1001586</v>
      </c>
      <c r="AB151" s="8"/>
      <c r="AC151" s="8">
        <v>886150</v>
      </c>
      <c r="AD151" s="8"/>
      <c r="AE151" s="8">
        <v>9000</v>
      </c>
      <c r="AF151" s="8"/>
      <c r="AG151" s="12" t="s">
        <v>707</v>
      </c>
      <c r="AH151" s="12"/>
      <c r="AI151" s="12" t="s">
        <v>66</v>
      </c>
      <c r="AJ151" s="12"/>
      <c r="AK151" s="8">
        <v>198066</v>
      </c>
      <c r="AL151" s="8"/>
      <c r="AM151" s="8">
        <v>154468</v>
      </c>
      <c r="AN151" s="8"/>
      <c r="AO151" s="8">
        <v>299330</v>
      </c>
      <c r="AP151" s="8"/>
      <c r="AQ151" s="8">
        <v>610357</v>
      </c>
      <c r="AR151" s="8"/>
      <c r="AS151" s="8"/>
      <c r="AT151" s="8"/>
      <c r="AU151" s="8">
        <v>0</v>
      </c>
      <c r="AV151" s="8"/>
      <c r="AW151" s="8">
        <f t="shared" si="8"/>
        <v>11080457</v>
      </c>
      <c r="AY151" s="8">
        <f>+'St of Activites - GA Rev'!AI155-'St of Activities - GA Exp'!AW151</f>
        <v>992248</v>
      </c>
      <c r="BA151" s="8">
        <v>5379115</v>
      </c>
      <c r="BC151" s="8">
        <f t="shared" si="9"/>
        <v>6371363</v>
      </c>
      <c r="BE151" s="8">
        <f>+'St of Net Assets - GA'!AA152-'St of Activities - GA Exp'!BC151</f>
        <v>0</v>
      </c>
    </row>
    <row r="152" spans="1:57">
      <c r="A152" s="12" t="s">
        <v>884</v>
      </c>
      <c r="B152" s="12"/>
      <c r="C152" s="12" t="s">
        <v>117</v>
      </c>
      <c r="D152" s="12"/>
      <c r="E152" s="32">
        <v>46102</v>
      </c>
      <c r="G152" s="8">
        <v>18858206</v>
      </c>
      <c r="H152" s="8"/>
      <c r="I152" s="8">
        <v>5963581</v>
      </c>
      <c r="J152" s="8"/>
      <c r="K152" s="8">
        <v>0</v>
      </c>
      <c r="L152" s="8"/>
      <c r="M152" s="8">
        <v>2633687</v>
      </c>
      <c r="N152" s="8"/>
      <c r="O152" s="8">
        <v>2628819</v>
      </c>
      <c r="P152" s="8"/>
      <c r="Q152" s="8">
        <v>2225863</v>
      </c>
      <c r="R152" s="8"/>
      <c r="S152" s="8">
        <v>55466</v>
      </c>
      <c r="T152" s="8"/>
      <c r="U152" s="8">
        <v>3094280</v>
      </c>
      <c r="V152" s="8"/>
      <c r="W152" s="8">
        <v>837617</v>
      </c>
      <c r="X152" s="8"/>
      <c r="Y152" s="8">
        <v>284255</v>
      </c>
      <c r="Z152" s="8"/>
      <c r="AA152" s="8">
        <v>3757405</v>
      </c>
      <c r="AB152" s="8"/>
      <c r="AC152" s="8">
        <v>2957888</v>
      </c>
      <c r="AD152" s="8"/>
      <c r="AE152" s="8">
        <v>524410</v>
      </c>
      <c r="AF152" s="8"/>
      <c r="AG152" s="12" t="s">
        <v>884</v>
      </c>
      <c r="AH152" s="12"/>
      <c r="AI152" s="12" t="s">
        <v>117</v>
      </c>
      <c r="AJ152" s="12"/>
      <c r="AK152" s="8">
        <v>1600064</v>
      </c>
      <c r="AL152" s="8"/>
      <c r="AM152" s="8">
        <v>123925</v>
      </c>
      <c r="AN152" s="8"/>
      <c r="AO152" s="8">
        <v>772539</v>
      </c>
      <c r="AP152" s="8"/>
      <c r="AQ152" s="8">
        <v>880203</v>
      </c>
      <c r="AR152" s="8"/>
      <c r="AS152" s="8"/>
      <c r="AT152" s="8"/>
      <c r="AU152" s="8">
        <v>0</v>
      </c>
      <c r="AV152" s="8"/>
      <c r="AW152" s="8">
        <f>SUM(G152:AV152)</f>
        <v>47198208</v>
      </c>
      <c r="AY152" s="8">
        <f>+'St of Activites - GA Rev'!AI156-'St of Activities - GA Exp'!AW152</f>
        <v>-1632401</v>
      </c>
      <c r="BA152" s="8">
        <v>-1618131</v>
      </c>
      <c r="BC152" s="8">
        <f>+AY152+BA152</f>
        <v>-3250532</v>
      </c>
      <c r="BE152" s="8">
        <f>+'St of Net Assets - GA'!AA153-'St of Activities - GA Exp'!BC152</f>
        <v>0</v>
      </c>
    </row>
    <row r="153" spans="1:57">
      <c r="A153" s="12" t="s">
        <v>247</v>
      </c>
      <c r="B153" s="12"/>
      <c r="C153" s="12" t="s">
        <v>246</v>
      </c>
      <c r="D153" s="12"/>
      <c r="E153" s="32">
        <v>46102</v>
      </c>
      <c r="G153" s="8">
        <v>35856155</v>
      </c>
      <c r="H153" s="8"/>
      <c r="I153" s="8">
        <v>7839474</v>
      </c>
      <c r="J153" s="8"/>
      <c r="K153" s="8">
        <v>362479</v>
      </c>
      <c r="L153" s="8"/>
      <c r="M153" s="8">
        <v>1489352</v>
      </c>
      <c r="N153" s="8"/>
      <c r="O153" s="8">
        <v>3876054</v>
      </c>
      <c r="P153" s="8"/>
      <c r="Q153" s="8">
        <v>5922432</v>
      </c>
      <c r="R153" s="8"/>
      <c r="S153" s="8">
        <v>17135</v>
      </c>
      <c r="T153" s="8"/>
      <c r="U153" s="8">
        <v>6012534</v>
      </c>
      <c r="V153" s="8"/>
      <c r="W153" s="8">
        <v>1412813</v>
      </c>
      <c r="X153" s="8"/>
      <c r="Y153" s="8">
        <v>327476</v>
      </c>
      <c r="Z153" s="8"/>
      <c r="AA153" s="8">
        <v>7454299</v>
      </c>
      <c r="AB153" s="8"/>
      <c r="AC153" s="8">
        <v>6959582</v>
      </c>
      <c r="AD153" s="8"/>
      <c r="AE153" s="8">
        <v>148655</v>
      </c>
      <c r="AF153" s="8"/>
      <c r="AG153" s="12" t="s">
        <v>247</v>
      </c>
      <c r="AH153" s="12"/>
      <c r="AI153" s="12" t="s">
        <v>246</v>
      </c>
      <c r="AJ153" s="12"/>
      <c r="AK153" s="8">
        <v>0</v>
      </c>
      <c r="AL153" s="8"/>
      <c r="AM153" s="8">
        <v>5352173</v>
      </c>
      <c r="AN153" s="8"/>
      <c r="AO153" s="8">
        <v>1629087</v>
      </c>
      <c r="AP153" s="8"/>
      <c r="AQ153" s="8">
        <v>1776143</v>
      </c>
      <c r="AR153" s="8"/>
      <c r="AS153" s="8"/>
      <c r="AT153" s="8"/>
      <c r="AU153" s="8">
        <v>0</v>
      </c>
      <c r="AV153" s="8"/>
      <c r="AW153" s="8">
        <f t="shared" si="8"/>
        <v>86435843</v>
      </c>
      <c r="AY153" s="8">
        <f>+'St of Activites - GA Rev'!AI157-'St of Activities - GA Exp'!AW153</f>
        <v>4790665</v>
      </c>
      <c r="BA153" s="8">
        <v>31323062</v>
      </c>
      <c r="BC153" s="8">
        <f t="shared" si="9"/>
        <v>36113727</v>
      </c>
      <c r="BE153" s="8">
        <f>+'St of Net Assets - GA'!AA154-'St of Activities - GA Exp'!BC153</f>
        <v>0</v>
      </c>
    </row>
    <row r="154" spans="1:57">
      <c r="A154" s="12" t="s">
        <v>441</v>
      </c>
      <c r="B154" s="12"/>
      <c r="C154" s="12" t="s">
        <v>440</v>
      </c>
      <c r="D154" s="12"/>
      <c r="E154" s="32">
        <v>47621</v>
      </c>
      <c r="G154" s="8">
        <v>3876594</v>
      </c>
      <c r="H154" s="8"/>
      <c r="I154" s="8">
        <v>623220</v>
      </c>
      <c r="J154" s="8"/>
      <c r="K154" s="8">
        <v>296044</v>
      </c>
      <c r="L154" s="8"/>
      <c r="M154" s="8">
        <v>22858</v>
      </c>
      <c r="N154" s="8"/>
      <c r="O154" s="8">
        <v>327878</v>
      </c>
      <c r="P154" s="8"/>
      <c r="Q154" s="8">
        <v>705265</v>
      </c>
      <c r="R154" s="8"/>
      <c r="S154" s="8">
        <v>35218</v>
      </c>
      <c r="T154" s="8"/>
      <c r="U154" s="8">
        <v>850964</v>
      </c>
      <c r="V154" s="8"/>
      <c r="W154" s="8">
        <v>336800</v>
      </c>
      <c r="X154" s="8"/>
      <c r="Y154" s="8">
        <v>43749</v>
      </c>
      <c r="Z154" s="8"/>
      <c r="AA154" s="8">
        <v>754742</v>
      </c>
      <c r="AB154" s="8"/>
      <c r="AC154" s="8">
        <v>500179</v>
      </c>
      <c r="AD154" s="8"/>
      <c r="AE154" s="8">
        <v>101540</v>
      </c>
      <c r="AF154" s="8"/>
      <c r="AG154" s="12" t="s">
        <v>441</v>
      </c>
      <c r="AH154" s="12"/>
      <c r="AI154" s="12" t="s">
        <v>440</v>
      </c>
      <c r="AJ154" s="12"/>
      <c r="AK154" s="8">
        <v>265746</v>
      </c>
      <c r="AL154" s="8"/>
      <c r="AM154" s="8">
        <v>34010</v>
      </c>
      <c r="AN154" s="8"/>
      <c r="AO154" s="8">
        <v>102923</v>
      </c>
      <c r="AP154" s="8"/>
      <c r="AQ154" s="8">
        <v>94837</v>
      </c>
      <c r="AR154" s="8"/>
      <c r="AS154" s="8"/>
      <c r="AT154" s="8"/>
      <c r="AU154" s="8">
        <v>0</v>
      </c>
      <c r="AV154" s="8"/>
      <c r="AW154" s="8">
        <f t="shared" si="8"/>
        <v>8972567</v>
      </c>
      <c r="AY154" s="8">
        <f>+'St of Activites - GA Rev'!AI158-'St of Activities - GA Exp'!AW154</f>
        <v>-1059100</v>
      </c>
      <c r="BA154" s="8">
        <v>14939642</v>
      </c>
      <c r="BC154" s="8">
        <f t="shared" si="9"/>
        <v>13880542</v>
      </c>
      <c r="BE154" s="8">
        <f>+'St of Net Assets - GA'!AA155-'St of Activities - GA Exp'!BC154</f>
        <v>0</v>
      </c>
    </row>
    <row r="155" spans="1:57">
      <c r="A155" s="12" t="s">
        <v>350</v>
      </c>
      <c r="B155" s="12"/>
      <c r="C155" s="12" t="s">
        <v>25</v>
      </c>
      <c r="D155" s="12"/>
      <c r="E155" s="32">
        <v>46870</v>
      </c>
      <c r="G155" s="8">
        <v>7908493</v>
      </c>
      <c r="H155" s="8"/>
      <c r="I155" s="8">
        <v>1782335</v>
      </c>
      <c r="J155" s="8"/>
      <c r="K155" s="8">
        <v>330978</v>
      </c>
      <c r="L155" s="8"/>
      <c r="M155" s="8">
        <v>363197</v>
      </c>
      <c r="N155" s="8"/>
      <c r="O155" s="8">
        <v>844480</v>
      </c>
      <c r="P155" s="8"/>
      <c r="Q155" s="8">
        <v>699908</v>
      </c>
      <c r="R155" s="8"/>
      <c r="S155" s="8">
        <v>34135</v>
      </c>
      <c r="T155" s="8"/>
      <c r="U155" s="8">
        <v>1430962</v>
      </c>
      <c r="V155" s="8"/>
      <c r="W155" s="8">
        <v>465836</v>
      </c>
      <c r="X155" s="8"/>
      <c r="Y155" s="8">
        <v>0</v>
      </c>
      <c r="Z155" s="8"/>
      <c r="AA155" s="8">
        <v>1168947</v>
      </c>
      <c r="AB155" s="8"/>
      <c r="AC155" s="8">
        <v>1550305</v>
      </c>
      <c r="AD155" s="8"/>
      <c r="AE155" s="8">
        <v>145896</v>
      </c>
      <c r="AF155" s="8"/>
      <c r="AG155" s="12" t="s">
        <v>350</v>
      </c>
      <c r="AH155" s="12"/>
      <c r="AI155" s="12" t="s">
        <v>25</v>
      </c>
      <c r="AJ155" s="12"/>
      <c r="AK155" s="8">
        <v>729623</v>
      </c>
      <c r="AL155" s="8"/>
      <c r="AM155" s="8">
        <v>13061</v>
      </c>
      <c r="AN155" s="8"/>
      <c r="AO155" s="8">
        <v>644745</v>
      </c>
      <c r="AP155" s="8"/>
      <c r="AQ155" s="8">
        <v>1366155</v>
      </c>
      <c r="AR155" s="8"/>
      <c r="AS155" s="8"/>
      <c r="AT155" s="8"/>
      <c r="AU155" s="8">
        <v>0</v>
      </c>
      <c r="AV155" s="8"/>
      <c r="AW155" s="8">
        <f t="shared" si="8"/>
        <v>19479056</v>
      </c>
      <c r="AY155" s="8">
        <f>+'St of Activites - GA Rev'!AI159-'St of Activities - GA Exp'!AW155</f>
        <v>19985474</v>
      </c>
      <c r="BA155" s="8">
        <v>10740708</v>
      </c>
      <c r="BC155" s="8">
        <f t="shared" si="9"/>
        <v>30726182</v>
      </c>
      <c r="BE155" s="8">
        <f>+'St of Net Assets - GA'!AA156-'St of Activities - GA Exp'!BC155</f>
        <v>0</v>
      </c>
    </row>
    <row r="156" spans="1:57">
      <c r="A156" s="12" t="s">
        <v>473</v>
      </c>
      <c r="B156" s="12"/>
      <c r="C156" s="12" t="s">
        <v>471</v>
      </c>
      <c r="D156" s="12"/>
      <c r="E156" s="32">
        <v>47936</v>
      </c>
      <c r="G156" s="8">
        <v>8541443</v>
      </c>
      <c r="H156" s="8"/>
      <c r="I156" s="8">
        <v>1623877</v>
      </c>
      <c r="J156" s="8"/>
      <c r="K156" s="8">
        <v>58501</v>
      </c>
      <c r="L156" s="8"/>
      <c r="M156" s="8">
        <v>16065</v>
      </c>
      <c r="N156" s="8"/>
      <c r="O156" s="8">
        <v>438759</v>
      </c>
      <c r="P156" s="8"/>
      <c r="Q156" s="8">
        <v>936906</v>
      </c>
      <c r="R156" s="8"/>
      <c r="S156" s="8">
        <v>141238</v>
      </c>
      <c r="T156" s="8"/>
      <c r="U156" s="8">
        <v>1122334</v>
      </c>
      <c r="V156" s="8"/>
      <c r="W156" s="8">
        <v>358064</v>
      </c>
      <c r="X156" s="8"/>
      <c r="Y156" s="8">
        <v>8790</v>
      </c>
      <c r="Z156" s="8"/>
      <c r="AA156" s="8">
        <v>2064972</v>
      </c>
      <c r="AB156" s="8"/>
      <c r="AC156" s="8">
        <v>796307</v>
      </c>
      <c r="AD156" s="8"/>
      <c r="AE156" s="8">
        <v>17447</v>
      </c>
      <c r="AF156" s="8"/>
      <c r="AG156" s="12" t="s">
        <v>473</v>
      </c>
      <c r="AH156" s="12"/>
      <c r="AI156" s="12" t="s">
        <v>471</v>
      </c>
      <c r="AJ156" s="12"/>
      <c r="AK156" s="8">
        <v>692959</v>
      </c>
      <c r="AL156" s="8"/>
      <c r="AM156" s="8">
        <v>0</v>
      </c>
      <c r="AN156" s="8"/>
      <c r="AO156" s="8">
        <v>359827</v>
      </c>
      <c r="AP156" s="8"/>
      <c r="AQ156" s="8">
        <v>152624</v>
      </c>
      <c r="AR156" s="8"/>
      <c r="AS156" s="8"/>
      <c r="AT156" s="8"/>
      <c r="AU156" s="8">
        <v>5095</v>
      </c>
      <c r="AV156" s="8"/>
      <c r="AW156" s="8">
        <f t="shared" si="8"/>
        <v>17335208</v>
      </c>
      <c r="AY156" s="8">
        <f>+'St of Activites - GA Rev'!AI160-'St of Activities - GA Exp'!AW156</f>
        <v>-742204</v>
      </c>
      <c r="BA156" s="8">
        <v>36547935</v>
      </c>
      <c r="BC156" s="8">
        <f t="shared" si="9"/>
        <v>35805731</v>
      </c>
      <c r="BE156" s="8">
        <f>+'St of Net Assets - GA'!AA157-'St of Activities - GA Exp'!BC156</f>
        <v>0</v>
      </c>
    </row>
    <row r="157" spans="1:57" ht="12" hidden="1" customHeight="1">
      <c r="A157" s="12" t="s">
        <v>648</v>
      </c>
      <c r="B157" s="12"/>
      <c r="C157" s="12" t="s">
        <v>61</v>
      </c>
      <c r="D157" s="12"/>
      <c r="E157" s="32">
        <v>49775</v>
      </c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12" t="s">
        <v>648</v>
      </c>
      <c r="AH157" s="12"/>
      <c r="AI157" s="12" t="s">
        <v>61</v>
      </c>
      <c r="AJ157" s="12"/>
      <c r="AK157" s="8">
        <v>0</v>
      </c>
      <c r="AL157" s="8"/>
      <c r="AM157" s="8">
        <v>0</v>
      </c>
      <c r="AN157" s="8"/>
      <c r="AO157" s="8">
        <v>0</v>
      </c>
      <c r="AP157" s="8"/>
      <c r="AQ157" s="8">
        <v>0</v>
      </c>
      <c r="AR157" s="8"/>
      <c r="AS157" s="8"/>
      <c r="AT157" s="8"/>
      <c r="AU157" s="8">
        <v>0</v>
      </c>
      <c r="AV157" s="8"/>
      <c r="AW157" s="8">
        <f t="shared" si="8"/>
        <v>0</v>
      </c>
      <c r="AY157" s="8">
        <f>+'St of Activites - GA Rev'!AI161-'St of Activities - GA Exp'!AW157</f>
        <v>0</v>
      </c>
      <c r="BC157" s="8">
        <f t="shared" si="9"/>
        <v>0</v>
      </c>
      <c r="BE157" s="8">
        <f>+'St of Net Assets - GA'!AA158-'St of Activities - GA Exp'!BC157</f>
        <v>0</v>
      </c>
    </row>
    <row r="158" spans="1:57">
      <c r="A158" s="12" t="s">
        <v>656</v>
      </c>
      <c r="B158" s="12"/>
      <c r="C158" s="12" t="s">
        <v>62</v>
      </c>
      <c r="D158" s="12"/>
      <c r="E158" s="32">
        <v>49841</v>
      </c>
      <c r="G158" s="8">
        <v>9320159</v>
      </c>
      <c r="H158" s="8"/>
      <c r="I158" s="8">
        <v>2211867</v>
      </c>
      <c r="J158" s="8"/>
      <c r="K158" s="8">
        <v>161030</v>
      </c>
      <c r="L158" s="8"/>
      <c r="M158" s="8">
        <v>437738</v>
      </c>
      <c r="N158" s="8"/>
      <c r="O158" s="8">
        <v>1151736</v>
      </c>
      <c r="P158" s="8"/>
      <c r="Q158" s="8">
        <v>693965</v>
      </c>
      <c r="R158" s="8"/>
      <c r="S158" s="8">
        <v>39403</v>
      </c>
      <c r="T158" s="8"/>
      <c r="U158" s="8">
        <v>1611823</v>
      </c>
      <c r="V158" s="8"/>
      <c r="W158" s="8">
        <v>462678</v>
      </c>
      <c r="X158" s="8"/>
      <c r="Y158" s="8">
        <v>0</v>
      </c>
      <c r="Z158" s="8"/>
      <c r="AA158" s="8">
        <v>1446552</v>
      </c>
      <c r="AB158" s="8"/>
      <c r="AC158" s="8">
        <v>1161565</v>
      </c>
      <c r="AD158" s="8"/>
      <c r="AE158" s="8">
        <v>24197</v>
      </c>
      <c r="AF158" s="8"/>
      <c r="AG158" s="12" t="s">
        <v>656</v>
      </c>
      <c r="AH158" s="12"/>
      <c r="AI158" s="12" t="s">
        <v>62</v>
      </c>
      <c r="AJ158" s="12"/>
      <c r="AK158" s="8">
        <v>805380</v>
      </c>
      <c r="AL158" s="8"/>
      <c r="AM158" s="8">
        <v>82044</v>
      </c>
      <c r="AN158" s="8"/>
      <c r="AO158" s="8">
        <v>200539</v>
      </c>
      <c r="AP158" s="8"/>
      <c r="AQ158" s="8">
        <v>612538</v>
      </c>
      <c r="AR158" s="8"/>
      <c r="AS158" s="8"/>
      <c r="AT158" s="8"/>
      <c r="AU158" s="8">
        <v>56563</v>
      </c>
      <c r="AV158" s="8"/>
      <c r="AW158" s="8">
        <f t="shared" si="8"/>
        <v>20479777</v>
      </c>
      <c r="AY158" s="8">
        <f>+'St of Activites - GA Rev'!AI162-'St of Activities - GA Exp'!AW158</f>
        <v>-2952082</v>
      </c>
      <c r="BA158" s="8">
        <v>19117010</v>
      </c>
      <c r="BC158" s="8">
        <f t="shared" si="9"/>
        <v>16164928</v>
      </c>
      <c r="BE158" s="8">
        <f>+'St of Net Assets - GA'!AA159-'St of Activities - GA Exp'!BC158</f>
        <v>0</v>
      </c>
    </row>
    <row r="159" spans="1:57" ht="12" hidden="1" customHeight="1">
      <c r="A159" s="12" t="s">
        <v>463</v>
      </c>
      <c r="B159" s="12"/>
      <c r="C159" s="12" t="s">
        <v>41</v>
      </c>
      <c r="D159" s="12"/>
      <c r="E159" s="32">
        <v>45369</v>
      </c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12" t="s">
        <v>463</v>
      </c>
      <c r="AH159" s="12"/>
      <c r="AI159" s="12" t="s">
        <v>41</v>
      </c>
      <c r="AJ159" s="12"/>
      <c r="AK159" s="8">
        <v>0</v>
      </c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>
        <f t="shared" si="8"/>
        <v>0</v>
      </c>
      <c r="AY159" s="8">
        <f>+'St of Activites - GA Rev'!AI163-'St of Activities - GA Exp'!AW159</f>
        <v>0</v>
      </c>
      <c r="BC159" s="8">
        <f t="shared" si="9"/>
        <v>0</v>
      </c>
      <c r="BE159" s="8">
        <f>+'St of Net Assets - GA'!AA160-'St of Activities - GA Exp'!BC159</f>
        <v>0</v>
      </c>
    </row>
    <row r="160" spans="1:57">
      <c r="A160" s="12" t="s">
        <v>311</v>
      </c>
      <c r="B160" s="12"/>
      <c r="C160" s="12" t="s">
        <v>20</v>
      </c>
      <c r="D160" s="12"/>
      <c r="E160" s="32">
        <v>43976</v>
      </c>
      <c r="G160" s="8">
        <v>8225891</v>
      </c>
      <c r="H160" s="8"/>
      <c r="I160" s="8">
        <v>2809497</v>
      </c>
      <c r="J160" s="8"/>
      <c r="K160" s="8">
        <v>5070</v>
      </c>
      <c r="L160" s="8"/>
      <c r="M160" s="8">
        <v>31041</v>
      </c>
      <c r="N160" s="8"/>
      <c r="O160" s="8">
        <v>1119068</v>
      </c>
      <c r="P160" s="8"/>
      <c r="Q160" s="8">
        <v>1280478</v>
      </c>
      <c r="R160" s="8"/>
      <c r="S160" s="8">
        <v>21868</v>
      </c>
      <c r="T160" s="8"/>
      <c r="U160" s="8">
        <v>1157334</v>
      </c>
      <c r="V160" s="8"/>
      <c r="W160" s="8">
        <v>682164</v>
      </c>
      <c r="X160" s="8"/>
      <c r="Y160" s="8">
        <v>57978</v>
      </c>
      <c r="Z160" s="8"/>
      <c r="AA160" s="8">
        <v>1809402</v>
      </c>
      <c r="AB160" s="8"/>
      <c r="AC160" s="8">
        <v>1157530</v>
      </c>
      <c r="AD160" s="8"/>
      <c r="AE160" s="8">
        <v>228198</v>
      </c>
      <c r="AF160" s="8"/>
      <c r="AG160" s="12" t="s">
        <v>311</v>
      </c>
      <c r="AH160" s="12"/>
      <c r="AI160" s="12" t="s">
        <v>20</v>
      </c>
      <c r="AJ160" s="12"/>
      <c r="AK160" s="8">
        <v>0</v>
      </c>
      <c r="AL160" s="8"/>
      <c r="AM160" s="8">
        <v>469812</v>
      </c>
      <c r="AN160" s="8"/>
      <c r="AO160" s="8">
        <v>386666</v>
      </c>
      <c r="AP160" s="8"/>
      <c r="AQ160" s="8">
        <v>1679026</v>
      </c>
      <c r="AR160" s="8"/>
      <c r="AS160" s="8"/>
      <c r="AT160" s="8"/>
      <c r="AU160" s="8">
        <v>0</v>
      </c>
      <c r="AV160" s="8"/>
      <c r="AW160" s="8">
        <f t="shared" si="8"/>
        <v>21121023</v>
      </c>
      <c r="AY160" s="8">
        <f>+'St of Activites - GA Rev'!AI164-'St of Activities - GA Exp'!AW160</f>
        <v>4605489</v>
      </c>
      <c r="BA160" s="8">
        <v>12603425</v>
      </c>
      <c r="BC160" s="8">
        <f t="shared" si="9"/>
        <v>17208914</v>
      </c>
      <c r="BE160" s="8">
        <f>+'St of Net Assets - GA'!AA161-'St of Activities - GA Exp'!BC160</f>
        <v>0</v>
      </c>
    </row>
    <row r="161" spans="1:57">
      <c r="A161" s="12"/>
      <c r="B161" s="12"/>
      <c r="C161" s="12"/>
      <c r="D161" s="12"/>
      <c r="E161" s="32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12"/>
      <c r="AH161" s="12"/>
      <c r="AI161" s="12"/>
      <c r="AJ161" s="12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</row>
    <row r="162" spans="1:57">
      <c r="A162" s="12"/>
      <c r="B162" s="12"/>
      <c r="C162" s="12"/>
      <c r="D162" s="12"/>
      <c r="E162" s="32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 t="s">
        <v>819</v>
      </c>
      <c r="AF162" s="8"/>
      <c r="AG162" s="12"/>
      <c r="AH162" s="12"/>
      <c r="AI162" s="12"/>
      <c r="AJ162" s="12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BC162" s="8" t="s">
        <v>819</v>
      </c>
    </row>
    <row r="163" spans="1:57" s="35" customFormat="1">
      <c r="A163" s="34" t="s">
        <v>241</v>
      </c>
      <c r="B163" s="34"/>
      <c r="C163" s="34" t="s">
        <v>77</v>
      </c>
      <c r="D163" s="34"/>
      <c r="E163" s="34">
        <v>46045</v>
      </c>
      <c r="G163" s="35">
        <v>3666416</v>
      </c>
      <c r="I163" s="35">
        <v>943714</v>
      </c>
      <c r="K163" s="35">
        <v>180096</v>
      </c>
      <c r="M163" s="35">
        <v>30839</v>
      </c>
      <c r="O163" s="35">
        <v>372451</v>
      </c>
      <c r="Q163" s="35">
        <v>810005</v>
      </c>
      <c r="S163" s="35">
        <v>58918</v>
      </c>
      <c r="U163" s="35">
        <v>824114</v>
      </c>
      <c r="W163" s="35">
        <v>309528</v>
      </c>
      <c r="Y163" s="35">
        <v>0</v>
      </c>
      <c r="AA163" s="35">
        <v>914118</v>
      </c>
      <c r="AC163" s="35">
        <v>670204</v>
      </c>
      <c r="AE163" s="35">
        <v>7189</v>
      </c>
      <c r="AG163" s="34" t="s">
        <v>241</v>
      </c>
      <c r="AH163" s="34"/>
      <c r="AI163" s="34" t="s">
        <v>77</v>
      </c>
      <c r="AJ163" s="34"/>
      <c r="AK163" s="35">
        <v>56468</v>
      </c>
      <c r="AM163" s="35">
        <v>460311</v>
      </c>
      <c r="AO163" s="35">
        <v>203644</v>
      </c>
      <c r="AQ163" s="35">
        <v>379660</v>
      </c>
      <c r="AU163" s="35">
        <v>0</v>
      </c>
      <c r="AW163" s="35">
        <f t="shared" si="8"/>
        <v>9887675</v>
      </c>
      <c r="AY163" s="35">
        <f>+'St of Activites - GA Rev'!AI167-'St of Activities - GA Exp'!AW163</f>
        <v>-187015</v>
      </c>
      <c r="BA163" s="35">
        <v>28323509</v>
      </c>
      <c r="BC163" s="35">
        <f t="shared" si="9"/>
        <v>28136494</v>
      </c>
      <c r="BE163" s="35">
        <f>+'St of Net Assets - GA'!AA162-'St of Activities - GA Exp'!BC163</f>
        <v>0</v>
      </c>
    </row>
    <row r="164" spans="1:57">
      <c r="A164" s="12" t="s">
        <v>272</v>
      </c>
      <c r="B164" s="12"/>
      <c r="C164" s="12" t="s">
        <v>116</v>
      </c>
      <c r="D164" s="12"/>
      <c r="E164" s="32">
        <v>46334</v>
      </c>
      <c r="G164" s="8">
        <v>5807373</v>
      </c>
      <c r="H164" s="8"/>
      <c r="I164" s="8">
        <v>718557</v>
      </c>
      <c r="J164" s="8"/>
      <c r="K164" s="8">
        <v>0</v>
      </c>
      <c r="L164" s="8"/>
      <c r="M164" s="8">
        <v>1179613</v>
      </c>
      <c r="N164" s="8"/>
      <c r="O164" s="8">
        <v>686534</v>
      </c>
      <c r="P164" s="8"/>
      <c r="Q164" s="8">
        <v>436030</v>
      </c>
      <c r="R164" s="8"/>
      <c r="S164" s="8">
        <v>14657</v>
      </c>
      <c r="T164" s="8"/>
      <c r="U164" s="8">
        <v>813395</v>
      </c>
      <c r="V164" s="8"/>
      <c r="W164" s="8">
        <v>368370</v>
      </c>
      <c r="X164" s="8"/>
      <c r="Y164" s="8">
        <v>0</v>
      </c>
      <c r="Z164" s="8"/>
      <c r="AA164" s="8">
        <v>1179755</v>
      </c>
      <c r="AB164" s="8"/>
      <c r="AC164" s="8">
        <v>683436</v>
      </c>
      <c r="AD164" s="8"/>
      <c r="AE164" s="8">
        <v>50746</v>
      </c>
      <c r="AF164" s="8"/>
      <c r="AG164" s="12" t="s">
        <v>272</v>
      </c>
      <c r="AH164" s="12"/>
      <c r="AI164" s="12" t="s">
        <v>116</v>
      </c>
      <c r="AJ164" s="12"/>
      <c r="AK164" s="8">
        <v>562442</v>
      </c>
      <c r="AL164" s="8"/>
      <c r="AM164" s="8">
        <v>0</v>
      </c>
      <c r="AN164" s="8"/>
      <c r="AO164" s="8">
        <v>209816</v>
      </c>
      <c r="AP164" s="8"/>
      <c r="AQ164" s="8">
        <v>145520</v>
      </c>
      <c r="AR164" s="8"/>
      <c r="AS164" s="8"/>
      <c r="AT164" s="8"/>
      <c r="AU164" s="8">
        <v>0</v>
      </c>
      <c r="AV164" s="8"/>
      <c r="AW164" s="8">
        <f t="shared" si="8"/>
        <v>12856244</v>
      </c>
      <c r="AY164" s="8">
        <f>+'St of Activites - GA Rev'!AI168-'St of Activities - GA Exp'!AW164</f>
        <v>-1566263</v>
      </c>
      <c r="BA164" s="8">
        <v>20680237</v>
      </c>
      <c r="BC164" s="8">
        <f t="shared" si="9"/>
        <v>19113974</v>
      </c>
      <c r="BE164" s="8">
        <f>+'St of Net Assets - GA'!AA163-'St of Activities - GA Exp'!BC164</f>
        <v>0</v>
      </c>
    </row>
    <row r="165" spans="1:57">
      <c r="A165" s="12" t="s">
        <v>597</v>
      </c>
      <c r="B165" s="12"/>
      <c r="C165" s="12" t="s">
        <v>56</v>
      </c>
      <c r="D165" s="12"/>
      <c r="E165" s="32">
        <v>49197</v>
      </c>
      <c r="G165" s="8">
        <v>9535586</v>
      </c>
      <c r="H165" s="8"/>
      <c r="I165" s="8">
        <v>1973613</v>
      </c>
      <c r="J165" s="8"/>
      <c r="K165" s="8">
        <v>157230</v>
      </c>
      <c r="L165" s="8"/>
      <c r="M165" s="8">
        <f>16872+112945</f>
        <v>129817</v>
      </c>
      <c r="N165" s="8"/>
      <c r="O165" s="8">
        <v>933452</v>
      </c>
      <c r="P165" s="8"/>
      <c r="Q165" s="8">
        <v>780744</v>
      </c>
      <c r="R165" s="8"/>
      <c r="S165" s="8">
        <v>20757</v>
      </c>
      <c r="T165" s="8"/>
      <c r="U165" s="8">
        <v>1991266</v>
      </c>
      <c r="V165" s="8"/>
      <c r="W165" s="8">
        <v>522959</v>
      </c>
      <c r="X165" s="8"/>
      <c r="Y165" s="8">
        <v>42314</v>
      </c>
      <c r="Z165" s="8"/>
      <c r="AA165" s="8">
        <v>1840642</v>
      </c>
      <c r="AB165" s="8"/>
      <c r="AC165" s="8">
        <v>1191125</v>
      </c>
      <c r="AD165" s="8"/>
      <c r="AE165" s="8">
        <v>42788</v>
      </c>
      <c r="AF165" s="8"/>
      <c r="AG165" s="12" t="s">
        <v>597</v>
      </c>
      <c r="AH165" s="12"/>
      <c r="AI165" s="12" t="s">
        <v>56</v>
      </c>
      <c r="AJ165" s="12"/>
      <c r="AK165" s="8">
        <v>0</v>
      </c>
      <c r="AL165" s="8"/>
      <c r="AM165" s="8">
        <v>46696</v>
      </c>
      <c r="AN165" s="8"/>
      <c r="AO165" s="8">
        <v>389505</v>
      </c>
      <c r="AP165" s="8"/>
      <c r="AQ165" s="8">
        <v>1213231</v>
      </c>
      <c r="AR165" s="8"/>
      <c r="AS165" s="8"/>
      <c r="AT165" s="8"/>
      <c r="AU165" s="8">
        <v>0</v>
      </c>
      <c r="AV165" s="8"/>
      <c r="AW165" s="8">
        <f t="shared" si="8"/>
        <v>20811725</v>
      </c>
      <c r="AY165" s="8">
        <f>+'St of Activites - GA Rev'!AI169-'St of Activities - GA Exp'!AW165</f>
        <v>721001</v>
      </c>
      <c r="BA165" s="8">
        <v>3516718</v>
      </c>
      <c r="BC165" s="8">
        <f t="shared" si="9"/>
        <v>4237719</v>
      </c>
      <c r="BE165" s="8">
        <f>+'St of Net Assets - GA'!AA164-'St of Activities - GA Exp'!BC165</f>
        <v>0</v>
      </c>
    </row>
    <row r="166" spans="1:57">
      <c r="A166" s="12" t="s">
        <v>421</v>
      </c>
      <c r="B166" s="12"/>
      <c r="C166" s="12" t="s">
        <v>33</v>
      </c>
      <c r="D166" s="12"/>
      <c r="E166" s="32">
        <v>43984</v>
      </c>
      <c r="G166" s="8">
        <v>26710255</v>
      </c>
      <c r="H166" s="8"/>
      <c r="I166" s="8">
        <v>7233830</v>
      </c>
      <c r="J166" s="8"/>
      <c r="K166" s="8">
        <v>2931212</v>
      </c>
      <c r="L166" s="8"/>
      <c r="M166" s="8">
        <v>2222197</v>
      </c>
      <c r="N166" s="8"/>
      <c r="O166" s="8">
        <v>2790350</v>
      </c>
      <c r="P166" s="8"/>
      <c r="Q166" s="8">
        <v>3902327</v>
      </c>
      <c r="R166" s="8"/>
      <c r="S166" s="8">
        <v>170763</v>
      </c>
      <c r="T166" s="8"/>
      <c r="U166" s="8">
        <v>3811641</v>
      </c>
      <c r="V166" s="8"/>
      <c r="W166" s="8">
        <v>1475368</v>
      </c>
      <c r="X166" s="8"/>
      <c r="Y166" s="8">
        <v>0</v>
      </c>
      <c r="Z166" s="8"/>
      <c r="AA166" s="8">
        <v>5319907</v>
      </c>
      <c r="AB166" s="8"/>
      <c r="AC166" s="8">
        <v>2117708</v>
      </c>
      <c r="AD166" s="8"/>
      <c r="AE166" s="8">
        <v>167879</v>
      </c>
      <c r="AF166" s="8"/>
      <c r="AG166" s="12" t="s">
        <v>421</v>
      </c>
      <c r="AH166" s="12"/>
      <c r="AI166" s="12" t="s">
        <v>33</v>
      </c>
      <c r="AJ166" s="12"/>
      <c r="AK166" s="8">
        <v>1863044</v>
      </c>
      <c r="AL166" s="8"/>
      <c r="AM166" s="8">
        <v>481947</v>
      </c>
      <c r="AN166" s="8"/>
      <c r="AO166" s="8">
        <v>1340287</v>
      </c>
      <c r="AP166" s="8"/>
      <c r="AQ166" s="8">
        <v>121236</v>
      </c>
      <c r="AR166" s="8"/>
      <c r="AS166" s="8"/>
      <c r="AT166" s="8"/>
      <c r="AU166" s="8">
        <v>0</v>
      </c>
      <c r="AV166" s="8"/>
      <c r="AW166" s="8">
        <f t="shared" si="8"/>
        <v>62659951</v>
      </c>
      <c r="AY166" s="8">
        <f>+'St of Activites - GA Rev'!AI170-'St of Activities - GA Exp'!AW166</f>
        <v>4652671</v>
      </c>
      <c r="BA166" s="8">
        <v>15601673</v>
      </c>
      <c r="BC166" s="8">
        <f t="shared" si="9"/>
        <v>20254344</v>
      </c>
      <c r="BE166" s="8">
        <f>+'St of Net Assets - GA'!AA165-'St of Activities - GA Exp'!BC166</f>
        <v>0</v>
      </c>
    </row>
    <row r="167" spans="1:57">
      <c r="A167" s="12" t="s">
        <v>398</v>
      </c>
      <c r="B167" s="12"/>
      <c r="C167" s="12" t="s">
        <v>32</v>
      </c>
      <c r="D167" s="12"/>
      <c r="E167" s="32">
        <v>47332</v>
      </c>
      <c r="G167" s="8">
        <v>8932465</v>
      </c>
      <c r="H167" s="8"/>
      <c r="I167" s="8">
        <v>2229145</v>
      </c>
      <c r="J167" s="8"/>
      <c r="K167" s="8">
        <v>116185</v>
      </c>
      <c r="L167" s="8"/>
      <c r="M167" s="8">
        <v>712753</v>
      </c>
      <c r="N167" s="8"/>
      <c r="O167" s="8">
        <v>1420228</v>
      </c>
      <c r="P167" s="8"/>
      <c r="Q167" s="8">
        <v>1509907</v>
      </c>
      <c r="R167" s="8"/>
      <c r="S167" s="8">
        <v>0</v>
      </c>
      <c r="T167" s="8"/>
      <c r="U167" s="8">
        <f>29001+1436091</f>
        <v>1465092</v>
      </c>
      <c r="V167" s="8"/>
      <c r="W167" s="8">
        <v>448926</v>
      </c>
      <c r="X167" s="8"/>
      <c r="Y167" s="8">
        <v>434066</v>
      </c>
      <c r="Z167" s="8"/>
      <c r="AA167" s="8">
        <v>1784787</v>
      </c>
      <c r="AB167" s="8"/>
      <c r="AC167" s="8">
        <v>638858</v>
      </c>
      <c r="AD167" s="8"/>
      <c r="AE167" s="8">
        <v>245168</v>
      </c>
      <c r="AF167" s="8"/>
      <c r="AG167" s="12" t="s">
        <v>398</v>
      </c>
      <c r="AH167" s="12"/>
      <c r="AI167" s="12" t="s">
        <v>32</v>
      </c>
      <c r="AJ167" s="12"/>
      <c r="AK167" s="8">
        <v>0</v>
      </c>
      <c r="AL167" s="8"/>
      <c r="AM167" s="8">
        <v>2174398</v>
      </c>
      <c r="AN167" s="8"/>
      <c r="AO167" s="8">
        <v>663208</v>
      </c>
      <c r="AP167" s="8"/>
      <c r="AQ167" s="8">
        <v>403210</v>
      </c>
      <c r="AR167" s="8"/>
      <c r="AS167" s="8"/>
      <c r="AT167" s="8"/>
      <c r="AU167" s="8">
        <v>0</v>
      </c>
      <c r="AV167" s="8"/>
      <c r="AW167" s="8">
        <f t="shared" si="8"/>
        <v>23178396</v>
      </c>
      <c r="AY167" s="8">
        <f>+'St of Activites - GA Rev'!AI171-'St of Activities - GA Exp'!AW167</f>
        <v>-1311808</v>
      </c>
      <c r="BA167" s="8">
        <v>6636511</v>
      </c>
      <c r="BC167" s="8">
        <f t="shared" si="9"/>
        <v>5324703</v>
      </c>
      <c r="BE167" s="8">
        <f>+'St of Net Assets - GA'!AA166-'St of Activities - GA Exp'!BC167</f>
        <v>0</v>
      </c>
    </row>
    <row r="168" spans="1:57">
      <c r="A168" s="12" t="s">
        <v>494</v>
      </c>
      <c r="B168" s="12"/>
      <c r="C168" s="12" t="s">
        <v>44</v>
      </c>
      <c r="D168" s="12"/>
      <c r="E168" s="32">
        <v>48157</v>
      </c>
      <c r="G168" s="8">
        <v>7972079</v>
      </c>
      <c r="H168" s="8"/>
      <c r="I168" s="8">
        <v>2103104</v>
      </c>
      <c r="J168" s="8"/>
      <c r="K168" s="8">
        <v>282215</v>
      </c>
      <c r="L168" s="8"/>
      <c r="M168" s="8">
        <v>1125025</v>
      </c>
      <c r="N168" s="8"/>
      <c r="O168" s="8">
        <v>1221298</v>
      </c>
      <c r="P168" s="8"/>
      <c r="Q168" s="8">
        <v>408697</v>
      </c>
      <c r="R168" s="8"/>
      <c r="S168" s="8">
        <v>28077</v>
      </c>
      <c r="T168" s="8"/>
      <c r="U168" s="8">
        <v>1488360</v>
      </c>
      <c r="V168" s="8"/>
      <c r="W168" s="8">
        <v>382707</v>
      </c>
      <c r="X168" s="8"/>
      <c r="Y168" s="8">
        <v>0</v>
      </c>
      <c r="Z168" s="8"/>
      <c r="AA168" s="8">
        <v>1381541</v>
      </c>
      <c r="AB168" s="8"/>
      <c r="AC168" s="8">
        <v>1285161</v>
      </c>
      <c r="AD168" s="8"/>
      <c r="AE168" s="8">
        <v>371365</v>
      </c>
      <c r="AF168" s="8"/>
      <c r="AG168" s="12" t="s">
        <v>494</v>
      </c>
      <c r="AH168" s="12"/>
      <c r="AI168" s="12" t="s">
        <v>44</v>
      </c>
      <c r="AJ168" s="12"/>
      <c r="AK168" s="8">
        <v>628750</v>
      </c>
      <c r="AL168" s="8"/>
      <c r="AM168" s="8">
        <v>22772</v>
      </c>
      <c r="AN168" s="8"/>
      <c r="AO168" s="8">
        <v>519336</v>
      </c>
      <c r="AP168" s="8"/>
      <c r="AQ168" s="8">
        <v>1245</v>
      </c>
      <c r="AR168" s="8"/>
      <c r="AS168" s="8"/>
      <c r="AT168" s="8"/>
      <c r="AU168" s="8">
        <v>0</v>
      </c>
      <c r="AV168" s="8"/>
      <c r="AW168" s="8">
        <f t="shared" si="8"/>
        <v>19221732</v>
      </c>
      <c r="AY168" s="8">
        <f>+'St of Activites - GA Rev'!AI172-'St of Activities - GA Exp'!AW168</f>
        <v>-1284032</v>
      </c>
      <c r="BA168" s="8">
        <v>8762177</v>
      </c>
      <c r="BC168" s="8">
        <f t="shared" si="9"/>
        <v>7478145</v>
      </c>
      <c r="BE168" s="8">
        <f>+'St of Net Assets - GA'!AA167-'St of Activities - GA Exp'!BC168</f>
        <v>0</v>
      </c>
    </row>
    <row r="169" spans="1:57">
      <c r="A169" s="12" t="s">
        <v>399</v>
      </c>
      <c r="B169" s="12"/>
      <c r="C169" s="12" t="s">
        <v>32</v>
      </c>
      <c r="D169" s="12"/>
      <c r="E169" s="32">
        <v>47340</v>
      </c>
      <c r="G169" s="8">
        <v>35305913</v>
      </c>
      <c r="H169" s="8"/>
      <c r="I169" s="8">
        <v>8557588</v>
      </c>
      <c r="J169" s="8"/>
      <c r="K169" s="8">
        <v>0</v>
      </c>
      <c r="L169" s="8"/>
      <c r="M169" s="8">
        <v>1263766</v>
      </c>
      <c r="N169" s="8"/>
      <c r="O169" s="8">
        <v>3389406</v>
      </c>
      <c r="P169" s="8"/>
      <c r="Q169" s="8">
        <v>7042523</v>
      </c>
      <c r="R169" s="8"/>
      <c r="S169" s="8">
        <v>45353</v>
      </c>
      <c r="T169" s="8"/>
      <c r="U169" s="8">
        <v>5235361</v>
      </c>
      <c r="V169" s="8"/>
      <c r="W169" s="8">
        <v>1227981</v>
      </c>
      <c r="X169" s="8"/>
      <c r="Y169" s="8">
        <v>182242</v>
      </c>
      <c r="Z169" s="8"/>
      <c r="AA169" s="8">
        <v>6686454</v>
      </c>
      <c r="AB169" s="8"/>
      <c r="AC169" s="8">
        <v>4054361</v>
      </c>
      <c r="AD169" s="8"/>
      <c r="AE169" s="8">
        <v>519800</v>
      </c>
      <c r="AF169" s="8"/>
      <c r="AG169" s="12" t="s">
        <v>399</v>
      </c>
      <c r="AH169" s="12"/>
      <c r="AI169" s="12" t="s">
        <v>32</v>
      </c>
      <c r="AJ169" s="12"/>
      <c r="AK169" s="8">
        <v>1936160</v>
      </c>
      <c r="AL169" s="8"/>
      <c r="AM169" s="8">
        <v>858569</v>
      </c>
      <c r="AN169" s="8"/>
      <c r="AO169" s="8">
        <v>2173280</v>
      </c>
      <c r="AP169" s="8"/>
      <c r="AQ169" s="8">
        <v>743644</v>
      </c>
      <c r="AR169" s="8"/>
      <c r="AS169" s="8"/>
      <c r="AT169" s="8"/>
      <c r="AU169" s="8">
        <v>0</v>
      </c>
      <c r="AV169" s="8"/>
      <c r="AW169" s="8">
        <f t="shared" si="8"/>
        <v>79222401</v>
      </c>
      <c r="AY169" s="8">
        <f>+'St of Activites - GA Rev'!AI173-'St of Activities - GA Exp'!AW169</f>
        <v>2129067</v>
      </c>
      <c r="BA169" s="8">
        <v>44095676</v>
      </c>
      <c r="BC169" s="8">
        <f t="shared" si="9"/>
        <v>46224743</v>
      </c>
      <c r="BE169" s="8">
        <f>+'St of Net Assets - GA'!AA168-'St of Activities - GA Exp'!BC169</f>
        <v>0</v>
      </c>
    </row>
    <row r="170" spans="1:57" hidden="1">
      <c r="A170" s="12" t="s">
        <v>722</v>
      </c>
      <c r="B170" s="12"/>
      <c r="C170" s="12" t="s">
        <v>70</v>
      </c>
      <c r="D170" s="12"/>
      <c r="E170" s="32">
        <v>50484</v>
      </c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12" t="s">
        <v>722</v>
      </c>
      <c r="AH170" s="12"/>
      <c r="AI170" s="12" t="s">
        <v>70</v>
      </c>
      <c r="AJ170" s="12"/>
      <c r="AK170" s="8">
        <v>0</v>
      </c>
      <c r="AL170" s="8"/>
      <c r="AM170" s="8">
        <v>0</v>
      </c>
      <c r="AN170" s="8"/>
      <c r="AO170" s="8">
        <v>0</v>
      </c>
      <c r="AP170" s="8"/>
      <c r="AQ170" s="8"/>
      <c r="AR170" s="8"/>
      <c r="AS170" s="8"/>
      <c r="AT170" s="8"/>
      <c r="AU170" s="8"/>
      <c r="AV170" s="8"/>
      <c r="AW170" s="8">
        <f t="shared" si="8"/>
        <v>0</v>
      </c>
      <c r="AY170" s="8">
        <f>+'St of Activites - GA Rev'!AI174-'St of Activities - GA Exp'!AW170</f>
        <v>0</v>
      </c>
      <c r="BC170" s="8">
        <f t="shared" si="9"/>
        <v>0</v>
      </c>
      <c r="BE170" s="8">
        <f>+'St of Net Assets - GA'!AA169-'St of Activities - GA Exp'!BC170</f>
        <v>0</v>
      </c>
    </row>
    <row r="171" spans="1:57">
      <c r="A171" s="12" t="s">
        <v>649</v>
      </c>
      <c r="B171" s="12"/>
      <c r="C171" s="12" t="s">
        <v>61</v>
      </c>
      <c r="D171" s="12"/>
      <c r="E171" s="32">
        <v>49783</v>
      </c>
      <c r="G171" s="8">
        <v>3528897</v>
      </c>
      <c r="H171" s="8"/>
      <c r="I171" s="8">
        <v>426583</v>
      </c>
      <c r="J171" s="8"/>
      <c r="K171" s="8">
        <v>9181</v>
      </c>
      <c r="L171" s="8"/>
      <c r="M171" s="8">
        <v>0</v>
      </c>
      <c r="N171" s="8"/>
      <c r="O171" s="8">
        <v>575940</v>
      </c>
      <c r="P171" s="8"/>
      <c r="Q171" s="8">
        <v>371605</v>
      </c>
      <c r="R171" s="8"/>
      <c r="S171" s="8">
        <v>32294</v>
      </c>
      <c r="T171" s="8"/>
      <c r="U171" s="8">
        <v>605003</v>
      </c>
      <c r="V171" s="8"/>
      <c r="W171" s="8">
        <v>167977</v>
      </c>
      <c r="X171" s="8"/>
      <c r="Y171" s="8">
        <v>639</v>
      </c>
      <c r="Z171" s="8"/>
      <c r="AA171" s="8">
        <v>573068</v>
      </c>
      <c r="AB171" s="8"/>
      <c r="AC171" s="8">
        <v>236479</v>
      </c>
      <c r="AD171" s="8"/>
      <c r="AE171" s="8">
        <v>54190</v>
      </c>
      <c r="AF171" s="8"/>
      <c r="AG171" s="12" t="s">
        <v>649</v>
      </c>
      <c r="AH171" s="12"/>
      <c r="AI171" s="12" t="s">
        <v>61</v>
      </c>
      <c r="AJ171" s="12"/>
      <c r="AK171" s="8">
        <v>0</v>
      </c>
      <c r="AL171" s="8"/>
      <c r="AM171" s="8">
        <v>352484</v>
      </c>
      <c r="AN171" s="8"/>
      <c r="AO171" s="8">
        <v>330759</v>
      </c>
      <c r="AP171" s="8"/>
      <c r="AQ171" s="8">
        <v>531140</v>
      </c>
      <c r="AR171" s="8"/>
      <c r="AS171" s="8"/>
      <c r="AT171" s="8"/>
      <c r="AU171" s="8">
        <v>0</v>
      </c>
      <c r="AV171" s="8"/>
      <c r="AW171" s="8">
        <f t="shared" si="8"/>
        <v>7796239</v>
      </c>
      <c r="AY171" s="8">
        <f>+'St of Activites - GA Rev'!AI175-'St of Activities - GA Exp'!AW171</f>
        <v>1473486</v>
      </c>
      <c r="BA171" s="8">
        <v>16924698</v>
      </c>
      <c r="BC171" s="8">
        <f t="shared" si="9"/>
        <v>18398184</v>
      </c>
      <c r="BE171" s="8">
        <f>+'St of Net Assets - GA'!AA170-'St of Activities - GA Exp'!BC171</f>
        <v>0</v>
      </c>
    </row>
    <row r="172" spans="1:57">
      <c r="A172" s="12" t="s">
        <v>641</v>
      </c>
      <c r="B172" s="12"/>
      <c r="C172" s="12" t="s">
        <v>60</v>
      </c>
      <c r="D172" s="12"/>
      <c r="E172" s="32">
        <v>43992</v>
      </c>
      <c r="G172" s="8">
        <v>10330639</v>
      </c>
      <c r="H172" s="8"/>
      <c r="I172" s="8">
        <v>2370556</v>
      </c>
      <c r="J172" s="8"/>
      <c r="K172" s="8">
        <v>225688</v>
      </c>
      <c r="L172" s="8"/>
      <c r="M172" s="8">
        <f>72259+1228032</f>
        <v>1300291</v>
      </c>
      <c r="N172" s="8"/>
      <c r="O172" s="8">
        <v>867531</v>
      </c>
      <c r="P172" s="8"/>
      <c r="Q172" s="8">
        <v>1787355</v>
      </c>
      <c r="R172" s="8"/>
      <c r="S172" s="8">
        <v>36552</v>
      </c>
      <c r="T172" s="8"/>
      <c r="U172" s="8">
        <v>1912926</v>
      </c>
      <c r="V172" s="8"/>
      <c r="W172" s="8">
        <v>648237</v>
      </c>
      <c r="X172" s="8"/>
      <c r="Y172" s="8">
        <v>57227</v>
      </c>
      <c r="Z172" s="8"/>
      <c r="AA172" s="8">
        <v>1968907</v>
      </c>
      <c r="AB172" s="8"/>
      <c r="AC172" s="8">
        <v>986498</v>
      </c>
      <c r="AD172" s="8"/>
      <c r="AE172" s="8">
        <v>42593</v>
      </c>
      <c r="AF172" s="8"/>
      <c r="AG172" s="12" t="s">
        <v>641</v>
      </c>
      <c r="AH172" s="12"/>
      <c r="AI172" s="12" t="s">
        <v>60</v>
      </c>
      <c r="AJ172" s="12"/>
      <c r="AK172" s="8">
        <v>1176394</v>
      </c>
      <c r="AL172" s="8"/>
      <c r="AM172" s="8">
        <v>102710</v>
      </c>
      <c r="AN172" s="8"/>
      <c r="AO172" s="8">
        <v>382531</v>
      </c>
      <c r="AP172" s="8"/>
      <c r="AQ172" s="8">
        <v>411800</v>
      </c>
      <c r="AR172" s="8"/>
      <c r="AS172" s="8"/>
      <c r="AT172" s="8"/>
      <c r="AU172" s="8">
        <v>280474</v>
      </c>
      <c r="AV172" s="8"/>
      <c r="AW172" s="8">
        <f t="shared" si="8"/>
        <v>24888909</v>
      </c>
      <c r="AY172" s="8">
        <f>+'St of Activites - GA Rev'!AI176-'St of Activities - GA Exp'!AW172</f>
        <v>583682</v>
      </c>
      <c r="BA172" s="8">
        <v>14899340</v>
      </c>
      <c r="BC172" s="8">
        <f t="shared" si="9"/>
        <v>15483022</v>
      </c>
      <c r="BE172" s="8">
        <f>+'St of Net Assets - GA'!AA171-'St of Activities - GA Exp'!BC172</f>
        <v>0</v>
      </c>
    </row>
    <row r="173" spans="1:57">
      <c r="A173" s="12" t="s">
        <v>714</v>
      </c>
      <c r="B173" s="12"/>
      <c r="C173" s="12" t="s">
        <v>69</v>
      </c>
      <c r="D173" s="12"/>
      <c r="E173" s="32">
        <v>44008</v>
      </c>
      <c r="G173" s="8">
        <v>12975564</v>
      </c>
      <c r="H173" s="8"/>
      <c r="I173" s="8">
        <v>3603981</v>
      </c>
      <c r="J173" s="8"/>
      <c r="K173" s="8">
        <v>565617</v>
      </c>
      <c r="L173" s="8"/>
      <c r="M173" s="8">
        <v>58460</v>
      </c>
      <c r="N173" s="8"/>
      <c r="O173" s="8">
        <v>1413016</v>
      </c>
      <c r="P173" s="8"/>
      <c r="Q173" s="8">
        <v>1247366</v>
      </c>
      <c r="R173" s="8"/>
      <c r="S173" s="8">
        <v>25997</v>
      </c>
      <c r="T173" s="8"/>
      <c r="U173" s="8">
        <v>1991064</v>
      </c>
      <c r="V173" s="8"/>
      <c r="W173" s="8">
        <v>602181</v>
      </c>
      <c r="X173" s="8"/>
      <c r="Y173" s="8">
        <v>146849</v>
      </c>
      <c r="Z173" s="8"/>
      <c r="AA173" s="8">
        <v>2606402</v>
      </c>
      <c r="AB173" s="8"/>
      <c r="AC173" s="8">
        <v>1139862</v>
      </c>
      <c r="AD173" s="8"/>
      <c r="AE173" s="8">
        <v>353265</v>
      </c>
      <c r="AF173" s="8"/>
      <c r="AG173" s="12" t="s">
        <v>714</v>
      </c>
      <c r="AH173" s="12"/>
      <c r="AI173" s="12" t="s">
        <v>69</v>
      </c>
      <c r="AJ173" s="12"/>
      <c r="AK173" s="8">
        <v>0</v>
      </c>
      <c r="AL173" s="8"/>
      <c r="AM173" s="8">
        <v>1285765</v>
      </c>
      <c r="AN173" s="8"/>
      <c r="AO173" s="8">
        <v>1230017</v>
      </c>
      <c r="AP173" s="8"/>
      <c r="AQ173" s="8">
        <v>324181</v>
      </c>
      <c r="AR173" s="8"/>
      <c r="AS173" s="8"/>
      <c r="AT173" s="8"/>
      <c r="AU173" s="8">
        <v>0</v>
      </c>
      <c r="AV173" s="8"/>
      <c r="AW173" s="8">
        <f t="shared" si="8"/>
        <v>29569587</v>
      </c>
      <c r="AY173" s="8">
        <f>+'St of Activites - GA Rev'!AI177-'St of Activities - GA Exp'!AW173</f>
        <v>3995455</v>
      </c>
      <c r="BA173" s="8">
        <v>13140752</v>
      </c>
      <c r="BC173" s="8">
        <f t="shared" si="9"/>
        <v>17136207</v>
      </c>
      <c r="BE173" s="8">
        <f>+'St of Net Assets - GA'!AA172-'St of Activities - GA Exp'!BC173</f>
        <v>0</v>
      </c>
    </row>
    <row r="174" spans="1:57">
      <c r="A174" s="12" t="s">
        <v>572</v>
      </c>
      <c r="B174" s="12"/>
      <c r="C174" s="12" t="s">
        <v>51</v>
      </c>
      <c r="D174" s="12"/>
      <c r="E174" s="32">
        <v>48843</v>
      </c>
      <c r="G174" s="8">
        <v>10625869</v>
      </c>
      <c r="H174" s="8"/>
      <c r="I174" s="8">
        <v>2526200</v>
      </c>
      <c r="J174" s="8"/>
      <c r="K174" s="8">
        <v>183880</v>
      </c>
      <c r="L174" s="8"/>
      <c r="M174" s="8">
        <v>319298</v>
      </c>
      <c r="N174" s="8"/>
      <c r="O174" s="8">
        <v>799323</v>
      </c>
      <c r="P174" s="8"/>
      <c r="Q174" s="8">
        <v>1256937</v>
      </c>
      <c r="R174" s="8"/>
      <c r="S174" s="8">
        <v>156572</v>
      </c>
      <c r="T174" s="8"/>
      <c r="U174" s="8">
        <v>1408651</v>
      </c>
      <c r="V174" s="8"/>
      <c r="W174" s="8">
        <v>405859</v>
      </c>
      <c r="X174" s="8"/>
      <c r="Y174" s="8">
        <v>0</v>
      </c>
      <c r="Z174" s="8"/>
      <c r="AA174" s="8">
        <v>2620655</v>
      </c>
      <c r="AB174" s="8"/>
      <c r="AC174" s="8">
        <v>1664695</v>
      </c>
      <c r="AD174" s="8"/>
      <c r="AE174" s="8">
        <v>197006</v>
      </c>
      <c r="AF174" s="8"/>
      <c r="AG174" s="12" t="s">
        <v>572</v>
      </c>
      <c r="AH174" s="12"/>
      <c r="AI174" s="12" t="s">
        <v>51</v>
      </c>
      <c r="AJ174" s="12"/>
      <c r="AK174" s="8">
        <v>1319324</v>
      </c>
      <c r="AL174" s="8"/>
      <c r="AM174" s="8">
        <v>6580</v>
      </c>
      <c r="AN174" s="8"/>
      <c r="AO174" s="8">
        <v>456184</v>
      </c>
      <c r="AP174" s="8"/>
      <c r="AQ174" s="8">
        <v>348489</v>
      </c>
      <c r="AR174" s="8"/>
      <c r="AS174" s="8"/>
      <c r="AT174" s="8"/>
      <c r="AU174" s="8">
        <v>0</v>
      </c>
      <c r="AV174" s="8"/>
      <c r="AW174" s="8">
        <f t="shared" si="8"/>
        <v>24295522</v>
      </c>
      <c r="AY174" s="8">
        <f>+'St of Activites - GA Rev'!AI178-'St of Activities - GA Exp'!AW174</f>
        <v>-3371610</v>
      </c>
      <c r="BA174" s="8">
        <v>45815212</v>
      </c>
      <c r="BC174" s="8">
        <f t="shared" si="9"/>
        <v>42443602</v>
      </c>
      <c r="BE174" s="8">
        <f>+'St of Net Assets - GA'!AA173-'St of Activities - GA Exp'!BC174</f>
        <v>0</v>
      </c>
    </row>
    <row r="175" spans="1:57" ht="12" hidden="1" customHeight="1">
      <c r="A175" s="12" t="s">
        <v>330</v>
      </c>
      <c r="B175" s="12"/>
      <c r="C175" s="12" t="s">
        <v>21</v>
      </c>
      <c r="D175" s="12"/>
      <c r="E175" s="32">
        <v>46649</v>
      </c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12" t="s">
        <v>330</v>
      </c>
      <c r="AH175" s="12"/>
      <c r="AI175" s="12" t="s">
        <v>21</v>
      </c>
      <c r="AJ175" s="12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>
        <f t="shared" si="8"/>
        <v>0</v>
      </c>
      <c r="AY175" s="8">
        <f>+'St of Activites - GA Rev'!AI179-'St of Activities - GA Exp'!AW175</f>
        <v>0</v>
      </c>
      <c r="BC175" s="8">
        <f t="shared" si="9"/>
        <v>0</v>
      </c>
      <c r="BE175" s="8">
        <f>+'St of Net Assets - GA'!AA174-'St of Activities - GA Exp'!BC175</f>
        <v>0</v>
      </c>
    </row>
    <row r="176" spans="1:57" hidden="1">
      <c r="A176" s="12"/>
      <c r="B176" s="12"/>
      <c r="C176" s="12"/>
      <c r="D176" s="12"/>
      <c r="E176" s="32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12"/>
      <c r="AH176" s="12"/>
      <c r="AI176" s="12"/>
      <c r="AJ176" s="12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BC176" s="8" t="s">
        <v>819</v>
      </c>
    </row>
    <row r="177" spans="1:57" s="8" customFormat="1">
      <c r="A177" s="13" t="s">
        <v>461</v>
      </c>
      <c r="B177" s="13"/>
      <c r="C177" s="13" t="s">
        <v>40</v>
      </c>
      <c r="D177" s="13"/>
      <c r="E177" s="13">
        <v>47852</v>
      </c>
      <c r="G177" s="8">
        <v>3926641</v>
      </c>
      <c r="I177" s="8">
        <v>1148777</v>
      </c>
      <c r="K177" s="8">
        <v>128566</v>
      </c>
      <c r="M177" s="8">
        <v>600</v>
      </c>
      <c r="O177" s="8">
        <v>391037</v>
      </c>
      <c r="Q177" s="8">
        <v>845610</v>
      </c>
      <c r="S177" s="8">
        <v>33755</v>
      </c>
      <c r="U177" s="8">
        <v>729941</v>
      </c>
      <c r="W177" s="8">
        <v>252818</v>
      </c>
      <c r="Y177" s="8">
        <v>68004</v>
      </c>
      <c r="AA177" s="8">
        <v>607926</v>
      </c>
      <c r="AC177" s="8">
        <v>535993</v>
      </c>
      <c r="AE177" s="8">
        <v>42112</v>
      </c>
      <c r="AG177" s="13" t="s">
        <v>461</v>
      </c>
      <c r="AH177" s="13"/>
      <c r="AI177" s="13" t="s">
        <v>40</v>
      </c>
      <c r="AJ177" s="13"/>
      <c r="AK177" s="8">
        <v>310078</v>
      </c>
      <c r="AM177" s="8">
        <v>0</v>
      </c>
      <c r="AO177" s="8">
        <v>414072</v>
      </c>
      <c r="AQ177" s="8">
        <v>414547</v>
      </c>
      <c r="AU177" s="8">
        <v>0</v>
      </c>
      <c r="AW177" s="8">
        <f t="shared" si="8"/>
        <v>9850477</v>
      </c>
      <c r="AY177" s="8">
        <f>+'St of Activites - GA Rev'!AI180-'St of Activities - GA Exp'!AW177</f>
        <v>1025471</v>
      </c>
      <c r="BA177" s="8">
        <v>25414118</v>
      </c>
      <c r="BC177" s="8">
        <f t="shared" si="9"/>
        <v>26439589</v>
      </c>
      <c r="BE177" s="8">
        <f>+'St of Net Assets - GA'!AA175-'St of Activities - GA Exp'!BC177</f>
        <v>0</v>
      </c>
    </row>
    <row r="178" spans="1:57" ht="12" customHeight="1">
      <c r="A178" s="12" t="s">
        <v>628</v>
      </c>
      <c r="B178" s="12"/>
      <c r="C178" s="12" t="s">
        <v>79</v>
      </c>
      <c r="D178" s="12"/>
      <c r="E178" s="32">
        <v>44016</v>
      </c>
      <c r="G178" s="8">
        <v>16479750</v>
      </c>
      <c r="H178" s="8"/>
      <c r="I178" s="8">
        <v>5522418</v>
      </c>
      <c r="J178" s="8"/>
      <c r="K178" s="8">
        <v>76683</v>
      </c>
      <c r="L178" s="8"/>
      <c r="M178" s="8">
        <v>51399</v>
      </c>
      <c r="N178" s="8"/>
      <c r="O178" s="8">
        <v>2323980</v>
      </c>
      <c r="P178" s="8"/>
      <c r="Q178" s="8">
        <v>1891918</v>
      </c>
      <c r="R178" s="8"/>
      <c r="S178" s="8">
        <v>46033</v>
      </c>
      <c r="T178" s="8"/>
      <c r="U178" s="8">
        <v>2830886</v>
      </c>
      <c r="V178" s="8"/>
      <c r="W178" s="8">
        <v>1130739</v>
      </c>
      <c r="X178" s="8"/>
      <c r="Y178" s="8">
        <v>102054</v>
      </c>
      <c r="Z178" s="8"/>
      <c r="AA178" s="8">
        <v>3437681</v>
      </c>
      <c r="AB178" s="8"/>
      <c r="AC178" s="8">
        <v>1430964</v>
      </c>
      <c r="AD178" s="8"/>
      <c r="AE178" s="8">
        <v>93095</v>
      </c>
      <c r="AF178" s="8"/>
      <c r="AG178" s="12" t="s">
        <v>628</v>
      </c>
      <c r="AH178" s="12"/>
      <c r="AI178" s="12" t="s">
        <v>79</v>
      </c>
      <c r="AJ178" s="12"/>
      <c r="AK178" s="8">
        <v>0</v>
      </c>
      <c r="AL178" s="8"/>
      <c r="AM178" s="8">
        <v>2342295</v>
      </c>
      <c r="AN178" s="8"/>
      <c r="AO178" s="8">
        <v>729078</v>
      </c>
      <c r="AP178" s="8"/>
      <c r="AQ178" s="8">
        <v>36987</v>
      </c>
      <c r="AR178" s="8"/>
      <c r="AS178" s="8"/>
      <c r="AT178" s="8"/>
      <c r="AU178" s="8">
        <v>0</v>
      </c>
      <c r="AV178" s="8"/>
      <c r="AW178" s="8">
        <f t="shared" si="8"/>
        <v>38525960</v>
      </c>
      <c r="AY178" s="8">
        <f>+'St of Activites - GA Rev'!AI181-'St of Activities - GA Exp'!AW178</f>
        <v>3961765</v>
      </c>
      <c r="BA178" s="8">
        <v>13857486</v>
      </c>
      <c r="BC178" s="8">
        <f t="shared" si="9"/>
        <v>17819251</v>
      </c>
      <c r="BE178" s="8">
        <f>+'St of Net Assets - GA'!AA176-'St of Activities - GA Exp'!BC178</f>
        <v>0</v>
      </c>
    </row>
    <row r="179" spans="1:57">
      <c r="A179" s="12" t="s">
        <v>723</v>
      </c>
      <c r="B179" s="12"/>
      <c r="C179" s="12" t="s">
        <v>70</v>
      </c>
      <c r="D179" s="12"/>
      <c r="E179" s="32">
        <v>50492</v>
      </c>
      <c r="G179" s="8">
        <v>4313964</v>
      </c>
      <c r="H179" s="8"/>
      <c r="I179" s="8">
        <v>956570</v>
      </c>
      <c r="J179" s="8"/>
      <c r="K179" s="8">
        <v>252499</v>
      </c>
      <c r="L179" s="8"/>
      <c r="M179" s="8">
        <v>26238</v>
      </c>
      <c r="N179" s="8"/>
      <c r="O179" s="8">
        <v>437508</v>
      </c>
      <c r="P179" s="8"/>
      <c r="Q179" s="8">
        <v>220424</v>
      </c>
      <c r="R179" s="8"/>
      <c r="S179" s="8">
        <v>58325</v>
      </c>
      <c r="T179" s="8"/>
      <c r="U179" s="8">
        <v>892526</v>
      </c>
      <c r="V179" s="8"/>
      <c r="W179" s="8">
        <v>292709</v>
      </c>
      <c r="X179" s="8"/>
      <c r="Y179" s="8">
        <v>58</v>
      </c>
      <c r="Z179" s="8"/>
      <c r="AA179" s="8">
        <v>1114722</v>
      </c>
      <c r="AB179" s="8"/>
      <c r="AC179" s="8">
        <v>797311</v>
      </c>
      <c r="AD179" s="8"/>
      <c r="AE179" s="8">
        <v>17578</v>
      </c>
      <c r="AF179" s="8"/>
      <c r="AG179" s="12" t="s">
        <v>723</v>
      </c>
      <c r="AH179" s="12"/>
      <c r="AI179" s="12" t="s">
        <v>70</v>
      </c>
      <c r="AJ179" s="12"/>
      <c r="AK179" s="8">
        <v>426097</v>
      </c>
      <c r="AL179" s="8"/>
      <c r="AM179" s="8">
        <v>0</v>
      </c>
      <c r="AN179" s="8"/>
      <c r="AO179" s="8">
        <v>180799</v>
      </c>
      <c r="AP179" s="8"/>
      <c r="AQ179" s="8">
        <v>128650</v>
      </c>
      <c r="AR179" s="8"/>
      <c r="AS179" s="8"/>
      <c r="AT179" s="8"/>
      <c r="AU179" s="8">
        <v>0</v>
      </c>
      <c r="AV179" s="8"/>
      <c r="AW179" s="8">
        <f t="shared" si="8"/>
        <v>10115978</v>
      </c>
      <c r="AY179" s="8">
        <f>+'St of Activites - GA Rev'!AI182-'St of Activities - GA Exp'!AW179</f>
        <v>-74540</v>
      </c>
      <c r="BA179" s="8">
        <v>20177460</v>
      </c>
      <c r="BC179" s="8">
        <f t="shared" si="9"/>
        <v>20102920</v>
      </c>
      <c r="BE179" s="8">
        <f>+'St of Net Assets - GA'!AA177-'St of Activities - GA Exp'!BC179</f>
        <v>0</v>
      </c>
    </row>
    <row r="180" spans="1:57" ht="12" customHeight="1">
      <c r="A180" s="12" t="s">
        <v>360</v>
      </c>
      <c r="B180" s="12"/>
      <c r="C180" s="12" t="s">
        <v>27</v>
      </c>
      <c r="D180" s="12"/>
      <c r="E180" s="32">
        <v>46961</v>
      </c>
      <c r="G180" s="8">
        <v>38623709</v>
      </c>
      <c r="H180" s="8"/>
      <c r="I180" s="8">
        <v>10095408</v>
      </c>
      <c r="J180" s="8"/>
      <c r="K180" s="8">
        <v>933319</v>
      </c>
      <c r="L180" s="8"/>
      <c r="M180" s="8">
        <v>0</v>
      </c>
      <c r="N180" s="8"/>
      <c r="O180" s="8">
        <v>3409976</v>
      </c>
      <c r="P180" s="8"/>
      <c r="Q180" s="8">
        <v>4303041</v>
      </c>
      <c r="R180" s="8"/>
      <c r="S180" s="8">
        <v>505563</v>
      </c>
      <c r="T180" s="8"/>
      <c r="U180" s="8">
        <v>6299721</v>
      </c>
      <c r="V180" s="8"/>
      <c r="W180" s="8">
        <v>1357185</v>
      </c>
      <c r="X180" s="8"/>
      <c r="Y180" s="8">
        <v>70033</v>
      </c>
      <c r="Z180" s="8"/>
      <c r="AA180" s="8">
        <v>6593690</v>
      </c>
      <c r="AB180" s="8"/>
      <c r="AC180" s="8">
        <v>2691275</v>
      </c>
      <c r="AD180" s="8"/>
      <c r="AE180" s="8">
        <v>520399</v>
      </c>
      <c r="AF180" s="8"/>
      <c r="AG180" s="12" t="s">
        <v>360</v>
      </c>
      <c r="AH180" s="12"/>
      <c r="AI180" s="12" t="s">
        <v>27</v>
      </c>
      <c r="AJ180" s="12"/>
      <c r="AK180" s="8">
        <v>0</v>
      </c>
      <c r="AL180" s="8"/>
      <c r="AM180" s="8">
        <v>1405400</v>
      </c>
      <c r="AN180" s="8"/>
      <c r="AO180" s="8">
        <v>1284493</v>
      </c>
      <c r="AP180" s="8"/>
      <c r="AQ180" s="8">
        <v>1205273</v>
      </c>
      <c r="AR180" s="8"/>
      <c r="AS180" s="8"/>
      <c r="AT180" s="8"/>
      <c r="AU180" s="8">
        <v>68817</v>
      </c>
      <c r="AV180" s="8"/>
      <c r="AW180" s="8">
        <f t="shared" si="8"/>
        <v>79367302</v>
      </c>
      <c r="AY180" s="8">
        <f>+'St of Activites - GA Rev'!AI183-'St of Activities - GA Exp'!AW180</f>
        <v>-3449376</v>
      </c>
      <c r="BA180" s="8">
        <v>43772391</v>
      </c>
      <c r="BC180" s="8">
        <f t="shared" si="9"/>
        <v>40323015</v>
      </c>
      <c r="BE180" s="8">
        <f>+'St of Net Assets - GA'!AA178-'St of Activities - GA Exp'!BC180</f>
        <v>0</v>
      </c>
    </row>
    <row r="181" spans="1:57">
      <c r="A181" s="12" t="s">
        <v>298</v>
      </c>
      <c r="B181" s="12"/>
      <c r="C181" s="12" t="s">
        <v>114</v>
      </c>
      <c r="D181" s="12"/>
      <c r="E181" s="32">
        <v>44024</v>
      </c>
      <c r="G181" s="8">
        <v>10316713</v>
      </c>
      <c r="H181" s="8"/>
      <c r="I181" s="8">
        <v>3512180</v>
      </c>
      <c r="J181" s="8"/>
      <c r="K181" s="8">
        <v>484593</v>
      </c>
      <c r="L181" s="8"/>
      <c r="M181" s="8">
        <v>0</v>
      </c>
      <c r="N181" s="8"/>
      <c r="O181" s="8">
        <v>876921</v>
      </c>
      <c r="P181" s="8"/>
      <c r="Q181" s="8">
        <v>821894</v>
      </c>
      <c r="R181" s="8"/>
      <c r="S181" s="8">
        <v>81468</v>
      </c>
      <c r="T181" s="8"/>
      <c r="U181" s="8">
        <v>1430944</v>
      </c>
      <c r="V181" s="8"/>
      <c r="W181" s="8">
        <v>446174</v>
      </c>
      <c r="X181" s="8"/>
      <c r="Y181" s="8">
        <v>0</v>
      </c>
      <c r="Z181" s="8"/>
      <c r="AA181" s="8">
        <v>2864553</v>
      </c>
      <c r="AB181" s="8"/>
      <c r="AC181" s="8">
        <v>755726</v>
      </c>
      <c r="AD181" s="8"/>
      <c r="AE181" s="8">
        <v>203211</v>
      </c>
      <c r="AF181" s="8"/>
      <c r="AG181" s="12" t="s">
        <v>298</v>
      </c>
      <c r="AH181" s="12"/>
      <c r="AI181" s="12" t="s">
        <v>114</v>
      </c>
      <c r="AJ181" s="12"/>
      <c r="AK181" s="8">
        <v>0</v>
      </c>
      <c r="AL181" s="8"/>
      <c r="AM181" s="8">
        <v>914502</v>
      </c>
      <c r="AN181" s="8"/>
      <c r="AO181" s="8">
        <v>676464</v>
      </c>
      <c r="AP181" s="8"/>
      <c r="AQ181" s="8">
        <v>826890</v>
      </c>
      <c r="AR181" s="8"/>
      <c r="AS181" s="8"/>
      <c r="AT181" s="8"/>
      <c r="AU181" s="8">
        <v>0</v>
      </c>
      <c r="AV181" s="8"/>
      <c r="AW181" s="8">
        <f t="shared" si="8"/>
        <v>24212233</v>
      </c>
      <c r="AY181" s="8">
        <f>+'St of Activites - GA Rev'!AI184-'St of Activities - GA Exp'!AW181</f>
        <v>-1107905</v>
      </c>
      <c r="BA181" s="8">
        <v>48107563</v>
      </c>
      <c r="BC181" s="8">
        <f t="shared" si="9"/>
        <v>46999658</v>
      </c>
      <c r="BE181" s="8">
        <f>+'St of Net Assets - GA'!AA179-'St of Activities - GA Exp'!BC181</f>
        <v>0</v>
      </c>
    </row>
    <row r="182" spans="1:57" ht="12" customHeight="1">
      <c r="A182" s="12" t="s">
        <v>379</v>
      </c>
      <c r="B182" s="12"/>
      <c r="C182" s="12" t="s">
        <v>29</v>
      </c>
      <c r="D182" s="12"/>
      <c r="E182" s="32">
        <v>65680</v>
      </c>
      <c r="G182" s="8">
        <v>9163764</v>
      </c>
      <c r="H182" s="8"/>
      <c r="I182" s="8">
        <v>3148696</v>
      </c>
      <c r="J182" s="8"/>
      <c r="K182" s="8">
        <v>436525</v>
      </c>
      <c r="L182" s="8"/>
      <c r="M182" s="8">
        <v>1835825</v>
      </c>
      <c r="N182" s="8"/>
      <c r="O182" s="8">
        <v>547593</v>
      </c>
      <c r="P182" s="8"/>
      <c r="Q182" s="8">
        <v>985900</v>
      </c>
      <c r="R182" s="8"/>
      <c r="S182" s="8">
        <v>231172</v>
      </c>
      <c r="T182" s="8"/>
      <c r="U182" s="8">
        <v>1432663</v>
      </c>
      <c r="V182" s="8"/>
      <c r="W182" s="8">
        <v>631903</v>
      </c>
      <c r="X182" s="8"/>
      <c r="Y182" s="8">
        <v>26669</v>
      </c>
      <c r="Z182" s="8"/>
      <c r="AA182" s="8">
        <v>1848130</v>
      </c>
      <c r="AB182" s="8"/>
      <c r="AC182" s="8">
        <v>2558928</v>
      </c>
      <c r="AD182" s="8"/>
      <c r="AE182" s="8">
        <v>490411</v>
      </c>
      <c r="AF182" s="8"/>
      <c r="AG182" s="12" t="s">
        <v>379</v>
      </c>
      <c r="AH182" s="12"/>
      <c r="AI182" s="12" t="s">
        <v>29</v>
      </c>
      <c r="AJ182" s="12"/>
      <c r="AK182" s="8">
        <v>0</v>
      </c>
      <c r="AL182" s="8"/>
      <c r="AM182" s="8">
        <v>991340</v>
      </c>
      <c r="AN182" s="8"/>
      <c r="AO182" s="8">
        <v>465657</v>
      </c>
      <c r="AP182" s="8"/>
      <c r="AQ182" s="8">
        <v>1955188</v>
      </c>
      <c r="AR182" s="8"/>
      <c r="AS182" s="8"/>
      <c r="AT182" s="8"/>
      <c r="AU182" s="8">
        <v>0</v>
      </c>
      <c r="AV182" s="8"/>
      <c r="AW182" s="8">
        <f t="shared" si="8"/>
        <v>26750364</v>
      </c>
      <c r="AY182" s="8">
        <f>+'St of Activites - GA Rev'!AI185-'St of Activities - GA Exp'!AW182</f>
        <v>3201379</v>
      </c>
      <c r="BA182" s="8">
        <v>18463882</v>
      </c>
      <c r="BC182" s="8">
        <f t="shared" si="9"/>
        <v>21665261</v>
      </c>
      <c r="BE182" s="8">
        <f>+'St of Net Assets - GA'!AA180-'St of Activities - GA Exp'!BC182</f>
        <v>0</v>
      </c>
    </row>
    <row r="183" spans="1:57">
      <c r="A183" s="12" t="s">
        <v>380</v>
      </c>
      <c r="B183" s="12"/>
      <c r="C183" s="12" t="s">
        <v>29</v>
      </c>
      <c r="D183" s="12"/>
      <c r="E183" s="32">
        <v>44032</v>
      </c>
      <c r="G183" s="8">
        <v>9374563</v>
      </c>
      <c r="H183" s="8"/>
      <c r="I183" s="8">
        <v>3533292</v>
      </c>
      <c r="J183" s="8"/>
      <c r="K183" s="8">
        <v>350281</v>
      </c>
      <c r="L183" s="8"/>
      <c r="M183" s="8">
        <v>0</v>
      </c>
      <c r="N183" s="8"/>
      <c r="O183" s="8">
        <v>1043504</v>
      </c>
      <c r="P183" s="8"/>
      <c r="Q183" s="8">
        <v>1263821</v>
      </c>
      <c r="R183" s="8"/>
      <c r="S183" s="8">
        <v>51610</v>
      </c>
      <c r="T183" s="8"/>
      <c r="U183" s="8">
        <v>1814132</v>
      </c>
      <c r="V183" s="8"/>
      <c r="W183" s="8">
        <v>428411</v>
      </c>
      <c r="X183" s="8"/>
      <c r="Y183" s="8">
        <v>0</v>
      </c>
      <c r="Z183" s="8"/>
      <c r="AA183" s="8">
        <v>1509633</v>
      </c>
      <c r="AB183" s="8"/>
      <c r="AC183" s="8">
        <v>1595208</v>
      </c>
      <c r="AD183" s="8"/>
      <c r="AE183" s="8">
        <v>105482</v>
      </c>
      <c r="AF183" s="8"/>
      <c r="AG183" s="12" t="s">
        <v>380</v>
      </c>
      <c r="AH183" s="12"/>
      <c r="AI183" s="12" t="s">
        <v>29</v>
      </c>
      <c r="AJ183" s="12"/>
      <c r="AK183" s="8">
        <v>740850</v>
      </c>
      <c r="AL183" s="8"/>
      <c r="AM183" s="8">
        <v>27</v>
      </c>
      <c r="AN183" s="8"/>
      <c r="AO183" s="8">
        <v>633320</v>
      </c>
      <c r="AP183" s="8"/>
      <c r="AQ183" s="8">
        <v>909719</v>
      </c>
      <c r="AR183" s="8"/>
      <c r="AS183" s="8"/>
      <c r="AT183" s="8"/>
      <c r="AU183" s="8">
        <v>0</v>
      </c>
      <c r="AV183" s="8"/>
      <c r="AW183" s="8">
        <f t="shared" si="8"/>
        <v>23353853</v>
      </c>
      <c r="AY183" s="8">
        <f>+'St of Activites - GA Rev'!AI186-'St of Activities - GA Exp'!AW183</f>
        <v>1346884</v>
      </c>
      <c r="BA183" s="8">
        <v>26402678</v>
      </c>
      <c r="BC183" s="8">
        <f t="shared" si="9"/>
        <v>27749562</v>
      </c>
      <c r="BE183" s="8">
        <f>+'St of Net Assets - GA'!AA181-'St of Activities - GA Exp'!BC183</f>
        <v>0</v>
      </c>
    </row>
    <row r="184" spans="1:57">
      <c r="A184" s="12" t="s">
        <v>701</v>
      </c>
      <c r="B184" s="12"/>
      <c r="C184" s="12" t="s">
        <v>65</v>
      </c>
      <c r="D184" s="12"/>
      <c r="E184" s="32">
        <v>50278</v>
      </c>
      <c r="G184" s="8">
        <v>5425912</v>
      </c>
      <c r="H184" s="8"/>
      <c r="I184" s="8">
        <v>1018838</v>
      </c>
      <c r="J184" s="8"/>
      <c r="K184" s="8">
        <v>2355</v>
      </c>
      <c r="L184" s="8"/>
      <c r="M184" s="8">
        <v>64746</v>
      </c>
      <c r="N184" s="8"/>
      <c r="O184" s="8">
        <v>412493</v>
      </c>
      <c r="P184" s="8"/>
      <c r="Q184" s="8">
        <v>579981</v>
      </c>
      <c r="R184" s="8"/>
      <c r="S184" s="8">
        <v>16288</v>
      </c>
      <c r="T184" s="8"/>
      <c r="U184" s="8">
        <v>1048236</v>
      </c>
      <c r="V184" s="8"/>
      <c r="W184" s="8">
        <v>390808</v>
      </c>
      <c r="X184" s="8"/>
      <c r="Y184" s="8">
        <v>0</v>
      </c>
      <c r="Z184" s="8"/>
      <c r="AA184" s="8">
        <v>930806</v>
      </c>
      <c r="AB184" s="8"/>
      <c r="AC184" s="8">
        <v>788776</v>
      </c>
      <c r="AD184" s="8"/>
      <c r="AE184" s="8">
        <v>38208</v>
      </c>
      <c r="AF184" s="8"/>
      <c r="AG184" s="12" t="s">
        <v>701</v>
      </c>
      <c r="AH184" s="12"/>
      <c r="AI184" s="12" t="s">
        <v>65</v>
      </c>
      <c r="AJ184" s="12"/>
      <c r="AK184" s="8">
        <v>444943</v>
      </c>
      <c r="AL184" s="8"/>
      <c r="AM184" s="8">
        <v>0</v>
      </c>
      <c r="AN184" s="8"/>
      <c r="AO184" s="8">
        <v>401144</v>
      </c>
      <c r="AP184" s="8"/>
      <c r="AQ184" s="8">
        <v>65370</v>
      </c>
      <c r="AR184" s="8"/>
      <c r="AS184" s="8"/>
      <c r="AT184" s="8"/>
      <c r="AU184" s="8">
        <v>0</v>
      </c>
      <c r="AV184" s="8"/>
      <c r="AW184" s="8">
        <f t="shared" si="8"/>
        <v>11628904</v>
      </c>
      <c r="AY184" s="8">
        <f>+'St of Activites - GA Rev'!AI187-'St of Activities - GA Exp'!AW184</f>
        <v>-38455</v>
      </c>
      <c r="BA184" s="8">
        <v>5053238</v>
      </c>
      <c r="BC184" s="8">
        <f t="shared" si="9"/>
        <v>5014783</v>
      </c>
      <c r="BE184" s="8">
        <f>+'St of Net Assets - GA'!AA182-'St of Activities - GA Exp'!BC184</f>
        <v>0</v>
      </c>
    </row>
    <row r="185" spans="1:57" ht="12" hidden="1" customHeight="1">
      <c r="A185" s="12" t="s">
        <v>312</v>
      </c>
      <c r="B185" s="12"/>
      <c r="C185" s="12" t="s">
        <v>20</v>
      </c>
      <c r="D185" s="12"/>
      <c r="E185" s="32">
        <v>44040</v>
      </c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12" t="s">
        <v>312</v>
      </c>
      <c r="AH185" s="12"/>
      <c r="AI185" s="12" t="s">
        <v>20</v>
      </c>
      <c r="AJ185" s="12"/>
      <c r="AK185" s="8">
        <v>0</v>
      </c>
      <c r="AL185" s="8"/>
      <c r="AM185" s="8">
        <v>0</v>
      </c>
      <c r="AN185" s="8"/>
      <c r="AO185" s="8">
        <v>0</v>
      </c>
      <c r="AP185" s="8"/>
      <c r="AQ185" s="8">
        <v>0</v>
      </c>
      <c r="AR185" s="8"/>
      <c r="AS185" s="8"/>
      <c r="AT185" s="8"/>
      <c r="AU185" s="8">
        <v>0</v>
      </c>
      <c r="AV185" s="8"/>
      <c r="AW185" s="8">
        <f t="shared" si="8"/>
        <v>0</v>
      </c>
      <c r="AY185" s="8">
        <f>+'St of Activites - GA Rev'!AI188-'St of Activities - GA Exp'!AW185</f>
        <v>0</v>
      </c>
      <c r="BC185" s="8">
        <f t="shared" si="9"/>
        <v>0</v>
      </c>
      <c r="BE185" s="8">
        <f>+'St of Net Assets - GA'!AA183-'St of Activities - GA Exp'!BC185</f>
        <v>0</v>
      </c>
    </row>
    <row r="186" spans="1:57" ht="12" customHeight="1">
      <c r="A186" s="12" t="s">
        <v>936</v>
      </c>
      <c r="B186" s="12"/>
      <c r="C186" s="12" t="s">
        <v>12</v>
      </c>
      <c r="D186" s="12"/>
      <c r="E186" s="32">
        <v>44057</v>
      </c>
      <c r="G186" s="8">
        <v>10474475</v>
      </c>
      <c r="H186" s="8"/>
      <c r="I186" s="8">
        <v>2849245</v>
      </c>
      <c r="J186" s="8"/>
      <c r="K186" s="8">
        <v>377426</v>
      </c>
      <c r="L186" s="8"/>
      <c r="M186" s="8">
        <v>1292606</v>
      </c>
      <c r="N186" s="8"/>
      <c r="O186" s="8">
        <v>1411770</v>
      </c>
      <c r="P186" s="8"/>
      <c r="Q186" s="8">
        <v>603291</v>
      </c>
      <c r="R186" s="8"/>
      <c r="S186" s="8">
        <v>17861</v>
      </c>
      <c r="T186" s="8"/>
      <c r="U186" s="8">
        <v>1723168</v>
      </c>
      <c r="V186" s="8"/>
      <c r="W186" s="8">
        <v>524042</v>
      </c>
      <c r="X186" s="8"/>
      <c r="Y186" s="8">
        <v>14549</v>
      </c>
      <c r="Z186" s="8"/>
      <c r="AA186" s="8">
        <v>2589894</v>
      </c>
      <c r="AB186" s="8"/>
      <c r="AC186" s="8">
        <v>1583812</v>
      </c>
      <c r="AD186" s="8"/>
      <c r="AE186" s="8">
        <v>2760</v>
      </c>
      <c r="AF186" s="8"/>
      <c r="AG186" s="12" t="s">
        <v>221</v>
      </c>
      <c r="AH186" s="12"/>
      <c r="AI186" s="12" t="s">
        <v>12</v>
      </c>
      <c r="AJ186" s="12"/>
      <c r="AK186" s="8">
        <v>0</v>
      </c>
      <c r="AL186" s="8"/>
      <c r="AM186" s="8">
        <v>1367917</v>
      </c>
      <c r="AN186" s="8"/>
      <c r="AO186" s="8">
        <v>646526</v>
      </c>
      <c r="AP186" s="8"/>
      <c r="AQ186" s="8">
        <v>965437</v>
      </c>
      <c r="AR186" s="8"/>
      <c r="AS186" s="8"/>
      <c r="AT186" s="8"/>
      <c r="AU186" s="8">
        <v>0</v>
      </c>
      <c r="AV186" s="8"/>
      <c r="AW186" s="8">
        <f t="shared" si="8"/>
        <v>26444779</v>
      </c>
      <c r="AY186" s="8">
        <f>+'St of Activites - GA Rev'!AI189-'St of Activities - GA Exp'!AW186</f>
        <v>2887399</v>
      </c>
      <c r="BA186" s="8">
        <v>12649110</v>
      </c>
      <c r="BC186" s="8">
        <f t="shared" si="9"/>
        <v>15536509</v>
      </c>
      <c r="BE186" s="8">
        <f>+'St of Net Assets - GA'!AA184-'St of Activities - GA Exp'!BC186</f>
        <v>0</v>
      </c>
    </row>
    <row r="187" spans="1:57">
      <c r="A187" s="12" t="s">
        <v>580</v>
      </c>
      <c r="B187" s="12"/>
      <c r="C187" s="12" t="s">
        <v>53</v>
      </c>
      <c r="D187" s="12"/>
      <c r="E187" s="32">
        <v>48942</v>
      </c>
      <c r="G187" s="8">
        <v>7348292</v>
      </c>
      <c r="H187" s="8"/>
      <c r="I187" s="8">
        <v>1081448</v>
      </c>
      <c r="J187" s="8"/>
      <c r="K187" s="8">
        <v>5131</v>
      </c>
      <c r="L187" s="8"/>
      <c r="M187" s="8">
        <v>0</v>
      </c>
      <c r="N187" s="8"/>
      <c r="O187" s="8">
        <v>348424</v>
      </c>
      <c r="P187" s="8"/>
      <c r="Q187" s="8">
        <v>122614</v>
      </c>
      <c r="R187" s="8"/>
      <c r="S187" s="8">
        <v>9425</v>
      </c>
      <c r="T187" s="8"/>
      <c r="U187" s="8">
        <v>1086750</v>
      </c>
      <c r="V187" s="8"/>
      <c r="W187" s="8">
        <v>386827</v>
      </c>
      <c r="X187" s="8"/>
      <c r="Y187" s="8">
        <v>11513</v>
      </c>
      <c r="Z187" s="8"/>
      <c r="AA187" s="8">
        <v>1042466</v>
      </c>
      <c r="AB187" s="8"/>
      <c r="AC187" s="8">
        <v>468206</v>
      </c>
      <c r="AD187" s="8"/>
      <c r="AE187" s="8">
        <v>335976</v>
      </c>
      <c r="AF187" s="8"/>
      <c r="AG187" s="12" t="s">
        <v>580</v>
      </c>
      <c r="AH187" s="12"/>
      <c r="AI187" s="12" t="s">
        <v>53</v>
      </c>
      <c r="AJ187" s="12"/>
      <c r="AK187" s="8">
        <v>0</v>
      </c>
      <c r="AL187" s="8"/>
      <c r="AM187" s="8">
        <v>873</v>
      </c>
      <c r="AN187" s="8"/>
      <c r="AO187" s="8">
        <v>617197</v>
      </c>
      <c r="AP187" s="8"/>
      <c r="AQ187" s="8">
        <v>269347</v>
      </c>
      <c r="AR187" s="8"/>
      <c r="AS187" s="8"/>
      <c r="AT187" s="8"/>
      <c r="AU187" s="8">
        <v>0</v>
      </c>
      <c r="AV187" s="8"/>
      <c r="AW187" s="8">
        <f t="shared" si="8"/>
        <v>13134489</v>
      </c>
      <c r="AY187" s="8">
        <f>+'St of Activites - GA Rev'!AI190-'St of Activities - GA Exp'!AW187</f>
        <v>113591</v>
      </c>
      <c r="BA187" s="8">
        <v>7263270</v>
      </c>
      <c r="BC187" s="8">
        <f t="shared" si="9"/>
        <v>7376861</v>
      </c>
      <c r="BE187" s="8">
        <f>+'St of Net Assets - GA'!AA185-'St of Activities - GA Exp'!BC187</f>
        <v>0</v>
      </c>
    </row>
    <row r="188" spans="1:57">
      <c r="A188" s="12" t="s">
        <v>242</v>
      </c>
      <c r="B188" s="12"/>
      <c r="C188" s="12" t="s">
        <v>77</v>
      </c>
      <c r="D188" s="12"/>
      <c r="E188" s="32">
        <v>45377</v>
      </c>
      <c r="G188" s="8">
        <v>5104024</v>
      </c>
      <c r="H188" s="8"/>
      <c r="I188" s="8">
        <v>809787</v>
      </c>
      <c r="J188" s="8"/>
      <c r="K188" s="8">
        <v>161390</v>
      </c>
      <c r="L188" s="8"/>
      <c r="M188" s="8">
        <f>7539+517</f>
        <v>8056</v>
      </c>
      <c r="N188" s="8"/>
      <c r="O188" s="8">
        <v>253032</v>
      </c>
      <c r="P188" s="8"/>
      <c r="Q188" s="8">
        <v>407540</v>
      </c>
      <c r="R188" s="8"/>
      <c r="S188" s="8">
        <v>41016</v>
      </c>
      <c r="T188" s="8"/>
      <c r="U188" s="8">
        <v>742550</v>
      </c>
      <c r="V188" s="8"/>
      <c r="W188" s="8">
        <v>368278</v>
      </c>
      <c r="X188" s="8"/>
      <c r="Y188" s="8">
        <v>45607</v>
      </c>
      <c r="Z188" s="8"/>
      <c r="AA188" s="8">
        <v>750166</v>
      </c>
      <c r="AB188" s="8"/>
      <c r="AC188" s="8">
        <v>504579</v>
      </c>
      <c r="AD188" s="8"/>
      <c r="AE188" s="8">
        <v>60361</v>
      </c>
      <c r="AF188" s="8"/>
      <c r="AG188" s="12" t="s">
        <v>242</v>
      </c>
      <c r="AH188" s="12"/>
      <c r="AI188" s="12" t="s">
        <v>77</v>
      </c>
      <c r="AJ188" s="12"/>
      <c r="AK188" s="8">
        <v>0</v>
      </c>
      <c r="AL188" s="8"/>
      <c r="AM188" s="8">
        <v>382809</v>
      </c>
      <c r="AN188" s="8"/>
      <c r="AO188" s="8">
        <v>181990</v>
      </c>
      <c r="AP188" s="8"/>
      <c r="AQ188" s="8">
        <v>240621</v>
      </c>
      <c r="AR188" s="8"/>
      <c r="AS188" s="8"/>
      <c r="AT188" s="8"/>
      <c r="AU188" s="8">
        <v>0</v>
      </c>
      <c r="AV188" s="8"/>
      <c r="AW188" s="8">
        <f t="shared" si="8"/>
        <v>10061806</v>
      </c>
      <c r="AY188" s="8">
        <f>+'St of Activites - GA Rev'!AI191-'St of Activities - GA Exp'!AW188</f>
        <v>-3077509</v>
      </c>
      <c r="BA188" s="8">
        <v>24867047</v>
      </c>
      <c r="BC188" s="8">
        <f t="shared" si="9"/>
        <v>21789538</v>
      </c>
      <c r="BE188" s="8">
        <f>+'St of Net Assets - GA'!AA186-'St of Activities - GA Exp'!BC188</f>
        <v>0</v>
      </c>
    </row>
    <row r="189" spans="1:57">
      <c r="A189" s="12" t="s">
        <v>629</v>
      </c>
      <c r="B189" s="12"/>
      <c r="C189" s="12" t="s">
        <v>79</v>
      </c>
      <c r="D189" s="12"/>
      <c r="E189" s="32">
        <v>45385</v>
      </c>
      <c r="G189" s="8">
        <v>5284347</v>
      </c>
      <c r="H189" s="8"/>
      <c r="I189" s="8">
        <v>662183</v>
      </c>
      <c r="J189" s="8"/>
      <c r="K189" s="8">
        <v>166074</v>
      </c>
      <c r="L189" s="8"/>
      <c r="M189" s="8">
        <v>9645</v>
      </c>
      <c r="N189" s="8"/>
      <c r="O189" s="8">
        <v>390968</v>
      </c>
      <c r="P189" s="8"/>
      <c r="Q189" s="8">
        <v>113569</v>
      </c>
      <c r="R189" s="8"/>
      <c r="S189" s="8">
        <v>50953</v>
      </c>
      <c r="T189" s="8"/>
      <c r="U189" s="8">
        <v>780010</v>
      </c>
      <c r="V189" s="8"/>
      <c r="W189" s="8">
        <v>439532</v>
      </c>
      <c r="X189" s="8"/>
      <c r="Y189" s="8">
        <v>6401</v>
      </c>
      <c r="Z189" s="8"/>
      <c r="AA189" s="8">
        <v>1091097</v>
      </c>
      <c r="AB189" s="8"/>
      <c r="AC189" s="8">
        <v>346971</v>
      </c>
      <c r="AD189" s="8"/>
      <c r="AE189" s="8">
        <v>3641</v>
      </c>
      <c r="AF189" s="8"/>
      <c r="AG189" s="12" t="s">
        <v>629</v>
      </c>
      <c r="AH189" s="12"/>
      <c r="AI189" s="12" t="s">
        <v>79</v>
      </c>
      <c r="AJ189" s="12"/>
      <c r="AK189" s="8">
        <v>506593</v>
      </c>
      <c r="AL189" s="8"/>
      <c r="AM189" s="8">
        <v>135277</v>
      </c>
      <c r="AN189" s="8"/>
      <c r="AO189" s="8">
        <v>339507</v>
      </c>
      <c r="AP189" s="8"/>
      <c r="AQ189" s="8">
        <v>170159</v>
      </c>
      <c r="AR189" s="8"/>
      <c r="AS189" s="8"/>
      <c r="AT189" s="8"/>
      <c r="AU189" s="8">
        <v>0</v>
      </c>
      <c r="AV189" s="8"/>
      <c r="AW189" s="8">
        <f t="shared" si="8"/>
        <v>10496927</v>
      </c>
      <c r="AY189" s="8">
        <f>+'St of Activites - GA Rev'!AI192-'St of Activities - GA Exp'!AW189</f>
        <v>-405790</v>
      </c>
      <c r="BA189" s="8">
        <v>23108020</v>
      </c>
      <c r="BC189" s="8">
        <f t="shared" si="9"/>
        <v>22702230</v>
      </c>
      <c r="BE189" s="8">
        <f>+'St of Net Assets - GA'!AA187-'St of Activities - GA Exp'!BC189</f>
        <v>0</v>
      </c>
    </row>
    <row r="190" spans="1:57" ht="12" customHeight="1">
      <c r="A190" s="12" t="s">
        <v>684</v>
      </c>
      <c r="B190" s="12"/>
      <c r="C190" s="12" t="s">
        <v>64</v>
      </c>
      <c r="D190" s="12"/>
      <c r="E190" s="32">
        <v>44065</v>
      </c>
      <c r="G190" s="8">
        <v>6890034</v>
      </c>
      <c r="H190" s="8"/>
      <c r="I190" s="8">
        <v>1407242</v>
      </c>
      <c r="J190" s="8"/>
      <c r="K190" s="8">
        <v>131028</v>
      </c>
      <c r="L190" s="8"/>
      <c r="M190" s="8">
        <v>740841</v>
      </c>
      <c r="N190" s="8"/>
      <c r="O190" s="8">
        <v>922606</v>
      </c>
      <c r="P190" s="8"/>
      <c r="Q190" s="8">
        <v>325363</v>
      </c>
      <c r="R190" s="8"/>
      <c r="S190" s="8">
        <v>66772</v>
      </c>
      <c r="T190" s="8"/>
      <c r="U190" s="8">
        <v>1062114</v>
      </c>
      <c r="V190" s="8"/>
      <c r="W190" s="8">
        <v>762975</v>
      </c>
      <c r="X190" s="8"/>
      <c r="Y190" s="8">
        <v>0</v>
      </c>
      <c r="Z190" s="8"/>
      <c r="AA190" s="8">
        <v>1371730</v>
      </c>
      <c r="AB190" s="8"/>
      <c r="AC190" s="8">
        <v>512002</v>
      </c>
      <c r="AD190" s="8"/>
      <c r="AE190" s="8">
        <v>4494</v>
      </c>
      <c r="AF190" s="8"/>
      <c r="AG190" s="12" t="s">
        <v>684</v>
      </c>
      <c r="AH190" s="12"/>
      <c r="AI190" s="12" t="s">
        <v>64</v>
      </c>
      <c r="AJ190" s="12"/>
      <c r="AK190" s="8">
        <v>629470</v>
      </c>
      <c r="AL190" s="8"/>
      <c r="AM190" s="8">
        <v>223488</v>
      </c>
      <c r="AN190" s="8"/>
      <c r="AO190" s="8">
        <v>478764</v>
      </c>
      <c r="AP190" s="8"/>
      <c r="AQ190" s="8">
        <v>472948</v>
      </c>
      <c r="AR190" s="8"/>
      <c r="AS190" s="8"/>
      <c r="AT190" s="8"/>
      <c r="AU190" s="8">
        <v>0</v>
      </c>
      <c r="AV190" s="8"/>
      <c r="AW190" s="8">
        <f t="shared" si="8"/>
        <v>16001871</v>
      </c>
      <c r="AY190" s="8">
        <f>+'St of Activites - GA Rev'!AI193-'St of Activities - GA Exp'!AW190</f>
        <v>22200855</v>
      </c>
      <c r="BA190" s="8">
        <v>10879642</v>
      </c>
      <c r="BC190" s="8">
        <f t="shared" si="9"/>
        <v>33080497</v>
      </c>
      <c r="BE190" s="8">
        <f>+'St of Net Assets - GA'!AA188-'St of Activities - GA Exp'!BC190</f>
        <v>0</v>
      </c>
    </row>
    <row r="191" spans="1:57">
      <c r="A191" s="12" t="s">
        <v>374</v>
      </c>
      <c r="B191" s="12"/>
      <c r="C191" s="12" t="s">
        <v>28</v>
      </c>
      <c r="D191" s="12"/>
      <c r="E191" s="32">
        <v>47068</v>
      </c>
      <c r="G191" s="8">
        <v>2442475</v>
      </c>
      <c r="H191" s="8"/>
      <c r="I191" s="8">
        <v>673516</v>
      </c>
      <c r="J191" s="8"/>
      <c r="K191" s="8">
        <v>88659</v>
      </c>
      <c r="L191" s="8"/>
      <c r="M191" s="8">
        <v>0</v>
      </c>
      <c r="N191" s="8"/>
      <c r="O191" s="8">
        <v>357816</v>
      </c>
      <c r="P191" s="8"/>
      <c r="Q191" s="8">
        <v>241706</v>
      </c>
      <c r="R191" s="8"/>
      <c r="S191" s="8">
        <v>37227</v>
      </c>
      <c r="T191" s="8"/>
      <c r="U191" s="8">
        <v>450819</v>
      </c>
      <c r="V191" s="8"/>
      <c r="W191" s="8">
        <v>173342</v>
      </c>
      <c r="X191" s="8"/>
      <c r="Y191" s="8">
        <v>0</v>
      </c>
      <c r="Z191" s="8"/>
      <c r="AA191" s="8">
        <v>421836</v>
      </c>
      <c r="AB191" s="8"/>
      <c r="AC191" s="8">
        <v>233806</v>
      </c>
      <c r="AD191" s="8"/>
      <c r="AE191" s="8">
        <v>41394</v>
      </c>
      <c r="AF191" s="8"/>
      <c r="AG191" s="12" t="s">
        <v>374</v>
      </c>
      <c r="AH191" s="12"/>
      <c r="AI191" s="12" t="s">
        <v>28</v>
      </c>
      <c r="AJ191" s="12"/>
      <c r="AK191" s="8">
        <v>0</v>
      </c>
      <c r="AL191" s="8"/>
      <c r="AM191" s="8">
        <v>168007</v>
      </c>
      <c r="AN191" s="8"/>
      <c r="AO191" s="8">
        <v>228565</v>
      </c>
      <c r="AP191" s="8"/>
      <c r="AQ191" s="8">
        <v>564336</v>
      </c>
      <c r="AR191" s="8"/>
      <c r="AS191" s="8"/>
      <c r="AT191" s="8"/>
      <c r="AU191" s="8">
        <v>0</v>
      </c>
      <c r="AV191" s="8"/>
      <c r="AW191" s="8">
        <f t="shared" si="8"/>
        <v>6123504</v>
      </c>
      <c r="AY191" s="8">
        <f>+'St of Activites - GA Rev'!AI194-'St of Activities - GA Exp'!AW191</f>
        <v>-260853</v>
      </c>
      <c r="BA191" s="8">
        <v>18341907</v>
      </c>
      <c r="BC191" s="8">
        <f t="shared" si="9"/>
        <v>18081054</v>
      </c>
      <c r="BE191" s="8">
        <f>+'St of Net Assets - GA'!AA189-'St of Activities - GA Exp'!BC191</f>
        <v>0</v>
      </c>
    </row>
    <row r="192" spans="1:57">
      <c r="A192" s="12" t="s">
        <v>273</v>
      </c>
      <c r="B192" s="12"/>
      <c r="C192" s="12" t="s">
        <v>116</v>
      </c>
      <c r="D192" s="12"/>
      <c r="E192" s="32">
        <v>46342</v>
      </c>
      <c r="G192" s="8">
        <v>9997038</v>
      </c>
      <c r="H192" s="8"/>
      <c r="I192" s="8">
        <v>1915467</v>
      </c>
      <c r="J192" s="8"/>
      <c r="K192" s="8">
        <v>476026</v>
      </c>
      <c r="L192" s="8"/>
      <c r="M192" s="8">
        <v>10767</v>
      </c>
      <c r="N192" s="8"/>
      <c r="O192" s="8">
        <v>2166417</v>
      </c>
      <c r="P192" s="8"/>
      <c r="Q192" s="8">
        <v>3233803</v>
      </c>
      <c r="R192" s="8"/>
      <c r="S192" s="8">
        <v>45341</v>
      </c>
      <c r="T192" s="8"/>
      <c r="U192" s="8">
        <v>1537131</v>
      </c>
      <c r="V192" s="8"/>
      <c r="W192" s="8">
        <v>550590</v>
      </c>
      <c r="X192" s="8"/>
      <c r="Y192" s="8">
        <v>75463</v>
      </c>
      <c r="Z192" s="8"/>
      <c r="AA192" s="8">
        <v>2199980</v>
      </c>
      <c r="AB192" s="8"/>
      <c r="AC192" s="8">
        <v>1865546</v>
      </c>
      <c r="AD192" s="8"/>
      <c r="AE192" s="8">
        <v>546</v>
      </c>
      <c r="AF192" s="8"/>
      <c r="AG192" s="12" t="s">
        <v>273</v>
      </c>
      <c r="AH192" s="12"/>
      <c r="AI192" s="12" t="s">
        <v>116</v>
      </c>
      <c r="AJ192" s="12"/>
      <c r="AK192" s="8">
        <v>1214166</v>
      </c>
      <c r="AL192" s="8"/>
      <c r="AM192" s="8">
        <v>98385</v>
      </c>
      <c r="AN192" s="8"/>
      <c r="AO192" s="8">
        <v>529873</v>
      </c>
      <c r="AP192" s="8"/>
      <c r="AQ192" s="8">
        <v>638884</v>
      </c>
      <c r="AR192" s="8"/>
      <c r="AS192" s="8"/>
      <c r="AT192" s="8"/>
      <c r="AU192" s="8">
        <v>0</v>
      </c>
      <c r="AV192" s="8"/>
      <c r="AW192" s="8">
        <f t="shared" si="8"/>
        <v>26555423</v>
      </c>
      <c r="AY192" s="8">
        <f>+'St of Activites - GA Rev'!AI195-'St of Activities - GA Exp'!AW192</f>
        <v>-1022595</v>
      </c>
      <c r="BA192" s="8">
        <v>36165708</v>
      </c>
      <c r="BC192" s="8">
        <f t="shared" si="9"/>
        <v>35143113</v>
      </c>
      <c r="BE192" s="8">
        <f>+'St of Net Assets - GA'!AA190-'St of Activities - GA Exp'!BC192</f>
        <v>0</v>
      </c>
    </row>
    <row r="193" spans="1:57">
      <c r="A193" s="12" t="s">
        <v>258</v>
      </c>
      <c r="B193" s="12"/>
      <c r="C193" s="12" t="s">
        <v>259</v>
      </c>
      <c r="D193" s="12"/>
      <c r="E193" s="32">
        <v>46193</v>
      </c>
      <c r="G193" s="8">
        <v>6388423</v>
      </c>
      <c r="H193" s="8"/>
      <c r="I193" s="8">
        <v>1916347</v>
      </c>
      <c r="J193" s="8"/>
      <c r="K193" s="8">
        <v>150</v>
      </c>
      <c r="L193" s="8"/>
      <c r="M193" s="8">
        <f>1307221+4505</f>
        <v>1311726</v>
      </c>
      <c r="N193" s="8"/>
      <c r="O193" s="8">
        <v>1008736</v>
      </c>
      <c r="P193" s="8"/>
      <c r="Q193" s="8">
        <v>1316657</v>
      </c>
      <c r="R193" s="8"/>
      <c r="S193" s="8">
        <v>83350</v>
      </c>
      <c r="T193" s="8"/>
      <c r="U193" s="8">
        <v>1355955</v>
      </c>
      <c r="V193" s="8"/>
      <c r="W193" s="8">
        <v>444968</v>
      </c>
      <c r="X193" s="8"/>
      <c r="Y193" s="8">
        <v>138300</v>
      </c>
      <c r="Z193" s="8"/>
      <c r="AA193" s="8">
        <v>1407584</v>
      </c>
      <c r="AB193" s="8"/>
      <c r="AC193" s="8">
        <v>1362092</v>
      </c>
      <c r="AD193" s="8"/>
      <c r="AE193" s="8">
        <v>116556</v>
      </c>
      <c r="AF193" s="8"/>
      <c r="AG193" s="12" t="s">
        <v>258</v>
      </c>
      <c r="AH193" s="12"/>
      <c r="AI193" s="12" t="s">
        <v>259</v>
      </c>
      <c r="AJ193" s="12"/>
      <c r="AK193" s="8">
        <v>0</v>
      </c>
      <c r="AL193" s="8"/>
      <c r="AM193" s="8">
        <v>2404378</v>
      </c>
      <c r="AN193" s="8"/>
      <c r="AO193" s="8">
        <v>459706</v>
      </c>
      <c r="AP193" s="8"/>
      <c r="AQ193" s="8">
        <v>968993</v>
      </c>
      <c r="AR193" s="8"/>
      <c r="AS193" s="8"/>
      <c r="AT193" s="8"/>
      <c r="AU193" s="8">
        <v>0</v>
      </c>
      <c r="AV193" s="8"/>
      <c r="AW193" s="8">
        <f t="shared" si="8"/>
        <v>20683921</v>
      </c>
      <c r="AY193" s="8">
        <f>+'St of Activites - GA Rev'!AI196-'St of Activities - GA Exp'!AW193</f>
        <v>798186</v>
      </c>
      <c r="BA193" s="8">
        <v>12392330</v>
      </c>
      <c r="BC193" s="8">
        <f t="shared" si="9"/>
        <v>13190516</v>
      </c>
      <c r="BE193" s="8">
        <f>+'St of Net Assets - GA'!AA191-'St of Activities - GA Exp'!BC193</f>
        <v>0</v>
      </c>
    </row>
    <row r="194" spans="1:57">
      <c r="A194" s="12" t="s">
        <v>222</v>
      </c>
      <c r="B194" s="12"/>
      <c r="C194" s="12" t="s">
        <v>12</v>
      </c>
      <c r="D194" s="12"/>
      <c r="E194" s="32">
        <v>45864</v>
      </c>
      <c r="G194" s="8">
        <v>6647347</v>
      </c>
      <c r="H194" s="8"/>
      <c r="I194" s="8">
        <v>938972</v>
      </c>
      <c r="J194" s="8"/>
      <c r="K194" s="8">
        <v>168023</v>
      </c>
      <c r="L194" s="8"/>
      <c r="M194" s="8">
        <v>0</v>
      </c>
      <c r="N194" s="8"/>
      <c r="O194" s="8">
        <v>458891</v>
      </c>
      <c r="P194" s="8"/>
      <c r="Q194" s="8">
        <v>450500</v>
      </c>
      <c r="R194" s="8"/>
      <c r="S194" s="8">
        <v>17477</v>
      </c>
      <c r="T194" s="8"/>
      <c r="U194" s="8">
        <v>1119912</v>
      </c>
      <c r="V194" s="8"/>
      <c r="W194" s="8">
        <v>300707</v>
      </c>
      <c r="X194" s="8"/>
      <c r="Y194" s="8">
        <v>29512</v>
      </c>
      <c r="Z194" s="8"/>
      <c r="AA194" s="8">
        <v>1161691</v>
      </c>
      <c r="AB194" s="8"/>
      <c r="AC194" s="8">
        <v>1461098</v>
      </c>
      <c r="AD194" s="8"/>
      <c r="AE194" s="8">
        <v>21766</v>
      </c>
      <c r="AF194" s="8"/>
      <c r="AG194" s="12" t="s">
        <v>222</v>
      </c>
      <c r="AH194" s="12"/>
      <c r="AI194" s="12" t="s">
        <v>12</v>
      </c>
      <c r="AJ194" s="12"/>
      <c r="AK194" s="8">
        <v>512999</v>
      </c>
      <c r="AL194" s="8"/>
      <c r="AM194" s="8">
        <v>0</v>
      </c>
      <c r="AN194" s="8"/>
      <c r="AO194" s="8">
        <v>429819</v>
      </c>
      <c r="AP194" s="8"/>
      <c r="AQ194" s="8">
        <v>645746</v>
      </c>
      <c r="AR194" s="8"/>
      <c r="AS194" s="8"/>
      <c r="AT194" s="8"/>
      <c r="AU194" s="8">
        <v>0</v>
      </c>
      <c r="AV194" s="8"/>
      <c r="AW194" s="8">
        <f t="shared" si="8"/>
        <v>14364460</v>
      </c>
      <c r="AY194" s="8">
        <f>+'St of Activites - GA Rev'!AI197-'St of Activities - GA Exp'!AW194</f>
        <v>-867871</v>
      </c>
      <c r="BA194" s="8">
        <v>31882723</v>
      </c>
      <c r="BC194" s="8">
        <f t="shared" si="9"/>
        <v>31014852</v>
      </c>
      <c r="BE194" s="8">
        <f>+'St of Net Assets - GA'!AA192-'St of Activities - GA Exp'!BC194</f>
        <v>0</v>
      </c>
    </row>
    <row r="195" spans="1:57">
      <c r="A195" s="12" t="s">
        <v>361</v>
      </c>
      <c r="B195" s="12"/>
      <c r="C195" s="12" t="s">
        <v>27</v>
      </c>
      <c r="D195" s="12"/>
      <c r="E195" s="32">
        <v>44073</v>
      </c>
      <c r="G195" s="8">
        <v>7215959</v>
      </c>
      <c r="H195" s="8"/>
      <c r="I195" s="8">
        <v>2419316</v>
      </c>
      <c r="J195" s="8"/>
      <c r="K195" s="8">
        <v>109077</v>
      </c>
      <c r="L195" s="8"/>
      <c r="M195" s="8">
        <v>0</v>
      </c>
      <c r="N195" s="8"/>
      <c r="O195" s="8">
        <v>1361021</v>
      </c>
      <c r="P195" s="8"/>
      <c r="Q195" s="8">
        <v>575479</v>
      </c>
      <c r="R195" s="8"/>
      <c r="S195" s="8">
        <v>18263</v>
      </c>
      <c r="T195" s="8"/>
      <c r="U195" s="8">
        <v>1134601</v>
      </c>
      <c r="V195" s="8"/>
      <c r="W195" s="8">
        <v>570154</v>
      </c>
      <c r="X195" s="8"/>
      <c r="Y195" s="8">
        <v>30068</v>
      </c>
      <c r="Z195" s="8"/>
      <c r="AA195" s="8">
        <v>924576</v>
      </c>
      <c r="AB195" s="8"/>
      <c r="AC195" s="8">
        <v>15381</v>
      </c>
      <c r="AD195" s="8"/>
      <c r="AE195" s="8">
        <v>62822</v>
      </c>
      <c r="AF195" s="8"/>
      <c r="AG195" s="12" t="s">
        <v>361</v>
      </c>
      <c r="AH195" s="12"/>
      <c r="AI195" s="12" t="s">
        <v>27</v>
      </c>
      <c r="AJ195" s="12"/>
      <c r="AK195" s="8">
        <v>0</v>
      </c>
      <c r="AL195" s="8"/>
      <c r="AM195" s="8">
        <v>655524</v>
      </c>
      <c r="AN195" s="8"/>
      <c r="AO195" s="8">
        <v>740113</v>
      </c>
      <c r="AP195" s="8"/>
      <c r="AQ195" s="8">
        <v>388960</v>
      </c>
      <c r="AR195" s="8"/>
      <c r="AS195" s="8"/>
      <c r="AT195" s="8"/>
      <c r="AU195" s="8">
        <v>30001</v>
      </c>
      <c r="AV195" s="8"/>
      <c r="AW195" s="8">
        <f t="shared" si="8"/>
        <v>16251315</v>
      </c>
      <c r="AY195" s="8">
        <f>+'St of Activites - GA Rev'!AI198-'St of Activities - GA Exp'!AW195</f>
        <v>468352</v>
      </c>
      <c r="BA195" s="8">
        <v>12353243</v>
      </c>
      <c r="BC195" s="8">
        <f t="shared" si="9"/>
        <v>12821595</v>
      </c>
      <c r="BE195" s="8">
        <f>+'St of Net Assets - GA'!AA193-'St of Activities - GA Exp'!BC195</f>
        <v>0</v>
      </c>
    </row>
    <row r="196" spans="1:57">
      <c r="A196" s="12" t="s">
        <v>478</v>
      </c>
      <c r="B196" s="12"/>
      <c r="C196" s="12" t="s">
        <v>42</v>
      </c>
      <c r="D196" s="12"/>
      <c r="E196" s="32">
        <v>45393</v>
      </c>
      <c r="G196" s="8">
        <v>11823856</v>
      </c>
      <c r="H196" s="8"/>
      <c r="I196" s="8">
        <v>1975964</v>
      </c>
      <c r="J196" s="8"/>
      <c r="K196" s="8">
        <v>166851</v>
      </c>
      <c r="L196" s="8"/>
      <c r="M196" s="8">
        <v>0</v>
      </c>
      <c r="N196" s="8"/>
      <c r="O196" s="8">
        <v>1566360</v>
      </c>
      <c r="P196" s="8"/>
      <c r="Q196" s="8">
        <v>1428716</v>
      </c>
      <c r="R196" s="8"/>
      <c r="S196" s="8">
        <v>125069</v>
      </c>
      <c r="T196" s="8"/>
      <c r="U196" s="8">
        <v>1734575</v>
      </c>
      <c r="V196" s="8"/>
      <c r="W196" s="8">
        <v>699749</v>
      </c>
      <c r="X196" s="8"/>
      <c r="Y196" s="8">
        <v>474</v>
      </c>
      <c r="Z196" s="8"/>
      <c r="AA196" s="8">
        <v>2227169</v>
      </c>
      <c r="AB196" s="8"/>
      <c r="AC196" s="8">
        <v>1698740</v>
      </c>
      <c r="AD196" s="8"/>
      <c r="AE196" s="8">
        <v>280651</v>
      </c>
      <c r="AF196" s="8"/>
      <c r="AG196" s="12" t="s">
        <v>478</v>
      </c>
      <c r="AH196" s="12"/>
      <c r="AI196" s="12" t="s">
        <v>42</v>
      </c>
      <c r="AJ196" s="12"/>
      <c r="AK196" s="8">
        <v>0</v>
      </c>
      <c r="AL196" s="8"/>
      <c r="AM196" s="8">
        <v>35442</v>
      </c>
      <c r="AN196" s="8"/>
      <c r="AO196" s="8">
        <v>829305</v>
      </c>
      <c r="AP196" s="8"/>
      <c r="AQ196" s="8">
        <v>2086820</v>
      </c>
      <c r="AR196" s="8"/>
      <c r="AS196" s="8"/>
      <c r="AT196" s="8"/>
      <c r="AU196" s="8">
        <v>0</v>
      </c>
      <c r="AV196" s="8"/>
      <c r="AW196" s="8">
        <f t="shared" si="8"/>
        <v>26679741</v>
      </c>
      <c r="AY196" s="8">
        <f>+'St of Activites - GA Rev'!AI199-'St of Activities - GA Exp'!AW196</f>
        <v>-397746</v>
      </c>
      <c r="BA196" s="8">
        <v>11317754</v>
      </c>
      <c r="BC196" s="8">
        <f t="shared" si="9"/>
        <v>10920008</v>
      </c>
      <c r="BE196" s="8">
        <f>+'St of Net Assets - GA'!AA194-'St of Activities - GA Exp'!BC196</f>
        <v>0</v>
      </c>
    </row>
    <row r="197" spans="1:57">
      <c r="A197" s="12" t="s">
        <v>633</v>
      </c>
      <c r="B197" s="12"/>
      <c r="C197" s="12" t="s">
        <v>59</v>
      </c>
      <c r="D197" s="12"/>
      <c r="E197" s="32">
        <v>49619</v>
      </c>
      <c r="G197" s="8">
        <v>2568746</v>
      </c>
      <c r="H197" s="8"/>
      <c r="I197" s="8">
        <v>698781</v>
      </c>
      <c r="J197" s="8"/>
      <c r="K197" s="8">
        <v>175293</v>
      </c>
      <c r="L197" s="8"/>
      <c r="M197" s="8">
        <v>597288</v>
      </c>
      <c r="N197" s="8"/>
      <c r="O197" s="8">
        <v>445561</v>
      </c>
      <c r="P197" s="8"/>
      <c r="Q197" s="8">
        <v>257282</v>
      </c>
      <c r="R197" s="8"/>
      <c r="S197" s="8">
        <v>33952</v>
      </c>
      <c r="T197" s="8"/>
      <c r="U197" s="8">
        <v>464331</v>
      </c>
      <c r="V197" s="8"/>
      <c r="W197" s="8">
        <v>248006</v>
      </c>
      <c r="X197" s="8"/>
      <c r="Y197" s="8">
        <v>0</v>
      </c>
      <c r="Z197" s="8"/>
      <c r="AA197" s="8">
        <v>696880</v>
      </c>
      <c r="AB197" s="8"/>
      <c r="AC197" s="8">
        <v>483877</v>
      </c>
      <c r="AD197" s="8"/>
      <c r="AE197" s="8">
        <v>0</v>
      </c>
      <c r="AF197" s="8"/>
      <c r="AG197" s="12" t="s">
        <v>633</v>
      </c>
      <c r="AH197" s="12"/>
      <c r="AI197" s="12" t="s">
        <v>59</v>
      </c>
      <c r="AJ197" s="12"/>
      <c r="AK197" s="8">
        <v>0</v>
      </c>
      <c r="AL197" s="8"/>
      <c r="AM197" s="8">
        <v>293391</v>
      </c>
      <c r="AN197" s="8"/>
      <c r="AO197" s="8">
        <v>124313</v>
      </c>
      <c r="AP197" s="8"/>
      <c r="AQ197" s="8">
        <v>1560</v>
      </c>
      <c r="AR197" s="8"/>
      <c r="AS197" s="8"/>
      <c r="AT197" s="8"/>
      <c r="AU197" s="8">
        <v>0</v>
      </c>
      <c r="AV197" s="8"/>
      <c r="AW197" s="8">
        <f t="shared" si="8"/>
        <v>7089261</v>
      </c>
      <c r="AY197" s="8">
        <f>+'St of Activites - GA Rev'!AI200-'St of Activities - GA Exp'!AW197</f>
        <v>-374428</v>
      </c>
      <c r="BA197" s="8">
        <v>2675097</v>
      </c>
      <c r="BC197" s="8">
        <f t="shared" si="9"/>
        <v>2300669</v>
      </c>
      <c r="BE197" s="8">
        <f>+'St of Net Assets - GA'!AA195-'St of Activities - GA Exp'!BC197</f>
        <v>0</v>
      </c>
    </row>
    <row r="198" spans="1:57">
      <c r="A198" s="12" t="s">
        <v>633</v>
      </c>
      <c r="B198" s="12"/>
      <c r="C198" s="12" t="s">
        <v>63</v>
      </c>
      <c r="D198" s="12"/>
      <c r="E198" s="32">
        <v>50013</v>
      </c>
      <c r="G198" s="8">
        <v>16278780</v>
      </c>
      <c r="H198" s="8"/>
      <c r="I198" s="8">
        <v>5585153</v>
      </c>
      <c r="J198" s="8"/>
      <c r="K198" s="8">
        <v>310034</v>
      </c>
      <c r="L198" s="8"/>
      <c r="M198" s="8">
        <v>1085891</v>
      </c>
      <c r="N198" s="8"/>
      <c r="O198" s="8">
        <v>2487567</v>
      </c>
      <c r="P198" s="8"/>
      <c r="Q198" s="8">
        <v>1827656</v>
      </c>
      <c r="R198" s="8"/>
      <c r="S198" s="8">
        <v>41980</v>
      </c>
      <c r="T198" s="8"/>
      <c r="U198" s="8">
        <v>2786651</v>
      </c>
      <c r="V198" s="8"/>
      <c r="W198" s="8">
        <v>820980</v>
      </c>
      <c r="X198" s="8"/>
      <c r="Y198" s="8">
        <v>170515</v>
      </c>
      <c r="Z198" s="8"/>
      <c r="AA198" s="8">
        <v>4975247</v>
      </c>
      <c r="AB198" s="8"/>
      <c r="AC198" s="8">
        <v>1899394</v>
      </c>
      <c r="AD198" s="8"/>
      <c r="AE198" s="8">
        <v>22005</v>
      </c>
      <c r="AF198" s="8"/>
      <c r="AG198" s="12" t="s">
        <v>633</v>
      </c>
      <c r="AH198" s="12"/>
      <c r="AI198" s="12" t="s">
        <v>63</v>
      </c>
      <c r="AJ198" s="12"/>
      <c r="AK198" s="8">
        <v>1405627</v>
      </c>
      <c r="AL198" s="8"/>
      <c r="AM198" s="8">
        <v>811729</v>
      </c>
      <c r="AN198" s="8"/>
      <c r="AO198" s="8">
        <v>292686</v>
      </c>
      <c r="AP198" s="8"/>
      <c r="AQ198" s="8">
        <v>1543496</v>
      </c>
      <c r="AR198" s="8"/>
      <c r="AS198" s="8"/>
      <c r="AT198" s="8"/>
      <c r="AU198" s="8">
        <v>0</v>
      </c>
      <c r="AV198" s="8"/>
      <c r="AW198" s="8">
        <f t="shared" si="8"/>
        <v>42345391</v>
      </c>
      <c r="AY198" s="8">
        <f>+'St of Activites - GA Rev'!AI201-'St of Activities - GA Exp'!AW198</f>
        <v>-1686903</v>
      </c>
      <c r="BA198" s="8">
        <v>10548611</v>
      </c>
      <c r="BC198" s="8">
        <f t="shared" si="9"/>
        <v>8861708</v>
      </c>
      <c r="BE198" s="8">
        <f>+'St of Net Assets - GA'!AA196-'St of Activities - GA Exp'!BC198</f>
        <v>0</v>
      </c>
    </row>
    <row r="199" spans="1:57">
      <c r="A199" s="12" t="s">
        <v>633</v>
      </c>
      <c r="B199" s="12"/>
      <c r="C199" s="12" t="s">
        <v>71</v>
      </c>
      <c r="D199" s="12"/>
      <c r="E199" s="32">
        <v>50559</v>
      </c>
      <c r="G199" s="8">
        <v>4918034</v>
      </c>
      <c r="H199" s="8"/>
      <c r="I199" s="8">
        <v>836456</v>
      </c>
      <c r="J199" s="8"/>
      <c r="K199" s="8">
        <v>221356</v>
      </c>
      <c r="L199" s="8"/>
      <c r="M199" s="8">
        <f>698+574054</f>
        <v>574752</v>
      </c>
      <c r="N199" s="8"/>
      <c r="O199" s="8">
        <v>297020</v>
      </c>
      <c r="P199" s="8"/>
      <c r="Q199" s="8">
        <v>247089</v>
      </c>
      <c r="R199" s="8"/>
      <c r="S199" s="8">
        <v>65026</v>
      </c>
      <c r="T199" s="8"/>
      <c r="U199" s="8">
        <v>684493</v>
      </c>
      <c r="V199" s="8"/>
      <c r="W199" s="8">
        <v>318024</v>
      </c>
      <c r="X199" s="8"/>
      <c r="Y199" s="8">
        <v>36</v>
      </c>
      <c r="Z199" s="8"/>
      <c r="AA199" s="8">
        <v>996012</v>
      </c>
      <c r="AB199" s="8"/>
      <c r="AC199" s="8">
        <v>597639</v>
      </c>
      <c r="AD199" s="8"/>
      <c r="AE199" s="8">
        <v>287422</v>
      </c>
      <c r="AF199" s="8"/>
      <c r="AG199" s="12" t="s">
        <v>633</v>
      </c>
      <c r="AH199" s="12"/>
      <c r="AI199" s="12" t="s">
        <v>71</v>
      </c>
      <c r="AJ199" s="12"/>
      <c r="AK199" s="8">
        <v>352130</v>
      </c>
      <c r="AL199" s="8"/>
      <c r="AM199" s="8">
        <v>52636</v>
      </c>
      <c r="AN199" s="8"/>
      <c r="AO199" s="8">
        <v>434254</v>
      </c>
      <c r="AP199" s="8"/>
      <c r="AQ199" s="8">
        <v>21204</v>
      </c>
      <c r="AR199" s="8"/>
      <c r="AS199" s="8"/>
      <c r="AT199" s="8"/>
      <c r="AU199" s="8">
        <v>0</v>
      </c>
      <c r="AV199" s="8"/>
      <c r="AW199" s="8">
        <f t="shared" si="8"/>
        <v>10903583</v>
      </c>
      <c r="AY199" s="8">
        <f>+'St of Activites - GA Rev'!AI202-'St of Activities - GA Exp'!AW199</f>
        <v>1056081</v>
      </c>
      <c r="BA199" s="8">
        <v>1166664</v>
      </c>
      <c r="BC199" s="8">
        <f t="shared" si="9"/>
        <v>2222745</v>
      </c>
      <c r="BE199" s="8">
        <f>+'St of Net Assets - GA'!AA197-'St of Activities - GA Exp'!BC199</f>
        <v>0</v>
      </c>
    </row>
    <row r="200" spans="1:57">
      <c r="A200" s="12" t="s">
        <v>390</v>
      </c>
      <c r="B200" s="12"/>
      <c r="C200" s="12" t="s">
        <v>117</v>
      </c>
      <c r="D200" s="12"/>
      <c r="E200" s="32">
        <v>47266</v>
      </c>
      <c r="G200" s="8">
        <v>5440392</v>
      </c>
      <c r="H200" s="8"/>
      <c r="I200" s="8">
        <v>912030</v>
      </c>
      <c r="J200" s="8"/>
      <c r="K200" s="8">
        <v>93203</v>
      </c>
      <c r="L200" s="8"/>
      <c r="M200" s="8">
        <v>20193</v>
      </c>
      <c r="N200" s="8"/>
      <c r="O200" s="8">
        <v>1142751</v>
      </c>
      <c r="P200" s="8"/>
      <c r="Q200" s="8">
        <v>744505</v>
      </c>
      <c r="R200" s="8"/>
      <c r="S200" s="8">
        <v>78933</v>
      </c>
      <c r="T200" s="8"/>
      <c r="U200" s="8">
        <v>1207772</v>
      </c>
      <c r="V200" s="8"/>
      <c r="W200" s="8">
        <v>383810</v>
      </c>
      <c r="X200" s="8"/>
      <c r="Y200" s="8">
        <v>347</v>
      </c>
      <c r="Z200" s="8"/>
      <c r="AA200" s="8">
        <v>1033271</v>
      </c>
      <c r="AB200" s="8"/>
      <c r="AC200" s="8">
        <v>820653</v>
      </c>
      <c r="AD200" s="8"/>
      <c r="AE200" s="8">
        <v>0</v>
      </c>
      <c r="AF200" s="8"/>
      <c r="AG200" s="12" t="s">
        <v>390</v>
      </c>
      <c r="AH200" s="12"/>
      <c r="AI200" s="12" t="s">
        <v>117</v>
      </c>
      <c r="AJ200" s="12"/>
      <c r="AK200" s="8">
        <v>0</v>
      </c>
      <c r="AL200" s="8"/>
      <c r="AM200" s="8">
        <v>391317</v>
      </c>
      <c r="AN200" s="8"/>
      <c r="AO200" s="8">
        <v>422506</v>
      </c>
      <c r="AP200" s="8"/>
      <c r="AQ200" s="8">
        <v>531309</v>
      </c>
      <c r="AR200" s="8"/>
      <c r="AS200" s="8"/>
      <c r="AT200" s="8"/>
      <c r="AU200" s="8">
        <v>0</v>
      </c>
      <c r="AV200" s="8"/>
      <c r="AW200" s="8">
        <f t="shared" si="8"/>
        <v>13222992</v>
      </c>
      <c r="AY200" s="8">
        <f>+'St of Activites - GA Rev'!AI203-'St of Activities - GA Exp'!AW200</f>
        <v>857547</v>
      </c>
      <c r="BA200" s="8">
        <v>4502885</v>
      </c>
      <c r="BC200" s="8">
        <f t="shared" si="9"/>
        <v>5360432</v>
      </c>
      <c r="BE200" s="8">
        <f>+'St of Net Assets - GA'!AA198-'St of Activities - GA Exp'!BC200</f>
        <v>0</v>
      </c>
    </row>
    <row r="201" spans="1:57" ht="12" customHeight="1">
      <c r="A201" s="12" t="s">
        <v>442</v>
      </c>
      <c r="B201" s="12"/>
      <c r="C201" s="12" t="s">
        <v>440</v>
      </c>
      <c r="D201" s="12"/>
      <c r="E201" s="32">
        <v>45401</v>
      </c>
      <c r="G201" s="8">
        <v>10532442</v>
      </c>
      <c r="H201" s="8"/>
      <c r="I201" s="8">
        <v>1466529</v>
      </c>
      <c r="J201" s="8"/>
      <c r="K201" s="8">
        <v>506750</v>
      </c>
      <c r="L201" s="8"/>
      <c r="M201" s="8">
        <v>890560</v>
      </c>
      <c r="N201" s="8"/>
      <c r="O201" s="8">
        <v>754311</v>
      </c>
      <c r="P201" s="8"/>
      <c r="Q201" s="8">
        <v>265455</v>
      </c>
      <c r="R201" s="8"/>
      <c r="S201" s="8">
        <v>62137</v>
      </c>
      <c r="T201" s="8"/>
      <c r="U201" s="8">
        <v>1698972</v>
      </c>
      <c r="V201" s="8"/>
      <c r="W201" s="8">
        <v>414487</v>
      </c>
      <c r="X201" s="8"/>
      <c r="Y201" s="8">
        <v>0</v>
      </c>
      <c r="Z201" s="8"/>
      <c r="AA201" s="8">
        <v>1853426</v>
      </c>
      <c r="AB201" s="8"/>
      <c r="AC201" s="8">
        <v>1153223</v>
      </c>
      <c r="AD201" s="8"/>
      <c r="AE201" s="8">
        <v>0</v>
      </c>
      <c r="AF201" s="8"/>
      <c r="AG201" s="13" t="s">
        <v>442</v>
      </c>
      <c r="AH201" s="13"/>
      <c r="AI201" s="13" t="s">
        <v>440</v>
      </c>
      <c r="AJ201" s="13"/>
      <c r="AK201" s="8">
        <v>0</v>
      </c>
      <c r="AL201" s="8"/>
      <c r="AM201" s="8">
        <v>654651</v>
      </c>
      <c r="AN201" s="8"/>
      <c r="AO201" s="8">
        <v>343390</v>
      </c>
      <c r="AP201" s="8"/>
      <c r="AQ201" s="8">
        <v>140650</v>
      </c>
      <c r="AR201" s="8"/>
      <c r="AS201" s="8"/>
      <c r="AT201" s="8"/>
      <c r="AU201" s="8">
        <v>0</v>
      </c>
      <c r="AV201" s="8"/>
      <c r="AW201" s="8">
        <f t="shared" si="8"/>
        <v>20736983</v>
      </c>
      <c r="AY201" s="8">
        <f>+'St of Activites - GA Rev'!AI204-'St of Activities - GA Exp'!AW201</f>
        <v>-477541</v>
      </c>
      <c r="BA201" s="8">
        <v>27254946</v>
      </c>
      <c r="BC201" s="8">
        <f t="shared" si="9"/>
        <v>26777405</v>
      </c>
      <c r="BE201" s="8">
        <f>+'St of Net Assets - GA'!AA199-'St of Activities - GA Exp'!BC201</f>
        <v>0</v>
      </c>
    </row>
    <row r="202" spans="1:57">
      <c r="A202" s="12" t="s">
        <v>265</v>
      </c>
      <c r="B202" s="12"/>
      <c r="C202" s="12" t="s">
        <v>17</v>
      </c>
      <c r="D202" s="12"/>
      <c r="E202" s="32">
        <v>46235</v>
      </c>
      <c r="G202" s="8">
        <v>7011212</v>
      </c>
      <c r="H202" s="8"/>
      <c r="I202" s="8">
        <v>1326883</v>
      </c>
      <c r="J202" s="8"/>
      <c r="K202" s="8">
        <v>402496</v>
      </c>
      <c r="L202" s="8"/>
      <c r="M202" s="8">
        <v>442515</v>
      </c>
      <c r="N202" s="8"/>
      <c r="O202" s="8">
        <v>559005</v>
      </c>
      <c r="P202" s="8"/>
      <c r="Q202" s="8">
        <v>463084</v>
      </c>
      <c r="R202" s="8"/>
      <c r="S202" s="8">
        <v>88333</v>
      </c>
      <c r="T202" s="8"/>
      <c r="U202" s="8">
        <v>1459397</v>
      </c>
      <c r="V202" s="8"/>
      <c r="W202" s="8">
        <v>496329</v>
      </c>
      <c r="X202" s="8"/>
      <c r="Y202" s="8">
        <v>216920</v>
      </c>
      <c r="Z202" s="8"/>
      <c r="AA202" s="8">
        <v>1371777</v>
      </c>
      <c r="AB202" s="8"/>
      <c r="AC202" s="8">
        <v>1118124</v>
      </c>
      <c r="AD202" s="8"/>
      <c r="AE202" s="8">
        <v>111310</v>
      </c>
      <c r="AF202" s="8"/>
      <c r="AG202" s="12" t="s">
        <v>265</v>
      </c>
      <c r="AH202" s="12"/>
      <c r="AI202" s="12" t="s">
        <v>17</v>
      </c>
      <c r="AJ202" s="12"/>
      <c r="AK202" s="8">
        <v>605933</v>
      </c>
      <c r="AL202" s="8"/>
      <c r="AM202" s="8">
        <f>18580+52796</f>
        <v>71376</v>
      </c>
      <c r="AN202" s="8"/>
      <c r="AO202" s="8">
        <v>345478</v>
      </c>
      <c r="AP202" s="8"/>
      <c r="AQ202" s="8">
        <v>4985</v>
      </c>
      <c r="AR202" s="8"/>
      <c r="AS202" s="8"/>
      <c r="AT202" s="8"/>
      <c r="AU202" s="8">
        <v>0</v>
      </c>
      <c r="AV202" s="8"/>
      <c r="AW202" s="8">
        <f t="shared" si="8"/>
        <v>16095157</v>
      </c>
      <c r="AY202" s="8">
        <f>+'St of Activites - GA Rev'!AI205-'St of Activities - GA Exp'!AW202</f>
        <v>30256</v>
      </c>
      <c r="BA202" s="8">
        <v>9078641</v>
      </c>
      <c r="BC202" s="8">
        <f t="shared" si="9"/>
        <v>9108897</v>
      </c>
      <c r="BE202" s="8">
        <f>+'St of Net Assets - GA'!AA202-'St of Activities - GA Exp'!BC202</f>
        <v>0</v>
      </c>
    </row>
    <row r="203" spans="1:57">
      <c r="A203" s="12" t="s">
        <v>331</v>
      </c>
      <c r="B203" s="12"/>
      <c r="C203" s="12" t="s">
        <v>21</v>
      </c>
      <c r="D203" s="12"/>
      <c r="E203" s="32">
        <v>44099</v>
      </c>
      <c r="G203" s="8">
        <v>12451147</v>
      </c>
      <c r="H203" s="8"/>
      <c r="I203" s="8">
        <v>3170462</v>
      </c>
      <c r="J203" s="8"/>
      <c r="K203" s="8">
        <v>2169910</v>
      </c>
      <c r="L203" s="8"/>
      <c r="M203" s="8">
        <f>67106+99369</f>
        <v>166475</v>
      </c>
      <c r="N203" s="8"/>
      <c r="O203" s="8">
        <v>1309921</v>
      </c>
      <c r="P203" s="8"/>
      <c r="Q203" s="8">
        <v>1837670</v>
      </c>
      <c r="R203" s="8"/>
      <c r="S203" s="8">
        <v>66676</v>
      </c>
      <c r="T203" s="8"/>
      <c r="U203" s="8">
        <v>2077360</v>
      </c>
      <c r="V203" s="8"/>
      <c r="W203" s="8">
        <v>730840</v>
      </c>
      <c r="X203" s="8"/>
      <c r="Y203" s="8">
        <v>7849</v>
      </c>
      <c r="Z203" s="8"/>
      <c r="AA203" s="8">
        <v>1608257</v>
      </c>
      <c r="AB203" s="8"/>
      <c r="AC203" s="8">
        <v>1128664</v>
      </c>
      <c r="AD203" s="8"/>
      <c r="AE203" s="8">
        <v>240962</v>
      </c>
      <c r="AF203" s="8"/>
      <c r="AG203" s="12" t="s">
        <v>331</v>
      </c>
      <c r="AH203" s="12"/>
      <c r="AI203" s="12" t="s">
        <v>21</v>
      </c>
      <c r="AJ203" s="12"/>
      <c r="AK203" s="8">
        <v>0</v>
      </c>
      <c r="AL203" s="8"/>
      <c r="AM203" s="8">
        <v>1043496</v>
      </c>
      <c r="AN203" s="8"/>
      <c r="AO203" s="8">
        <v>619360</v>
      </c>
      <c r="AP203" s="8"/>
      <c r="AQ203" s="8">
        <v>0</v>
      </c>
      <c r="AR203" s="8"/>
      <c r="AS203" s="8"/>
      <c r="AT203" s="8"/>
      <c r="AU203" s="8">
        <v>15563</v>
      </c>
      <c r="AV203" s="8"/>
      <c r="AW203" s="8">
        <f t="shared" si="8"/>
        <v>28644612</v>
      </c>
      <c r="AY203" s="8">
        <f>+'St of Activites - GA Rev'!AI206-'St of Activities - GA Exp'!AW203</f>
        <v>456381</v>
      </c>
      <c r="BA203" s="8">
        <v>16731166</v>
      </c>
      <c r="BC203" s="8">
        <f t="shared" si="9"/>
        <v>17187547</v>
      </c>
      <c r="BE203" s="8">
        <f>+'St of Net Assets - GA'!AA203-'St of Activities - GA Exp'!BC203</f>
        <v>0</v>
      </c>
    </row>
    <row r="204" spans="1:57" hidden="1">
      <c r="A204" s="12" t="s">
        <v>362</v>
      </c>
      <c r="B204" s="12"/>
      <c r="C204" s="12" t="s">
        <v>27</v>
      </c>
      <c r="D204" s="12"/>
      <c r="E204" s="32">
        <v>46979</v>
      </c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12" t="s">
        <v>362</v>
      </c>
      <c r="AH204" s="12"/>
      <c r="AI204" s="12" t="s">
        <v>27</v>
      </c>
      <c r="AJ204" s="12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>
        <f t="shared" si="8"/>
        <v>0</v>
      </c>
      <c r="AY204" s="8">
        <f>+'St of Activites - GA Rev'!AI207-'St of Activities - GA Exp'!AW204</f>
        <v>0</v>
      </c>
      <c r="BC204" s="8">
        <f t="shared" si="9"/>
        <v>0</v>
      </c>
      <c r="BE204" s="8">
        <f>+'St of Net Assets - GA'!AA204-'St of Activities - GA Exp'!BC204</f>
        <v>0</v>
      </c>
    </row>
    <row r="205" spans="1:57" ht="11.25" customHeight="1">
      <c r="A205" s="12" t="s">
        <v>248</v>
      </c>
      <c r="B205" s="12"/>
      <c r="C205" s="12" t="s">
        <v>246</v>
      </c>
      <c r="D205" s="12"/>
      <c r="E205" s="32">
        <v>44107</v>
      </c>
      <c r="G205" s="8">
        <v>38443189</v>
      </c>
      <c r="H205" s="8"/>
      <c r="I205" s="8">
        <v>11363367</v>
      </c>
      <c r="J205" s="8"/>
      <c r="K205" s="8">
        <v>1860044</v>
      </c>
      <c r="L205" s="8"/>
      <c r="M205" s="8">
        <v>252383</v>
      </c>
      <c r="N205" s="8"/>
      <c r="O205" s="8">
        <v>7015991</v>
      </c>
      <c r="P205" s="8"/>
      <c r="Q205" s="8">
        <v>6021569</v>
      </c>
      <c r="R205" s="8"/>
      <c r="S205" s="8">
        <v>412517</v>
      </c>
      <c r="T205" s="8"/>
      <c r="U205" s="8">
        <v>7346984</v>
      </c>
      <c r="V205" s="8"/>
      <c r="W205" s="8">
        <v>1200027</v>
      </c>
      <c r="X205" s="8"/>
      <c r="Y205" s="8">
        <v>453129</v>
      </c>
      <c r="Z205" s="8"/>
      <c r="AA205" s="8">
        <v>8671532</v>
      </c>
      <c r="AB205" s="8"/>
      <c r="AC205" s="8">
        <v>3326630</v>
      </c>
      <c r="AD205" s="8"/>
      <c r="AE205" s="8">
        <v>840926</v>
      </c>
      <c r="AF205" s="8"/>
      <c r="AG205" s="12" t="s">
        <v>248</v>
      </c>
      <c r="AH205" s="12"/>
      <c r="AI205" s="12" t="s">
        <v>246</v>
      </c>
      <c r="AJ205" s="12"/>
      <c r="AK205" s="8">
        <v>4773938</v>
      </c>
      <c r="AL205" s="8"/>
      <c r="AM205" s="8">
        <v>0</v>
      </c>
      <c r="AN205" s="8"/>
      <c r="AO205" s="8">
        <v>3245118</v>
      </c>
      <c r="AP205" s="8"/>
      <c r="AQ205" s="8">
        <v>5266849</v>
      </c>
      <c r="AR205" s="8"/>
      <c r="AS205" s="8"/>
      <c r="AT205" s="8"/>
      <c r="AU205" s="8">
        <v>0</v>
      </c>
      <c r="AV205" s="8"/>
      <c r="AW205" s="8">
        <f>SUM(G205:AV205)</f>
        <v>100494193</v>
      </c>
      <c r="AY205" s="8">
        <f>+'St of Activites - GA Rev'!AI208-'St of Activities - GA Exp'!AW205</f>
        <v>125018925</v>
      </c>
      <c r="BA205" s="8">
        <v>32179803</v>
      </c>
      <c r="BC205" s="8">
        <f t="shared" si="9"/>
        <v>157198728</v>
      </c>
      <c r="BE205" s="8">
        <f>+'St of Net Assets - GA'!AA205-'St of Activities - GA Exp'!BC205</f>
        <v>0</v>
      </c>
    </row>
    <row r="206" spans="1:57">
      <c r="A206" s="12" t="s">
        <v>363</v>
      </c>
      <c r="B206" s="12"/>
      <c r="C206" s="12" t="s">
        <v>27</v>
      </c>
      <c r="D206" s="12"/>
      <c r="E206" s="32">
        <v>46953</v>
      </c>
      <c r="G206" s="8">
        <v>10270583</v>
      </c>
      <c r="H206" s="8"/>
      <c r="I206" s="8">
        <v>2631345</v>
      </c>
      <c r="J206" s="8"/>
      <c r="K206" s="8">
        <v>240005</v>
      </c>
      <c r="L206" s="8"/>
      <c r="M206" s="8">
        <v>1859089</v>
      </c>
      <c r="N206" s="8"/>
      <c r="O206" s="8">
        <v>879232</v>
      </c>
      <c r="P206" s="8"/>
      <c r="Q206" s="8">
        <v>636176</v>
      </c>
      <c r="R206" s="8"/>
      <c r="S206" s="8">
        <v>27715</v>
      </c>
      <c r="T206" s="8"/>
      <c r="U206" s="8">
        <v>2098861</v>
      </c>
      <c r="V206" s="8"/>
      <c r="W206" s="8">
        <v>1497597</v>
      </c>
      <c r="X206" s="8"/>
      <c r="Y206" s="8">
        <v>28715</v>
      </c>
      <c r="Z206" s="8"/>
      <c r="AA206" s="8">
        <v>2688738</v>
      </c>
      <c r="AB206" s="8"/>
      <c r="AC206" s="8">
        <v>1079515</v>
      </c>
      <c r="AD206" s="8"/>
      <c r="AE206" s="8">
        <v>45570</v>
      </c>
      <c r="AF206" s="8"/>
      <c r="AG206" s="12" t="s">
        <v>363</v>
      </c>
      <c r="AH206" s="12"/>
      <c r="AI206" s="12" t="s">
        <v>27</v>
      </c>
      <c r="AJ206" s="12"/>
      <c r="AK206" s="8">
        <v>0</v>
      </c>
      <c r="AL206" s="8"/>
      <c r="AM206" s="8">
        <v>1318693</v>
      </c>
      <c r="AN206" s="8"/>
      <c r="AO206" s="8">
        <v>869691</v>
      </c>
      <c r="AP206" s="8"/>
      <c r="AQ206" s="8">
        <v>1266303</v>
      </c>
      <c r="AR206" s="8"/>
      <c r="AS206" s="8"/>
      <c r="AT206" s="8"/>
      <c r="AU206" s="8">
        <v>234922</v>
      </c>
      <c r="AV206" s="8"/>
      <c r="AW206" s="8">
        <f t="shared" si="8"/>
        <v>27672750</v>
      </c>
      <c r="AY206" s="8">
        <f>+'St of Activites - GA Rev'!AI209-'St of Activities - GA Exp'!AW206</f>
        <v>7795618</v>
      </c>
      <c r="BA206" s="8">
        <v>47229381</v>
      </c>
      <c r="BC206" s="8">
        <f t="shared" si="9"/>
        <v>55024999</v>
      </c>
      <c r="BE206" s="8">
        <f>+'St of Net Assets - GA'!AA206-'St of Activities - GA Exp'!BC206</f>
        <v>0</v>
      </c>
    </row>
    <row r="207" spans="1:57">
      <c r="A207" s="12" t="s">
        <v>427</v>
      </c>
      <c r="B207" s="12"/>
      <c r="C207" s="12" t="s">
        <v>426</v>
      </c>
      <c r="D207" s="12"/>
      <c r="E207" s="32">
        <v>47498</v>
      </c>
      <c r="G207" s="8">
        <v>2190571</v>
      </c>
      <c r="H207" s="8"/>
      <c r="I207" s="8">
        <v>314316</v>
      </c>
      <c r="J207" s="8"/>
      <c r="K207" s="8">
        <v>196830</v>
      </c>
      <c r="L207" s="8"/>
      <c r="M207" s="8">
        <v>0</v>
      </c>
      <c r="N207" s="8"/>
      <c r="O207" s="8">
        <v>146698</v>
      </c>
      <c r="P207" s="8"/>
      <c r="Q207" s="8">
        <v>86078</v>
      </c>
      <c r="R207" s="8"/>
      <c r="S207" s="8">
        <v>75972</v>
      </c>
      <c r="T207" s="8"/>
      <c r="U207" s="8">
        <v>419400</v>
      </c>
      <c r="V207" s="8"/>
      <c r="W207" s="8">
        <v>196254</v>
      </c>
      <c r="X207" s="8"/>
      <c r="Y207" s="8">
        <v>0</v>
      </c>
      <c r="Z207" s="8"/>
      <c r="AA207" s="8">
        <v>295069</v>
      </c>
      <c r="AB207" s="8"/>
      <c r="AC207" s="8">
        <v>179106</v>
      </c>
      <c r="AD207" s="8"/>
      <c r="AE207" s="8">
        <v>1004</v>
      </c>
      <c r="AF207" s="8"/>
      <c r="AG207" s="12" t="s">
        <v>427</v>
      </c>
      <c r="AH207" s="12"/>
      <c r="AI207" s="12" t="s">
        <v>426</v>
      </c>
      <c r="AJ207" s="12"/>
      <c r="AK207" s="8">
        <v>0</v>
      </c>
      <c r="AL207" s="8"/>
      <c r="AM207" s="8">
        <v>155895</v>
      </c>
      <c r="AN207" s="8"/>
      <c r="AO207" s="8">
        <v>196065</v>
      </c>
      <c r="AP207" s="8"/>
      <c r="AQ207" s="8">
        <v>114549</v>
      </c>
      <c r="AR207" s="8"/>
      <c r="AS207" s="8"/>
      <c r="AT207" s="8"/>
      <c r="AU207" s="8">
        <v>218995</v>
      </c>
      <c r="AV207" s="8"/>
      <c r="AW207" s="8">
        <f t="shared" si="8"/>
        <v>4786802</v>
      </c>
      <c r="AY207" s="8">
        <f>+'St of Activites - GA Rev'!AI210-'St of Activities - GA Exp'!AW207</f>
        <v>389340</v>
      </c>
      <c r="BA207" s="8">
        <v>3008827</v>
      </c>
      <c r="BC207" s="8">
        <f t="shared" si="9"/>
        <v>3398167</v>
      </c>
      <c r="BE207" s="8">
        <f>+'St of Net Assets - GA'!AA207-'St of Activities - GA Exp'!BC207</f>
        <v>0</v>
      </c>
    </row>
    <row r="208" spans="1:57">
      <c r="A208" s="12" t="s">
        <v>650</v>
      </c>
      <c r="B208" s="12"/>
      <c r="C208" s="12" t="s">
        <v>61</v>
      </c>
      <c r="D208" s="12"/>
      <c r="E208" s="32">
        <v>49791</v>
      </c>
      <c r="G208" s="8">
        <v>3474285</v>
      </c>
      <c r="H208" s="8"/>
      <c r="I208" s="8">
        <v>923428</v>
      </c>
      <c r="J208" s="8"/>
      <c r="K208" s="8">
        <v>87285</v>
      </c>
      <c r="L208" s="8"/>
      <c r="M208" s="8">
        <v>734690</v>
      </c>
      <c r="N208" s="8"/>
      <c r="O208" s="8">
        <v>363815</v>
      </c>
      <c r="P208" s="8"/>
      <c r="Q208" s="8">
        <v>356944</v>
      </c>
      <c r="R208" s="8"/>
      <c r="S208" s="8">
        <v>12625</v>
      </c>
      <c r="T208" s="8"/>
      <c r="U208" s="8">
        <v>520185</v>
      </c>
      <c r="V208" s="8"/>
      <c r="W208" s="8">
        <v>242540</v>
      </c>
      <c r="X208" s="8"/>
      <c r="Y208" s="8">
        <v>953</v>
      </c>
      <c r="Z208" s="8"/>
      <c r="AA208" s="8">
        <v>733751</v>
      </c>
      <c r="AB208" s="8"/>
      <c r="AC208" s="8">
        <v>453673</v>
      </c>
      <c r="AD208" s="8"/>
      <c r="AE208" s="8">
        <v>12897</v>
      </c>
      <c r="AF208" s="8"/>
      <c r="AG208" s="12" t="s">
        <v>650</v>
      </c>
      <c r="AH208" s="12"/>
      <c r="AI208" s="12" t="s">
        <v>61</v>
      </c>
      <c r="AJ208" s="12"/>
      <c r="AK208" s="8">
        <v>0</v>
      </c>
      <c r="AL208" s="8"/>
      <c r="AM208" s="8">
        <v>267384</v>
      </c>
      <c r="AN208" s="8"/>
      <c r="AO208" s="8">
        <v>210837</v>
      </c>
      <c r="AP208" s="8"/>
      <c r="AQ208" s="8">
        <v>15687</v>
      </c>
      <c r="AR208" s="8"/>
      <c r="AS208" s="8"/>
      <c r="AT208" s="8"/>
      <c r="AU208" s="8">
        <v>0</v>
      </c>
      <c r="AV208" s="8"/>
      <c r="AW208" s="8">
        <f t="shared" si="8"/>
        <v>8410979</v>
      </c>
      <c r="AY208" s="8">
        <f>+'St of Activites - GA Rev'!AI211-'St of Activities - GA Exp'!AW208</f>
        <v>29863</v>
      </c>
      <c r="BA208" s="8">
        <v>4772574</v>
      </c>
      <c r="BC208" s="8">
        <f t="shared" si="9"/>
        <v>4802437</v>
      </c>
      <c r="BE208" s="8">
        <f>+'St of Net Assets - GA'!AA208-'St of Activities - GA Exp'!BC208</f>
        <v>0</v>
      </c>
    </row>
    <row r="209" spans="1:57">
      <c r="A209" s="12" t="s">
        <v>434</v>
      </c>
      <c r="B209" s="12"/>
      <c r="C209" s="12" t="s">
        <v>433</v>
      </c>
      <c r="D209" s="12"/>
      <c r="E209" s="32">
        <v>45245</v>
      </c>
      <c r="G209" s="8">
        <v>9164975</v>
      </c>
      <c r="H209" s="8"/>
      <c r="I209" s="8">
        <v>2178457</v>
      </c>
      <c r="J209" s="8"/>
      <c r="K209" s="8">
        <v>334028</v>
      </c>
      <c r="L209" s="8"/>
      <c r="M209" s="8">
        <v>109107</v>
      </c>
      <c r="N209" s="8"/>
      <c r="O209" s="8">
        <v>930341</v>
      </c>
      <c r="P209" s="8"/>
      <c r="Q209" s="8">
        <v>494021</v>
      </c>
      <c r="R209" s="8"/>
      <c r="S209" s="8">
        <v>737530</v>
      </c>
      <c r="T209" s="8"/>
      <c r="U209" s="8">
        <v>1449299</v>
      </c>
      <c r="V209" s="8"/>
      <c r="W209" s="8">
        <v>502420</v>
      </c>
      <c r="X209" s="8"/>
      <c r="Y209" s="8">
        <v>0</v>
      </c>
      <c r="Z209" s="8"/>
      <c r="AA209" s="8">
        <v>1318243</v>
      </c>
      <c r="AB209" s="8"/>
      <c r="AC209" s="8">
        <v>1120468</v>
      </c>
      <c r="AD209" s="8"/>
      <c r="AE209" s="8">
        <v>332018</v>
      </c>
      <c r="AF209" s="8"/>
      <c r="AG209" s="12" t="s">
        <v>434</v>
      </c>
      <c r="AH209" s="12"/>
      <c r="AI209" s="12" t="s">
        <v>433</v>
      </c>
      <c r="AJ209" s="12"/>
      <c r="AK209" s="8">
        <v>965963</v>
      </c>
      <c r="AL209" s="8"/>
      <c r="AM209" s="8">
        <v>25635</v>
      </c>
      <c r="AN209" s="8"/>
      <c r="AO209" s="8">
        <v>367526</v>
      </c>
      <c r="AP209" s="8"/>
      <c r="AQ209" s="8">
        <v>3490</v>
      </c>
      <c r="AR209" s="8"/>
      <c r="AS209" s="8"/>
      <c r="AT209" s="8"/>
      <c r="AU209" s="8">
        <v>0</v>
      </c>
      <c r="AV209" s="8"/>
      <c r="AW209" s="8">
        <f t="shared" si="8"/>
        <v>20033521</v>
      </c>
      <c r="AY209" s="8">
        <f>+'St of Activites - GA Rev'!AI212-'St of Activities - GA Exp'!AW209</f>
        <v>-431956</v>
      </c>
      <c r="BA209" s="8">
        <v>10452093</v>
      </c>
      <c r="BC209" s="8">
        <f t="shared" si="9"/>
        <v>10020137</v>
      </c>
      <c r="BE209" s="8">
        <f>+'St of Net Assets - GA'!AA209-'St of Activities - GA Exp'!BC209</f>
        <v>0</v>
      </c>
    </row>
    <row r="210" spans="1:57">
      <c r="A210" s="12" t="s">
        <v>479</v>
      </c>
      <c r="B210" s="12"/>
      <c r="C210" s="12" t="s">
        <v>42</v>
      </c>
      <c r="D210" s="12"/>
      <c r="E210" s="32">
        <v>44115</v>
      </c>
      <c r="G210" s="8">
        <v>9085543</v>
      </c>
      <c r="H210" s="8"/>
      <c r="I210" s="8">
        <v>0</v>
      </c>
      <c r="J210" s="8"/>
      <c r="K210" s="8">
        <v>0</v>
      </c>
      <c r="L210" s="8"/>
      <c r="M210" s="8">
        <v>0</v>
      </c>
      <c r="N210" s="8"/>
      <c r="O210" s="8">
        <v>810305</v>
      </c>
      <c r="P210" s="8"/>
      <c r="Q210" s="8">
        <v>378349</v>
      </c>
      <c r="R210" s="8"/>
      <c r="S210" s="8">
        <v>10855</v>
      </c>
      <c r="T210" s="8"/>
      <c r="U210" s="8">
        <v>1254840</v>
      </c>
      <c r="V210" s="8"/>
      <c r="W210" s="8">
        <v>487384</v>
      </c>
      <c r="X210" s="8"/>
      <c r="Y210" s="8">
        <v>44304</v>
      </c>
      <c r="Z210" s="8"/>
      <c r="AA210" s="8">
        <v>1353411</v>
      </c>
      <c r="AB210" s="8"/>
      <c r="AC210" s="8">
        <v>631807</v>
      </c>
      <c r="AD210" s="8"/>
      <c r="AE210" s="8">
        <v>250355</v>
      </c>
      <c r="AF210" s="8"/>
      <c r="AG210" s="12" t="s">
        <v>479</v>
      </c>
      <c r="AH210" s="12"/>
      <c r="AI210" s="12" t="s">
        <v>42</v>
      </c>
      <c r="AJ210" s="12"/>
      <c r="AK210" s="8">
        <v>560347</v>
      </c>
      <c r="AL210" s="8"/>
      <c r="AM210" s="8">
        <v>5951</v>
      </c>
      <c r="AN210" s="8"/>
      <c r="AO210" s="8">
        <v>616595</v>
      </c>
      <c r="AP210" s="8"/>
      <c r="AQ210" s="8">
        <v>941017</v>
      </c>
      <c r="AR210" s="8"/>
      <c r="AS210" s="8"/>
      <c r="AT210" s="8"/>
      <c r="AU210" s="8">
        <v>0</v>
      </c>
      <c r="AV210" s="8"/>
      <c r="AW210" s="8">
        <f t="shared" si="8"/>
        <v>16431063</v>
      </c>
      <c r="AY210" s="8">
        <f>+'St of Activites - GA Rev'!AI213-'St of Activities - GA Exp'!AW210</f>
        <v>841965</v>
      </c>
      <c r="BA210" s="8">
        <v>4200031</v>
      </c>
      <c r="BC210" s="8">
        <f t="shared" si="9"/>
        <v>5041996</v>
      </c>
      <c r="BE210" s="8">
        <f>+'St of Net Assets - GA'!AA210-'St of Activities - GA Exp'!BC210</f>
        <v>0</v>
      </c>
    </row>
    <row r="211" spans="1:57" ht="12" hidden="1" customHeight="1">
      <c r="A211" s="12" t="s">
        <v>335</v>
      </c>
      <c r="B211" s="12"/>
      <c r="C211" s="12" t="s">
        <v>22</v>
      </c>
      <c r="D211" s="12"/>
      <c r="E211" s="32">
        <v>45419</v>
      </c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12" t="s">
        <v>335</v>
      </c>
      <c r="AH211" s="12"/>
      <c r="AI211" s="12" t="s">
        <v>22</v>
      </c>
      <c r="AJ211" s="12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>
        <v>0</v>
      </c>
      <c r="AV211" s="8"/>
      <c r="AW211" s="8">
        <f t="shared" si="8"/>
        <v>0</v>
      </c>
      <c r="AY211" s="8">
        <f>+'St of Activites - GA Rev'!AI214-'St of Activities - GA Exp'!AW211</f>
        <v>0</v>
      </c>
      <c r="BC211" s="8">
        <f t="shared" si="9"/>
        <v>0</v>
      </c>
      <c r="BE211" s="8">
        <f>+'St of Net Assets - GA'!AA211-'St of Activities - GA Exp'!BC211</f>
        <v>0</v>
      </c>
    </row>
    <row r="212" spans="1:57">
      <c r="A212" s="12" t="s">
        <v>534</v>
      </c>
      <c r="B212" s="12"/>
      <c r="C212" s="12" t="s">
        <v>47</v>
      </c>
      <c r="D212" s="12"/>
      <c r="E212" s="32">
        <v>48496</v>
      </c>
      <c r="G212" s="8">
        <v>11630853</v>
      </c>
      <c r="H212" s="8"/>
      <c r="I212" s="8">
        <v>2532361</v>
      </c>
      <c r="J212" s="8"/>
      <c r="K212" s="8">
        <v>295393</v>
      </c>
      <c r="L212" s="8"/>
      <c r="M212" s="8">
        <v>307011</v>
      </c>
      <c r="N212" s="8"/>
      <c r="O212" s="8">
        <v>1381581</v>
      </c>
      <c r="P212" s="8"/>
      <c r="Q212" s="8">
        <v>1583859</v>
      </c>
      <c r="R212" s="8"/>
      <c r="S212" s="8">
        <v>33005</v>
      </c>
      <c r="T212" s="8"/>
      <c r="U212" s="8">
        <v>2123603</v>
      </c>
      <c r="V212" s="8"/>
      <c r="W212" s="8">
        <v>810182</v>
      </c>
      <c r="X212" s="8"/>
      <c r="Y212" s="8">
        <v>44154</v>
      </c>
      <c r="Z212" s="8"/>
      <c r="AA212" s="8">
        <v>3191462</v>
      </c>
      <c r="AB212" s="8"/>
      <c r="AC212" s="8">
        <v>1688917</v>
      </c>
      <c r="AD212" s="8"/>
      <c r="AE212" s="8">
        <v>181280</v>
      </c>
      <c r="AF212" s="8"/>
      <c r="AG212" s="12" t="s">
        <v>534</v>
      </c>
      <c r="AH212" s="12"/>
      <c r="AI212" s="12" t="s">
        <v>47</v>
      </c>
      <c r="AJ212" s="12"/>
      <c r="AK212" s="8">
        <v>1013841</v>
      </c>
      <c r="AL212" s="8"/>
      <c r="AM212" s="8">
        <v>156968</v>
      </c>
      <c r="AN212" s="8"/>
      <c r="AO212" s="8">
        <v>1351816</v>
      </c>
      <c r="AP212" s="8"/>
      <c r="AQ212" s="8">
        <v>1611869</v>
      </c>
      <c r="AR212" s="8"/>
      <c r="AS212" s="8"/>
      <c r="AT212" s="8"/>
      <c r="AU212" s="8">
        <v>0</v>
      </c>
      <c r="AV212" s="8"/>
      <c r="AW212" s="8">
        <f t="shared" si="8"/>
        <v>29938155</v>
      </c>
      <c r="AY212" s="8">
        <f>+'St of Activites - GA Rev'!AI215-'St of Activities - GA Exp'!AW212</f>
        <v>-1551653</v>
      </c>
      <c r="BA212" s="8">
        <v>21481470</v>
      </c>
      <c r="BC212" s="8">
        <f t="shared" si="9"/>
        <v>19929817</v>
      </c>
      <c r="BE212" s="8">
        <f>+'St of Net Assets - GA'!AA212-'St of Activities - GA Exp'!BC212</f>
        <v>0</v>
      </c>
    </row>
    <row r="213" spans="1:57">
      <c r="A213" s="12" t="s">
        <v>534</v>
      </c>
      <c r="B213" s="12"/>
      <c r="C213" s="12" t="s">
        <v>78</v>
      </c>
      <c r="D213" s="12"/>
      <c r="E213" s="32">
        <v>48801</v>
      </c>
      <c r="G213" s="8">
        <v>6394730</v>
      </c>
      <c r="H213" s="8"/>
      <c r="I213" s="8">
        <v>1953185</v>
      </c>
      <c r="J213" s="8"/>
      <c r="K213" s="8">
        <v>132990</v>
      </c>
      <c r="L213" s="8"/>
      <c r="M213" s="8">
        <v>0</v>
      </c>
      <c r="N213" s="8"/>
      <c r="O213" s="8">
        <v>1179410</v>
      </c>
      <c r="P213" s="8"/>
      <c r="Q213" s="8">
        <v>941405</v>
      </c>
      <c r="R213" s="8"/>
      <c r="S213" s="8">
        <v>163330</v>
      </c>
      <c r="T213" s="8"/>
      <c r="U213" s="8">
        <v>1206442</v>
      </c>
      <c r="V213" s="8"/>
      <c r="W213" s="8">
        <v>373199</v>
      </c>
      <c r="X213" s="8"/>
      <c r="Y213" s="8">
        <v>0</v>
      </c>
      <c r="Z213" s="8"/>
      <c r="AA213" s="8">
        <v>1244450</v>
      </c>
      <c r="AB213" s="8"/>
      <c r="AC213" s="8">
        <v>1256383</v>
      </c>
      <c r="AD213" s="8"/>
      <c r="AE213" s="8">
        <v>72822</v>
      </c>
      <c r="AF213" s="8"/>
      <c r="AG213" s="12" t="s">
        <v>534</v>
      </c>
      <c r="AH213" s="12"/>
      <c r="AI213" s="12" t="s">
        <v>78</v>
      </c>
      <c r="AJ213" s="12"/>
      <c r="AK213" s="8">
        <v>0</v>
      </c>
      <c r="AL213" s="8"/>
      <c r="AM213" s="8">
        <v>686385</v>
      </c>
      <c r="AN213" s="8"/>
      <c r="AO213" s="8">
        <v>373282</v>
      </c>
      <c r="AP213" s="8"/>
      <c r="AQ213" s="8">
        <v>110773</v>
      </c>
      <c r="AR213" s="8"/>
      <c r="AS213" s="8"/>
      <c r="AT213" s="8"/>
      <c r="AU213" s="8">
        <v>0</v>
      </c>
      <c r="AV213" s="8"/>
      <c r="AW213" s="8">
        <f t="shared" si="8"/>
        <v>16088786</v>
      </c>
      <c r="AY213" s="8">
        <f>+'St of Activites - GA Rev'!AI216-'St of Activities - GA Exp'!AW213</f>
        <v>1395892</v>
      </c>
      <c r="BA213" s="8">
        <v>15948835</v>
      </c>
      <c r="BC213" s="8">
        <f t="shared" si="9"/>
        <v>17344727</v>
      </c>
      <c r="BE213" s="8">
        <f>+'St of Net Assets - GA'!AA213-'St of Activities - GA Exp'!BC213</f>
        <v>0</v>
      </c>
    </row>
    <row r="214" spans="1:57">
      <c r="A214" s="12" t="s">
        <v>364</v>
      </c>
      <c r="B214" s="12"/>
      <c r="C214" s="12" t="s">
        <v>27</v>
      </c>
      <c r="D214" s="12"/>
      <c r="E214" s="32">
        <v>47019</v>
      </c>
      <c r="G214" s="8">
        <v>86138528</v>
      </c>
      <c r="H214" s="8"/>
      <c r="I214" s="8">
        <v>16504671</v>
      </c>
      <c r="J214" s="8"/>
      <c r="K214" s="8">
        <v>1095475</v>
      </c>
      <c r="L214" s="8"/>
      <c r="M214" s="8">
        <v>0</v>
      </c>
      <c r="N214" s="8"/>
      <c r="O214" s="8">
        <v>10346486</v>
      </c>
      <c r="P214" s="8"/>
      <c r="Q214" s="8">
        <v>8774032</v>
      </c>
      <c r="R214" s="8"/>
      <c r="S214" s="8">
        <v>305636</v>
      </c>
      <c r="T214" s="8"/>
      <c r="U214" s="8">
        <v>9859499</v>
      </c>
      <c r="V214" s="8"/>
      <c r="W214" s="8">
        <v>3439673</v>
      </c>
      <c r="X214" s="8"/>
      <c r="Y214" s="8">
        <v>871298</v>
      </c>
      <c r="Z214" s="8"/>
      <c r="AA214" s="8">
        <v>13947605</v>
      </c>
      <c r="AB214" s="8"/>
      <c r="AC214" s="8">
        <v>7908945</v>
      </c>
      <c r="AD214" s="8"/>
      <c r="AE214" s="8">
        <v>636785</v>
      </c>
      <c r="AF214" s="8"/>
      <c r="AG214" s="12" t="s">
        <v>364</v>
      </c>
      <c r="AH214" s="12"/>
      <c r="AI214" s="12" t="s">
        <v>27</v>
      </c>
      <c r="AJ214" s="12"/>
      <c r="AK214" s="8">
        <v>4337259</v>
      </c>
      <c r="AL214" s="8"/>
      <c r="AM214" s="8">
        <v>2264588</v>
      </c>
      <c r="AN214" s="8"/>
      <c r="AO214" s="8">
        <v>3744410</v>
      </c>
      <c r="AP214" s="8"/>
      <c r="AQ214" s="8">
        <v>11517265</v>
      </c>
      <c r="AR214" s="8"/>
      <c r="AS214" s="8"/>
      <c r="AT214" s="8"/>
      <c r="AU214" s="8">
        <v>6927</v>
      </c>
      <c r="AV214" s="8"/>
      <c r="AW214" s="8">
        <f t="shared" si="8"/>
        <v>181699082</v>
      </c>
      <c r="AY214" s="8">
        <f>+'St of Activites - GA Rev'!AI217-'St of Activities - GA Exp'!AW214</f>
        <v>-12683997</v>
      </c>
      <c r="BA214" s="8">
        <v>58075045</v>
      </c>
      <c r="BC214" s="8">
        <f t="shared" si="9"/>
        <v>45391048</v>
      </c>
      <c r="BE214" s="8">
        <f>+'St of Net Assets - GA'!AA214-'St of Activities - GA Exp'!BC214</f>
        <v>0</v>
      </c>
    </row>
    <row r="215" spans="1:57" ht="12" customHeight="1">
      <c r="A215" s="12" t="s">
        <v>443</v>
      </c>
      <c r="B215" s="12"/>
      <c r="C215" s="12" t="s">
        <v>440</v>
      </c>
      <c r="D215" s="12"/>
      <c r="E215" s="32">
        <v>44123</v>
      </c>
      <c r="G215" s="8">
        <v>9396808</v>
      </c>
      <c r="H215" s="8"/>
      <c r="I215" s="8">
        <v>2041188</v>
      </c>
      <c r="J215" s="8"/>
      <c r="K215" s="8">
        <v>681652</v>
      </c>
      <c r="L215" s="8"/>
      <c r="M215" s="8">
        <v>1876057</v>
      </c>
      <c r="N215" s="8"/>
      <c r="O215" s="8">
        <v>860261</v>
      </c>
      <c r="P215" s="8"/>
      <c r="Q215" s="8">
        <v>1736036</v>
      </c>
      <c r="R215" s="8"/>
      <c r="S215" s="8">
        <v>0</v>
      </c>
      <c r="T215" s="8"/>
      <c r="U215" s="8">
        <f>41617+2323639</f>
        <v>2365256</v>
      </c>
      <c r="V215" s="8"/>
      <c r="W215" s="8">
        <v>643383</v>
      </c>
      <c r="X215" s="8"/>
      <c r="Y215" s="8">
        <v>1438</v>
      </c>
      <c r="Z215" s="8"/>
      <c r="AA215" s="8">
        <v>1972223</v>
      </c>
      <c r="AB215" s="8"/>
      <c r="AC215" s="8">
        <v>1525452</v>
      </c>
      <c r="AD215" s="8"/>
      <c r="AE215" s="8">
        <v>122188</v>
      </c>
      <c r="AF215" s="8"/>
      <c r="AG215" s="12" t="s">
        <v>443</v>
      </c>
      <c r="AH215" s="12"/>
      <c r="AI215" s="12" t="s">
        <v>440</v>
      </c>
      <c r="AJ215" s="12"/>
      <c r="AK215" s="8">
        <v>0</v>
      </c>
      <c r="AL215" s="8"/>
      <c r="AM215" s="8">
        <v>1125679</v>
      </c>
      <c r="AN215" s="8"/>
      <c r="AO215" s="8">
        <v>471541</v>
      </c>
      <c r="AP215" s="8"/>
      <c r="AQ215" s="8">
        <v>607238</v>
      </c>
      <c r="AR215" s="8"/>
      <c r="AS215" s="8"/>
      <c r="AT215" s="8"/>
      <c r="AU215" s="8">
        <v>0</v>
      </c>
      <c r="AV215" s="8"/>
      <c r="AW215" s="8">
        <f t="shared" si="8"/>
        <v>25426400</v>
      </c>
      <c r="AY215" s="8">
        <f>+'St of Activites - GA Rev'!AI218-'St of Activities - GA Exp'!AW215</f>
        <v>4485714</v>
      </c>
      <c r="BA215" s="8">
        <v>60991298</v>
      </c>
      <c r="BC215" s="8">
        <f t="shared" si="9"/>
        <v>65477012</v>
      </c>
      <c r="BE215" s="8">
        <f>+'St of Net Assets - GA'!AA215-'St of Activities - GA Exp'!BC215</f>
        <v>0</v>
      </c>
    </row>
    <row r="216" spans="1:57">
      <c r="A216" s="12" t="s">
        <v>216</v>
      </c>
      <c r="B216" s="12"/>
      <c r="C216" s="12" t="s">
        <v>11</v>
      </c>
      <c r="D216" s="12"/>
      <c r="E216" s="32">
        <v>45823</v>
      </c>
      <c r="F216" s="8"/>
      <c r="G216" s="8">
        <v>4328520</v>
      </c>
      <c r="H216" s="8"/>
      <c r="I216" s="8">
        <v>758647</v>
      </c>
      <c r="J216" s="8"/>
      <c r="K216" s="8">
        <v>355749</v>
      </c>
      <c r="L216" s="8"/>
      <c r="M216" s="8">
        <v>235074</v>
      </c>
      <c r="N216" s="8"/>
      <c r="O216" s="8">
        <v>545981</v>
      </c>
      <c r="P216" s="8"/>
      <c r="Q216" s="8">
        <v>329397</v>
      </c>
      <c r="R216" s="8"/>
      <c r="S216" s="8">
        <v>45296</v>
      </c>
      <c r="T216" s="8"/>
      <c r="U216" s="8">
        <v>768606</v>
      </c>
      <c r="V216" s="8"/>
      <c r="W216" s="8">
        <v>335273</v>
      </c>
      <c r="X216" s="8"/>
      <c r="Y216" s="8">
        <v>0</v>
      </c>
      <c r="Z216" s="8"/>
      <c r="AA216" s="8">
        <v>611968</v>
      </c>
      <c r="AB216" s="8"/>
      <c r="AC216" s="8">
        <v>710027</v>
      </c>
      <c r="AD216" s="8"/>
      <c r="AE216" s="8">
        <v>9000</v>
      </c>
      <c r="AF216" s="8"/>
      <c r="AG216" s="12" t="s">
        <v>216</v>
      </c>
      <c r="AH216" s="12"/>
      <c r="AI216" s="12" t="s">
        <v>11</v>
      </c>
      <c r="AJ216" s="12"/>
      <c r="AK216" s="8">
        <v>344378</v>
      </c>
      <c r="AL216" s="8"/>
      <c r="AM216" s="8">
        <v>2212</v>
      </c>
      <c r="AN216" s="8"/>
      <c r="AO216" s="8">
        <v>384679</v>
      </c>
      <c r="AP216" s="8"/>
      <c r="AQ216" s="8">
        <v>9755</v>
      </c>
      <c r="AR216" s="8"/>
      <c r="AS216" s="8"/>
      <c r="AT216" s="8"/>
      <c r="AU216" s="8">
        <v>0</v>
      </c>
      <c r="AV216" s="8"/>
      <c r="AW216" s="8">
        <f t="shared" si="8"/>
        <v>9774562</v>
      </c>
      <c r="AY216" s="8">
        <f>+'St of Activites - GA Rev'!AI219-'St of Activities - GA Exp'!AW216</f>
        <v>365312</v>
      </c>
      <c r="BA216" s="8">
        <v>2787220</v>
      </c>
      <c r="BC216" s="8">
        <f t="shared" si="9"/>
        <v>3152532</v>
      </c>
      <c r="BE216" s="8">
        <f>+'St of Net Assets - GA'!AA216-'St of Activities - GA Exp'!BC216</f>
        <v>0</v>
      </c>
    </row>
    <row r="217" spans="1:57">
      <c r="A217" s="12" t="s">
        <v>435</v>
      </c>
      <c r="B217" s="12"/>
      <c r="C217" s="12" t="s">
        <v>34</v>
      </c>
      <c r="D217" s="12"/>
      <c r="E217" s="32">
        <v>47571</v>
      </c>
      <c r="G217" s="8">
        <v>2852994</v>
      </c>
      <c r="H217" s="8"/>
      <c r="I217" s="8">
        <v>485372</v>
      </c>
      <c r="J217" s="8"/>
      <c r="K217" s="8">
        <v>92218</v>
      </c>
      <c r="L217" s="8"/>
      <c r="M217" s="8">
        <v>0</v>
      </c>
      <c r="N217" s="8"/>
      <c r="O217" s="8">
        <v>237143</v>
      </c>
      <c r="P217" s="8"/>
      <c r="Q217" s="8">
        <v>170179</v>
      </c>
      <c r="R217" s="8"/>
      <c r="S217" s="8">
        <v>14430</v>
      </c>
      <c r="T217" s="8"/>
      <c r="U217" s="8">
        <v>537466</v>
      </c>
      <c r="V217" s="8"/>
      <c r="W217" s="8">
        <v>171713</v>
      </c>
      <c r="X217" s="8"/>
      <c r="Y217" s="8">
        <v>7404</v>
      </c>
      <c r="Z217" s="8"/>
      <c r="AA217" s="8">
        <v>359614</v>
      </c>
      <c r="AB217" s="8"/>
      <c r="AC217" s="8">
        <v>166400</v>
      </c>
      <c r="AD217" s="8"/>
      <c r="AE217" s="8">
        <v>64408</v>
      </c>
      <c r="AF217" s="8"/>
      <c r="AG217" s="12" t="s">
        <v>435</v>
      </c>
      <c r="AH217" s="12"/>
      <c r="AI217" s="12" t="s">
        <v>34</v>
      </c>
      <c r="AJ217" s="12"/>
      <c r="AK217" s="8">
        <v>0</v>
      </c>
      <c r="AL217" s="8"/>
      <c r="AM217" s="8">
        <v>229424</v>
      </c>
      <c r="AN217" s="8"/>
      <c r="AO217" s="8">
        <v>243251</v>
      </c>
      <c r="AP217" s="8"/>
      <c r="AQ217" s="8">
        <v>242641</v>
      </c>
      <c r="AR217" s="8"/>
      <c r="AS217" s="8"/>
      <c r="AT217" s="8"/>
      <c r="AU217" s="8">
        <v>0</v>
      </c>
      <c r="AV217" s="8"/>
      <c r="AW217" s="8">
        <f t="shared" ref="AW217:AW236" si="10">SUM(G217:AV217)</f>
        <v>5874657</v>
      </c>
      <c r="AY217" s="8">
        <f>+'St of Activites - GA Rev'!AI220-'St of Activities - GA Exp'!AW217</f>
        <v>72826</v>
      </c>
      <c r="BA217" s="8">
        <v>17723700</v>
      </c>
      <c r="BC217" s="8">
        <f t="shared" si="9"/>
        <v>17796526</v>
      </c>
      <c r="BE217" s="8">
        <f>+'St of Net Assets - GA'!AA217-'St of Activities - GA Exp'!BC217</f>
        <v>0</v>
      </c>
    </row>
    <row r="218" spans="1:57">
      <c r="A218" s="12" t="s">
        <v>685</v>
      </c>
      <c r="B218" s="12"/>
      <c r="C218" s="12" t="s">
        <v>64</v>
      </c>
      <c r="D218" s="12"/>
      <c r="E218" s="32">
        <v>50161</v>
      </c>
      <c r="G218" s="8">
        <v>12840009</v>
      </c>
      <c r="H218" s="8"/>
      <c r="I218" s="8">
        <v>3485104</v>
      </c>
      <c r="J218" s="8"/>
      <c r="K218" s="8">
        <v>638174</v>
      </c>
      <c r="L218" s="8"/>
      <c r="M218" s="8">
        <v>1136184</v>
      </c>
      <c r="N218" s="8"/>
      <c r="O218" s="8">
        <v>1677817</v>
      </c>
      <c r="P218" s="8"/>
      <c r="Q218" s="8">
        <v>1246521</v>
      </c>
      <c r="R218" s="8"/>
      <c r="S218" s="8">
        <v>327013</v>
      </c>
      <c r="T218" s="8"/>
      <c r="U218" s="8">
        <v>2407224</v>
      </c>
      <c r="V218" s="8"/>
      <c r="W218" s="8">
        <v>671656</v>
      </c>
      <c r="X218" s="8"/>
      <c r="Y218" s="8">
        <v>86659</v>
      </c>
      <c r="Z218" s="8"/>
      <c r="AA218" s="8">
        <v>3648264</v>
      </c>
      <c r="AB218" s="8"/>
      <c r="AC218" s="8">
        <v>1724859</v>
      </c>
      <c r="AD218" s="8"/>
      <c r="AE218" s="8">
        <v>18381</v>
      </c>
      <c r="AF218" s="8"/>
      <c r="AG218" s="12" t="s">
        <v>685</v>
      </c>
      <c r="AH218" s="12"/>
      <c r="AI218" s="12" t="s">
        <v>64</v>
      </c>
      <c r="AJ218" s="12"/>
      <c r="AK218" s="8">
        <v>881997</v>
      </c>
      <c r="AL218" s="8"/>
      <c r="AM218" s="8">
        <v>170787</v>
      </c>
      <c r="AN218" s="8"/>
      <c r="AO218" s="8">
        <v>686603</v>
      </c>
      <c r="AP218" s="8"/>
      <c r="AQ218" s="8">
        <v>17839</v>
      </c>
      <c r="AR218" s="8"/>
      <c r="AS218" s="8"/>
      <c r="AT218" s="8"/>
      <c r="AU218" s="8">
        <v>0</v>
      </c>
      <c r="AV218" s="8"/>
      <c r="AW218" s="8">
        <f t="shared" si="10"/>
        <v>31665091</v>
      </c>
      <c r="AY218" s="8">
        <f>+'St of Activites - GA Rev'!AI221-'St of Activities - GA Exp'!AW218</f>
        <v>2331176</v>
      </c>
      <c r="BA218" s="8">
        <v>4155071</v>
      </c>
      <c r="BC218" s="8">
        <f t="shared" ref="BC218:BC236" si="11">+AY218+BA218</f>
        <v>6486247</v>
      </c>
      <c r="BE218" s="8">
        <f>+'St of Net Assets - GA'!AA219-'St of Activities - GA Exp'!BC218</f>
        <v>0</v>
      </c>
    </row>
    <row r="219" spans="1:57">
      <c r="A219" s="12" t="s">
        <v>686</v>
      </c>
      <c r="B219" s="12"/>
      <c r="C219" s="12" t="s">
        <v>64</v>
      </c>
      <c r="D219" s="12"/>
      <c r="E219" s="32">
        <v>45427</v>
      </c>
      <c r="G219" s="8">
        <v>9005999</v>
      </c>
      <c r="H219" s="8"/>
      <c r="I219" s="8">
        <v>1833692</v>
      </c>
      <c r="J219" s="8"/>
      <c r="K219" s="8">
        <v>321325</v>
      </c>
      <c r="L219" s="8"/>
      <c r="M219" s="8">
        <v>0</v>
      </c>
      <c r="N219" s="8"/>
      <c r="O219" s="8">
        <v>1013474</v>
      </c>
      <c r="P219" s="8"/>
      <c r="Q219" s="8">
        <v>709600</v>
      </c>
      <c r="R219" s="8"/>
      <c r="S219" s="8">
        <v>24261</v>
      </c>
      <c r="T219" s="8"/>
      <c r="U219" s="8">
        <v>1373636</v>
      </c>
      <c r="V219" s="8"/>
      <c r="W219" s="8">
        <v>523830</v>
      </c>
      <c r="X219" s="8"/>
      <c r="Y219" s="8">
        <v>47702</v>
      </c>
      <c r="Z219" s="8"/>
      <c r="AA219" s="8">
        <v>2034832</v>
      </c>
      <c r="AB219" s="8"/>
      <c r="AC219" s="8">
        <v>1126723</v>
      </c>
      <c r="AD219" s="8"/>
      <c r="AE219" s="8">
        <v>355879</v>
      </c>
      <c r="AF219" s="8"/>
      <c r="AG219" s="12" t="s">
        <v>686</v>
      </c>
      <c r="AH219" s="12"/>
      <c r="AI219" s="12" t="s">
        <v>64</v>
      </c>
      <c r="AJ219" s="12"/>
      <c r="AK219" s="8">
        <v>827259</v>
      </c>
      <c r="AL219" s="8"/>
      <c r="AM219" s="8">
        <v>408845</v>
      </c>
      <c r="AN219" s="8"/>
      <c r="AO219" s="8">
        <v>731227</v>
      </c>
      <c r="AP219" s="8"/>
      <c r="AQ219" s="8">
        <v>977278</v>
      </c>
      <c r="AR219" s="8"/>
      <c r="AS219" s="8"/>
      <c r="AT219" s="8"/>
      <c r="AU219" s="8">
        <v>0</v>
      </c>
      <c r="AV219" s="8"/>
      <c r="AW219" s="8">
        <f t="shared" si="10"/>
        <v>21315562</v>
      </c>
      <c r="AY219" s="8">
        <f>+'St of Activites - GA Rev'!AI222-'St of Activities - GA Exp'!AW219</f>
        <v>3013869</v>
      </c>
      <c r="BA219" s="8">
        <v>46577652</v>
      </c>
      <c r="BC219" s="8">
        <f t="shared" si="11"/>
        <v>49591521</v>
      </c>
      <c r="BE219" s="8">
        <f>+'St of Net Assets - GA'!AA220-'St of Activities - GA Exp'!BC219</f>
        <v>0</v>
      </c>
    </row>
    <row r="220" spans="1:57">
      <c r="A220" s="12" t="s">
        <v>555</v>
      </c>
      <c r="B220" s="12"/>
      <c r="C220" s="12" t="s">
        <v>50</v>
      </c>
      <c r="D220" s="12"/>
      <c r="E220" s="32">
        <v>48751</v>
      </c>
      <c r="G220" s="8">
        <v>43606831</v>
      </c>
      <c r="H220" s="8"/>
      <c r="I220" s="8">
        <v>0</v>
      </c>
      <c r="J220" s="8"/>
      <c r="K220" s="8">
        <v>0</v>
      </c>
      <c r="L220" s="8"/>
      <c r="M220" s="8">
        <v>0</v>
      </c>
      <c r="N220" s="8"/>
      <c r="O220" s="8">
        <v>2747265</v>
      </c>
      <c r="P220" s="8"/>
      <c r="Q220" s="8">
        <v>4143453</v>
      </c>
      <c r="R220" s="8"/>
      <c r="S220" s="8">
        <v>31972</v>
      </c>
      <c r="T220" s="8"/>
      <c r="U220" s="8">
        <v>3844118</v>
      </c>
      <c r="V220" s="8"/>
      <c r="W220" s="8">
        <v>803668</v>
      </c>
      <c r="X220" s="8"/>
      <c r="Y220" s="8">
        <v>478568</v>
      </c>
      <c r="Z220" s="8"/>
      <c r="AA220" s="8">
        <v>4958812</v>
      </c>
      <c r="AB220" s="8"/>
      <c r="AC220" s="8">
        <v>3091845</v>
      </c>
      <c r="AD220" s="8"/>
      <c r="AE220" s="8">
        <v>428194</v>
      </c>
      <c r="AF220" s="8"/>
      <c r="AG220" s="12" t="s">
        <v>555</v>
      </c>
      <c r="AH220" s="12"/>
      <c r="AI220" s="12" t="s">
        <v>50</v>
      </c>
      <c r="AJ220" s="12"/>
      <c r="AK220" s="8">
        <v>2319863</v>
      </c>
      <c r="AL220" s="8"/>
      <c r="AM220" s="8">
        <v>625170</v>
      </c>
      <c r="AN220" s="8"/>
      <c r="AO220" s="8">
        <v>949106</v>
      </c>
      <c r="AP220" s="8"/>
      <c r="AQ220" s="8">
        <v>37088</v>
      </c>
      <c r="AR220" s="8"/>
      <c r="AS220" s="8"/>
      <c r="AT220" s="8"/>
      <c r="AU220" s="8">
        <v>0</v>
      </c>
      <c r="AV220" s="8"/>
      <c r="AW220" s="8">
        <f t="shared" si="10"/>
        <v>68065953</v>
      </c>
      <c r="AY220" s="8">
        <f>+'St of Activites - GA Rev'!AI223-'St of Activities - GA Exp'!AW220</f>
        <v>2808342</v>
      </c>
      <c r="BA220" s="8">
        <v>38132394</v>
      </c>
      <c r="BC220" s="8">
        <f t="shared" si="11"/>
        <v>40940736</v>
      </c>
      <c r="BE220" s="8">
        <f>+'St of Net Assets - GA'!AA221-'St of Activities - GA Exp'!BC220</f>
        <v>0</v>
      </c>
    </row>
    <row r="221" spans="1:57">
      <c r="A221" s="12" t="s">
        <v>671</v>
      </c>
      <c r="B221" s="12"/>
      <c r="C221" s="12" t="s">
        <v>63</v>
      </c>
      <c r="D221" s="12"/>
      <c r="E221" s="32">
        <v>50021</v>
      </c>
      <c r="G221" s="8">
        <v>27757046</v>
      </c>
      <c r="H221" s="8"/>
      <c r="I221" s="8">
        <v>5981206</v>
      </c>
      <c r="J221" s="8"/>
      <c r="K221" s="8">
        <v>372512</v>
      </c>
      <c r="L221" s="8"/>
      <c r="M221" s="8">
        <v>707956</v>
      </c>
      <c r="N221" s="8"/>
      <c r="O221" s="8">
        <v>4050190</v>
      </c>
      <c r="P221" s="8"/>
      <c r="Q221" s="8">
        <v>4501154</v>
      </c>
      <c r="R221" s="8"/>
      <c r="S221" s="8">
        <v>39191</v>
      </c>
      <c r="T221" s="8"/>
      <c r="U221" s="8">
        <v>4159294</v>
      </c>
      <c r="V221" s="8"/>
      <c r="W221" s="8">
        <v>1302064</v>
      </c>
      <c r="X221" s="8"/>
      <c r="Y221" s="8">
        <v>524006</v>
      </c>
      <c r="Z221" s="8"/>
      <c r="AA221" s="8">
        <v>5579144</v>
      </c>
      <c r="AB221" s="8"/>
      <c r="AC221" s="8">
        <v>3383529</v>
      </c>
      <c r="AD221" s="8"/>
      <c r="AE221" s="8">
        <v>371527</v>
      </c>
      <c r="AF221" s="8"/>
      <c r="AG221" s="12" t="s">
        <v>671</v>
      </c>
      <c r="AH221" s="12"/>
      <c r="AI221" s="12" t="s">
        <v>63</v>
      </c>
      <c r="AJ221" s="12"/>
      <c r="AK221" s="8">
        <v>1625420</v>
      </c>
      <c r="AL221" s="8"/>
      <c r="AM221" s="8">
        <v>24990</v>
      </c>
      <c r="AN221" s="8"/>
      <c r="AO221" s="8">
        <v>1337715</v>
      </c>
      <c r="AP221" s="8"/>
      <c r="AQ221" s="8">
        <v>2081168</v>
      </c>
      <c r="AR221" s="8"/>
      <c r="AS221" s="8"/>
      <c r="AT221" s="8"/>
      <c r="AU221" s="8">
        <v>1652852</v>
      </c>
      <c r="AV221" s="8"/>
      <c r="AW221" s="8">
        <f t="shared" si="10"/>
        <v>65450964</v>
      </c>
      <c r="AY221" s="8">
        <f>+'St of Activites - GA Rev'!AI224-'St of Activities - GA Exp'!AW221</f>
        <v>3176175</v>
      </c>
      <c r="BA221" s="8">
        <v>31496715</v>
      </c>
      <c r="BC221" s="8">
        <f t="shared" si="11"/>
        <v>34672890</v>
      </c>
      <c r="BE221" s="8">
        <f>+'St of Net Assets - GA'!AA222-'St of Activities - GA Exp'!BC221</f>
        <v>0</v>
      </c>
    </row>
    <row r="222" spans="1:57">
      <c r="A222" s="12" t="s">
        <v>623</v>
      </c>
      <c r="B222" s="12"/>
      <c r="C222" s="12" t="s">
        <v>58</v>
      </c>
      <c r="D222" s="12"/>
      <c r="E222" s="32">
        <v>49502</v>
      </c>
      <c r="G222" s="8">
        <v>6371438</v>
      </c>
      <c r="H222" s="8"/>
      <c r="I222" s="8">
        <v>1667195</v>
      </c>
      <c r="J222" s="8"/>
      <c r="K222" s="8">
        <v>45</v>
      </c>
      <c r="L222" s="8"/>
      <c r="M222" s="8">
        <v>64745</v>
      </c>
      <c r="N222" s="8"/>
      <c r="O222" s="8">
        <v>334268</v>
      </c>
      <c r="P222" s="8"/>
      <c r="Q222" s="8">
        <v>175441</v>
      </c>
      <c r="R222" s="8"/>
      <c r="S222" s="8">
        <v>26252</v>
      </c>
      <c r="T222" s="8"/>
      <c r="U222" s="8">
        <v>750989</v>
      </c>
      <c r="V222" s="8"/>
      <c r="W222" s="8">
        <v>523936</v>
      </c>
      <c r="X222" s="8"/>
      <c r="Y222" s="8">
        <v>0</v>
      </c>
      <c r="Z222" s="8"/>
      <c r="AA222" s="8">
        <v>1139959</v>
      </c>
      <c r="AB222" s="8"/>
      <c r="AC222" s="8">
        <v>897504</v>
      </c>
      <c r="AD222" s="8"/>
      <c r="AE222" s="8">
        <v>0</v>
      </c>
      <c r="AF222" s="8"/>
      <c r="AG222" s="12" t="s">
        <v>623</v>
      </c>
      <c r="AH222" s="12"/>
      <c r="AI222" s="12" t="s">
        <v>58</v>
      </c>
      <c r="AJ222" s="12"/>
      <c r="AK222" s="8">
        <v>500120</v>
      </c>
      <c r="AL222" s="8"/>
      <c r="AM222" s="8">
        <v>0</v>
      </c>
      <c r="AN222" s="8"/>
      <c r="AO222" s="8">
        <v>297436</v>
      </c>
      <c r="AP222" s="8"/>
      <c r="AQ222" s="8">
        <v>49624</v>
      </c>
      <c r="AR222" s="8"/>
      <c r="AS222" s="8"/>
      <c r="AT222" s="8"/>
      <c r="AU222" s="8">
        <v>0</v>
      </c>
      <c r="AV222" s="8"/>
      <c r="AW222" s="8">
        <f t="shared" si="10"/>
        <v>12798952</v>
      </c>
      <c r="AY222" s="8">
        <f>+'St of Activites - GA Rev'!AI225-'St of Activities - GA Exp'!AW222</f>
        <v>-421302</v>
      </c>
      <c r="BA222" s="8">
        <v>17882244</v>
      </c>
      <c r="BC222" s="8">
        <f t="shared" si="11"/>
        <v>17460942</v>
      </c>
      <c r="BE222" s="8">
        <f>+'St of Net Assets - GA'!AA223-'St of Activities - GA Exp'!BC222</f>
        <v>0</v>
      </c>
    </row>
    <row r="223" spans="1:57">
      <c r="A223" s="12" t="s">
        <v>341</v>
      </c>
      <c r="B223" s="12"/>
      <c r="C223" s="12" t="s">
        <v>24</v>
      </c>
      <c r="D223" s="12"/>
      <c r="E223" s="32">
        <v>44131</v>
      </c>
      <c r="G223" s="8">
        <v>5840315</v>
      </c>
      <c r="H223" s="8"/>
      <c r="I223" s="8">
        <v>1877986</v>
      </c>
      <c r="J223" s="8"/>
      <c r="K223" s="8">
        <v>0</v>
      </c>
      <c r="L223" s="8"/>
      <c r="M223" s="8">
        <v>67622</v>
      </c>
      <c r="N223" s="8"/>
      <c r="O223" s="8">
        <v>489847</v>
      </c>
      <c r="P223" s="8"/>
      <c r="Q223" s="8">
        <v>695279</v>
      </c>
      <c r="R223" s="8"/>
      <c r="S223" s="8">
        <v>25818</v>
      </c>
      <c r="T223" s="8"/>
      <c r="U223" s="8">
        <v>1477973</v>
      </c>
      <c r="V223" s="8"/>
      <c r="W223" s="8">
        <v>546239</v>
      </c>
      <c r="X223" s="8"/>
      <c r="Y223" s="8">
        <v>0</v>
      </c>
      <c r="Z223" s="8"/>
      <c r="AA223" s="8">
        <v>1363649</v>
      </c>
      <c r="AB223" s="8"/>
      <c r="AC223" s="8">
        <v>877788</v>
      </c>
      <c r="AD223" s="8"/>
      <c r="AE223" s="8">
        <v>1998</v>
      </c>
      <c r="AF223" s="8"/>
      <c r="AG223" s="12" t="s">
        <v>341</v>
      </c>
      <c r="AH223" s="12"/>
      <c r="AI223" s="12" t="s">
        <v>24</v>
      </c>
      <c r="AJ223" s="12"/>
      <c r="AK223" s="8">
        <v>677901</v>
      </c>
      <c r="AL223" s="8"/>
      <c r="AM223" s="8">
        <v>213509</v>
      </c>
      <c r="AN223" s="8"/>
      <c r="AO223" s="8">
        <v>563438</v>
      </c>
      <c r="AP223" s="8"/>
      <c r="AQ223" s="8">
        <v>305794</v>
      </c>
      <c r="AR223" s="8"/>
      <c r="AS223" s="8"/>
      <c r="AT223" s="8"/>
      <c r="AU223" s="8">
        <v>142385</v>
      </c>
      <c r="AV223" s="8"/>
      <c r="AW223" s="8">
        <f t="shared" si="10"/>
        <v>15167541</v>
      </c>
      <c r="AY223" s="8">
        <f>+'St of Activites - GA Rev'!AI226-'St of Activities - GA Exp'!AW223</f>
        <v>3032096</v>
      </c>
      <c r="BA223" s="8">
        <v>2726030</v>
      </c>
      <c r="BC223" s="8">
        <f t="shared" si="11"/>
        <v>5758126</v>
      </c>
      <c r="BE223" s="8">
        <f>+'St of Net Assets - GA'!AA224-'St of Activities - GA Exp'!BC223</f>
        <v>0</v>
      </c>
    </row>
    <row r="224" spans="1:57">
      <c r="A224" s="12" t="s">
        <v>313</v>
      </c>
      <c r="B224" s="12"/>
      <c r="C224" s="12" t="s">
        <v>20</v>
      </c>
      <c r="D224" s="12"/>
      <c r="E224" s="32">
        <v>46565</v>
      </c>
      <c r="G224" s="8">
        <v>8004496</v>
      </c>
      <c r="H224" s="8"/>
      <c r="I224" s="8">
        <v>245520</v>
      </c>
      <c r="J224" s="8"/>
      <c r="K224" s="8">
        <v>1011</v>
      </c>
      <c r="L224" s="8"/>
      <c r="M224" s="8">
        <v>462381</v>
      </c>
      <c r="N224" s="8"/>
      <c r="O224" s="8">
        <v>735308</v>
      </c>
      <c r="P224" s="8"/>
      <c r="Q224" s="8">
        <v>1490083</v>
      </c>
      <c r="R224" s="8"/>
      <c r="S224" s="8">
        <v>204039</v>
      </c>
      <c r="T224" s="8"/>
      <c r="U224" s="8">
        <v>947431</v>
      </c>
      <c r="V224" s="8"/>
      <c r="W224" s="8">
        <v>446935</v>
      </c>
      <c r="X224" s="8"/>
      <c r="Y224" s="8">
        <v>226001</v>
      </c>
      <c r="Z224" s="8"/>
      <c r="AA224" s="8">
        <v>2112042</v>
      </c>
      <c r="AB224" s="8"/>
      <c r="AC224" s="8">
        <v>829725</v>
      </c>
      <c r="AD224" s="8"/>
      <c r="AE224" s="8">
        <v>5000</v>
      </c>
      <c r="AF224" s="8"/>
      <c r="AG224" s="12" t="s">
        <v>313</v>
      </c>
      <c r="AH224" s="12"/>
      <c r="AI224" s="12" t="s">
        <v>20</v>
      </c>
      <c r="AJ224" s="12"/>
      <c r="AK224" s="8">
        <v>303269</v>
      </c>
      <c r="AL224" s="8"/>
      <c r="AM224" s="8">
        <v>205348</v>
      </c>
      <c r="AN224" s="8"/>
      <c r="AO224" s="8">
        <v>500590</v>
      </c>
      <c r="AP224" s="8"/>
      <c r="AQ224" s="8">
        <v>792615</v>
      </c>
      <c r="AR224" s="8"/>
      <c r="AS224" s="8"/>
      <c r="AT224" s="8"/>
      <c r="AU224" s="8">
        <v>0</v>
      </c>
      <c r="AV224" s="8"/>
      <c r="AW224" s="8">
        <f t="shared" si="10"/>
        <v>17511794</v>
      </c>
      <c r="AY224" s="8">
        <f>+'[1]St of Activites - GA Rev'!AI240-'[1]St of Activities - GA Exp'!AW240</f>
        <v>1874939</v>
      </c>
      <c r="BA224" s="8">
        <v>11817540</v>
      </c>
      <c r="BC224" s="8">
        <f t="shared" si="11"/>
        <v>13692479</v>
      </c>
      <c r="BE224" s="8">
        <f>+'[1]St of Net Assets - GA'!AA240-'[1]St of Activities - GA Exp'!BC240</f>
        <v>0</v>
      </c>
    </row>
    <row r="225" spans="1:57" s="8" customFormat="1">
      <c r="A225" s="13" t="s">
        <v>456</v>
      </c>
      <c r="B225" s="13"/>
      <c r="C225" s="13" t="s">
        <v>39</v>
      </c>
      <c r="D225" s="13"/>
      <c r="E225" s="13">
        <v>47803</v>
      </c>
      <c r="G225" s="8">
        <v>10205940</v>
      </c>
      <c r="I225" s="8">
        <v>2557411</v>
      </c>
      <c r="K225" s="8">
        <v>314235</v>
      </c>
      <c r="M225" s="8">
        <f>2357+268649</f>
        <v>271006</v>
      </c>
      <c r="O225" s="8">
        <v>888639</v>
      </c>
      <c r="Q225" s="8">
        <v>994444</v>
      </c>
      <c r="S225" s="8">
        <v>12609</v>
      </c>
      <c r="U225" s="8">
        <v>1531789</v>
      </c>
      <c r="W225" s="8">
        <v>430643</v>
      </c>
      <c r="Y225" s="8">
        <v>9798</v>
      </c>
      <c r="AA225" s="8">
        <v>2230308</v>
      </c>
      <c r="AC225" s="8">
        <v>1106794</v>
      </c>
      <c r="AE225" s="8">
        <v>94793</v>
      </c>
      <c r="AG225" s="13" t="s">
        <v>456</v>
      </c>
      <c r="AH225" s="13"/>
      <c r="AI225" s="13" t="s">
        <v>39</v>
      </c>
      <c r="AJ225" s="13"/>
      <c r="AK225" s="8">
        <v>812830</v>
      </c>
      <c r="AM225" s="8">
        <v>102427</v>
      </c>
      <c r="AO225" s="8">
        <v>392256</v>
      </c>
      <c r="AQ225" s="8">
        <v>41224</v>
      </c>
      <c r="AU225" s="8">
        <v>203531</v>
      </c>
      <c r="AW225" s="8">
        <f t="shared" si="10"/>
        <v>22200677</v>
      </c>
      <c r="AY225" s="8">
        <f>+'[1]St of Activites - GA Rev'!AI241-'[1]St of Activities - GA Exp'!AW241</f>
        <v>-456055</v>
      </c>
      <c r="BA225" s="8">
        <v>5845491</v>
      </c>
      <c r="BC225" s="8">
        <f t="shared" si="11"/>
        <v>5389436</v>
      </c>
      <c r="BE225" s="8">
        <f>+'[1]St of Net Assets - GA'!AA241-'[1]St of Activities - GA Exp'!BC241</f>
        <v>0</v>
      </c>
    </row>
    <row r="226" spans="1:57" ht="12" customHeight="1">
      <c r="A226" s="12" t="s">
        <v>400</v>
      </c>
      <c r="B226" s="12"/>
      <c r="C226" s="12" t="s">
        <v>32</v>
      </c>
      <c r="D226" s="12"/>
      <c r="E226" s="32">
        <v>45435</v>
      </c>
      <c r="G226" s="8">
        <v>14228275</v>
      </c>
      <c r="H226" s="8"/>
      <c r="I226" s="8">
        <v>2551492</v>
      </c>
      <c r="J226" s="8"/>
      <c r="K226" s="8">
        <v>103493</v>
      </c>
      <c r="L226" s="8"/>
      <c r="M226" s="8">
        <v>1465519</v>
      </c>
      <c r="N226" s="8"/>
      <c r="O226" s="8">
        <v>2201128</v>
      </c>
      <c r="P226" s="8"/>
      <c r="Q226" s="8">
        <v>2295159</v>
      </c>
      <c r="R226" s="8"/>
      <c r="S226" s="8">
        <v>17642</v>
      </c>
      <c r="T226" s="8"/>
      <c r="U226" s="8">
        <v>2054669</v>
      </c>
      <c r="V226" s="8"/>
      <c r="W226" s="8">
        <v>778851</v>
      </c>
      <c r="X226" s="8"/>
      <c r="Y226" s="8">
        <v>64257</v>
      </c>
      <c r="Z226" s="8"/>
      <c r="AA226" s="8">
        <v>3304445</v>
      </c>
      <c r="AB226" s="8"/>
      <c r="AC226" s="8">
        <v>2088737</v>
      </c>
      <c r="AD226" s="8"/>
      <c r="AE226" s="8">
        <v>76229</v>
      </c>
      <c r="AF226" s="8"/>
      <c r="AG226" s="12" t="s">
        <v>400</v>
      </c>
      <c r="AH226" s="12"/>
      <c r="AI226" s="12" t="s">
        <v>32</v>
      </c>
      <c r="AJ226" s="12"/>
      <c r="AK226" s="8">
        <v>883979</v>
      </c>
      <c r="AL226" s="8"/>
      <c r="AM226" s="8">
        <v>174070</v>
      </c>
      <c r="AN226" s="8"/>
      <c r="AO226" s="8">
        <v>934290</v>
      </c>
      <c r="AP226" s="8"/>
      <c r="AQ226" s="8">
        <v>1939824</v>
      </c>
      <c r="AR226" s="8"/>
      <c r="AS226" s="8"/>
      <c r="AT226" s="8"/>
      <c r="AU226" s="8">
        <v>932329</v>
      </c>
      <c r="AV226" s="8"/>
      <c r="AW226" s="8">
        <f t="shared" si="10"/>
        <v>36094388</v>
      </c>
      <c r="AY226" s="8">
        <f>+'[1]St of Activites - GA Rev'!AI242-'[1]St of Activities - GA Exp'!AW242</f>
        <v>3172988</v>
      </c>
      <c r="BA226" s="8">
        <v>32823181</v>
      </c>
      <c r="BC226" s="8">
        <f t="shared" si="11"/>
        <v>35996169</v>
      </c>
      <c r="BE226" s="8">
        <f>+'[1]St of Net Assets - GA'!AA242-'[1]St of Activities - GA Exp'!BC242</f>
        <v>0</v>
      </c>
    </row>
    <row r="227" spans="1:57">
      <c r="A227" s="12" t="s">
        <v>702</v>
      </c>
      <c r="B227" s="12"/>
      <c r="C227" s="12" t="s">
        <v>65</v>
      </c>
      <c r="D227" s="12"/>
      <c r="E227" s="32">
        <v>50286</v>
      </c>
      <c r="G227" s="8">
        <v>7568939</v>
      </c>
      <c r="H227" s="8"/>
      <c r="I227" s="8">
        <v>1574163</v>
      </c>
      <c r="J227" s="8"/>
      <c r="K227" s="8">
        <v>278309</v>
      </c>
      <c r="L227" s="8"/>
      <c r="M227" s="8">
        <v>1454302</v>
      </c>
      <c r="N227" s="8"/>
      <c r="O227" s="8">
        <v>509696</v>
      </c>
      <c r="P227" s="8"/>
      <c r="Q227" s="8">
        <v>530766</v>
      </c>
      <c r="R227" s="8"/>
      <c r="S227" s="8">
        <v>48076</v>
      </c>
      <c r="T227" s="8"/>
      <c r="U227" s="8">
        <v>1225753</v>
      </c>
      <c r="V227" s="8"/>
      <c r="W227" s="8">
        <v>398145</v>
      </c>
      <c r="X227" s="8"/>
      <c r="Y227" s="8">
        <v>125194</v>
      </c>
      <c r="Z227" s="8"/>
      <c r="AA227" s="8">
        <v>3080535</v>
      </c>
      <c r="AB227" s="8"/>
      <c r="AC227" s="8">
        <v>1145921</v>
      </c>
      <c r="AD227" s="8"/>
      <c r="AE227" s="8">
        <v>27496</v>
      </c>
      <c r="AF227" s="8"/>
      <c r="AG227" s="12" t="s">
        <v>702</v>
      </c>
      <c r="AH227" s="12"/>
      <c r="AI227" s="12" t="s">
        <v>65</v>
      </c>
      <c r="AJ227" s="12"/>
      <c r="AK227" s="8">
        <v>840250</v>
      </c>
      <c r="AL227" s="8"/>
      <c r="AM227" s="8">
        <v>11500</v>
      </c>
      <c r="AN227" s="8"/>
      <c r="AO227" s="8">
        <v>484344</v>
      </c>
      <c r="AP227" s="8"/>
      <c r="AQ227" s="8">
        <v>568673</v>
      </c>
      <c r="AR227" s="8"/>
      <c r="AS227" s="8"/>
      <c r="AT227" s="8"/>
      <c r="AU227" s="8">
        <v>560021</v>
      </c>
      <c r="AV227" s="8"/>
      <c r="AW227" s="8">
        <f t="shared" si="10"/>
        <v>20432083</v>
      </c>
      <c r="AY227" s="8">
        <f>+'[1]St of Activites - GA Rev'!AI243-'[1]St of Activities - GA Exp'!AW243</f>
        <v>-2488812</v>
      </c>
      <c r="BA227" s="8">
        <v>37318905</v>
      </c>
      <c r="BC227" s="8">
        <f t="shared" si="11"/>
        <v>34830093</v>
      </c>
      <c r="BE227" s="8">
        <f>+'[1]St of Net Assets - GA'!AA243-'[1]St of Activities - GA Exp'!BC243</f>
        <v>0</v>
      </c>
    </row>
    <row r="228" spans="1:57" ht="12" customHeight="1">
      <c r="A228" s="12" t="s">
        <v>474</v>
      </c>
      <c r="B228" s="12"/>
      <c r="C228" s="12" t="s">
        <v>471</v>
      </c>
      <c r="D228" s="12"/>
      <c r="E228" s="32">
        <v>44149</v>
      </c>
      <c r="G228" s="8">
        <v>6558975</v>
      </c>
      <c r="H228" s="8"/>
      <c r="I228" s="8">
        <v>2030780</v>
      </c>
      <c r="J228" s="8"/>
      <c r="K228" s="8">
        <v>429768</v>
      </c>
      <c r="L228" s="8"/>
      <c r="M228" s="8">
        <v>0</v>
      </c>
      <c r="N228" s="8"/>
      <c r="O228" s="8">
        <v>914901</v>
      </c>
      <c r="P228" s="8"/>
      <c r="Q228" s="8">
        <v>536425</v>
      </c>
      <c r="R228" s="8"/>
      <c r="S228" s="8">
        <v>162338</v>
      </c>
      <c r="T228" s="8"/>
      <c r="U228" s="8">
        <v>1215658</v>
      </c>
      <c r="V228" s="8"/>
      <c r="W228" s="8">
        <v>514180</v>
      </c>
      <c r="X228" s="8"/>
      <c r="Y228" s="8">
        <v>0</v>
      </c>
      <c r="Z228" s="8"/>
      <c r="AA228" s="8">
        <v>1588756</v>
      </c>
      <c r="AB228" s="8"/>
      <c r="AC228" s="8">
        <v>558739</v>
      </c>
      <c r="AD228" s="8"/>
      <c r="AE228" s="8">
        <v>106201</v>
      </c>
      <c r="AF228" s="8"/>
      <c r="AG228" s="12" t="s">
        <v>474</v>
      </c>
      <c r="AH228" s="12"/>
      <c r="AI228" s="12" t="s">
        <v>471</v>
      </c>
      <c r="AJ228" s="12"/>
      <c r="AK228" s="8">
        <v>699353</v>
      </c>
      <c r="AL228" s="8"/>
      <c r="AM228" s="8">
        <v>126797</v>
      </c>
      <c r="AN228" s="8"/>
      <c r="AO228" s="8">
        <v>570864</v>
      </c>
      <c r="AP228" s="8"/>
      <c r="AQ228" s="8">
        <v>686216</v>
      </c>
      <c r="AR228" s="8"/>
      <c r="AS228" s="8"/>
      <c r="AT228" s="8"/>
      <c r="AU228" s="8">
        <v>0</v>
      </c>
      <c r="AV228" s="8"/>
      <c r="AW228" s="8">
        <f t="shared" si="10"/>
        <v>16699951</v>
      </c>
      <c r="AY228" s="8">
        <f>+'[1]St of Activites - GA Rev'!AI244-'[1]St of Activities - GA Exp'!AW244</f>
        <v>1561476</v>
      </c>
      <c r="BA228" s="8">
        <v>33653915</v>
      </c>
      <c r="BC228" s="8">
        <f t="shared" si="11"/>
        <v>35215391</v>
      </c>
      <c r="BE228" s="8">
        <f>+'[1]St of Net Assets - GA'!AA244-'[1]St of Activities - GA Exp'!BC244</f>
        <v>0</v>
      </c>
    </row>
    <row r="229" spans="1:57" ht="12" hidden="1" customHeight="1">
      <c r="A229" s="12" t="s">
        <v>942</v>
      </c>
      <c r="B229" s="12"/>
      <c r="C229" s="12" t="s">
        <v>61</v>
      </c>
      <c r="D229" s="12"/>
      <c r="E229" s="32">
        <v>49809</v>
      </c>
      <c r="G229" s="8">
        <v>0</v>
      </c>
      <c r="H229" s="8"/>
      <c r="I229" s="8">
        <v>0</v>
      </c>
      <c r="J229" s="8"/>
      <c r="K229" s="8">
        <v>0</v>
      </c>
      <c r="L229" s="8"/>
      <c r="M229" s="8">
        <v>0</v>
      </c>
      <c r="N229" s="8"/>
      <c r="O229" s="8">
        <v>0</v>
      </c>
      <c r="P229" s="8"/>
      <c r="Q229" s="8">
        <v>0</v>
      </c>
      <c r="R229" s="8"/>
      <c r="S229" s="8">
        <v>0</v>
      </c>
      <c r="T229" s="8"/>
      <c r="U229" s="8">
        <v>0</v>
      </c>
      <c r="V229" s="8"/>
      <c r="W229" s="8">
        <v>0</v>
      </c>
      <c r="X229" s="8"/>
      <c r="Y229" s="8">
        <v>0</v>
      </c>
      <c r="Z229" s="8"/>
      <c r="AA229" s="8">
        <v>0</v>
      </c>
      <c r="AB229" s="8"/>
      <c r="AC229" s="8">
        <v>0</v>
      </c>
      <c r="AD229" s="8"/>
      <c r="AE229" s="8">
        <v>0</v>
      </c>
      <c r="AF229" s="8"/>
      <c r="AG229" s="12" t="s">
        <v>942</v>
      </c>
      <c r="AH229" s="12"/>
      <c r="AI229" s="12" t="s">
        <v>61</v>
      </c>
      <c r="AJ229" s="12"/>
      <c r="AK229" s="8">
        <v>0</v>
      </c>
      <c r="AL229" s="8"/>
      <c r="AM229" s="8">
        <v>0</v>
      </c>
      <c r="AN229" s="8"/>
      <c r="AO229" s="8">
        <v>0</v>
      </c>
      <c r="AP229" s="8"/>
      <c r="AQ229" s="8">
        <v>0</v>
      </c>
      <c r="AR229" s="8"/>
      <c r="AS229" s="8"/>
      <c r="AT229" s="8">
        <v>0</v>
      </c>
      <c r="AU229" s="8">
        <v>0</v>
      </c>
      <c r="AV229" s="8"/>
      <c r="AW229" s="8">
        <f t="shared" si="10"/>
        <v>0</v>
      </c>
      <c r="AY229" s="8">
        <f>+'[1]St of Activites - GA Rev'!AI245-'[1]St of Activities - GA Exp'!AW245</f>
        <v>0</v>
      </c>
      <c r="BA229" s="8">
        <v>0</v>
      </c>
      <c r="BC229" s="8">
        <f t="shared" si="11"/>
        <v>0</v>
      </c>
      <c r="BE229" s="8">
        <f>+'[1]St of Net Assets - GA'!AA245-'[1]St of Activities - GA Exp'!BC245</f>
        <v>0</v>
      </c>
    </row>
    <row r="230" spans="1:57" ht="12" hidden="1" customHeight="1">
      <c r="A230" s="12" t="s">
        <v>943</v>
      </c>
      <c r="B230" s="12"/>
      <c r="C230" s="12" t="s">
        <v>38</v>
      </c>
      <c r="D230" s="12"/>
      <c r="E230" s="32"/>
      <c r="G230" s="8">
        <v>0</v>
      </c>
      <c r="H230" s="8"/>
      <c r="I230" s="8">
        <v>0</v>
      </c>
      <c r="J230" s="8"/>
      <c r="K230" s="8">
        <v>0</v>
      </c>
      <c r="L230" s="8"/>
      <c r="M230" s="8">
        <v>0</v>
      </c>
      <c r="N230" s="8"/>
      <c r="O230" s="8">
        <v>0</v>
      </c>
      <c r="P230" s="8"/>
      <c r="Q230" s="8">
        <v>0</v>
      </c>
      <c r="R230" s="8"/>
      <c r="S230" s="8">
        <v>0</v>
      </c>
      <c r="T230" s="8"/>
      <c r="U230" s="8">
        <v>0</v>
      </c>
      <c r="V230" s="8"/>
      <c r="W230" s="8">
        <v>0</v>
      </c>
      <c r="X230" s="8"/>
      <c r="Y230" s="8">
        <v>0</v>
      </c>
      <c r="Z230" s="8"/>
      <c r="AA230" s="8">
        <v>0</v>
      </c>
      <c r="AB230" s="8"/>
      <c r="AC230" s="8">
        <v>0</v>
      </c>
      <c r="AD230" s="8"/>
      <c r="AE230" s="8">
        <v>0</v>
      </c>
      <c r="AF230" s="8"/>
      <c r="AG230" s="12" t="s">
        <v>943</v>
      </c>
      <c r="AH230" s="12"/>
      <c r="AI230" s="12" t="s">
        <v>38</v>
      </c>
      <c r="AJ230" s="12"/>
      <c r="AK230" s="8">
        <v>0</v>
      </c>
      <c r="AL230" s="8"/>
      <c r="AM230" s="8">
        <v>0</v>
      </c>
      <c r="AN230" s="8"/>
      <c r="AO230" s="8">
        <v>0</v>
      </c>
      <c r="AP230" s="8"/>
      <c r="AQ230" s="8">
        <v>0</v>
      </c>
      <c r="AR230" s="8"/>
      <c r="AS230" s="8"/>
      <c r="AT230" s="8">
        <v>0</v>
      </c>
      <c r="AU230" s="8">
        <v>0</v>
      </c>
      <c r="AV230" s="8"/>
      <c r="AW230" s="8">
        <f t="shared" si="10"/>
        <v>0</v>
      </c>
      <c r="AY230" s="8">
        <f>+'[1]St of Activites - GA Rev'!AI246-'[1]St of Activities - GA Exp'!AW246</f>
        <v>0</v>
      </c>
      <c r="BA230" s="8">
        <v>0</v>
      </c>
      <c r="BC230" s="8">
        <f t="shared" si="11"/>
        <v>0</v>
      </c>
      <c r="BE230" s="8">
        <f>+'[1]St of Net Assets - GA'!AA246-'[1]St of Activities - GA Exp'!BC246</f>
        <v>0</v>
      </c>
    </row>
    <row r="231" spans="1:57">
      <c r="A231" s="12" t="s">
        <v>657</v>
      </c>
      <c r="B231" s="12"/>
      <c r="C231" s="12" t="s">
        <v>62</v>
      </c>
      <c r="D231" s="12"/>
      <c r="E231" s="32">
        <v>49858</v>
      </c>
      <c r="G231" s="8">
        <v>21506153</v>
      </c>
      <c r="H231" s="8"/>
      <c r="I231" s="8">
        <v>3535029</v>
      </c>
      <c r="J231" s="8"/>
      <c r="K231" s="8">
        <v>1254297</v>
      </c>
      <c r="L231" s="8"/>
      <c r="M231" s="8">
        <f>86093+1296766</f>
        <v>1382859</v>
      </c>
      <c r="N231" s="8"/>
      <c r="O231" s="8">
        <v>2818918</v>
      </c>
      <c r="P231" s="8"/>
      <c r="Q231" s="8">
        <v>2453397</v>
      </c>
      <c r="R231" s="8"/>
      <c r="S231" s="8">
        <v>18087</v>
      </c>
      <c r="T231" s="8"/>
      <c r="U231" s="8">
        <v>3358151</v>
      </c>
      <c r="V231" s="8"/>
      <c r="W231" s="8">
        <v>1041650</v>
      </c>
      <c r="X231" s="8"/>
      <c r="Y231" s="8">
        <v>464340</v>
      </c>
      <c r="Z231" s="8"/>
      <c r="AA231" s="8">
        <v>5300181</v>
      </c>
      <c r="AB231" s="8"/>
      <c r="AC231" s="8">
        <v>3178643</v>
      </c>
      <c r="AD231" s="8"/>
      <c r="AE231" s="8">
        <v>1806687</v>
      </c>
      <c r="AF231" s="8"/>
      <c r="AG231" s="12" t="s">
        <v>657</v>
      </c>
      <c r="AH231" s="12"/>
      <c r="AI231" s="12" t="s">
        <v>62</v>
      </c>
      <c r="AJ231" s="12"/>
      <c r="AK231" s="8">
        <v>1620710</v>
      </c>
      <c r="AL231" s="8"/>
      <c r="AM231" s="8">
        <v>3805</v>
      </c>
      <c r="AN231" s="8"/>
      <c r="AO231" s="8">
        <v>1791974</v>
      </c>
      <c r="AP231" s="8"/>
      <c r="AQ231" s="8">
        <v>4086561</v>
      </c>
      <c r="AR231" s="8"/>
      <c r="AS231" s="8"/>
      <c r="AT231" s="8"/>
      <c r="AU231" s="8">
        <v>46718</v>
      </c>
      <c r="AV231" s="8"/>
      <c r="AW231" s="8">
        <f t="shared" si="10"/>
        <v>55668160</v>
      </c>
      <c r="AY231" s="8">
        <f>+'[1]St of Activites - GA Rev'!AI247-'[1]St of Activities - GA Exp'!AW247</f>
        <v>5329984</v>
      </c>
      <c r="BA231" s="8">
        <v>21090749</v>
      </c>
      <c r="BC231" s="8">
        <f t="shared" si="11"/>
        <v>26420733</v>
      </c>
      <c r="BE231" s="8">
        <f>+'[1]St of Net Assets - GA'!AA247-'[1]St of Activities - GA Exp'!BC247</f>
        <v>0</v>
      </c>
    </row>
    <row r="232" spans="1:57" ht="12" customHeight="1">
      <c r="A232" s="12" t="s">
        <v>518</v>
      </c>
      <c r="B232" s="12"/>
      <c r="C232" s="12" t="s">
        <v>45</v>
      </c>
      <c r="D232" s="12"/>
      <c r="E232" s="32">
        <v>48322</v>
      </c>
      <c r="G232" s="8">
        <v>4261487</v>
      </c>
      <c r="H232" s="8"/>
      <c r="I232" s="8">
        <v>980630</v>
      </c>
      <c r="J232" s="8"/>
      <c r="K232" s="8">
        <v>97223</v>
      </c>
      <c r="L232" s="8"/>
      <c r="M232" s="8">
        <v>58886</v>
      </c>
      <c r="N232" s="8"/>
      <c r="O232" s="8">
        <v>295257</v>
      </c>
      <c r="P232" s="8"/>
      <c r="Q232" s="8">
        <v>233309</v>
      </c>
      <c r="R232" s="8"/>
      <c r="S232" s="8">
        <v>54599</v>
      </c>
      <c r="T232" s="8"/>
      <c r="U232" s="8">
        <v>717893</v>
      </c>
      <c r="V232" s="8"/>
      <c r="W232" s="8">
        <v>473130</v>
      </c>
      <c r="X232" s="8"/>
      <c r="Y232" s="8"/>
      <c r="Z232" s="8"/>
      <c r="AA232" s="8">
        <v>766803</v>
      </c>
      <c r="AB232" s="8"/>
      <c r="AC232" s="8">
        <v>816319</v>
      </c>
      <c r="AD232" s="8"/>
      <c r="AE232" s="8">
        <v>0</v>
      </c>
      <c r="AF232" s="8"/>
      <c r="AG232" s="12" t="s">
        <v>518</v>
      </c>
      <c r="AH232" s="12"/>
      <c r="AI232" s="12" t="s">
        <v>45</v>
      </c>
      <c r="AJ232" s="12"/>
      <c r="AK232" s="8">
        <v>270105</v>
      </c>
      <c r="AL232" s="8"/>
      <c r="AM232" s="8">
        <v>8348</v>
      </c>
      <c r="AN232" s="8"/>
      <c r="AO232" s="8">
        <v>393774</v>
      </c>
      <c r="AP232" s="8"/>
      <c r="AQ232" s="8">
        <v>695842</v>
      </c>
      <c r="AR232" s="8"/>
      <c r="AS232" s="8"/>
      <c r="AT232" s="8"/>
      <c r="AU232" s="8">
        <v>0</v>
      </c>
      <c r="AV232" s="8"/>
      <c r="AW232" s="8">
        <f t="shared" si="10"/>
        <v>10123605</v>
      </c>
      <c r="AY232" s="8">
        <f>+'[1]St of Activites - GA Rev'!AI248-'[1]St of Activities - GA Exp'!AW248</f>
        <v>1075614</v>
      </c>
      <c r="BA232" s="8">
        <v>3294541</v>
      </c>
      <c r="BC232" s="8">
        <f t="shared" si="11"/>
        <v>4370155</v>
      </c>
      <c r="BE232" s="8">
        <f>+'[1]St of Net Assets - GA'!AA248-'[1]St of Activities - GA Exp'!BC248</f>
        <v>0</v>
      </c>
    </row>
    <row r="233" spans="1:57">
      <c r="A233" s="12" t="s">
        <v>598</v>
      </c>
      <c r="B233" s="12"/>
      <c r="C233" s="12" t="s">
        <v>56</v>
      </c>
      <c r="D233" s="12"/>
      <c r="E233" s="32">
        <v>49205</v>
      </c>
      <c r="G233" s="8">
        <v>6160779</v>
      </c>
      <c r="H233" s="8"/>
      <c r="I233" s="8">
        <v>1345106</v>
      </c>
      <c r="J233" s="8"/>
      <c r="K233" s="8">
        <v>1824</v>
      </c>
      <c r="L233" s="8"/>
      <c r="M233" s="8">
        <v>24181</v>
      </c>
      <c r="N233" s="8"/>
      <c r="O233" s="8">
        <v>599380</v>
      </c>
      <c r="P233" s="8"/>
      <c r="Q233" s="8">
        <v>460862</v>
      </c>
      <c r="R233" s="8"/>
      <c r="S233" s="8">
        <v>36586</v>
      </c>
      <c r="T233" s="8"/>
      <c r="U233" s="8">
        <v>1059732</v>
      </c>
      <c r="V233" s="8"/>
      <c r="W233" s="8">
        <v>297410</v>
      </c>
      <c r="X233" s="8"/>
      <c r="Y233" s="8">
        <v>0</v>
      </c>
      <c r="Z233" s="8"/>
      <c r="AA233" s="8">
        <v>1297435</v>
      </c>
      <c r="AB233" s="8"/>
      <c r="AC233" s="8">
        <v>960219</v>
      </c>
      <c r="AD233" s="8"/>
      <c r="AE233" s="8">
        <v>140365</v>
      </c>
      <c r="AF233" s="8"/>
      <c r="AG233" s="12" t="s">
        <v>598</v>
      </c>
      <c r="AH233" s="12"/>
      <c r="AI233" s="12" t="s">
        <v>56</v>
      </c>
      <c r="AJ233" s="12"/>
      <c r="AK233" s="8">
        <v>566202</v>
      </c>
      <c r="AL233" s="8"/>
      <c r="AM233" s="8">
        <v>0</v>
      </c>
      <c r="AN233" s="8"/>
      <c r="AO233" s="8">
        <v>497273</v>
      </c>
      <c r="AP233" s="8"/>
      <c r="AQ233" s="8">
        <v>280778</v>
      </c>
      <c r="AR233" s="8"/>
      <c r="AS233" s="8"/>
      <c r="AT233" s="8"/>
      <c r="AU233" s="8">
        <v>0</v>
      </c>
      <c r="AV233" s="8"/>
      <c r="AW233" s="8">
        <f t="shared" si="10"/>
        <v>13728132</v>
      </c>
      <c r="AY233" s="8">
        <f>+'[1]St of Activites - GA Rev'!AI249-'[1]St of Activities - GA Exp'!AW249</f>
        <v>-59834</v>
      </c>
      <c r="BA233" s="8">
        <v>3146893</v>
      </c>
      <c r="BC233" s="8">
        <f t="shared" si="11"/>
        <v>3087059</v>
      </c>
      <c r="BE233" s="8">
        <f>+'[1]St of Net Assets - GA'!AA249-'[1]St of Activities - GA Exp'!BC249</f>
        <v>0</v>
      </c>
    </row>
    <row r="234" spans="1:57" ht="12" customHeight="1">
      <c r="A234" s="12" t="s">
        <v>223</v>
      </c>
      <c r="B234" s="12"/>
      <c r="C234" s="12" t="s">
        <v>12</v>
      </c>
      <c r="D234" s="12"/>
      <c r="E234" s="32">
        <v>45872</v>
      </c>
      <c r="G234" s="8">
        <v>7540516</v>
      </c>
      <c r="H234" s="8"/>
      <c r="I234" s="8">
        <v>1276941</v>
      </c>
      <c r="J234" s="8"/>
      <c r="K234" s="8">
        <v>135329</v>
      </c>
      <c r="L234" s="8"/>
      <c r="M234" s="8">
        <v>0</v>
      </c>
      <c r="N234" s="8"/>
      <c r="O234" s="8">
        <v>1452826</v>
      </c>
      <c r="P234" s="8"/>
      <c r="Q234" s="8">
        <v>183472</v>
      </c>
      <c r="R234" s="8"/>
      <c r="S234" s="8">
        <v>14591</v>
      </c>
      <c r="T234" s="8"/>
      <c r="U234" s="8">
        <v>1126476</v>
      </c>
      <c r="V234" s="8"/>
      <c r="W234" s="8">
        <v>436816</v>
      </c>
      <c r="X234" s="8"/>
      <c r="Y234" s="8">
        <v>12456</v>
      </c>
      <c r="Z234" s="8"/>
      <c r="AA234" s="8">
        <v>1663609</v>
      </c>
      <c r="AB234" s="8"/>
      <c r="AC234" s="8">
        <v>1284715</v>
      </c>
      <c r="AD234" s="8"/>
      <c r="AE234" s="8">
        <v>106195</v>
      </c>
      <c r="AF234" s="8"/>
      <c r="AG234" s="12" t="s">
        <v>223</v>
      </c>
      <c r="AH234" s="12"/>
      <c r="AI234" s="12" t="s">
        <v>12</v>
      </c>
      <c r="AJ234" s="12"/>
      <c r="AK234" s="8">
        <v>710827</v>
      </c>
      <c r="AL234" s="8"/>
      <c r="AM234" s="8">
        <v>123018</v>
      </c>
      <c r="AN234" s="8"/>
      <c r="AO234" s="8">
        <v>425777</v>
      </c>
      <c r="AP234" s="8"/>
      <c r="AQ234" s="8">
        <v>865196</v>
      </c>
      <c r="AR234" s="8"/>
      <c r="AS234" s="8"/>
      <c r="AT234" s="8"/>
      <c r="AU234" s="8">
        <v>0</v>
      </c>
      <c r="AV234" s="8"/>
      <c r="AW234" s="8">
        <f t="shared" si="10"/>
        <v>17358760</v>
      </c>
      <c r="AY234" s="8">
        <f>+'[1]St of Activites - GA Rev'!AI250-'[1]St of Activities - GA Exp'!AW250</f>
        <v>18519626</v>
      </c>
      <c r="BA234" s="8">
        <v>6861191</v>
      </c>
      <c r="BC234" s="8">
        <f t="shared" si="11"/>
        <v>25380817</v>
      </c>
      <c r="BE234" s="8">
        <f>+'[1]St of Net Assets - GA'!AA250-'[1]St of Activities - GA Exp'!BC250</f>
        <v>0</v>
      </c>
    </row>
    <row r="235" spans="1:57">
      <c r="A235" s="12" t="s">
        <v>510</v>
      </c>
      <c r="B235" s="12"/>
      <c r="C235" s="12" t="s">
        <v>511</v>
      </c>
      <c r="D235" s="12"/>
      <c r="E235" s="32">
        <v>48256</v>
      </c>
      <c r="G235" s="8">
        <v>5416454</v>
      </c>
      <c r="H235" s="8"/>
      <c r="I235" s="8">
        <v>1568625</v>
      </c>
      <c r="J235" s="8"/>
      <c r="K235" s="8">
        <v>0</v>
      </c>
      <c r="L235" s="8"/>
      <c r="M235" s="8">
        <v>25732</v>
      </c>
      <c r="N235" s="8"/>
      <c r="O235" s="8">
        <v>520115</v>
      </c>
      <c r="P235" s="8"/>
      <c r="Q235" s="8">
        <v>631275</v>
      </c>
      <c r="R235" s="8"/>
      <c r="S235" s="8">
        <v>107430</v>
      </c>
      <c r="T235" s="8"/>
      <c r="U235" s="8">
        <v>834204</v>
      </c>
      <c r="V235" s="8"/>
      <c r="W235" s="8">
        <v>443298</v>
      </c>
      <c r="X235" s="8"/>
      <c r="Y235" s="8">
        <v>81386</v>
      </c>
      <c r="Z235" s="8"/>
      <c r="AA235" s="8">
        <v>1412884</v>
      </c>
      <c r="AB235" s="8"/>
      <c r="AC235" s="8">
        <v>538754</v>
      </c>
      <c r="AD235" s="8"/>
      <c r="AE235" s="8">
        <v>351015</v>
      </c>
      <c r="AF235" s="8"/>
      <c r="AG235" s="12" t="s">
        <v>510</v>
      </c>
      <c r="AH235" s="12"/>
      <c r="AI235" s="12" t="s">
        <v>511</v>
      </c>
      <c r="AJ235" s="12"/>
      <c r="AK235" s="8">
        <v>698017</v>
      </c>
      <c r="AL235" s="8"/>
      <c r="AM235" s="8">
        <v>0</v>
      </c>
      <c r="AN235" s="8"/>
      <c r="AO235" s="8">
        <v>599619</v>
      </c>
      <c r="AP235" s="8"/>
      <c r="AQ235" s="8">
        <v>664726</v>
      </c>
      <c r="AR235" s="8"/>
      <c r="AS235" s="8"/>
      <c r="AT235" s="8"/>
      <c r="AU235" s="8">
        <v>0</v>
      </c>
      <c r="AV235" s="8"/>
      <c r="AW235" s="8">
        <f t="shared" si="10"/>
        <v>13893534</v>
      </c>
      <c r="AY235" s="8">
        <f>+'[1]St of Activites - GA Rev'!AI251-'[1]St of Activities - GA Exp'!AW251</f>
        <v>872889</v>
      </c>
      <c r="BA235" s="8">
        <v>23653550</v>
      </c>
      <c r="BC235" s="8">
        <f t="shared" si="11"/>
        <v>24526439</v>
      </c>
      <c r="BE235" s="8">
        <f>+'St of Net Assets - GA'!AA236-'St of Activities - GA Exp'!BC235</f>
        <v>0</v>
      </c>
    </row>
    <row r="236" spans="1:57" ht="12" customHeight="1">
      <c r="A236" s="12" t="s">
        <v>556</v>
      </c>
      <c r="B236" s="12"/>
      <c r="C236" s="12" t="s">
        <v>50</v>
      </c>
      <c r="D236" s="12"/>
      <c r="E236" s="32">
        <v>48686</v>
      </c>
      <c r="G236" s="8">
        <v>2364710</v>
      </c>
      <c r="H236" s="8"/>
      <c r="I236" s="8">
        <v>955588</v>
      </c>
      <c r="J236" s="8"/>
      <c r="K236" s="8">
        <v>39577</v>
      </c>
      <c r="L236" s="8"/>
      <c r="M236" s="8">
        <v>1531981</v>
      </c>
      <c r="N236" s="8"/>
      <c r="O236" s="8">
        <v>288178</v>
      </c>
      <c r="P236" s="8"/>
      <c r="Q236" s="8">
        <v>238712</v>
      </c>
      <c r="R236" s="8"/>
      <c r="S236" s="8">
        <v>44483</v>
      </c>
      <c r="T236" s="8"/>
      <c r="U236" s="8">
        <v>733843</v>
      </c>
      <c r="V236" s="8"/>
      <c r="W236" s="8">
        <v>1271433</v>
      </c>
      <c r="X236" s="8"/>
      <c r="Y236" s="8">
        <v>0</v>
      </c>
      <c r="Z236" s="8"/>
      <c r="AA236" s="8">
        <v>882649</v>
      </c>
      <c r="AB236" s="8"/>
      <c r="AC236" s="8">
        <v>614916</v>
      </c>
      <c r="AD236" s="8"/>
      <c r="AE236" s="8">
        <v>106249</v>
      </c>
      <c r="AF236" s="8"/>
      <c r="AG236" s="12" t="s">
        <v>556</v>
      </c>
      <c r="AH236" s="12"/>
      <c r="AI236" s="12" t="s">
        <v>50</v>
      </c>
      <c r="AJ236" s="12"/>
      <c r="AK236" s="8">
        <v>393883</v>
      </c>
      <c r="AL236" s="8"/>
      <c r="AM236" s="8">
        <v>15948</v>
      </c>
      <c r="AN236" s="8"/>
      <c r="AO236" s="8">
        <v>126451</v>
      </c>
      <c r="AP236" s="8"/>
      <c r="AQ236" s="8">
        <v>104581</v>
      </c>
      <c r="AR236" s="8"/>
      <c r="AS236" s="8"/>
      <c r="AT236" s="8"/>
      <c r="AU236" s="8">
        <v>0</v>
      </c>
      <c r="AV236" s="8"/>
      <c r="AW236" s="8">
        <f t="shared" si="10"/>
        <v>9713182</v>
      </c>
      <c r="AY236" s="8">
        <f>+'[1]St of Activites - GA Rev'!AI252-'[1]St of Activities - GA Exp'!AW252</f>
        <v>-230044</v>
      </c>
      <c r="BA236" s="8">
        <v>970622</v>
      </c>
      <c r="BC236" s="8">
        <f t="shared" si="11"/>
        <v>740578</v>
      </c>
      <c r="BE236" s="8">
        <f>+'[1]St of Net Assets - GA'!AA252-'[1]St of Activities - GA Exp'!BC252</f>
        <v>0</v>
      </c>
    </row>
    <row r="237" spans="1:57">
      <c r="A237" s="12" t="s">
        <v>480</v>
      </c>
      <c r="B237" s="12"/>
      <c r="C237" s="12" t="s">
        <v>42</v>
      </c>
      <c r="D237" s="12"/>
      <c r="E237" s="32">
        <v>47985</v>
      </c>
      <c r="G237" s="8">
        <v>6165991</v>
      </c>
      <c r="H237" s="8"/>
      <c r="I237" s="8">
        <v>1151744</v>
      </c>
      <c r="J237" s="8"/>
      <c r="K237" s="8">
        <v>185432</v>
      </c>
      <c r="L237" s="8"/>
      <c r="M237" s="8">
        <v>209356</v>
      </c>
      <c r="N237" s="8"/>
      <c r="O237" s="8">
        <v>553529</v>
      </c>
      <c r="P237" s="8"/>
      <c r="Q237" s="8">
        <v>549938</v>
      </c>
      <c r="R237" s="8"/>
      <c r="S237" s="8">
        <v>54809</v>
      </c>
      <c r="T237" s="8"/>
      <c r="U237" s="8">
        <v>1015840</v>
      </c>
      <c r="V237" s="8"/>
      <c r="W237" s="8">
        <v>370073</v>
      </c>
      <c r="X237" s="8"/>
      <c r="Y237" s="8">
        <v>0</v>
      </c>
      <c r="Z237" s="8"/>
      <c r="AA237" s="8">
        <v>1256556</v>
      </c>
      <c r="AB237" s="8"/>
      <c r="AC237" s="8">
        <v>751408</v>
      </c>
      <c r="AD237" s="8"/>
      <c r="AE237" s="8">
        <v>72696</v>
      </c>
      <c r="AF237" s="8"/>
      <c r="AG237" s="12" t="s">
        <v>480</v>
      </c>
      <c r="AH237" s="12"/>
      <c r="AI237" s="12" t="s">
        <v>42</v>
      </c>
      <c r="AJ237" s="12"/>
      <c r="AK237" s="8">
        <v>472851</v>
      </c>
      <c r="AL237" s="8"/>
      <c r="AM237" s="8">
        <v>247</v>
      </c>
      <c r="AN237" s="8"/>
      <c r="AO237" s="8">
        <v>520154</v>
      </c>
      <c r="AP237" s="8"/>
      <c r="AQ237" s="8">
        <v>31932</v>
      </c>
      <c r="AR237" s="8"/>
      <c r="AS237" s="8"/>
      <c r="AT237" s="8"/>
      <c r="AU237" s="8">
        <v>0</v>
      </c>
      <c r="AV237" s="8"/>
      <c r="AW237" s="8">
        <f t="shared" ref="AW237:AW283" si="12">SUM(G237:AV237)</f>
        <v>13362556</v>
      </c>
      <c r="AY237" s="8">
        <f>+'St of Activites - GA Rev'!AI240-'St of Activities - GA Exp'!AW237</f>
        <v>430505</v>
      </c>
      <c r="BA237" s="8">
        <v>5024541</v>
      </c>
      <c r="BC237" s="8">
        <f t="shared" ref="BC237:BC283" si="13">+AY237+BA237</f>
        <v>5455046</v>
      </c>
      <c r="BE237" s="8">
        <f>+'St of Net Assets - GA'!AA238-'St of Activities - GA Exp'!BC237</f>
        <v>0</v>
      </c>
    </row>
    <row r="238" spans="1:57">
      <c r="A238" s="12" t="s">
        <v>512</v>
      </c>
      <c r="B238" s="12"/>
      <c r="C238" s="12" t="s">
        <v>511</v>
      </c>
      <c r="D238" s="12"/>
      <c r="E238" s="32">
        <v>48264</v>
      </c>
      <c r="G238" s="8">
        <v>7907201</v>
      </c>
      <c r="H238" s="8"/>
      <c r="I238" s="8">
        <v>1180815</v>
      </c>
      <c r="J238" s="8"/>
      <c r="K238" s="8">
        <v>141087</v>
      </c>
      <c r="L238" s="8"/>
      <c r="M238" s="8">
        <v>19933</v>
      </c>
      <c r="N238" s="8"/>
      <c r="O238" s="8">
        <v>1058216</v>
      </c>
      <c r="P238" s="8"/>
      <c r="Q238" s="8">
        <v>708800</v>
      </c>
      <c r="R238" s="8"/>
      <c r="S238" s="8">
        <v>130123</v>
      </c>
      <c r="T238" s="8"/>
      <c r="U238" s="8">
        <v>1498682</v>
      </c>
      <c r="V238" s="8"/>
      <c r="W238" s="8">
        <v>446638</v>
      </c>
      <c r="X238" s="8"/>
      <c r="Y238" s="8">
        <v>11090</v>
      </c>
      <c r="Z238" s="8"/>
      <c r="AA238" s="8">
        <v>1747543</v>
      </c>
      <c r="AB238" s="8"/>
      <c r="AC238" s="8">
        <v>1062417</v>
      </c>
      <c r="AD238" s="8"/>
      <c r="AE238" s="8">
        <v>6858</v>
      </c>
      <c r="AF238" s="8"/>
      <c r="AG238" s="12" t="s">
        <v>512</v>
      </c>
      <c r="AH238" s="12"/>
      <c r="AI238" s="12" t="s">
        <v>511</v>
      </c>
      <c r="AJ238" s="12"/>
      <c r="AK238" s="8">
        <v>857275</v>
      </c>
      <c r="AL238" s="8"/>
      <c r="AM238" s="8">
        <v>0</v>
      </c>
      <c r="AN238" s="8"/>
      <c r="AO238" s="8">
        <v>634033</v>
      </c>
      <c r="AP238" s="8"/>
      <c r="AQ238" s="8">
        <v>987482</v>
      </c>
      <c r="AR238" s="8"/>
      <c r="AS238" s="8"/>
      <c r="AT238" s="8"/>
      <c r="AU238" s="8">
        <v>0</v>
      </c>
      <c r="AV238" s="8"/>
      <c r="AW238" s="8">
        <f t="shared" si="12"/>
        <v>18398193</v>
      </c>
      <c r="AY238" s="8">
        <f>+'St of Activites - GA Rev'!AI241-'St of Activities - GA Exp'!AW238</f>
        <v>1908126</v>
      </c>
      <c r="BA238" s="8">
        <v>5827351</v>
      </c>
      <c r="BC238" s="8">
        <f t="shared" si="13"/>
        <v>7735477</v>
      </c>
      <c r="BE238" s="8">
        <f>+'St of Net Assets - GA'!AA239-'St of Activities - GA Exp'!BC238</f>
        <v>0</v>
      </c>
    </row>
    <row r="239" spans="1:57">
      <c r="A239" s="12" t="s">
        <v>687</v>
      </c>
      <c r="B239" s="12"/>
      <c r="C239" s="12" t="s">
        <v>64</v>
      </c>
      <c r="D239" s="12"/>
      <c r="E239" s="32">
        <v>50179</v>
      </c>
      <c r="G239" s="8">
        <v>4773485</v>
      </c>
      <c r="H239" s="8"/>
      <c r="I239" s="8">
        <v>614306</v>
      </c>
      <c r="J239" s="8"/>
      <c r="K239" s="8">
        <v>83630</v>
      </c>
      <c r="L239" s="8"/>
      <c r="M239" s="8">
        <v>0</v>
      </c>
      <c r="N239" s="8"/>
      <c r="O239" s="8">
        <v>356483</v>
      </c>
      <c r="P239" s="8"/>
      <c r="Q239" s="8">
        <v>131989</v>
      </c>
      <c r="R239" s="8"/>
      <c r="S239" s="8">
        <v>56231</v>
      </c>
      <c r="T239" s="8"/>
      <c r="U239" s="8">
        <v>709626</v>
      </c>
      <c r="V239" s="8"/>
      <c r="W239" s="8">
        <v>287414</v>
      </c>
      <c r="X239" s="8"/>
      <c r="Y239" s="8">
        <v>0</v>
      </c>
      <c r="Z239" s="8"/>
      <c r="AA239" s="8">
        <v>735081</v>
      </c>
      <c r="AB239" s="8"/>
      <c r="AC239" s="8">
        <v>1385097</v>
      </c>
      <c r="AD239" s="8"/>
      <c r="AE239" s="8">
        <v>124228</v>
      </c>
      <c r="AF239" s="8"/>
      <c r="AG239" s="12" t="s">
        <v>687</v>
      </c>
      <c r="AH239" s="12"/>
      <c r="AI239" s="12" t="s">
        <v>64</v>
      </c>
      <c r="AJ239" s="12"/>
      <c r="AK239" s="8">
        <v>0</v>
      </c>
      <c r="AL239" s="8"/>
      <c r="AM239" s="8">
        <v>434596</v>
      </c>
      <c r="AN239" s="8"/>
      <c r="AO239" s="8">
        <v>258479</v>
      </c>
      <c r="AP239" s="8"/>
      <c r="AQ239" s="8">
        <v>169457</v>
      </c>
      <c r="AR239" s="8"/>
      <c r="AS239" s="8"/>
      <c r="AT239" s="8"/>
      <c r="AU239" s="8">
        <v>0</v>
      </c>
      <c r="AV239" s="8"/>
      <c r="AW239" s="8">
        <f t="shared" si="12"/>
        <v>10120102</v>
      </c>
      <c r="AY239" s="8">
        <f>+'St of Activites - GA Rev'!AI242-'St of Activities - GA Exp'!AW239</f>
        <v>-731531</v>
      </c>
      <c r="BA239" s="8">
        <v>22824808</v>
      </c>
      <c r="BC239" s="8">
        <f t="shared" si="13"/>
        <v>22093277</v>
      </c>
      <c r="BE239" s="8">
        <f>+'St of Net Assets - GA'!AA240-'St of Activities - GA Exp'!BC239</f>
        <v>0</v>
      </c>
    </row>
    <row r="240" spans="1:57">
      <c r="A240" s="12" t="s">
        <v>342</v>
      </c>
      <c r="B240" s="12"/>
      <c r="C240" s="12" t="s">
        <v>24</v>
      </c>
      <c r="D240" s="12"/>
      <c r="E240" s="32">
        <v>46797</v>
      </c>
      <c r="G240" s="8">
        <v>580083</v>
      </c>
      <c r="H240" s="8"/>
      <c r="I240" s="8">
        <v>39430</v>
      </c>
      <c r="J240" s="8"/>
      <c r="K240" s="8">
        <v>0</v>
      </c>
      <c r="L240" s="8"/>
      <c r="M240" s="8">
        <v>0</v>
      </c>
      <c r="N240" s="8"/>
      <c r="O240" s="8">
        <v>43598</v>
      </c>
      <c r="P240" s="8"/>
      <c r="Q240" s="8">
        <v>99956</v>
      </c>
      <c r="R240" s="8"/>
      <c r="S240" s="8">
        <v>25640</v>
      </c>
      <c r="T240" s="8"/>
      <c r="U240" s="8">
        <v>105119</v>
      </c>
      <c r="V240" s="8"/>
      <c r="W240" s="8">
        <v>47840</v>
      </c>
      <c r="X240" s="8"/>
      <c r="Y240" s="8">
        <v>5098</v>
      </c>
      <c r="Z240" s="8"/>
      <c r="AA240" s="8">
        <v>265236</v>
      </c>
      <c r="AB240" s="8"/>
      <c r="AC240" s="8">
        <v>0</v>
      </c>
      <c r="AD240" s="8"/>
      <c r="AE240" s="8">
        <v>0</v>
      </c>
      <c r="AF240" s="8"/>
      <c r="AG240" s="12" t="s">
        <v>342</v>
      </c>
      <c r="AH240" s="12"/>
      <c r="AI240" s="12" t="s">
        <v>24</v>
      </c>
      <c r="AJ240" s="12"/>
      <c r="AK240" s="8">
        <v>0</v>
      </c>
      <c r="AL240" s="8"/>
      <c r="AM240" s="8">
        <v>0</v>
      </c>
      <c r="AN240" s="8"/>
      <c r="AO240" s="8">
        <v>626</v>
      </c>
      <c r="AP240" s="8"/>
      <c r="AQ240" s="8">
        <v>11281</v>
      </c>
      <c r="AR240" s="8"/>
      <c r="AS240" s="8"/>
      <c r="AT240" s="8"/>
      <c r="AU240" s="8">
        <v>0</v>
      </c>
      <c r="AV240" s="8"/>
      <c r="AW240" s="8">
        <f t="shared" si="12"/>
        <v>1223907</v>
      </c>
      <c r="AY240" s="8">
        <f>+'St of Activites - GA Rev'!AI243-'St of Activities - GA Exp'!AW240</f>
        <v>-90753</v>
      </c>
      <c r="BA240" s="8">
        <v>2306836</v>
      </c>
      <c r="BC240" s="8">
        <f t="shared" si="13"/>
        <v>2216083</v>
      </c>
      <c r="BE240" s="8">
        <f>+'St of Net Assets - GA'!AA241-'St of Activities - GA Exp'!BC240</f>
        <v>0</v>
      </c>
    </row>
    <row r="241" spans="1:59">
      <c r="A241" s="12" t="s">
        <v>384</v>
      </c>
      <c r="B241" s="12"/>
      <c r="C241" s="12" t="s">
        <v>30</v>
      </c>
      <c r="D241" s="12"/>
      <c r="E241" s="32">
        <v>47191</v>
      </c>
      <c r="G241" s="8">
        <v>14907708</v>
      </c>
      <c r="H241" s="8"/>
      <c r="I241" s="8">
        <v>3659719</v>
      </c>
      <c r="J241" s="8"/>
      <c r="K241" s="8">
        <v>146910</v>
      </c>
      <c r="L241" s="8"/>
      <c r="M241" s="8">
        <v>506053</v>
      </c>
      <c r="N241" s="8"/>
      <c r="O241" s="8">
        <v>2596868</v>
      </c>
      <c r="P241" s="8"/>
      <c r="Q241" s="8">
        <v>1189819</v>
      </c>
      <c r="R241" s="8"/>
      <c r="S241" s="8">
        <v>50567</v>
      </c>
      <c r="T241" s="8"/>
      <c r="U241" s="8">
        <v>2824830</v>
      </c>
      <c r="V241" s="8"/>
      <c r="W241" s="8">
        <v>1073828</v>
      </c>
      <c r="X241" s="8"/>
      <c r="Y241" s="8">
        <v>44561</v>
      </c>
      <c r="Z241" s="8"/>
      <c r="AA241" s="8">
        <v>4132633</v>
      </c>
      <c r="AB241" s="8"/>
      <c r="AC241" s="8">
        <v>2620442</v>
      </c>
      <c r="AD241" s="8"/>
      <c r="AE241" s="8">
        <v>7958</v>
      </c>
      <c r="AF241" s="8"/>
      <c r="AG241" s="12" t="s">
        <v>384</v>
      </c>
      <c r="AH241" s="12"/>
      <c r="AI241" s="12" t="s">
        <v>30</v>
      </c>
      <c r="AJ241" s="12"/>
      <c r="AK241" s="8">
        <v>0</v>
      </c>
      <c r="AL241" s="8"/>
      <c r="AM241" s="8">
        <v>128536</v>
      </c>
      <c r="AN241" s="8"/>
      <c r="AO241" s="8">
        <v>1378224</v>
      </c>
      <c r="AP241" s="8"/>
      <c r="AQ241" s="8">
        <v>2224854</v>
      </c>
      <c r="AR241" s="8"/>
      <c r="AS241" s="8"/>
      <c r="AT241" s="8"/>
      <c r="AU241" s="8">
        <v>0</v>
      </c>
      <c r="AV241" s="8"/>
      <c r="AW241" s="8">
        <f t="shared" si="12"/>
        <v>37493510</v>
      </c>
      <c r="AY241" s="8">
        <f>+'St of Activites - GA Rev'!AI244-'St of Activities - GA Exp'!AW241</f>
        <v>2088176</v>
      </c>
      <c r="BA241" s="8">
        <v>17821800</v>
      </c>
      <c r="BC241" s="8">
        <f t="shared" si="13"/>
        <v>19909976</v>
      </c>
      <c r="BE241" s="8">
        <f>+'St of Net Assets - GA'!AA242-'St of Activities - GA Exp'!BC241</f>
        <v>0</v>
      </c>
    </row>
    <row r="242" spans="1:59">
      <c r="A242" s="12"/>
      <c r="B242" s="12"/>
      <c r="C242" s="12"/>
      <c r="D242" s="12"/>
      <c r="E242" s="32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12"/>
      <c r="AH242" s="12"/>
      <c r="AI242" s="12"/>
      <c r="AJ242" s="12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</row>
    <row r="243" spans="1:59">
      <c r="A243" s="12"/>
      <c r="B243" s="12"/>
      <c r="C243" s="12"/>
      <c r="D243" s="12"/>
      <c r="E243" s="32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 t="s">
        <v>819</v>
      </c>
      <c r="AF243" s="8"/>
      <c r="AG243" s="12"/>
      <c r="AH243" s="12"/>
      <c r="AI243" s="12"/>
      <c r="AJ243" s="12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BC243" s="8" t="s">
        <v>819</v>
      </c>
    </row>
    <row r="244" spans="1:59" s="35" customFormat="1">
      <c r="A244" s="34" t="s">
        <v>599</v>
      </c>
      <c r="B244" s="34"/>
      <c r="C244" s="34" t="s">
        <v>56</v>
      </c>
      <c r="D244" s="34"/>
      <c r="E244" s="34">
        <v>44164</v>
      </c>
      <c r="G244" s="35">
        <v>18526247</v>
      </c>
      <c r="I244" s="35">
        <v>4176512</v>
      </c>
      <c r="K244" s="35">
        <v>2076183</v>
      </c>
      <c r="M244" s="35">
        <f>113421+1071904</f>
        <v>1185325</v>
      </c>
      <c r="O244" s="35">
        <v>2347188</v>
      </c>
      <c r="Q244" s="35">
        <v>2968876</v>
      </c>
      <c r="S244" s="35">
        <v>193924</v>
      </c>
      <c r="U244" s="35">
        <v>3326654</v>
      </c>
      <c r="W244" s="35">
        <v>961033</v>
      </c>
      <c r="Y244" s="35">
        <v>345101</v>
      </c>
      <c r="AA244" s="35">
        <v>3944862</v>
      </c>
      <c r="AC244" s="35">
        <v>1612718</v>
      </c>
      <c r="AE244" s="35">
        <v>387397</v>
      </c>
      <c r="AG244" s="34" t="s">
        <v>599</v>
      </c>
      <c r="AH244" s="34"/>
      <c r="AI244" s="34" t="s">
        <v>56</v>
      </c>
      <c r="AJ244" s="34"/>
      <c r="AK244" s="35">
        <v>1349283</v>
      </c>
      <c r="AM244" s="35">
        <v>486841</v>
      </c>
      <c r="AO244" s="35">
        <v>1126250</v>
      </c>
      <c r="AQ244" s="35">
        <v>935063</v>
      </c>
      <c r="AU244" s="35">
        <v>10094</v>
      </c>
      <c r="AW244" s="35">
        <f t="shared" si="12"/>
        <v>45959551</v>
      </c>
      <c r="AY244" s="35">
        <f>+'St of Activites - GA Rev'!AI247-'St of Activities - GA Exp'!AW244</f>
        <v>2614465</v>
      </c>
      <c r="BA244" s="35">
        <v>9428329</v>
      </c>
      <c r="BC244" s="35">
        <f t="shared" si="13"/>
        <v>12042794</v>
      </c>
      <c r="BE244" s="35">
        <f>+'St of Net Assets - GA'!AA243-'St of Activities - GA Exp'!BC244</f>
        <v>0</v>
      </c>
    </row>
    <row r="245" spans="1:59" ht="12" customHeight="1">
      <c r="A245" s="12" t="s">
        <v>428</v>
      </c>
      <c r="B245" s="12"/>
      <c r="C245" s="12" t="s">
        <v>426</v>
      </c>
      <c r="D245" s="12"/>
      <c r="E245" s="32">
        <v>44172</v>
      </c>
      <c r="G245" s="8">
        <v>9422671</v>
      </c>
      <c r="H245" s="8"/>
      <c r="I245" s="8">
        <v>2395452</v>
      </c>
      <c r="J245" s="8"/>
      <c r="K245" s="8">
        <v>276037</v>
      </c>
      <c r="L245" s="8"/>
      <c r="M245" s="8">
        <v>0</v>
      </c>
      <c r="N245" s="8"/>
      <c r="O245" s="8">
        <v>562394</v>
      </c>
      <c r="P245" s="8"/>
      <c r="Q245" s="8">
        <v>754943</v>
      </c>
      <c r="R245" s="8"/>
      <c r="S245" s="8">
        <v>48986</v>
      </c>
      <c r="T245" s="8"/>
      <c r="U245" s="8">
        <v>1686246</v>
      </c>
      <c r="V245" s="8"/>
      <c r="W245" s="8">
        <v>465803</v>
      </c>
      <c r="X245" s="8"/>
      <c r="Y245" s="8">
        <v>0</v>
      </c>
      <c r="Z245" s="8"/>
      <c r="AA245" s="8">
        <v>1782003</v>
      </c>
      <c r="AB245" s="8"/>
      <c r="AC245" s="8">
        <v>714685</v>
      </c>
      <c r="AD245" s="8"/>
      <c r="AE245" s="8">
        <v>35077</v>
      </c>
      <c r="AF245" s="8"/>
      <c r="AG245" s="12" t="s">
        <v>428</v>
      </c>
      <c r="AH245" s="12"/>
      <c r="AI245" s="12" t="s">
        <v>426</v>
      </c>
      <c r="AJ245" s="12"/>
      <c r="AK245" s="8">
        <v>0</v>
      </c>
      <c r="AL245" s="8"/>
      <c r="AM245" s="8">
        <v>885962</v>
      </c>
      <c r="AN245" s="8"/>
      <c r="AO245" s="8">
        <v>263584</v>
      </c>
      <c r="AP245" s="8"/>
      <c r="AQ245" s="8">
        <v>0</v>
      </c>
      <c r="AR245" s="8"/>
      <c r="AS245" s="8"/>
      <c r="AT245" s="8"/>
      <c r="AU245" s="8">
        <v>0</v>
      </c>
      <c r="AV245" s="8"/>
      <c r="AW245" s="8">
        <f t="shared" si="12"/>
        <v>19293843</v>
      </c>
      <c r="AY245" s="8">
        <f>+'St of Activites - GA Rev'!AI248-'St of Activities - GA Exp'!AW245</f>
        <v>-416616</v>
      </c>
      <c r="BA245" s="8">
        <v>6175045</v>
      </c>
      <c r="BC245" s="8">
        <f t="shared" si="13"/>
        <v>5758429</v>
      </c>
      <c r="BE245" s="8">
        <f>+'St of Net Assets - GA'!AA244-'St of Activities - GA Exp'!BC245</f>
        <v>0</v>
      </c>
    </row>
    <row r="246" spans="1:59">
      <c r="A246" s="12" t="s">
        <v>557</v>
      </c>
      <c r="B246" s="12"/>
      <c r="C246" s="12" t="s">
        <v>50</v>
      </c>
      <c r="D246" s="12"/>
      <c r="E246" s="32">
        <v>44180</v>
      </c>
      <c r="G246" s="8">
        <v>33619843</v>
      </c>
      <c r="H246" s="8"/>
      <c r="I246" s="8">
        <v>7840416</v>
      </c>
      <c r="J246" s="8"/>
      <c r="K246" s="8">
        <v>2091488</v>
      </c>
      <c r="L246" s="8"/>
      <c r="M246" s="8">
        <f>37255+4253666</f>
        <v>4290921</v>
      </c>
      <c r="N246" s="8"/>
      <c r="O246" s="8">
        <v>6520008</v>
      </c>
      <c r="P246" s="8"/>
      <c r="Q246" s="8">
        <v>4766122</v>
      </c>
      <c r="R246" s="8"/>
      <c r="S246" s="8">
        <v>68541</v>
      </c>
      <c r="T246" s="8"/>
      <c r="U246" s="8">
        <v>6889537</v>
      </c>
      <c r="V246" s="8"/>
      <c r="W246" s="8">
        <v>1899405</v>
      </c>
      <c r="X246" s="8"/>
      <c r="Y246" s="8">
        <v>612826</v>
      </c>
      <c r="Z246" s="8"/>
      <c r="AA246" s="8">
        <v>8595610</v>
      </c>
      <c r="AB246" s="8"/>
      <c r="AC246" s="8">
        <v>3421844</v>
      </c>
      <c r="AD246" s="8"/>
      <c r="AE246" s="8">
        <v>1723029</v>
      </c>
      <c r="AF246" s="8"/>
      <c r="AG246" s="12" t="s">
        <v>557</v>
      </c>
      <c r="AH246" s="12"/>
      <c r="AI246" s="12" t="s">
        <v>50</v>
      </c>
      <c r="AJ246" s="12"/>
      <c r="AK246" s="8">
        <v>0</v>
      </c>
      <c r="AL246" s="8"/>
      <c r="AM246" s="8">
        <v>4774211</v>
      </c>
      <c r="AN246" s="8"/>
      <c r="AO246" s="8">
        <v>1862353</v>
      </c>
      <c r="AP246" s="8"/>
      <c r="AQ246" s="8">
        <v>4644799</v>
      </c>
      <c r="AR246" s="8"/>
      <c r="AS246" s="8"/>
      <c r="AT246" s="8"/>
      <c r="AU246" s="8">
        <v>0</v>
      </c>
      <c r="AV246" s="8"/>
      <c r="AW246" s="8">
        <f t="shared" si="12"/>
        <v>93620953</v>
      </c>
      <c r="AY246" s="8">
        <f>+'St of Activites - GA Rev'!AI249-'St of Activities - GA Exp'!AW246</f>
        <v>321569</v>
      </c>
      <c r="BA246" s="8">
        <v>21657691</v>
      </c>
      <c r="BC246" s="8">
        <f t="shared" si="13"/>
        <v>21979260</v>
      </c>
      <c r="BE246" s="8">
        <f>+'St of Net Assets - GA'!AA245-'St of Activities - GA Exp'!BC246</f>
        <v>0</v>
      </c>
    </row>
    <row r="247" spans="1:59" ht="12" customHeight="1">
      <c r="A247" s="12" t="s">
        <v>495</v>
      </c>
      <c r="B247" s="12"/>
      <c r="C247" s="12" t="s">
        <v>44</v>
      </c>
      <c r="D247" s="12"/>
      <c r="E247" s="32">
        <v>48165</v>
      </c>
      <c r="G247" s="8">
        <v>7727254</v>
      </c>
      <c r="H247" s="8"/>
      <c r="I247" s="8">
        <v>1242249</v>
      </c>
      <c r="J247" s="8"/>
      <c r="K247" s="8">
        <v>104101</v>
      </c>
      <c r="L247" s="8"/>
      <c r="M247" s="8">
        <v>75094</v>
      </c>
      <c r="N247" s="8"/>
      <c r="O247" s="8">
        <v>858666</v>
      </c>
      <c r="P247" s="8"/>
      <c r="Q247" s="8">
        <v>468744</v>
      </c>
      <c r="R247" s="8"/>
      <c r="S247" s="8">
        <v>40185</v>
      </c>
      <c r="T247" s="8"/>
      <c r="U247" s="8">
        <v>1162659</v>
      </c>
      <c r="V247" s="8"/>
      <c r="W247" s="8">
        <v>408441</v>
      </c>
      <c r="X247" s="8"/>
      <c r="Y247" s="8">
        <v>0</v>
      </c>
      <c r="Z247" s="8"/>
      <c r="AA247" s="8">
        <v>1186268</v>
      </c>
      <c r="AB247" s="8"/>
      <c r="AC247" s="8">
        <v>870189</v>
      </c>
      <c r="AD247" s="8"/>
      <c r="AE247" s="8">
        <v>238823</v>
      </c>
      <c r="AF247" s="8"/>
      <c r="AG247" s="12" t="s">
        <v>495</v>
      </c>
      <c r="AH247" s="12"/>
      <c r="AI247" s="12" t="s">
        <v>44</v>
      </c>
      <c r="AJ247" s="12"/>
      <c r="AK247" s="8">
        <v>439113</v>
      </c>
      <c r="AL247" s="8"/>
      <c r="AM247" s="8">
        <f>55825+571</f>
        <v>56396</v>
      </c>
      <c r="AN247" s="8"/>
      <c r="AO247" s="8">
        <v>375208</v>
      </c>
      <c r="AP247" s="8"/>
      <c r="AQ247" s="8">
        <v>760496</v>
      </c>
      <c r="AR247" s="8"/>
      <c r="AS247" s="8"/>
      <c r="AT247" s="8"/>
      <c r="AU247" s="8">
        <v>126748</v>
      </c>
      <c r="AV247" s="8"/>
      <c r="AW247" s="8">
        <f t="shared" si="12"/>
        <v>16140634</v>
      </c>
      <c r="AY247" s="8">
        <f>+'St of Activites - GA Rev'!AI250-'St of Activities - GA Exp'!AW247</f>
        <v>1227871</v>
      </c>
      <c r="BA247" s="8">
        <v>10079349</v>
      </c>
      <c r="BC247" s="8">
        <f t="shared" si="13"/>
        <v>11307220</v>
      </c>
      <c r="BE247" s="8">
        <f>+'St of Net Assets - GA'!AA246-'St of Activities - GA Exp'!BC247</f>
        <v>0</v>
      </c>
    </row>
    <row r="248" spans="1:59">
      <c r="A248" s="12" t="s">
        <v>715</v>
      </c>
      <c r="B248" s="12"/>
      <c r="C248" s="12" t="s">
        <v>69</v>
      </c>
      <c r="D248" s="12"/>
      <c r="E248" s="32">
        <v>50435</v>
      </c>
      <c r="G248" s="8">
        <v>17798426</v>
      </c>
      <c r="H248" s="8"/>
      <c r="I248" s="8">
        <v>3910269</v>
      </c>
      <c r="J248" s="8"/>
      <c r="K248" s="8">
        <v>0</v>
      </c>
      <c r="L248" s="8"/>
      <c r="M248" s="8">
        <v>650413</v>
      </c>
      <c r="N248" s="8"/>
      <c r="O248" s="8">
        <v>1805620</v>
      </c>
      <c r="P248" s="8"/>
      <c r="Q248" s="8">
        <v>1319287</v>
      </c>
      <c r="R248" s="8"/>
      <c r="S248" s="8">
        <v>85957</v>
      </c>
      <c r="T248" s="8"/>
      <c r="U248" s="8">
        <v>3316113</v>
      </c>
      <c r="V248" s="8"/>
      <c r="W248" s="8">
        <v>931284</v>
      </c>
      <c r="X248" s="8"/>
      <c r="Y248" s="8">
        <v>322304</v>
      </c>
      <c r="Z248" s="8"/>
      <c r="AA248" s="8">
        <v>3864467</v>
      </c>
      <c r="AB248" s="8"/>
      <c r="AC248" s="8">
        <v>2385567</v>
      </c>
      <c r="AD248" s="8"/>
      <c r="AE248" s="8">
        <v>230662</v>
      </c>
      <c r="AF248" s="8"/>
      <c r="AG248" s="12" t="s">
        <v>715</v>
      </c>
      <c r="AH248" s="12"/>
      <c r="AI248" s="12" t="s">
        <v>69</v>
      </c>
      <c r="AJ248" s="12"/>
      <c r="AK248" s="8">
        <v>0</v>
      </c>
      <c r="AL248" s="8"/>
      <c r="AM248" s="8">
        <v>769130</v>
      </c>
      <c r="AN248" s="8"/>
      <c r="AO248" s="8">
        <v>1254622</v>
      </c>
      <c r="AP248" s="8"/>
      <c r="AQ248" s="8">
        <v>2768451</v>
      </c>
      <c r="AR248" s="8"/>
      <c r="AS248" s="8"/>
      <c r="AT248" s="8"/>
      <c r="AU248" s="8">
        <v>0</v>
      </c>
      <c r="AV248" s="8"/>
      <c r="AW248" s="8">
        <f t="shared" si="12"/>
        <v>41412572</v>
      </c>
      <c r="AY248" s="8">
        <f>+'St of Activites - GA Rev'!AI251-'St of Activities - GA Exp'!AW248</f>
        <v>3572758</v>
      </c>
      <c r="BA248" s="8">
        <v>8627593</v>
      </c>
      <c r="BC248" s="8">
        <f t="shared" si="13"/>
        <v>12200351</v>
      </c>
      <c r="BE248" s="8">
        <f>+'St of Net Assets - GA'!AA247-'St of Activities - GA Exp'!BC248</f>
        <v>0</v>
      </c>
    </row>
    <row r="249" spans="1:59" ht="12" hidden="1" customHeight="1">
      <c r="A249" s="12" t="s">
        <v>464</v>
      </c>
      <c r="B249" s="12"/>
      <c r="C249" s="12" t="s">
        <v>41</v>
      </c>
      <c r="D249" s="12"/>
      <c r="E249" s="32">
        <v>47878</v>
      </c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12" t="s">
        <v>464</v>
      </c>
      <c r="AH249" s="12"/>
      <c r="AI249" s="12" t="s">
        <v>41</v>
      </c>
      <c r="AJ249" s="12"/>
      <c r="AK249" s="8">
        <v>0</v>
      </c>
      <c r="AL249" s="8"/>
      <c r="AM249" s="8"/>
      <c r="AN249" s="8"/>
      <c r="AO249" s="8"/>
      <c r="AP249" s="8"/>
      <c r="AQ249" s="8"/>
      <c r="AR249" s="8"/>
      <c r="AS249" s="8"/>
      <c r="AT249" s="8"/>
      <c r="AU249" s="8">
        <v>0</v>
      </c>
      <c r="AV249" s="8"/>
      <c r="AW249" s="8">
        <f t="shared" si="12"/>
        <v>0</v>
      </c>
      <c r="AY249" s="8">
        <f>+'St of Activites - GA Rev'!AI252-'St of Activities - GA Exp'!AW249</f>
        <v>0</v>
      </c>
      <c r="BC249" s="8">
        <f t="shared" si="13"/>
        <v>0</v>
      </c>
      <c r="BE249" s="8">
        <f>+'St of Net Assets - GA'!AA248-'St of Activities - GA Exp'!BC249</f>
        <v>0</v>
      </c>
    </row>
    <row r="250" spans="1:59">
      <c r="A250" s="12" t="s">
        <v>688</v>
      </c>
      <c r="B250" s="12"/>
      <c r="C250" s="12" t="s">
        <v>64</v>
      </c>
      <c r="D250" s="12"/>
      <c r="E250" s="32">
        <v>50245</v>
      </c>
      <c r="G250" s="8">
        <v>6993326</v>
      </c>
      <c r="H250" s="8"/>
      <c r="I250" s="8">
        <v>1653011</v>
      </c>
      <c r="J250" s="8"/>
      <c r="K250" s="8">
        <v>96770</v>
      </c>
      <c r="L250" s="8"/>
      <c r="M250" s="8">
        <v>485893</v>
      </c>
      <c r="N250" s="8"/>
      <c r="O250" s="8">
        <v>643695</v>
      </c>
      <c r="P250" s="8"/>
      <c r="Q250" s="8">
        <v>358838</v>
      </c>
      <c r="R250" s="8"/>
      <c r="S250" s="8">
        <v>53776</v>
      </c>
      <c r="T250" s="8"/>
      <c r="U250" s="8">
        <v>1229303</v>
      </c>
      <c r="V250" s="8"/>
      <c r="W250" s="8">
        <v>347214</v>
      </c>
      <c r="X250" s="8"/>
      <c r="Y250" s="8">
        <v>0</v>
      </c>
      <c r="Z250" s="8"/>
      <c r="AA250" s="8">
        <v>1471014</v>
      </c>
      <c r="AB250" s="8"/>
      <c r="AC250" s="8">
        <v>654681</v>
      </c>
      <c r="AD250" s="8"/>
      <c r="AE250" s="8">
        <v>117916</v>
      </c>
      <c r="AF250" s="8"/>
      <c r="AG250" s="12" t="s">
        <v>688</v>
      </c>
      <c r="AH250" s="12"/>
      <c r="AI250" s="12" t="s">
        <v>64</v>
      </c>
      <c r="AJ250" s="12"/>
      <c r="AK250" s="8">
        <v>779542</v>
      </c>
      <c r="AL250" s="8"/>
      <c r="AM250" s="8">
        <v>8150</v>
      </c>
      <c r="AN250" s="8"/>
      <c r="AO250" s="8">
        <v>323098</v>
      </c>
      <c r="AP250" s="8"/>
      <c r="AQ250" s="8">
        <v>476653</v>
      </c>
      <c r="AR250" s="8"/>
      <c r="AS250" s="8"/>
      <c r="AT250" s="8"/>
      <c r="AU250" s="8">
        <v>0</v>
      </c>
      <c r="AV250" s="8"/>
      <c r="AW250" s="8">
        <f t="shared" si="12"/>
        <v>15692880</v>
      </c>
      <c r="AY250" s="8">
        <f>+'St of Activites - GA Rev'!AI253-'St of Activities - GA Exp'!AW250</f>
        <v>-818491</v>
      </c>
      <c r="BA250" s="8">
        <v>23872584</v>
      </c>
      <c r="BC250" s="8">
        <f t="shared" si="13"/>
        <v>23054093</v>
      </c>
      <c r="BE250" s="8">
        <f>+'St of Net Assets - GA'!AA249-'St of Activities - GA Exp'!BC250</f>
        <v>0</v>
      </c>
    </row>
    <row r="251" spans="1:59">
      <c r="A251" s="12" t="s">
        <v>658</v>
      </c>
      <c r="B251" s="12"/>
      <c r="C251" s="12" t="s">
        <v>62</v>
      </c>
      <c r="D251" s="12"/>
      <c r="E251" s="32">
        <v>49866</v>
      </c>
      <c r="G251" s="8">
        <v>13409593</v>
      </c>
      <c r="H251" s="8"/>
      <c r="I251" s="8">
        <v>2873628</v>
      </c>
      <c r="J251" s="8"/>
      <c r="K251" s="8">
        <v>447133</v>
      </c>
      <c r="L251" s="8"/>
      <c r="M251" s="8">
        <v>1088321</v>
      </c>
      <c r="N251" s="8"/>
      <c r="O251" s="8">
        <v>933803</v>
      </c>
      <c r="P251" s="8"/>
      <c r="Q251" s="8">
        <v>1629042</v>
      </c>
      <c r="R251" s="8"/>
      <c r="S251" s="8">
        <v>23637</v>
      </c>
      <c r="T251" s="8"/>
      <c r="U251" s="8">
        <v>2583747</v>
      </c>
      <c r="V251" s="8"/>
      <c r="W251" s="8">
        <v>644254</v>
      </c>
      <c r="X251" s="8"/>
      <c r="Y251" s="8">
        <v>81539</v>
      </c>
      <c r="Z251" s="8"/>
      <c r="AA251" s="8">
        <v>3809128</v>
      </c>
      <c r="AB251" s="8"/>
      <c r="AC251" s="8">
        <v>2280037</v>
      </c>
      <c r="AD251" s="8"/>
      <c r="AE251" s="8">
        <v>164741</v>
      </c>
      <c r="AF251" s="8"/>
      <c r="AG251" s="12" t="s">
        <v>658</v>
      </c>
      <c r="AH251" s="12"/>
      <c r="AI251" s="12" t="s">
        <v>62</v>
      </c>
      <c r="AJ251" s="12"/>
      <c r="AK251" s="8">
        <v>0</v>
      </c>
      <c r="AL251" s="8"/>
      <c r="AM251" s="8">
        <v>480183</v>
      </c>
      <c r="AN251" s="8"/>
      <c r="AO251" s="8">
        <v>972198</v>
      </c>
      <c r="AP251" s="8"/>
      <c r="AQ251" s="8">
        <v>1337358</v>
      </c>
      <c r="AR251" s="8"/>
      <c r="AS251" s="8"/>
      <c r="AT251" s="8"/>
      <c r="AU251" s="8">
        <v>0</v>
      </c>
      <c r="AV251" s="8"/>
      <c r="AW251" s="8">
        <f t="shared" si="12"/>
        <v>32758342</v>
      </c>
      <c r="AY251" s="8">
        <f>+'St of Activites - GA Rev'!AI254-'St of Activities - GA Exp'!AW251</f>
        <v>1561736</v>
      </c>
      <c r="BA251" s="8">
        <v>13352256</v>
      </c>
      <c r="BC251" s="8">
        <f t="shared" si="13"/>
        <v>14913992</v>
      </c>
      <c r="BE251" s="8">
        <f>+'St of Net Assets - GA'!AA250-'St of Activities - GA Exp'!BC251</f>
        <v>0</v>
      </c>
    </row>
    <row r="252" spans="1:59">
      <c r="A252" s="12" t="s">
        <v>658</v>
      </c>
      <c r="B252" s="12"/>
      <c r="C252" s="12" t="s">
        <v>72</v>
      </c>
      <c r="D252" s="12"/>
      <c r="E252" s="32">
        <v>50690</v>
      </c>
      <c r="G252" s="8">
        <v>7438613</v>
      </c>
      <c r="H252" s="8"/>
      <c r="I252" s="8">
        <v>1699804</v>
      </c>
      <c r="J252" s="8"/>
      <c r="K252" s="8">
        <v>315130</v>
      </c>
      <c r="L252" s="8"/>
      <c r="M252" s="8">
        <v>0</v>
      </c>
      <c r="N252" s="8"/>
      <c r="O252" s="8">
        <v>653628</v>
      </c>
      <c r="P252" s="8"/>
      <c r="Q252" s="8">
        <v>561446</v>
      </c>
      <c r="R252" s="8"/>
      <c r="S252" s="8">
        <v>168076</v>
      </c>
      <c r="T252" s="8"/>
      <c r="U252" s="8">
        <v>995396</v>
      </c>
      <c r="V252" s="8"/>
      <c r="W252" s="8">
        <v>458135</v>
      </c>
      <c r="X252" s="8"/>
      <c r="Y252" s="8">
        <v>0</v>
      </c>
      <c r="Z252" s="8"/>
      <c r="AA252" s="8">
        <v>1662169</v>
      </c>
      <c r="AB252" s="8"/>
      <c r="AC252" s="8">
        <v>897548</v>
      </c>
      <c r="AD252" s="8"/>
      <c r="AE252" s="8">
        <v>134370</v>
      </c>
      <c r="AF252" s="8"/>
      <c r="AG252" s="12" t="s">
        <v>658</v>
      </c>
      <c r="AH252" s="12"/>
      <c r="AI252" s="12" t="s">
        <v>72</v>
      </c>
      <c r="AJ252" s="12"/>
      <c r="AK252" s="8">
        <v>487641</v>
      </c>
      <c r="AL252" s="8"/>
      <c r="AM252" s="8">
        <v>127904</v>
      </c>
      <c r="AN252" s="8"/>
      <c r="AO252" s="8">
        <v>669970</v>
      </c>
      <c r="AP252" s="8"/>
      <c r="AQ252" s="8">
        <v>565839</v>
      </c>
      <c r="AR252" s="8"/>
      <c r="AS252" s="8"/>
      <c r="AT252" s="8"/>
      <c r="AU252" s="8">
        <f>311917+5919</f>
        <v>317836</v>
      </c>
      <c r="AV252" s="8"/>
      <c r="AW252" s="8">
        <f t="shared" si="12"/>
        <v>17153505</v>
      </c>
      <c r="AY252" s="8">
        <f>+'St of Activites - GA Rev'!AI255-'St of Activities - GA Exp'!AW252</f>
        <v>125905</v>
      </c>
      <c r="BA252" s="8">
        <v>5722752</v>
      </c>
      <c r="BC252" s="8">
        <f t="shared" si="13"/>
        <v>5848657</v>
      </c>
      <c r="BE252" s="8">
        <f>+'St of Net Assets - GA'!AA251-'St of Activities - GA Exp'!BC252</f>
        <v>0</v>
      </c>
    </row>
    <row r="253" spans="1:59">
      <c r="A253" s="12" t="s">
        <v>689</v>
      </c>
      <c r="B253" s="12"/>
      <c r="C253" s="12" t="s">
        <v>64</v>
      </c>
      <c r="D253" s="12"/>
      <c r="E253" s="32">
        <v>50187</v>
      </c>
      <c r="G253" s="8">
        <v>8451711</v>
      </c>
      <c r="H253" s="8"/>
      <c r="I253" s="8">
        <v>2763899</v>
      </c>
      <c r="J253" s="8"/>
      <c r="K253" s="8">
        <v>51667</v>
      </c>
      <c r="L253" s="8"/>
      <c r="M253" s="8">
        <v>0</v>
      </c>
      <c r="N253" s="8"/>
      <c r="O253" s="8">
        <v>956637</v>
      </c>
      <c r="P253" s="8"/>
      <c r="Q253" s="8">
        <v>978095</v>
      </c>
      <c r="R253" s="8"/>
      <c r="S253" s="8">
        <v>29949</v>
      </c>
      <c r="T253" s="8"/>
      <c r="U253" s="8">
        <v>1615336</v>
      </c>
      <c r="V253" s="8"/>
      <c r="W253" s="8">
        <v>426030</v>
      </c>
      <c r="X253" s="8"/>
      <c r="Y253" s="8">
        <v>0</v>
      </c>
      <c r="Z253" s="8"/>
      <c r="AA253" s="8">
        <v>1867456</v>
      </c>
      <c r="AB253" s="8"/>
      <c r="AC253" s="8">
        <v>879261</v>
      </c>
      <c r="AD253" s="8"/>
      <c r="AE253" s="8">
        <v>3179</v>
      </c>
      <c r="AF253" s="8"/>
      <c r="AG253" s="12" t="s">
        <v>689</v>
      </c>
      <c r="AH253" s="12"/>
      <c r="AI253" s="12" t="s">
        <v>64</v>
      </c>
      <c r="AJ253" s="12"/>
      <c r="AK253" s="8">
        <v>649443</v>
      </c>
      <c r="AL253" s="8"/>
      <c r="AM253" s="8">
        <v>8079</v>
      </c>
      <c r="AN253" s="8"/>
      <c r="AO253" s="8">
        <v>460683</v>
      </c>
      <c r="AP253" s="8"/>
      <c r="AQ253" s="8">
        <v>583626</v>
      </c>
      <c r="AR253" s="8"/>
      <c r="AS253" s="8"/>
      <c r="AT253" s="8"/>
      <c r="AU253" s="8">
        <v>0</v>
      </c>
      <c r="AV253" s="8"/>
      <c r="AW253" s="8">
        <f t="shared" si="12"/>
        <v>19725051</v>
      </c>
      <c r="AY253" s="8">
        <f>+'St of Activites - GA Rev'!AI256-'St of Activities - GA Exp'!AW253</f>
        <v>-1648619</v>
      </c>
      <c r="BA253" s="8">
        <v>1004995</v>
      </c>
      <c r="BC253" s="8">
        <f t="shared" si="13"/>
        <v>-643624</v>
      </c>
      <c r="BE253" s="8">
        <f>+'St of Net Assets - GA'!AA252-'St of Activities - GA Exp'!BC253</f>
        <v>0</v>
      </c>
    </row>
    <row r="254" spans="1:59">
      <c r="A254" s="12" t="s">
        <v>314</v>
      </c>
      <c r="B254" s="12"/>
      <c r="C254" s="12" t="s">
        <v>20</v>
      </c>
      <c r="D254" s="12"/>
      <c r="E254" s="32">
        <v>44198</v>
      </c>
      <c r="G254" s="8">
        <v>26952398</v>
      </c>
      <c r="H254" s="8"/>
      <c r="I254" s="8">
        <v>11608202</v>
      </c>
      <c r="J254" s="8"/>
      <c r="K254" s="8">
        <v>3834521</v>
      </c>
      <c r="L254" s="8"/>
      <c r="M254" s="8">
        <f>340940+3019710</f>
        <v>3360650</v>
      </c>
      <c r="N254" s="8"/>
      <c r="O254" s="8">
        <v>4896852</v>
      </c>
      <c r="P254" s="8"/>
      <c r="Q254" s="8">
        <v>5197986</v>
      </c>
      <c r="R254" s="8"/>
      <c r="S254" s="8">
        <v>107112</v>
      </c>
      <c r="T254" s="8"/>
      <c r="U254" s="8">
        <v>3121868</v>
      </c>
      <c r="V254" s="8"/>
      <c r="W254" s="8">
        <v>1825274</v>
      </c>
      <c r="X254" s="8"/>
      <c r="Y254" s="8">
        <v>1310454</v>
      </c>
      <c r="Z254" s="8"/>
      <c r="AA254" s="8">
        <v>8808497</v>
      </c>
      <c r="AB254" s="8"/>
      <c r="AC254" s="8">
        <v>89318</v>
      </c>
      <c r="AD254" s="8"/>
      <c r="AE254" s="8">
        <v>409254</v>
      </c>
      <c r="AF254" s="8"/>
      <c r="AG254" s="12" t="s">
        <v>314</v>
      </c>
      <c r="AH254" s="12"/>
      <c r="AI254" s="12" t="s">
        <v>20</v>
      </c>
      <c r="AJ254" s="12"/>
      <c r="AK254" s="8">
        <v>0</v>
      </c>
      <c r="AL254" s="8"/>
      <c r="AM254" s="8">
        <v>1553402</v>
      </c>
      <c r="AN254" s="8"/>
      <c r="AO254" s="8">
        <v>1232393</v>
      </c>
      <c r="AP254" s="8"/>
      <c r="AQ254" s="8">
        <v>5675361</v>
      </c>
      <c r="AR254" s="8"/>
      <c r="AS254" s="8"/>
      <c r="AT254" s="8"/>
      <c r="AU254" s="8">
        <v>977223</v>
      </c>
      <c r="AV254" s="8"/>
      <c r="AW254" s="8">
        <f t="shared" si="12"/>
        <v>80960765</v>
      </c>
      <c r="AY254" s="8">
        <f>+'St of Activites - GA Rev'!AI257-'St of Activities - GA Exp'!AW254</f>
        <v>4364102</v>
      </c>
      <c r="BA254" s="8">
        <v>20723590</v>
      </c>
      <c r="BC254" s="8">
        <f t="shared" si="13"/>
        <v>25087692</v>
      </c>
      <c r="BE254" s="8">
        <f>+'St of Net Assets - GA'!AA253-'St of Activities - GA Exp'!BC254</f>
        <v>0</v>
      </c>
    </row>
    <row r="255" spans="1:59">
      <c r="A255" s="12" t="s">
        <v>900</v>
      </c>
      <c r="B255" s="12"/>
      <c r="C255" s="12" t="s">
        <v>42</v>
      </c>
      <c r="D255" s="12"/>
      <c r="E255" s="32">
        <v>47993</v>
      </c>
      <c r="G255" s="8">
        <v>12302597</v>
      </c>
      <c r="H255" s="8"/>
      <c r="I255" s="8">
        <v>0</v>
      </c>
      <c r="J255" s="8"/>
      <c r="K255" s="8">
        <v>0</v>
      </c>
      <c r="L255" s="8"/>
      <c r="M255" s="8">
        <v>0</v>
      </c>
      <c r="N255" s="8"/>
      <c r="O255" s="8">
        <v>1328800</v>
      </c>
      <c r="P255" s="8"/>
      <c r="Q255" s="8">
        <v>479753</v>
      </c>
      <c r="R255" s="8"/>
      <c r="S255" s="8">
        <v>52022</v>
      </c>
      <c r="T255" s="8"/>
      <c r="U255" s="8">
        <v>1609024</v>
      </c>
      <c r="V255" s="8"/>
      <c r="W255" s="8">
        <v>639771</v>
      </c>
      <c r="X255" s="8"/>
      <c r="Y255" s="8">
        <v>15857</v>
      </c>
      <c r="Z255" s="8"/>
      <c r="AA255" s="8">
        <v>1672993</v>
      </c>
      <c r="AB255" s="8"/>
      <c r="AC255" s="8">
        <v>1530009</v>
      </c>
      <c r="AD255" s="8"/>
      <c r="AE255" s="8">
        <v>231234</v>
      </c>
      <c r="AF255" s="8"/>
      <c r="AG255" s="12" t="s">
        <v>481</v>
      </c>
      <c r="AH255" s="12"/>
      <c r="AI255" s="12" t="s">
        <v>42</v>
      </c>
      <c r="AJ255" s="12"/>
      <c r="AK255" s="8">
        <v>0</v>
      </c>
      <c r="AL255" s="8"/>
      <c r="AM255" s="8">
        <v>67844</v>
      </c>
      <c r="AN255" s="8"/>
      <c r="AO255" s="8">
        <v>490323</v>
      </c>
      <c r="AP255" s="8"/>
      <c r="AQ255" s="8">
        <v>669526</v>
      </c>
      <c r="AR255" s="8"/>
      <c r="AS255" s="8"/>
      <c r="AT255" s="8"/>
      <c r="AU255" s="8">
        <v>0</v>
      </c>
      <c r="AV255" s="8"/>
      <c r="AW255" s="8">
        <f t="shared" si="12"/>
        <v>21089753</v>
      </c>
      <c r="AY255" s="8">
        <f>+'St of Activites - GA Rev'!AI258-'St of Activities - GA Exp'!AW255</f>
        <v>204742</v>
      </c>
      <c r="BA255" s="8">
        <v>8031294</v>
      </c>
      <c r="BC255" s="8">
        <f t="shared" si="13"/>
        <v>8236036</v>
      </c>
      <c r="BE255" s="8">
        <f>+'St of Net Assets - GA'!AA254-'St of Activities - GA Exp'!BC255</f>
        <v>0</v>
      </c>
      <c r="BG255" s="10" t="s">
        <v>882</v>
      </c>
    </row>
    <row r="256" spans="1:59">
      <c r="A256" s="12" t="s">
        <v>249</v>
      </c>
      <c r="B256" s="12"/>
      <c r="C256" s="12" t="s">
        <v>246</v>
      </c>
      <c r="D256" s="12"/>
      <c r="E256" s="32">
        <v>46110</v>
      </c>
      <c r="G256" s="8">
        <v>79104433</v>
      </c>
      <c r="H256" s="8"/>
      <c r="I256" s="8">
        <v>12221028</v>
      </c>
      <c r="J256" s="8"/>
      <c r="K256" s="8">
        <v>71165</v>
      </c>
      <c r="L256" s="8"/>
      <c r="M256" s="8">
        <v>2644821</v>
      </c>
      <c r="N256" s="8"/>
      <c r="O256" s="8">
        <v>12016164</v>
      </c>
      <c r="P256" s="8"/>
      <c r="Q256" s="8">
        <v>10815877</v>
      </c>
      <c r="R256" s="8"/>
      <c r="S256" s="8">
        <v>78578</v>
      </c>
      <c r="T256" s="8"/>
      <c r="U256" s="8">
        <v>13555040</v>
      </c>
      <c r="V256" s="8"/>
      <c r="W256" s="8">
        <v>1238214</v>
      </c>
      <c r="X256" s="8"/>
      <c r="Y256" s="8">
        <v>335700</v>
      </c>
      <c r="Z256" s="8"/>
      <c r="AA256" s="8">
        <v>13420202</v>
      </c>
      <c r="AB256" s="8"/>
      <c r="AC256" s="8">
        <v>17182978</v>
      </c>
      <c r="AD256" s="8"/>
      <c r="AE256" s="8">
        <v>4293249</v>
      </c>
      <c r="AF256" s="8"/>
      <c r="AG256" s="12" t="s">
        <v>249</v>
      </c>
      <c r="AH256" s="12"/>
      <c r="AI256" s="12" t="s">
        <v>246</v>
      </c>
      <c r="AJ256" s="12"/>
      <c r="AK256" s="8">
        <v>0</v>
      </c>
      <c r="AL256" s="8"/>
      <c r="AM256" s="8">
        <v>281880</v>
      </c>
      <c r="AN256" s="8"/>
      <c r="AO256" s="8">
        <v>3278754</v>
      </c>
      <c r="AP256" s="8"/>
      <c r="AQ256" s="8">
        <v>8715607</v>
      </c>
      <c r="AR256" s="8"/>
      <c r="AS256" s="8"/>
      <c r="AT256" s="8"/>
      <c r="AU256" s="8">
        <v>0</v>
      </c>
      <c r="AV256" s="8"/>
      <c r="AW256" s="8">
        <f t="shared" si="12"/>
        <v>179253690</v>
      </c>
      <c r="AY256" s="8">
        <f>+'St of Activites - GA Rev'!AI259-'St of Activities - GA Exp'!AW256</f>
        <v>-5847206</v>
      </c>
      <c r="BA256" s="8">
        <v>90383566</v>
      </c>
      <c r="BC256" s="8">
        <f t="shared" si="13"/>
        <v>84536360</v>
      </c>
      <c r="BE256" s="8">
        <f>+'St of Net Assets - GA'!AA255-'St of Activities - GA Exp'!BC256</f>
        <v>0</v>
      </c>
    </row>
    <row r="257" spans="1:57">
      <c r="A257" s="12" t="s">
        <v>249</v>
      </c>
      <c r="B257" s="12"/>
      <c r="C257" s="12" t="s">
        <v>79</v>
      </c>
      <c r="D257" s="12"/>
      <c r="E257" s="32">
        <v>49569</v>
      </c>
      <c r="G257" s="8">
        <v>4993015</v>
      </c>
      <c r="H257" s="8"/>
      <c r="I257" s="8">
        <v>1547653</v>
      </c>
      <c r="J257" s="8"/>
      <c r="K257" s="8">
        <v>15659</v>
      </c>
      <c r="L257" s="8"/>
      <c r="M257" s="8">
        <v>28812</v>
      </c>
      <c r="N257" s="8"/>
      <c r="O257" s="8">
        <v>591977</v>
      </c>
      <c r="P257" s="8"/>
      <c r="Q257" s="8">
        <v>435986</v>
      </c>
      <c r="R257" s="8"/>
      <c r="S257" s="8">
        <v>24219</v>
      </c>
      <c r="T257" s="8"/>
      <c r="U257" s="8">
        <v>807523</v>
      </c>
      <c r="V257" s="8"/>
      <c r="W257" s="8">
        <v>190456</v>
      </c>
      <c r="X257" s="8"/>
      <c r="Y257" s="8">
        <v>149012</v>
      </c>
      <c r="Z257" s="8"/>
      <c r="AA257" s="8">
        <v>1054580</v>
      </c>
      <c r="AB257" s="8"/>
      <c r="AC257" s="8">
        <v>881433</v>
      </c>
      <c r="AD257" s="8"/>
      <c r="AE257" s="8">
        <v>52725</v>
      </c>
      <c r="AF257" s="8"/>
      <c r="AG257" s="12" t="s">
        <v>249</v>
      </c>
      <c r="AH257" s="12"/>
      <c r="AI257" s="12" t="s">
        <v>79</v>
      </c>
      <c r="AJ257" s="12"/>
      <c r="AK257" s="8">
        <v>498741</v>
      </c>
      <c r="AL257" s="8"/>
      <c r="AM257" s="8">
        <v>22468</v>
      </c>
      <c r="AN257" s="8"/>
      <c r="AO257" s="8">
        <v>348584</v>
      </c>
      <c r="AP257" s="8"/>
      <c r="AQ257" s="8">
        <v>774454</v>
      </c>
      <c r="AR257" s="8"/>
      <c r="AS257" s="8"/>
      <c r="AT257" s="8"/>
      <c r="AU257" s="8">
        <v>0</v>
      </c>
      <c r="AV257" s="8"/>
      <c r="AW257" s="8">
        <f t="shared" si="12"/>
        <v>12417297</v>
      </c>
      <c r="AY257" s="8">
        <f>+'St of Activites - GA Rev'!AI260-'St of Activities - GA Exp'!AW257</f>
        <v>16956252</v>
      </c>
      <c r="BA257" s="8">
        <v>1613955</v>
      </c>
      <c r="BC257" s="8">
        <f t="shared" si="13"/>
        <v>18570207</v>
      </c>
      <c r="BE257" s="8">
        <f>+'St of Net Assets - GA'!AA256-'St of Activities - GA Exp'!BC257</f>
        <v>0</v>
      </c>
    </row>
    <row r="258" spans="1:57" ht="12" customHeight="1">
      <c r="A258" s="12" t="s">
        <v>351</v>
      </c>
      <c r="B258" s="12"/>
      <c r="C258" s="12" t="s">
        <v>25</v>
      </c>
      <c r="D258" s="12"/>
      <c r="E258" s="32">
        <v>44206</v>
      </c>
      <c r="G258" s="8">
        <v>22340411</v>
      </c>
      <c r="H258" s="8"/>
      <c r="I258" s="8">
        <f>6376028+43367</f>
        <v>6419395</v>
      </c>
      <c r="J258" s="8"/>
      <c r="K258" s="8">
        <v>1584128</v>
      </c>
      <c r="L258" s="8"/>
      <c r="M258" s="8">
        <v>150</v>
      </c>
      <c r="N258" s="8"/>
      <c r="O258" s="8">
        <v>2311328</v>
      </c>
      <c r="P258" s="8"/>
      <c r="Q258" s="8">
        <v>3093077</v>
      </c>
      <c r="R258" s="8"/>
      <c r="S258" s="8">
        <v>66610</v>
      </c>
      <c r="T258" s="8"/>
      <c r="U258" s="8">
        <v>3282407</v>
      </c>
      <c r="V258" s="8"/>
      <c r="W258" s="8">
        <v>1153200</v>
      </c>
      <c r="X258" s="8"/>
      <c r="Y258" s="8">
        <v>439019</v>
      </c>
      <c r="Z258" s="8"/>
      <c r="AA258" s="8">
        <v>4111162</v>
      </c>
      <c r="AB258" s="8"/>
      <c r="AC258" s="8">
        <v>1653859</v>
      </c>
      <c r="AD258" s="8"/>
      <c r="AE258" s="8">
        <v>456405</v>
      </c>
      <c r="AF258" s="8"/>
      <c r="AG258" s="12" t="s">
        <v>351</v>
      </c>
      <c r="AH258" s="12"/>
      <c r="AI258" s="12" t="s">
        <v>25</v>
      </c>
      <c r="AJ258" s="12"/>
      <c r="AK258" s="8">
        <v>2258702</v>
      </c>
      <c r="AL258" s="8"/>
      <c r="AM258" s="8">
        <v>993610</v>
      </c>
      <c r="AN258" s="8"/>
      <c r="AO258" s="8">
        <v>786172</v>
      </c>
      <c r="AP258" s="8"/>
      <c r="AQ258" s="8">
        <v>12256</v>
      </c>
      <c r="AR258" s="8"/>
      <c r="AS258" s="8"/>
      <c r="AT258" s="8"/>
      <c r="AU258" s="8">
        <v>0</v>
      </c>
      <c r="AV258" s="8"/>
      <c r="AW258" s="8">
        <f t="shared" si="12"/>
        <v>50961891</v>
      </c>
      <c r="AY258" s="8">
        <f>+'St of Activites - GA Rev'!AI261-'St of Activities - GA Exp'!AW258</f>
        <v>15034786</v>
      </c>
      <c r="BA258" s="8">
        <v>16664682</v>
      </c>
      <c r="BC258" s="8">
        <f t="shared" si="13"/>
        <v>31699468</v>
      </c>
      <c r="BE258" s="8">
        <f>+'St of Net Assets - GA'!AA257-'St of Activities - GA Exp'!BC258</f>
        <v>0</v>
      </c>
    </row>
    <row r="259" spans="1:57" ht="12" hidden="1" customHeight="1">
      <c r="A259" s="12" t="s">
        <v>716</v>
      </c>
      <c r="B259" s="12"/>
      <c r="C259" s="12" t="s">
        <v>69</v>
      </c>
      <c r="D259" s="12"/>
      <c r="E259" s="32">
        <v>44214</v>
      </c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12" t="s">
        <v>716</v>
      </c>
      <c r="AH259" s="12"/>
      <c r="AI259" s="12" t="s">
        <v>69</v>
      </c>
      <c r="AJ259" s="12"/>
      <c r="AK259" s="8">
        <v>0</v>
      </c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>
        <f t="shared" si="12"/>
        <v>0</v>
      </c>
      <c r="AY259" s="8">
        <f>+'St of Activites - GA Rev'!AI262-'St of Activities - GA Exp'!AW259</f>
        <v>0</v>
      </c>
      <c r="BC259" s="8">
        <f t="shared" si="13"/>
        <v>0</v>
      </c>
      <c r="BE259" s="8">
        <f>+'St of Net Assets - GA'!AA258-'St of Activities - GA Exp'!BC259</f>
        <v>0</v>
      </c>
    </row>
    <row r="260" spans="1:57">
      <c r="A260" s="12" t="s">
        <v>385</v>
      </c>
      <c r="B260" s="12"/>
      <c r="C260" s="12" t="s">
        <v>30</v>
      </c>
      <c r="D260" s="12"/>
      <c r="E260" s="32">
        <v>47209</v>
      </c>
      <c r="G260" s="8">
        <v>2679012</v>
      </c>
      <c r="H260" s="8"/>
      <c r="I260" s="8">
        <v>1140099</v>
      </c>
      <c r="J260" s="8"/>
      <c r="K260" s="8">
        <v>138369</v>
      </c>
      <c r="L260" s="8"/>
      <c r="M260" s="8">
        <v>0</v>
      </c>
      <c r="N260" s="8"/>
      <c r="O260" s="8">
        <v>106586</v>
      </c>
      <c r="P260" s="8"/>
      <c r="Q260" s="8">
        <v>110198</v>
      </c>
      <c r="R260" s="8"/>
      <c r="S260" s="8">
        <v>19452</v>
      </c>
      <c r="T260" s="8"/>
      <c r="U260" s="8">
        <v>445656</v>
      </c>
      <c r="V260" s="8"/>
      <c r="W260" s="8">
        <v>263376</v>
      </c>
      <c r="X260" s="8"/>
      <c r="Y260" s="8">
        <v>0</v>
      </c>
      <c r="Z260" s="8"/>
      <c r="AA260" s="8">
        <v>549013</v>
      </c>
      <c r="AB260" s="8"/>
      <c r="AC260" s="8">
        <v>502873</v>
      </c>
      <c r="AD260" s="8"/>
      <c r="AE260" s="8">
        <v>15273</v>
      </c>
      <c r="AF260" s="8"/>
      <c r="AG260" s="12" t="s">
        <v>385</v>
      </c>
      <c r="AH260" s="12"/>
      <c r="AI260" s="12" t="s">
        <v>30</v>
      </c>
      <c r="AJ260" s="12"/>
      <c r="AK260" s="8">
        <v>162880</v>
      </c>
      <c r="AL260" s="8"/>
      <c r="AM260" s="8">
        <v>9232</v>
      </c>
      <c r="AN260" s="8"/>
      <c r="AO260" s="8">
        <v>146943</v>
      </c>
      <c r="AP260" s="8"/>
      <c r="AQ260" s="8">
        <v>0</v>
      </c>
      <c r="AR260" s="8"/>
      <c r="AS260" s="8"/>
      <c r="AT260" s="8"/>
      <c r="AU260" s="8">
        <v>0</v>
      </c>
      <c r="AV260" s="8"/>
      <c r="AW260" s="8">
        <f t="shared" si="12"/>
        <v>6288962</v>
      </c>
      <c r="AY260" s="8">
        <f>+'St of Activites - GA Rev'!AI263-'St of Activities - GA Exp'!AW260</f>
        <v>-310849</v>
      </c>
      <c r="BA260" s="8">
        <v>2125896</v>
      </c>
      <c r="BC260" s="8">
        <f t="shared" si="13"/>
        <v>1815047</v>
      </c>
      <c r="BE260" s="8">
        <f>+'St of Net Assets - GA'!AA259-'St of Activities - GA Exp'!BC260</f>
        <v>0</v>
      </c>
    </row>
    <row r="261" spans="1:57" ht="12" hidden="1" customHeight="1">
      <c r="A261" s="12" t="s">
        <v>609</v>
      </c>
      <c r="B261" s="12"/>
      <c r="C261" s="12" t="s">
        <v>608</v>
      </c>
      <c r="D261" s="12"/>
      <c r="E261" s="32">
        <v>49353</v>
      </c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12" t="s">
        <v>609</v>
      </c>
      <c r="AH261" s="12"/>
      <c r="AI261" s="12" t="s">
        <v>608</v>
      </c>
      <c r="AJ261" s="12"/>
      <c r="AK261" s="8">
        <v>0</v>
      </c>
      <c r="AL261" s="8"/>
      <c r="AM261" s="8">
        <v>0</v>
      </c>
      <c r="AN261" s="8"/>
      <c r="AO261" s="8"/>
      <c r="AP261" s="8"/>
      <c r="AQ261" s="8"/>
      <c r="AR261" s="8"/>
      <c r="AS261" s="8"/>
      <c r="AT261" s="8"/>
      <c r="AU261" s="8"/>
      <c r="AV261" s="8"/>
      <c r="AW261" s="8">
        <f t="shared" si="12"/>
        <v>0</v>
      </c>
      <c r="AY261" s="8">
        <f>+'St of Activites - GA Rev'!AI264-'St of Activities - GA Exp'!AW261</f>
        <v>0</v>
      </c>
      <c r="BC261" s="8">
        <f t="shared" si="13"/>
        <v>0</v>
      </c>
      <c r="BE261" s="8">
        <f>+'St of Net Assets - GA'!AA260-'St of Activities - GA Exp'!BC261</f>
        <v>0</v>
      </c>
    </row>
    <row r="262" spans="1:57">
      <c r="A262" s="12" t="s">
        <v>615</v>
      </c>
      <c r="B262" s="12"/>
      <c r="C262" s="12" t="s">
        <v>113</v>
      </c>
      <c r="D262" s="12"/>
      <c r="E262" s="32">
        <v>49437</v>
      </c>
      <c r="G262" s="8">
        <v>10291347</v>
      </c>
      <c r="H262" s="8"/>
      <c r="I262" s="8">
        <v>2082397</v>
      </c>
      <c r="J262" s="8"/>
      <c r="K262" s="8">
        <v>0</v>
      </c>
      <c r="L262" s="8"/>
      <c r="M262" s="8">
        <v>886355</v>
      </c>
      <c r="N262" s="8"/>
      <c r="O262" s="8">
        <v>721007</v>
      </c>
      <c r="P262" s="8"/>
      <c r="Q262" s="8">
        <v>1561140</v>
      </c>
      <c r="R262" s="8"/>
      <c r="S262" s="8">
        <v>24589</v>
      </c>
      <c r="T262" s="8"/>
      <c r="U262" s="8">
        <v>1891779</v>
      </c>
      <c r="V262" s="8"/>
      <c r="W262" s="8">
        <v>538546</v>
      </c>
      <c r="X262" s="8"/>
      <c r="Y262" s="8">
        <v>8669</v>
      </c>
      <c r="Z262" s="8"/>
      <c r="AA262" s="8">
        <v>2002899</v>
      </c>
      <c r="AB262" s="8"/>
      <c r="AC262" s="8">
        <v>1331057</v>
      </c>
      <c r="AD262" s="8"/>
      <c r="AE262" s="8">
        <v>453108</v>
      </c>
      <c r="AF262" s="8"/>
      <c r="AG262" s="12" t="s">
        <v>615</v>
      </c>
      <c r="AH262" s="12"/>
      <c r="AI262" s="12" t="s">
        <v>113</v>
      </c>
      <c r="AJ262" s="12"/>
      <c r="AK262" s="8">
        <v>1008580</v>
      </c>
      <c r="AL262" s="8"/>
      <c r="AM262" s="8">
        <v>13021</v>
      </c>
      <c r="AN262" s="8"/>
      <c r="AO262" s="8">
        <v>1170729</v>
      </c>
      <c r="AP262" s="8"/>
      <c r="AQ262" s="8">
        <v>681</v>
      </c>
      <c r="AR262" s="8"/>
      <c r="AS262" s="8"/>
      <c r="AT262" s="8"/>
      <c r="AU262" s="8">
        <v>0</v>
      </c>
      <c r="AV262" s="8"/>
      <c r="AW262" s="8">
        <f t="shared" si="12"/>
        <v>23985904</v>
      </c>
      <c r="AY262" s="8">
        <f>+'St of Activites - GA Rev'!AI265-'St of Activities - GA Exp'!AW262</f>
        <v>-2453</v>
      </c>
      <c r="BA262" s="8">
        <v>8047637</v>
      </c>
      <c r="BC262" s="8">
        <f t="shared" si="13"/>
        <v>8045184</v>
      </c>
      <c r="BE262" s="8">
        <f>+'St of Net Assets - GA'!AA261-'St of Activities - GA Exp'!BC262</f>
        <v>0</v>
      </c>
    </row>
    <row r="263" spans="1:57">
      <c r="A263" s="12" t="s">
        <v>436</v>
      </c>
      <c r="B263" s="12"/>
      <c r="C263" s="12" t="s">
        <v>34</v>
      </c>
      <c r="D263" s="12"/>
      <c r="E263" s="32">
        <v>47589</v>
      </c>
      <c r="G263" s="8">
        <v>4473649</v>
      </c>
      <c r="H263" s="8"/>
      <c r="I263" s="8">
        <v>2061003</v>
      </c>
      <c r="J263" s="8"/>
      <c r="K263" s="8">
        <v>166915</v>
      </c>
      <c r="L263" s="8"/>
      <c r="M263" s="8">
        <v>441004</v>
      </c>
      <c r="N263" s="8"/>
      <c r="O263" s="8">
        <v>683968</v>
      </c>
      <c r="P263" s="8"/>
      <c r="Q263" s="8">
        <v>467940</v>
      </c>
      <c r="R263" s="8"/>
      <c r="S263" s="8">
        <v>44651</v>
      </c>
      <c r="T263" s="8"/>
      <c r="U263" s="8">
        <v>767306</v>
      </c>
      <c r="V263" s="8"/>
      <c r="W263" s="8">
        <v>300566</v>
      </c>
      <c r="X263" s="8"/>
      <c r="Y263" s="8">
        <v>0</v>
      </c>
      <c r="Z263" s="8"/>
      <c r="AA263" s="8">
        <v>828336</v>
      </c>
      <c r="AB263" s="8"/>
      <c r="AC263" s="8">
        <v>582466</v>
      </c>
      <c r="AD263" s="8"/>
      <c r="AE263" s="8">
        <v>263672</v>
      </c>
      <c r="AF263" s="8"/>
      <c r="AG263" s="12" t="s">
        <v>436</v>
      </c>
      <c r="AH263" s="12"/>
      <c r="AI263" s="12" t="s">
        <v>34</v>
      </c>
      <c r="AJ263" s="12"/>
      <c r="AK263" s="8">
        <v>0</v>
      </c>
      <c r="AL263" s="8"/>
      <c r="AM263" s="8">
        <v>478343</v>
      </c>
      <c r="AN263" s="8"/>
      <c r="AO263" s="8">
        <v>516793</v>
      </c>
      <c r="AP263" s="8"/>
      <c r="AQ263" s="8">
        <v>115129</v>
      </c>
      <c r="AR263" s="8"/>
      <c r="AS263" s="8"/>
      <c r="AT263" s="8"/>
      <c r="AU263" s="8">
        <v>29909</v>
      </c>
      <c r="AV263" s="8"/>
      <c r="AW263" s="8">
        <f t="shared" si="12"/>
        <v>12221650</v>
      </c>
      <c r="AY263" s="8">
        <f>+'St of Activites - GA Rev'!AI266-'St of Activities - GA Exp'!AW263</f>
        <v>1275693</v>
      </c>
      <c r="BA263" s="8">
        <v>6760025</v>
      </c>
      <c r="BC263" s="8">
        <f t="shared" si="13"/>
        <v>8035718</v>
      </c>
      <c r="BE263" s="8">
        <f>+'St of Net Assets - GA'!AA262-'St of Activities - GA Exp'!BC263</f>
        <v>0</v>
      </c>
    </row>
    <row r="264" spans="1:57" ht="12" customHeight="1">
      <c r="A264" s="12" t="s">
        <v>690</v>
      </c>
      <c r="B264" s="12"/>
      <c r="C264" s="12" t="s">
        <v>64</v>
      </c>
      <c r="D264" s="12"/>
      <c r="E264" s="32">
        <v>50195</v>
      </c>
      <c r="G264" s="8">
        <v>8822969</v>
      </c>
      <c r="H264" s="8"/>
      <c r="I264" s="8">
        <v>1285765</v>
      </c>
      <c r="J264" s="8"/>
      <c r="K264" s="8">
        <v>74269</v>
      </c>
      <c r="L264" s="8"/>
      <c r="M264" s="8">
        <f>2273+50626</f>
        <v>52899</v>
      </c>
      <c r="N264" s="8"/>
      <c r="O264" s="8">
        <v>479745</v>
      </c>
      <c r="P264" s="8"/>
      <c r="Q264" s="8">
        <v>576373</v>
      </c>
      <c r="R264" s="8"/>
      <c r="S264" s="8">
        <v>5563</v>
      </c>
      <c r="T264" s="8"/>
      <c r="U264" s="8">
        <v>2708251</v>
      </c>
      <c r="V264" s="8"/>
      <c r="W264" s="8">
        <v>511807</v>
      </c>
      <c r="X264" s="8"/>
      <c r="Y264" s="8">
        <v>19408</v>
      </c>
      <c r="Z264" s="8"/>
      <c r="AA264" s="8">
        <v>1949278</v>
      </c>
      <c r="AB264" s="8"/>
      <c r="AC264" s="8">
        <v>1091568</v>
      </c>
      <c r="AD264" s="8"/>
      <c r="AE264" s="8">
        <v>61350</v>
      </c>
      <c r="AF264" s="8"/>
      <c r="AG264" s="12" t="s">
        <v>690</v>
      </c>
      <c r="AH264" s="12"/>
      <c r="AI264" s="12" t="s">
        <v>64</v>
      </c>
      <c r="AJ264" s="12"/>
      <c r="AK264" s="8">
        <v>802164</v>
      </c>
      <c r="AL264" s="8"/>
      <c r="AM264" s="8">
        <v>46273</v>
      </c>
      <c r="AN264" s="8"/>
      <c r="AO264" s="8">
        <v>500186</v>
      </c>
      <c r="AP264" s="8"/>
      <c r="AQ264" s="8">
        <v>508301</v>
      </c>
      <c r="AR264" s="8"/>
      <c r="AS264" s="8"/>
      <c r="AT264" s="8"/>
      <c r="AU264" s="8">
        <v>0</v>
      </c>
      <c r="AV264" s="8"/>
      <c r="AW264" s="8">
        <f t="shared" si="12"/>
        <v>19496169</v>
      </c>
      <c r="AY264" s="8">
        <f>+'St of Activites - GA Rev'!AI267-'St of Activities - GA Exp'!AW264</f>
        <v>-737731</v>
      </c>
      <c r="BA264" s="8">
        <v>2297744</v>
      </c>
      <c r="BC264" s="8">
        <f t="shared" si="13"/>
        <v>1560013</v>
      </c>
      <c r="BE264" s="8">
        <f>+'St of Net Assets - GA'!AA263-'St of Activities - GA Exp'!BC264</f>
        <v>0</v>
      </c>
    </row>
    <row r="265" spans="1:57">
      <c r="A265" s="12" t="s">
        <v>906</v>
      </c>
      <c r="B265" s="12"/>
      <c r="C265" s="12" t="s">
        <v>25</v>
      </c>
      <c r="D265" s="12"/>
      <c r="E265" s="32">
        <v>46888</v>
      </c>
      <c r="G265" s="8">
        <v>5471027</v>
      </c>
      <c r="H265" s="8"/>
      <c r="I265" s="8">
        <v>1469395</v>
      </c>
      <c r="J265" s="8"/>
      <c r="K265" s="8">
        <v>415222</v>
      </c>
      <c r="L265" s="8"/>
      <c r="M265" s="8">
        <v>142109</v>
      </c>
      <c r="N265" s="8"/>
      <c r="O265" s="8">
        <v>582731</v>
      </c>
      <c r="P265" s="8"/>
      <c r="Q265" s="8">
        <v>572795</v>
      </c>
      <c r="R265" s="8"/>
      <c r="S265" s="8">
        <v>88955</v>
      </c>
      <c r="T265" s="8"/>
      <c r="U265" s="8">
        <v>1217284</v>
      </c>
      <c r="V265" s="8"/>
      <c r="W265" s="8">
        <v>439497</v>
      </c>
      <c r="X265" s="8"/>
      <c r="Y265" s="8">
        <v>0</v>
      </c>
      <c r="Z265" s="8"/>
      <c r="AA265" s="8">
        <v>1436593</v>
      </c>
      <c r="AB265" s="8"/>
      <c r="AC265" s="8">
        <v>588901</v>
      </c>
      <c r="AD265" s="8"/>
      <c r="AE265" s="8">
        <v>0</v>
      </c>
      <c r="AF265" s="8"/>
      <c r="AG265" s="12" t="s">
        <v>352</v>
      </c>
      <c r="AH265" s="12"/>
      <c r="AI265" s="12" t="s">
        <v>25</v>
      </c>
      <c r="AJ265" s="12"/>
      <c r="AK265" s="8">
        <v>0</v>
      </c>
      <c r="AL265" s="8"/>
      <c r="AM265" s="8">
        <v>497435</v>
      </c>
      <c r="AN265" s="8"/>
      <c r="AO265" s="8">
        <v>541515</v>
      </c>
      <c r="AP265" s="8"/>
      <c r="AQ265" s="8">
        <v>341303</v>
      </c>
      <c r="AR265" s="8"/>
      <c r="AS265" s="8"/>
      <c r="AT265" s="8"/>
      <c r="AU265" s="8">
        <v>0</v>
      </c>
      <c r="AV265" s="8"/>
      <c r="AW265" s="8">
        <f t="shared" si="12"/>
        <v>13804762</v>
      </c>
      <c r="AY265" s="8">
        <f>+'St of Activites - GA Rev'!AI268-'St of Activities - GA Exp'!AW265</f>
        <v>1376422</v>
      </c>
      <c r="BA265" s="8">
        <v>6486456</v>
      </c>
      <c r="BC265" s="8">
        <f t="shared" si="13"/>
        <v>7862878</v>
      </c>
      <c r="BE265" s="8">
        <f>+'St of Net Assets - GA'!AA264-'St of Activities - GA Exp'!BC265</f>
        <v>0</v>
      </c>
    </row>
    <row r="266" spans="1:57">
      <c r="A266" s="12" t="s">
        <v>422</v>
      </c>
      <c r="B266" s="12"/>
      <c r="C266" s="12" t="s">
        <v>33</v>
      </c>
      <c r="D266" s="12"/>
      <c r="E266" s="32">
        <v>47449</v>
      </c>
      <c r="G266" s="8">
        <v>6118971</v>
      </c>
      <c r="H266" s="8"/>
      <c r="I266" s="8">
        <v>1199156</v>
      </c>
      <c r="J266" s="8"/>
      <c r="K266" s="8">
        <v>327414</v>
      </c>
      <c r="L266" s="8"/>
      <c r="M266" s="8">
        <v>0</v>
      </c>
      <c r="N266" s="8"/>
      <c r="O266" s="8">
        <v>960816</v>
      </c>
      <c r="P266" s="8"/>
      <c r="Q266" s="8">
        <v>545646</v>
      </c>
      <c r="R266" s="8"/>
      <c r="S266" s="8">
        <v>10330</v>
      </c>
      <c r="T266" s="8"/>
      <c r="U266" s="8">
        <v>885840</v>
      </c>
      <c r="V266" s="8"/>
      <c r="W266" s="8">
        <v>315733</v>
      </c>
      <c r="X266" s="8"/>
      <c r="Y266" s="8">
        <v>1768</v>
      </c>
      <c r="Z266" s="8"/>
      <c r="AA266" s="8">
        <v>1218121</v>
      </c>
      <c r="AB266" s="8"/>
      <c r="AC266" s="8">
        <v>638376</v>
      </c>
      <c r="AD266" s="8"/>
      <c r="AE266" s="8">
        <v>151954</v>
      </c>
      <c r="AF266" s="8"/>
      <c r="AG266" s="12" t="s">
        <v>422</v>
      </c>
      <c r="AH266" s="12"/>
      <c r="AI266" s="12" t="s">
        <v>33</v>
      </c>
      <c r="AJ266" s="12"/>
      <c r="AK266" s="8">
        <v>0</v>
      </c>
      <c r="AL266" s="8"/>
      <c r="AM266" s="8">
        <v>465529</v>
      </c>
      <c r="AN266" s="8"/>
      <c r="AO266" s="8">
        <v>490400</v>
      </c>
      <c r="AP266" s="8"/>
      <c r="AQ266" s="8">
        <v>438346</v>
      </c>
      <c r="AR266" s="8"/>
      <c r="AS266" s="8"/>
      <c r="AT266" s="8"/>
      <c r="AU266" s="8">
        <v>0</v>
      </c>
      <c r="AV266" s="8"/>
      <c r="AW266" s="8">
        <f t="shared" si="12"/>
        <v>13768400</v>
      </c>
      <c r="AY266" s="8">
        <f>+'St of Activites - GA Rev'!AI269-'St of Activities - GA Exp'!AW266</f>
        <v>-287689</v>
      </c>
      <c r="BA266" s="8">
        <v>12209663</v>
      </c>
      <c r="BC266" s="8">
        <f t="shared" si="13"/>
        <v>11921974</v>
      </c>
      <c r="BE266" s="8">
        <f>+'St of Net Assets - GA'!AA265-'St of Activities - GA Exp'!BC266</f>
        <v>0</v>
      </c>
    </row>
    <row r="267" spans="1:57">
      <c r="A267" s="12" t="s">
        <v>482</v>
      </c>
      <c r="B267" s="12"/>
      <c r="C267" s="12" t="s">
        <v>42</v>
      </c>
      <c r="D267" s="12"/>
      <c r="E267" s="32">
        <v>48009</v>
      </c>
      <c r="G267" s="8">
        <v>10942840</v>
      </c>
      <c r="H267" s="8"/>
      <c r="I267" s="8">
        <v>2476493</v>
      </c>
      <c r="J267" s="8"/>
      <c r="K267" s="8">
        <v>176494</v>
      </c>
      <c r="L267" s="8"/>
      <c r="M267" s="8">
        <v>321372</v>
      </c>
      <c r="N267" s="8"/>
      <c r="O267" s="8">
        <v>1119606</v>
      </c>
      <c r="P267" s="8"/>
      <c r="Q267" s="8">
        <v>977068</v>
      </c>
      <c r="R267" s="8"/>
      <c r="S267" s="8">
        <v>73888</v>
      </c>
      <c r="T267" s="8"/>
      <c r="U267" s="8">
        <v>2037878</v>
      </c>
      <c r="V267" s="8"/>
      <c r="W267" s="8">
        <v>560349</v>
      </c>
      <c r="X267" s="8"/>
      <c r="Y267" s="8">
        <v>0</v>
      </c>
      <c r="Z267" s="8"/>
      <c r="AA267" s="8">
        <v>3268733</v>
      </c>
      <c r="AB267" s="8"/>
      <c r="AC267" s="8">
        <v>2073998</v>
      </c>
      <c r="AD267" s="8"/>
      <c r="AE267" s="8">
        <v>225636</v>
      </c>
      <c r="AF267" s="8"/>
      <c r="AG267" s="12" t="s">
        <v>482</v>
      </c>
      <c r="AH267" s="12"/>
      <c r="AI267" s="12" t="s">
        <v>42</v>
      </c>
      <c r="AJ267" s="12"/>
      <c r="AK267" s="8">
        <v>1191332</v>
      </c>
      <c r="AL267" s="8"/>
      <c r="AM267" s="8">
        <v>0</v>
      </c>
      <c r="AN267" s="8"/>
      <c r="AO267" s="8">
        <v>508020</v>
      </c>
      <c r="AP267" s="8"/>
      <c r="AQ267" s="8">
        <v>2910173</v>
      </c>
      <c r="AR267" s="8"/>
      <c r="AS267" s="8"/>
      <c r="AT267" s="8"/>
      <c r="AU267" s="8">
        <v>0</v>
      </c>
      <c r="AV267" s="8"/>
      <c r="AW267" s="8">
        <f t="shared" si="12"/>
        <v>28863880</v>
      </c>
      <c r="AY267" s="8">
        <f>+'St of Activites - GA Rev'!AI270-'St of Activities - GA Exp'!AW267</f>
        <v>557071</v>
      </c>
      <c r="BA267" s="8">
        <v>23720152</v>
      </c>
      <c r="BC267" s="8">
        <f t="shared" si="13"/>
        <v>24277223</v>
      </c>
      <c r="BE267" s="8">
        <f>+'St of Net Assets - GA'!AA266-'St of Activities - GA Exp'!BC267</f>
        <v>0</v>
      </c>
    </row>
    <row r="268" spans="1:57">
      <c r="A268" s="12" t="s">
        <v>483</v>
      </c>
      <c r="B268" s="12"/>
      <c r="C268" s="12" t="s">
        <v>42</v>
      </c>
      <c r="D268" s="12"/>
      <c r="E268" s="32">
        <v>48017</v>
      </c>
      <c r="G268" s="8">
        <v>26004057</v>
      </c>
      <c r="H268" s="8"/>
      <c r="I268" s="8">
        <v>1278832</v>
      </c>
      <c r="J268" s="8"/>
      <c r="K268" s="8">
        <v>285640</v>
      </c>
      <c r="L268" s="8"/>
      <c r="M268" s="8">
        <v>53216</v>
      </c>
      <c r="N268" s="8"/>
      <c r="O268" s="8">
        <v>500935</v>
      </c>
      <c r="P268" s="8"/>
      <c r="Q268" s="8">
        <v>817642</v>
      </c>
      <c r="R268" s="8"/>
      <c r="S268" s="8">
        <v>546495</v>
      </c>
      <c r="T268" s="8"/>
      <c r="U268" s="8">
        <v>1869937</v>
      </c>
      <c r="V268" s="8"/>
      <c r="W268" s="8">
        <v>417300</v>
      </c>
      <c r="X268" s="8"/>
      <c r="Y268" s="8">
        <v>39077</v>
      </c>
      <c r="Z268" s="8"/>
      <c r="AA268" s="8">
        <v>1630345</v>
      </c>
      <c r="AB268" s="8"/>
      <c r="AC268" s="8">
        <v>1235597</v>
      </c>
      <c r="AD268" s="8"/>
      <c r="AE268" s="8">
        <v>140884</v>
      </c>
      <c r="AF268" s="8"/>
      <c r="AG268" s="12" t="s">
        <v>483</v>
      </c>
      <c r="AH268" s="12"/>
      <c r="AI268" s="12" t="s">
        <v>42</v>
      </c>
      <c r="AJ268" s="12"/>
      <c r="AK268" s="8">
        <v>0</v>
      </c>
      <c r="AL268" s="8"/>
      <c r="AM268" s="8">
        <v>807393</v>
      </c>
      <c r="AN268" s="8"/>
      <c r="AO268" s="8">
        <v>486852</v>
      </c>
      <c r="AP268" s="8"/>
      <c r="AQ268" s="8">
        <v>698393</v>
      </c>
      <c r="AR268" s="8"/>
      <c r="AS268" s="8"/>
      <c r="AT268" s="8"/>
      <c r="AU268" s="8">
        <v>0</v>
      </c>
      <c r="AV268" s="8"/>
      <c r="AW268" s="8">
        <f t="shared" si="12"/>
        <v>36812595</v>
      </c>
      <c r="AY268" s="8">
        <f>+'St of Activites - GA Rev'!AI271-'St of Activities - GA Exp'!AW268</f>
        <v>-8187971</v>
      </c>
      <c r="BA268" s="8">
        <v>21966409</v>
      </c>
      <c r="BC268" s="8">
        <f t="shared" si="13"/>
        <v>13778438</v>
      </c>
      <c r="BE268" s="8">
        <f>+'St of Net Assets - GA'!AA267-'St of Activities - GA Exp'!BC268</f>
        <v>0</v>
      </c>
    </row>
    <row r="269" spans="1:57">
      <c r="A269" s="12" t="s">
        <v>710</v>
      </c>
      <c r="B269" s="12"/>
      <c r="C269" s="12" t="s">
        <v>67</v>
      </c>
      <c r="D269" s="12"/>
      <c r="E269" s="32">
        <v>50369</v>
      </c>
      <c r="G269" s="8">
        <v>3394447</v>
      </c>
      <c r="H269" s="8"/>
      <c r="I269" s="8">
        <v>1474382</v>
      </c>
      <c r="J269" s="8"/>
      <c r="K269" s="8">
        <v>169318</v>
      </c>
      <c r="L269" s="8"/>
      <c r="M269" s="8">
        <v>685693</v>
      </c>
      <c r="N269" s="8"/>
      <c r="O269" s="8">
        <v>190291</v>
      </c>
      <c r="P269" s="8"/>
      <c r="Q269" s="8">
        <v>295062</v>
      </c>
      <c r="R269" s="8"/>
      <c r="S269" s="8">
        <v>29735</v>
      </c>
      <c r="T269" s="8"/>
      <c r="U269" s="8">
        <v>909962</v>
      </c>
      <c r="V269" s="8"/>
      <c r="W269" s="8">
        <v>257162</v>
      </c>
      <c r="X269" s="8"/>
      <c r="Y269" s="8">
        <v>0</v>
      </c>
      <c r="Z269" s="8"/>
      <c r="AA269" s="8">
        <v>562911</v>
      </c>
      <c r="AB269" s="8"/>
      <c r="AC269" s="8">
        <v>404264</v>
      </c>
      <c r="AD269" s="8"/>
      <c r="AE269" s="8">
        <v>14978</v>
      </c>
      <c r="AF269" s="8"/>
      <c r="AG269" s="12" t="s">
        <v>710</v>
      </c>
      <c r="AH269" s="12"/>
      <c r="AI269" s="12" t="s">
        <v>67</v>
      </c>
      <c r="AJ269" s="12"/>
      <c r="AK269" s="8">
        <v>319125</v>
      </c>
      <c r="AL269" s="8"/>
      <c r="AM269" s="8">
        <v>21739</v>
      </c>
      <c r="AN269" s="8"/>
      <c r="AO269" s="8">
        <v>245156</v>
      </c>
      <c r="AP269" s="8"/>
      <c r="AQ269" s="8">
        <v>603786</v>
      </c>
      <c r="AR269" s="8"/>
      <c r="AS269" s="8"/>
      <c r="AT269" s="8"/>
      <c r="AU269" s="8">
        <v>0</v>
      </c>
      <c r="AV269" s="8"/>
      <c r="AW269" s="8">
        <f t="shared" si="12"/>
        <v>9578011</v>
      </c>
      <c r="AY269" s="8">
        <f>+'St of Activites - GA Rev'!AI272-'St of Activities - GA Exp'!AW269</f>
        <v>1727556</v>
      </c>
      <c r="BA269" s="8">
        <v>20670324</v>
      </c>
      <c r="BC269" s="8">
        <f t="shared" si="13"/>
        <v>22397880</v>
      </c>
      <c r="BE269" s="8">
        <f>+'St of Net Assets - GA'!AA269-'St of Activities - GA Exp'!BC269</f>
        <v>0</v>
      </c>
    </row>
    <row r="270" spans="1:57">
      <c r="A270" s="12" t="s">
        <v>287</v>
      </c>
      <c r="B270" s="12"/>
      <c r="C270" s="12" t="s">
        <v>115</v>
      </c>
      <c r="D270" s="12"/>
      <c r="E270" s="32">
        <v>45450</v>
      </c>
      <c r="G270" s="8">
        <v>5011628</v>
      </c>
      <c r="H270" s="8"/>
      <c r="I270" s="8">
        <v>1096527</v>
      </c>
      <c r="J270" s="8"/>
      <c r="K270" s="8">
        <v>85075</v>
      </c>
      <c r="L270" s="8"/>
      <c r="M270" s="8">
        <v>288389</v>
      </c>
      <c r="N270" s="8"/>
      <c r="O270" s="8">
        <v>485508</v>
      </c>
      <c r="P270" s="8"/>
      <c r="Q270" s="8">
        <v>146521</v>
      </c>
      <c r="R270" s="8"/>
      <c r="S270" s="8">
        <v>33015</v>
      </c>
      <c r="T270" s="8"/>
      <c r="U270" s="8">
        <v>735300</v>
      </c>
      <c r="V270" s="8"/>
      <c r="W270" s="8">
        <v>242822</v>
      </c>
      <c r="X270" s="8"/>
      <c r="Y270" s="8">
        <v>0</v>
      </c>
      <c r="Z270" s="8"/>
      <c r="AA270" s="8">
        <v>1254837</v>
      </c>
      <c r="AB270" s="8"/>
      <c r="AC270" s="8">
        <v>445321</v>
      </c>
      <c r="AD270" s="8"/>
      <c r="AE270" s="8">
        <v>44472</v>
      </c>
      <c r="AF270" s="8"/>
      <c r="AG270" s="12" t="s">
        <v>287</v>
      </c>
      <c r="AH270" s="12"/>
      <c r="AI270" s="12" t="s">
        <v>115</v>
      </c>
      <c r="AJ270" s="12"/>
      <c r="AK270" s="8">
        <v>471109</v>
      </c>
      <c r="AL270" s="8"/>
      <c r="AM270" s="8">
        <v>0</v>
      </c>
      <c r="AN270" s="8"/>
      <c r="AO270" s="8">
        <v>236051</v>
      </c>
      <c r="AP270" s="8"/>
      <c r="AQ270" s="8">
        <v>229297</v>
      </c>
      <c r="AR270" s="8"/>
      <c r="AS270" s="8"/>
      <c r="AT270" s="8"/>
      <c r="AU270" s="8">
        <v>0</v>
      </c>
      <c r="AV270" s="8"/>
      <c r="AW270" s="8">
        <f t="shared" si="12"/>
        <v>10805872</v>
      </c>
      <c r="AY270" s="8">
        <f>+'St of Activites - GA Rev'!AI273-'St of Activities - GA Exp'!AW270</f>
        <v>-232785</v>
      </c>
      <c r="BA270" s="8">
        <v>20216533</v>
      </c>
      <c r="BC270" s="8">
        <f t="shared" si="13"/>
        <v>19983748</v>
      </c>
      <c r="BE270" s="8">
        <f>+'St of Net Assets - GA'!AA273-'St of Activities - GA Exp'!BC270</f>
        <v>0</v>
      </c>
    </row>
    <row r="271" spans="1:57">
      <c r="A271" s="12" t="s">
        <v>717</v>
      </c>
      <c r="B271" s="12"/>
      <c r="C271" s="12" t="s">
        <v>69</v>
      </c>
      <c r="D271" s="12"/>
      <c r="E271" s="32">
        <v>50443</v>
      </c>
      <c r="G271" s="8">
        <v>13514889</v>
      </c>
      <c r="H271" s="8"/>
      <c r="I271" s="8">
        <v>3154623</v>
      </c>
      <c r="J271" s="8"/>
      <c r="K271" s="8">
        <v>639</v>
      </c>
      <c r="L271" s="8"/>
      <c r="M271" s="8">
        <v>937351</v>
      </c>
      <c r="N271" s="8"/>
      <c r="O271" s="8">
        <v>1424068</v>
      </c>
      <c r="P271" s="8"/>
      <c r="Q271" s="8">
        <v>1650743</v>
      </c>
      <c r="R271" s="8"/>
      <c r="S271" s="8">
        <v>43126</v>
      </c>
      <c r="T271" s="8"/>
      <c r="U271" s="8">
        <v>2709129</v>
      </c>
      <c r="V271" s="8"/>
      <c r="W271" s="8">
        <v>763727</v>
      </c>
      <c r="X271" s="8"/>
      <c r="Y271" s="8">
        <v>221807</v>
      </c>
      <c r="Z271" s="8"/>
      <c r="AA271" s="8">
        <v>5356855</v>
      </c>
      <c r="AB271" s="8"/>
      <c r="AC271" s="8">
        <v>3518145</v>
      </c>
      <c r="AD271" s="8"/>
      <c r="AE271" s="8">
        <v>1192904</v>
      </c>
      <c r="AF271" s="8"/>
      <c r="AG271" s="13" t="s">
        <v>717</v>
      </c>
      <c r="AH271" s="13"/>
      <c r="AI271" s="13" t="s">
        <v>69</v>
      </c>
      <c r="AJ271" s="13"/>
      <c r="AK271" s="8">
        <v>0</v>
      </c>
      <c r="AL271" s="8"/>
      <c r="AM271" s="8">
        <v>1544087</v>
      </c>
      <c r="AN271" s="8"/>
      <c r="AO271" s="8">
        <v>929891</v>
      </c>
      <c r="AP271" s="8"/>
      <c r="AQ271" s="8">
        <v>3672905</v>
      </c>
      <c r="AR271" s="8"/>
      <c r="AS271" s="8"/>
      <c r="AT271" s="8"/>
      <c r="AU271" s="8">
        <v>0</v>
      </c>
      <c r="AV271" s="8"/>
      <c r="AW271" s="8">
        <f t="shared" si="12"/>
        <v>40634889</v>
      </c>
      <c r="AY271" s="8">
        <f>+'St of Activites - GA Rev'!AI274-'St of Activities - GA Exp'!AW271</f>
        <v>-4375614</v>
      </c>
      <c r="BA271" s="8">
        <v>-237306</v>
      </c>
      <c r="BC271" s="8">
        <f t="shared" si="13"/>
        <v>-4612920</v>
      </c>
      <c r="BE271" s="8">
        <f>+'St of Net Assets - GA'!AA274-'St of Activities - GA Exp'!BC271</f>
        <v>0</v>
      </c>
    </row>
    <row r="272" spans="1:57" ht="12" hidden="1" customHeight="1">
      <c r="A272" s="12" t="s">
        <v>401</v>
      </c>
      <c r="B272" s="12"/>
      <c r="C272" s="12" t="s">
        <v>32</v>
      </c>
      <c r="D272" s="12"/>
      <c r="E272" s="32">
        <v>44230</v>
      </c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12" t="s">
        <v>401</v>
      </c>
      <c r="AH272" s="12"/>
      <c r="AI272" s="12" t="s">
        <v>32</v>
      </c>
      <c r="AJ272" s="12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>
        <f t="shared" si="12"/>
        <v>0</v>
      </c>
      <c r="AY272" s="8">
        <f>+'St of Activites - GA Rev'!AI275-'St of Activities - GA Exp'!AW272</f>
        <v>0</v>
      </c>
      <c r="BC272" s="8">
        <f t="shared" si="13"/>
        <v>0</v>
      </c>
      <c r="BE272" s="8">
        <f>+'St of Net Assets - GA'!AA274-'St of Activities - GA Exp'!BC272</f>
        <v>-4612920</v>
      </c>
    </row>
    <row r="273" spans="1:57" s="8" customFormat="1">
      <c r="A273" s="13" t="s">
        <v>589</v>
      </c>
      <c r="B273" s="13"/>
      <c r="C273" s="13" t="s">
        <v>54</v>
      </c>
      <c r="D273" s="13"/>
      <c r="E273" s="13">
        <v>49080</v>
      </c>
      <c r="G273" s="8">
        <v>8899168</v>
      </c>
      <c r="I273" s="8">
        <v>1908111</v>
      </c>
      <c r="K273" s="8">
        <v>17368</v>
      </c>
      <c r="M273" s="8">
        <v>171777</v>
      </c>
      <c r="O273" s="8">
        <v>847506</v>
      </c>
      <c r="Q273" s="8">
        <v>973684</v>
      </c>
      <c r="S273" s="8">
        <v>109719</v>
      </c>
      <c r="U273" s="8">
        <v>1368757</v>
      </c>
      <c r="W273" s="8">
        <v>491490</v>
      </c>
      <c r="Y273" s="8">
        <v>1642</v>
      </c>
      <c r="AA273" s="8">
        <v>2009782</v>
      </c>
      <c r="AC273" s="8">
        <v>1536224</v>
      </c>
      <c r="AE273" s="8">
        <v>203863</v>
      </c>
      <c r="AG273" s="13" t="s">
        <v>589</v>
      </c>
      <c r="AH273" s="13"/>
      <c r="AI273" s="13" t="s">
        <v>54</v>
      </c>
      <c r="AJ273" s="13"/>
      <c r="AK273" s="8">
        <v>766024</v>
      </c>
      <c r="AM273" s="8">
        <v>0</v>
      </c>
      <c r="AO273" s="8">
        <v>526202</v>
      </c>
      <c r="AQ273" s="8">
        <v>0</v>
      </c>
      <c r="AU273" s="8">
        <v>0</v>
      </c>
      <c r="AW273" s="8">
        <f t="shared" si="12"/>
        <v>19831317</v>
      </c>
      <c r="AY273" s="8">
        <f>+'St of Activites - GA Rev'!AI276-'St of Activities - GA Exp'!AW273</f>
        <v>2201626</v>
      </c>
      <c r="BA273" s="8">
        <v>7791538</v>
      </c>
      <c r="BC273" s="8">
        <f t="shared" si="13"/>
        <v>9993164</v>
      </c>
      <c r="BE273" s="8">
        <f>+'St of Net Assets - GA'!AA275-'St of Activities - GA Exp'!BC273</f>
        <v>0</v>
      </c>
    </row>
    <row r="274" spans="1:57">
      <c r="A274" s="12" t="s">
        <v>445</v>
      </c>
      <c r="B274" s="12"/>
      <c r="C274" s="12" t="s">
        <v>35</v>
      </c>
      <c r="D274" s="12"/>
      <c r="E274" s="32">
        <v>44248</v>
      </c>
      <c r="G274" s="8">
        <v>14204957</v>
      </c>
      <c r="H274" s="8"/>
      <c r="I274" s="8">
        <v>4834018</v>
      </c>
      <c r="J274" s="8"/>
      <c r="K274" s="8">
        <v>603792</v>
      </c>
      <c r="L274" s="8"/>
      <c r="M274" s="8">
        <v>570083</v>
      </c>
      <c r="N274" s="8"/>
      <c r="O274" s="8">
        <v>2358872</v>
      </c>
      <c r="P274" s="8"/>
      <c r="Q274" s="8">
        <v>2446308</v>
      </c>
      <c r="R274" s="8"/>
      <c r="S274" s="8">
        <v>105351</v>
      </c>
      <c r="T274" s="8"/>
      <c r="U274" s="8">
        <v>2664501</v>
      </c>
      <c r="V274" s="8"/>
      <c r="W274" s="8">
        <v>999121</v>
      </c>
      <c r="X274" s="8"/>
      <c r="Y274" s="8">
        <v>0</v>
      </c>
      <c r="Z274" s="8"/>
      <c r="AA274" s="8">
        <v>2996026</v>
      </c>
      <c r="AB274" s="8"/>
      <c r="AC274" s="8">
        <v>3016721</v>
      </c>
      <c r="AD274" s="8"/>
      <c r="AE274" s="8">
        <v>29344</v>
      </c>
      <c r="AF274" s="8"/>
      <c r="AG274" s="12" t="s">
        <v>445</v>
      </c>
      <c r="AH274" s="12"/>
      <c r="AI274" s="12" t="s">
        <v>35</v>
      </c>
      <c r="AJ274" s="12"/>
      <c r="AK274" s="8">
        <v>0</v>
      </c>
      <c r="AL274" s="8"/>
      <c r="AM274" s="8">
        <v>193664</v>
      </c>
      <c r="AN274" s="8"/>
      <c r="AO274" s="8">
        <v>780291</v>
      </c>
      <c r="AP274" s="8"/>
      <c r="AQ274" s="8">
        <v>1590440</v>
      </c>
      <c r="AR274" s="8"/>
      <c r="AS274" s="8"/>
      <c r="AT274" s="8"/>
      <c r="AU274" s="8">
        <v>0</v>
      </c>
      <c r="AV274" s="8"/>
      <c r="AW274" s="8">
        <f t="shared" si="12"/>
        <v>37393489</v>
      </c>
      <c r="AY274" s="8">
        <f>+'St of Activites - GA Rev'!AI277-'St of Activities - GA Exp'!AW274</f>
        <v>24871639</v>
      </c>
      <c r="BA274" s="8">
        <v>52910984</v>
      </c>
      <c r="BC274" s="8">
        <f t="shared" si="13"/>
        <v>77782623</v>
      </c>
      <c r="BE274" s="8">
        <f>+'St of Net Assets - GA'!AA276-'St of Activities - GA Exp'!BC274</f>
        <v>0</v>
      </c>
    </row>
    <row r="275" spans="1:57">
      <c r="A275" s="12" t="s">
        <v>513</v>
      </c>
      <c r="B275" s="12"/>
      <c r="C275" s="12" t="s">
        <v>511</v>
      </c>
      <c r="D275" s="12"/>
      <c r="E275" s="32">
        <v>44255</v>
      </c>
      <c r="G275" s="8">
        <v>9124413</v>
      </c>
      <c r="H275" s="8"/>
      <c r="I275" s="8">
        <v>3461580</v>
      </c>
      <c r="J275" s="8"/>
      <c r="K275" s="8">
        <v>322651</v>
      </c>
      <c r="L275" s="8"/>
      <c r="M275" s="8">
        <v>45425</v>
      </c>
      <c r="N275" s="8"/>
      <c r="O275" s="8">
        <v>711515</v>
      </c>
      <c r="P275" s="8"/>
      <c r="Q275" s="8">
        <v>1417994</v>
      </c>
      <c r="R275" s="8"/>
      <c r="S275" s="8">
        <v>110433</v>
      </c>
      <c r="T275" s="8"/>
      <c r="U275" s="8">
        <v>1767721</v>
      </c>
      <c r="V275" s="8"/>
      <c r="W275" s="8">
        <v>619797</v>
      </c>
      <c r="X275" s="8"/>
      <c r="Y275" s="8">
        <v>0</v>
      </c>
      <c r="Z275" s="8"/>
      <c r="AA275" s="8">
        <v>2236400</v>
      </c>
      <c r="AB275" s="8"/>
      <c r="AC275" s="8">
        <v>934026</v>
      </c>
      <c r="AD275" s="8"/>
      <c r="AE275" s="8">
        <v>412842</v>
      </c>
      <c r="AF275" s="8"/>
      <c r="AG275" s="12" t="s">
        <v>513</v>
      </c>
      <c r="AH275" s="12"/>
      <c r="AI275" s="12" t="s">
        <v>511</v>
      </c>
      <c r="AJ275" s="12"/>
      <c r="AK275" s="8">
        <v>809185</v>
      </c>
      <c r="AL275" s="8"/>
      <c r="AM275" s="8">
        <v>132350</v>
      </c>
      <c r="AN275" s="8"/>
      <c r="AO275" s="8">
        <v>837125</v>
      </c>
      <c r="AP275" s="8"/>
      <c r="AQ275" s="8">
        <v>1259400</v>
      </c>
      <c r="AR275" s="8"/>
      <c r="AS275" s="8"/>
      <c r="AT275" s="8"/>
      <c r="AU275" s="8">
        <v>0</v>
      </c>
      <c r="AV275" s="8"/>
      <c r="AW275" s="8">
        <f t="shared" si="12"/>
        <v>24202857</v>
      </c>
      <c r="AY275" s="8">
        <f>+'St of Activites - GA Rev'!AI278-'St of Activities - GA Exp'!AW275</f>
        <v>903805</v>
      </c>
      <c r="BA275" s="8">
        <v>18304699</v>
      </c>
      <c r="BC275" s="8">
        <f t="shared" si="13"/>
        <v>19208504</v>
      </c>
      <c r="BE275" s="8">
        <f>+'St of Net Assets - GA'!AA277-'St of Activities - GA Exp'!BC275</f>
        <v>0</v>
      </c>
    </row>
    <row r="276" spans="1:57">
      <c r="A276" s="12" t="s">
        <v>496</v>
      </c>
      <c r="B276" s="12"/>
      <c r="C276" s="12" t="s">
        <v>44</v>
      </c>
      <c r="D276" s="12"/>
      <c r="E276" s="32">
        <v>44263</v>
      </c>
      <c r="G276" s="8">
        <v>35403960</v>
      </c>
      <c r="H276" s="8"/>
      <c r="I276" s="8">
        <v>8077507</v>
      </c>
      <c r="J276" s="8"/>
      <c r="K276" s="8">
        <v>1893546</v>
      </c>
      <c r="L276" s="8"/>
      <c r="M276" s="8">
        <f>147681+14737874</f>
        <v>14885555</v>
      </c>
      <c r="N276" s="8"/>
      <c r="O276" s="8">
        <v>4382619</v>
      </c>
      <c r="P276" s="8"/>
      <c r="Q276" s="8">
        <v>4707791</v>
      </c>
      <c r="R276" s="8"/>
      <c r="S276" s="8">
        <v>250858</v>
      </c>
      <c r="T276" s="8"/>
      <c r="U276" s="8">
        <v>6408121</v>
      </c>
      <c r="V276" s="8"/>
      <c r="W276" s="8">
        <v>1884009</v>
      </c>
      <c r="X276" s="8"/>
      <c r="Y276" s="8">
        <v>455957</v>
      </c>
      <c r="Z276" s="8"/>
      <c r="AA276" s="8">
        <v>13657245</v>
      </c>
      <c r="AB276" s="8"/>
      <c r="AC276" s="8">
        <v>2643745</v>
      </c>
      <c r="AD276" s="8"/>
      <c r="AE276" s="8">
        <v>874006</v>
      </c>
      <c r="AF276" s="8"/>
      <c r="AG276" s="12" t="s">
        <v>496</v>
      </c>
      <c r="AH276" s="12"/>
      <c r="AI276" s="12" t="s">
        <v>44</v>
      </c>
      <c r="AJ276" s="12"/>
      <c r="AK276" s="8">
        <v>4310490</v>
      </c>
      <c r="AL276" s="8"/>
      <c r="AM276" s="8">
        <v>1764456</v>
      </c>
      <c r="AN276" s="8"/>
      <c r="AO276" s="8">
        <v>1854830</v>
      </c>
      <c r="AP276" s="8"/>
      <c r="AQ276" s="8">
        <v>1890764</v>
      </c>
      <c r="AR276" s="8"/>
      <c r="AS276" s="8"/>
      <c r="AT276" s="8"/>
      <c r="AU276" s="8">
        <v>0</v>
      </c>
      <c r="AV276" s="8"/>
      <c r="AW276" s="8">
        <f t="shared" si="12"/>
        <v>105345459</v>
      </c>
      <c r="AY276" s="8">
        <f>+'St of Activites - GA Rev'!AI279-'St of Activities - GA Exp'!AW276</f>
        <v>8125878</v>
      </c>
      <c r="BA276" s="8">
        <v>175378445</v>
      </c>
      <c r="BC276" s="8">
        <f t="shared" si="13"/>
        <v>183504323</v>
      </c>
      <c r="BE276" s="8">
        <f>+'St of Net Assets - GA'!AA278-'St of Activities - GA Exp'!BC276</f>
        <v>0</v>
      </c>
    </row>
    <row r="277" spans="1:57">
      <c r="A277" s="12" t="s">
        <v>691</v>
      </c>
      <c r="B277" s="12"/>
      <c r="C277" s="12" t="s">
        <v>64</v>
      </c>
      <c r="D277" s="12"/>
      <c r="E277" s="32">
        <v>50203</v>
      </c>
      <c r="G277" s="8">
        <v>3090685</v>
      </c>
      <c r="H277" s="8"/>
      <c r="I277" s="8">
        <v>601058</v>
      </c>
      <c r="J277" s="8"/>
      <c r="K277" s="8">
        <v>123301</v>
      </c>
      <c r="L277" s="8"/>
      <c r="M277" s="8">
        <v>182073</v>
      </c>
      <c r="N277" s="8"/>
      <c r="O277" s="8">
        <v>165132</v>
      </c>
      <c r="P277" s="8"/>
      <c r="Q277" s="8">
        <v>130414</v>
      </c>
      <c r="R277" s="8"/>
      <c r="S277" s="8">
        <v>148022</v>
      </c>
      <c r="T277" s="8"/>
      <c r="U277" s="8">
        <v>500621</v>
      </c>
      <c r="V277" s="8"/>
      <c r="W277" s="8">
        <v>325295</v>
      </c>
      <c r="X277" s="8"/>
      <c r="Y277" s="8">
        <v>23763</v>
      </c>
      <c r="Z277" s="8"/>
      <c r="AA277" s="8">
        <v>1190318</v>
      </c>
      <c r="AB277" s="8"/>
      <c r="AC277" s="8">
        <v>304844</v>
      </c>
      <c r="AD277" s="8"/>
      <c r="AE277" s="8">
        <v>0</v>
      </c>
      <c r="AF277" s="8"/>
      <c r="AG277" s="12" t="s">
        <v>691</v>
      </c>
      <c r="AH277" s="12"/>
      <c r="AI277" s="12" t="s">
        <v>64</v>
      </c>
      <c r="AJ277" s="12"/>
      <c r="AK277" s="8">
        <v>216076</v>
      </c>
      <c r="AL277" s="8"/>
      <c r="AM277" s="8">
        <f>241406+1322</f>
        <v>242728</v>
      </c>
      <c r="AN277" s="8"/>
      <c r="AO277" s="8">
        <v>251876</v>
      </c>
      <c r="AP277" s="8"/>
      <c r="AQ277" s="8">
        <v>72047</v>
      </c>
      <c r="AR277" s="8"/>
      <c r="AS277" s="8"/>
      <c r="AT277" s="8"/>
      <c r="AU277" s="8">
        <v>0</v>
      </c>
      <c r="AV277" s="8"/>
      <c r="AW277" s="8">
        <f t="shared" si="12"/>
        <v>7568253</v>
      </c>
      <c r="AY277" s="8">
        <f>+'St of Activites - GA Rev'!AI280-'St of Activities - GA Exp'!AW277</f>
        <v>-370098</v>
      </c>
      <c r="BA277" s="8">
        <v>5002412</v>
      </c>
      <c r="BC277" s="8">
        <f t="shared" si="13"/>
        <v>4632314</v>
      </c>
      <c r="BE277" s="8">
        <f>+'St of Net Assets - GA'!AA279-'St of Activities - GA Exp'!BC277</f>
        <v>0</v>
      </c>
    </row>
    <row r="278" spans="1:57">
      <c r="A278" s="12" t="s">
        <v>907</v>
      </c>
      <c r="B278" s="12"/>
      <c r="C278" s="12" t="s">
        <v>11</v>
      </c>
      <c r="D278" s="12"/>
      <c r="E278" s="32">
        <v>45468</v>
      </c>
      <c r="F278" s="8"/>
      <c r="G278" s="8">
        <v>5434519</v>
      </c>
      <c r="H278" s="8"/>
      <c r="I278" s="8">
        <v>1142760</v>
      </c>
      <c r="J278" s="8"/>
      <c r="K278" s="8">
        <v>337946</v>
      </c>
      <c r="L278" s="8"/>
      <c r="M278" s="8">
        <v>729568</v>
      </c>
      <c r="N278" s="8"/>
      <c r="O278" s="8">
        <v>630128</v>
      </c>
      <c r="P278" s="8"/>
      <c r="Q278" s="8">
        <v>725901</v>
      </c>
      <c r="R278" s="8"/>
      <c r="S278" s="8">
        <v>29592</v>
      </c>
      <c r="T278" s="8"/>
      <c r="U278" s="8">
        <v>921739</v>
      </c>
      <c r="V278" s="8"/>
      <c r="W278" s="8">
        <v>377564</v>
      </c>
      <c r="X278" s="8"/>
      <c r="Y278" s="8">
        <v>11760</v>
      </c>
      <c r="Z278" s="8"/>
      <c r="AA278" s="8">
        <v>1122873</v>
      </c>
      <c r="AB278" s="8"/>
      <c r="AC278" s="8">
        <v>768294</v>
      </c>
      <c r="AD278" s="8"/>
      <c r="AE278" s="8">
        <v>112657</v>
      </c>
      <c r="AF278" s="8"/>
      <c r="AG278" s="12" t="s">
        <v>217</v>
      </c>
      <c r="AH278" s="12"/>
      <c r="AI278" s="12" t="s">
        <v>11</v>
      </c>
      <c r="AJ278" s="12"/>
      <c r="AK278" s="8">
        <v>511634</v>
      </c>
      <c r="AL278" s="8"/>
      <c r="AM278" s="8">
        <v>53950</v>
      </c>
      <c r="AN278" s="8"/>
      <c r="AO278" s="8">
        <v>462422</v>
      </c>
      <c r="AP278" s="8"/>
      <c r="AQ278" s="8">
        <v>3503</v>
      </c>
      <c r="AR278" s="8"/>
      <c r="AS278" s="8"/>
      <c r="AT278" s="8"/>
      <c r="AU278" s="8">
        <v>0</v>
      </c>
      <c r="AV278" s="8"/>
      <c r="AW278" s="8">
        <f t="shared" si="12"/>
        <v>13376810</v>
      </c>
      <c r="AY278" s="8">
        <f>+'St of Activites - GA Rev'!AI281-'St of Activities - GA Exp'!AW278</f>
        <v>-607595</v>
      </c>
      <c r="BA278" s="8">
        <v>6996473</v>
      </c>
      <c r="BC278" s="8">
        <f t="shared" si="13"/>
        <v>6388878</v>
      </c>
      <c r="BE278" s="8">
        <f>+'St of Net Assets - GA'!AA280-'St of Activities - GA Exp'!BC278</f>
        <v>0</v>
      </c>
    </row>
    <row r="279" spans="1:57">
      <c r="A279" s="12" t="s">
        <v>659</v>
      </c>
      <c r="B279" s="12"/>
      <c r="C279" s="12" t="s">
        <v>62</v>
      </c>
      <c r="D279" s="12"/>
      <c r="E279" s="32">
        <v>49874</v>
      </c>
      <c r="G279" s="8">
        <v>12848630</v>
      </c>
      <c r="H279" s="8"/>
      <c r="I279" s="8">
        <v>3037144</v>
      </c>
      <c r="J279" s="8"/>
      <c r="K279" s="8">
        <v>453114</v>
      </c>
      <c r="L279" s="8"/>
      <c r="M279" s="8">
        <v>0</v>
      </c>
      <c r="N279" s="8"/>
      <c r="O279" s="8">
        <v>1046462</v>
      </c>
      <c r="P279" s="8"/>
      <c r="Q279" s="8">
        <v>828311</v>
      </c>
      <c r="R279" s="8"/>
      <c r="S279" s="8">
        <v>105316</v>
      </c>
      <c r="T279" s="8"/>
      <c r="U279" s="8">
        <v>1800528</v>
      </c>
      <c r="V279" s="8"/>
      <c r="W279" s="8">
        <v>424232</v>
      </c>
      <c r="X279" s="8"/>
      <c r="Y279" s="8">
        <v>240625</v>
      </c>
      <c r="Z279" s="8"/>
      <c r="AA279" s="8">
        <v>2109439</v>
      </c>
      <c r="AB279" s="8"/>
      <c r="AC279" s="8">
        <v>1153070</v>
      </c>
      <c r="AD279" s="8"/>
      <c r="AE279" s="8">
        <v>1649</v>
      </c>
      <c r="AF279" s="8"/>
      <c r="AG279" s="12" t="s">
        <v>659</v>
      </c>
      <c r="AH279" s="12"/>
      <c r="AI279" s="12" t="s">
        <v>62</v>
      </c>
      <c r="AJ279" s="12"/>
      <c r="AK279" s="8">
        <v>1180710</v>
      </c>
      <c r="AL279" s="8"/>
      <c r="AM279" s="8">
        <v>576845</v>
      </c>
      <c r="AN279" s="8"/>
      <c r="AO279" s="8">
        <v>924306</v>
      </c>
      <c r="AP279" s="8"/>
      <c r="AQ279" s="8">
        <v>1242384</v>
      </c>
      <c r="AR279" s="8"/>
      <c r="AS279" s="8"/>
      <c r="AT279" s="8"/>
      <c r="AU279" s="8">
        <v>0</v>
      </c>
      <c r="AV279" s="8"/>
      <c r="AW279" s="8">
        <f t="shared" si="12"/>
        <v>27972765</v>
      </c>
      <c r="AY279" s="8">
        <f>+'St of Activites - GA Rev'!AI282-'St of Activities - GA Exp'!AW279</f>
        <v>1100070</v>
      </c>
      <c r="BA279" s="8">
        <v>10756885</v>
      </c>
      <c r="BC279" s="8">
        <f t="shared" si="13"/>
        <v>11856955</v>
      </c>
      <c r="BE279" s="8">
        <f>+'St of Net Assets - GA'!AA281-'St of Activities - GA Exp'!BC279</f>
        <v>0</v>
      </c>
    </row>
    <row r="280" spans="1:57">
      <c r="A280" s="12" t="s">
        <v>402</v>
      </c>
      <c r="B280" s="12"/>
      <c r="C280" s="12" t="s">
        <v>32</v>
      </c>
      <c r="D280" s="12"/>
      <c r="E280" s="32">
        <v>44271</v>
      </c>
      <c r="G280" s="8">
        <v>20770835</v>
      </c>
      <c r="H280" s="8"/>
      <c r="I280" s="8">
        <v>5255226</v>
      </c>
      <c r="J280" s="8"/>
      <c r="K280" s="8">
        <v>888703</v>
      </c>
      <c r="L280" s="8"/>
      <c r="M280" s="8">
        <v>790392</v>
      </c>
      <c r="N280" s="8"/>
      <c r="O280" s="8">
        <v>2248998</v>
      </c>
      <c r="P280" s="8"/>
      <c r="Q280" s="8">
        <v>1340166</v>
      </c>
      <c r="R280" s="8"/>
      <c r="S280" s="8">
        <v>92629</v>
      </c>
      <c r="T280" s="8"/>
      <c r="U280" s="8">
        <v>2985676</v>
      </c>
      <c r="V280" s="8"/>
      <c r="W280" s="8">
        <v>1136990</v>
      </c>
      <c r="X280" s="8"/>
      <c r="Y280" s="8">
        <v>220011</v>
      </c>
      <c r="Z280" s="8"/>
      <c r="AA280" s="8">
        <v>3271679</v>
      </c>
      <c r="AB280" s="8"/>
      <c r="AC280" s="8">
        <v>3106038</v>
      </c>
      <c r="AD280" s="8"/>
      <c r="AE280" s="8">
        <v>960970</v>
      </c>
      <c r="AF280" s="8"/>
      <c r="AG280" s="12" t="s">
        <v>402</v>
      </c>
      <c r="AH280" s="12"/>
      <c r="AI280" s="12" t="s">
        <v>32</v>
      </c>
      <c r="AJ280" s="12"/>
      <c r="AK280" s="8">
        <v>0</v>
      </c>
      <c r="AL280" s="8"/>
      <c r="AM280" s="8">
        <v>2104005</v>
      </c>
      <c r="AN280" s="8"/>
      <c r="AO280" s="8">
        <v>1102170</v>
      </c>
      <c r="AP280" s="8"/>
      <c r="AQ280" s="8">
        <v>1574551</v>
      </c>
      <c r="AR280" s="8"/>
      <c r="AS280" s="8"/>
      <c r="AT280" s="8"/>
      <c r="AU280" s="8">
        <v>0</v>
      </c>
      <c r="AV280" s="8"/>
      <c r="AW280" s="8">
        <f t="shared" si="12"/>
        <v>47849039</v>
      </c>
      <c r="AY280" s="8">
        <f>+'St of Activites - GA Rev'!AI283-'St of Activities - GA Exp'!AW280</f>
        <v>843777</v>
      </c>
      <c r="BA280" s="8">
        <v>31588210</v>
      </c>
      <c r="BC280" s="8">
        <f t="shared" si="13"/>
        <v>32431987</v>
      </c>
      <c r="BE280" s="8">
        <f>+'St of Net Assets - GA'!AA282-'St of Activities - GA Exp'!BC280</f>
        <v>0</v>
      </c>
    </row>
    <row r="281" spans="1:57" ht="12" customHeight="1">
      <c r="A281" s="12" t="s">
        <v>519</v>
      </c>
      <c r="B281" s="12"/>
      <c r="C281" s="12" t="s">
        <v>45</v>
      </c>
      <c r="D281" s="12"/>
      <c r="E281" s="32">
        <v>48330</v>
      </c>
      <c r="G281" s="8">
        <v>2715038</v>
      </c>
      <c r="H281" s="8"/>
      <c r="I281" s="8">
        <v>408964</v>
      </c>
      <c r="J281" s="8"/>
      <c r="K281" s="8">
        <v>32423</v>
      </c>
      <c r="L281" s="8"/>
      <c r="M281" s="8">
        <v>14926</v>
      </c>
      <c r="N281" s="8"/>
      <c r="O281" s="8">
        <v>211221</v>
      </c>
      <c r="P281" s="8"/>
      <c r="Q281" s="8">
        <v>203018</v>
      </c>
      <c r="R281" s="8"/>
      <c r="S281" s="8">
        <v>23731</v>
      </c>
      <c r="T281" s="8"/>
      <c r="U281" s="8">
        <v>405854</v>
      </c>
      <c r="V281" s="8"/>
      <c r="W281" s="8">
        <v>169957</v>
      </c>
      <c r="X281" s="8"/>
      <c r="Y281" s="8">
        <v>0</v>
      </c>
      <c r="Z281" s="8"/>
      <c r="AA281" s="8">
        <v>517087</v>
      </c>
      <c r="AB281" s="8"/>
      <c r="AC281" s="8">
        <v>159462</v>
      </c>
      <c r="AD281" s="8"/>
      <c r="AE281" s="8">
        <v>26686</v>
      </c>
      <c r="AF281" s="8"/>
      <c r="AG281" s="12" t="s">
        <v>519</v>
      </c>
      <c r="AH281" s="12"/>
      <c r="AI281" s="12" t="s">
        <v>45</v>
      </c>
      <c r="AJ281" s="12"/>
      <c r="AK281" s="8">
        <v>349813</v>
      </c>
      <c r="AL281" s="8"/>
      <c r="AM281" s="8">
        <v>440</v>
      </c>
      <c r="AN281" s="8"/>
      <c r="AO281" s="8">
        <v>392505</v>
      </c>
      <c r="AP281" s="8"/>
      <c r="AQ281" s="8">
        <v>95410</v>
      </c>
      <c r="AR281" s="8"/>
      <c r="AS281" s="8"/>
      <c r="AT281" s="8"/>
      <c r="AU281" s="8">
        <v>0</v>
      </c>
      <c r="AV281" s="8"/>
      <c r="AW281" s="8">
        <f t="shared" si="12"/>
        <v>5726535</v>
      </c>
      <c r="AY281" s="8">
        <f>+'St of Activites - GA Rev'!AI284-'St of Activities - GA Exp'!AW281</f>
        <v>-237862</v>
      </c>
      <c r="BA281" s="8">
        <v>14781250</v>
      </c>
      <c r="BC281" s="8">
        <f t="shared" si="13"/>
        <v>14543388</v>
      </c>
      <c r="BE281" s="8">
        <f>+'St of Net Assets - GA'!AA283-'St of Activities - GA Exp'!BC281</f>
        <v>0</v>
      </c>
    </row>
    <row r="282" spans="1:57">
      <c r="A282" s="12" t="s">
        <v>616</v>
      </c>
      <c r="B282" s="12"/>
      <c r="C282" s="12" t="s">
        <v>113</v>
      </c>
      <c r="D282" s="12"/>
      <c r="E282" s="32">
        <v>49445</v>
      </c>
      <c r="G282" s="8">
        <v>2075627</v>
      </c>
      <c r="H282" s="8"/>
      <c r="I282" s="8">
        <v>565985</v>
      </c>
      <c r="J282" s="8"/>
      <c r="K282" s="8">
        <v>11217</v>
      </c>
      <c r="L282" s="8"/>
      <c r="M282" s="8">
        <v>245420</v>
      </c>
      <c r="N282" s="8"/>
      <c r="O282" s="8">
        <v>68279</v>
      </c>
      <c r="P282" s="8"/>
      <c r="Q282" s="8">
        <v>184899</v>
      </c>
      <c r="R282" s="8"/>
      <c r="S282" s="8">
        <v>22035</v>
      </c>
      <c r="T282" s="8"/>
      <c r="U282" s="8">
        <v>588506</v>
      </c>
      <c r="V282" s="8"/>
      <c r="W282" s="8">
        <v>210034</v>
      </c>
      <c r="X282" s="8"/>
      <c r="Y282" s="8">
        <v>0</v>
      </c>
      <c r="Z282" s="8"/>
      <c r="AA282" s="8">
        <v>435340</v>
      </c>
      <c r="AB282" s="8"/>
      <c r="AC282" s="8">
        <v>373532</v>
      </c>
      <c r="AD282" s="8"/>
      <c r="AE282" s="8">
        <v>51589</v>
      </c>
      <c r="AF282" s="8"/>
      <c r="AG282" s="12" t="s">
        <v>616</v>
      </c>
      <c r="AH282" s="12"/>
      <c r="AI282" s="12" t="s">
        <v>113</v>
      </c>
      <c r="AJ282" s="12"/>
      <c r="AK282" s="8">
        <v>195927</v>
      </c>
      <c r="AL282" s="8"/>
      <c r="AM282" s="8">
        <v>3725</v>
      </c>
      <c r="AN282" s="8"/>
      <c r="AO282" s="8">
        <v>171907</v>
      </c>
      <c r="AP282" s="8"/>
      <c r="AQ282" s="8">
        <v>0</v>
      </c>
      <c r="AR282" s="8"/>
      <c r="AS282" s="8"/>
      <c r="AT282" s="8"/>
      <c r="AU282" s="8">
        <v>0</v>
      </c>
      <c r="AV282" s="8"/>
      <c r="AW282" s="8">
        <f t="shared" si="12"/>
        <v>5204022</v>
      </c>
      <c r="AY282" s="8">
        <f>+'St of Activites - GA Rev'!AI285-'St of Activities - GA Exp'!AW282</f>
        <v>553691</v>
      </c>
      <c r="BA282" s="8">
        <v>3002945</v>
      </c>
      <c r="BC282" s="8">
        <f t="shared" si="13"/>
        <v>3556636</v>
      </c>
      <c r="BE282" s="8">
        <f>+'St of Net Assets - GA'!AA284-'St of Activities - GA Exp'!BC282</f>
        <v>0</v>
      </c>
    </row>
    <row r="283" spans="1:57">
      <c r="A283" s="12" t="s">
        <v>444</v>
      </c>
      <c r="B283" s="12"/>
      <c r="C283" s="12" t="s">
        <v>440</v>
      </c>
      <c r="D283" s="12"/>
      <c r="E283" s="32">
        <v>47639</v>
      </c>
      <c r="G283" s="8">
        <v>5560385</v>
      </c>
      <c r="H283" s="8"/>
      <c r="I283" s="8">
        <v>1220152</v>
      </c>
      <c r="J283" s="8"/>
      <c r="K283" s="8">
        <v>208414</v>
      </c>
      <c r="L283" s="8"/>
      <c r="M283" s="8">
        <v>57606</v>
      </c>
      <c r="N283" s="8"/>
      <c r="O283" s="8">
        <v>407764</v>
      </c>
      <c r="P283" s="8"/>
      <c r="Q283" s="8">
        <v>507648</v>
      </c>
      <c r="R283" s="8"/>
      <c r="S283" s="8">
        <v>34033</v>
      </c>
      <c r="T283" s="8"/>
      <c r="U283" s="8">
        <v>1122189</v>
      </c>
      <c r="V283" s="8"/>
      <c r="W283" s="8">
        <v>298387</v>
      </c>
      <c r="X283" s="8"/>
      <c r="Y283" s="8">
        <v>43917</v>
      </c>
      <c r="Z283" s="8"/>
      <c r="AA283" s="8">
        <v>1192219</v>
      </c>
      <c r="AB283" s="8"/>
      <c r="AC283" s="8">
        <v>916193</v>
      </c>
      <c r="AD283" s="8"/>
      <c r="AE283" s="8">
        <v>11172</v>
      </c>
      <c r="AF283" s="8"/>
      <c r="AG283" s="12" t="s">
        <v>444</v>
      </c>
      <c r="AH283" s="12"/>
      <c r="AI283" s="12" t="s">
        <v>440</v>
      </c>
      <c r="AJ283" s="12"/>
      <c r="AK283" s="8">
        <v>613460</v>
      </c>
      <c r="AL283" s="8"/>
      <c r="AM283" s="8">
        <v>1959</v>
      </c>
      <c r="AN283" s="8"/>
      <c r="AO283" s="8">
        <v>171792</v>
      </c>
      <c r="AP283" s="8"/>
      <c r="AQ283" s="8">
        <v>85990</v>
      </c>
      <c r="AR283" s="8"/>
      <c r="AS283" s="8"/>
      <c r="AT283" s="8"/>
      <c r="AU283" s="8">
        <v>0</v>
      </c>
      <c r="AV283" s="8"/>
      <c r="AW283" s="8">
        <f t="shared" si="12"/>
        <v>12453280</v>
      </c>
      <c r="AY283" s="8">
        <f>+'St of Activites - GA Rev'!AI286-'St of Activities - GA Exp'!AW283</f>
        <v>-185463</v>
      </c>
      <c r="BA283" s="8">
        <v>26674794</v>
      </c>
      <c r="BC283" s="8">
        <f t="shared" si="13"/>
        <v>26489331</v>
      </c>
      <c r="BE283" s="8">
        <f>+'St of Net Assets - GA'!AA285-'St of Activities - GA Exp'!BC283</f>
        <v>0</v>
      </c>
    </row>
    <row r="284" spans="1:57">
      <c r="A284" s="12" t="s">
        <v>558</v>
      </c>
      <c r="B284" s="12"/>
      <c r="C284" s="12" t="s">
        <v>50</v>
      </c>
      <c r="D284" s="12"/>
      <c r="E284" s="32">
        <v>48702</v>
      </c>
      <c r="G284" s="8">
        <v>14119932</v>
      </c>
      <c r="H284" s="8"/>
      <c r="I284" s="8">
        <v>4386281</v>
      </c>
      <c r="J284" s="8"/>
      <c r="K284" s="8">
        <v>1826546</v>
      </c>
      <c r="L284" s="8"/>
      <c r="M284" s="8">
        <v>1366331</v>
      </c>
      <c r="N284" s="8"/>
      <c r="O284" s="8">
        <v>2244817</v>
      </c>
      <c r="P284" s="8"/>
      <c r="Q284" s="8">
        <v>2686162</v>
      </c>
      <c r="R284" s="8"/>
      <c r="S284" s="8">
        <v>103554</v>
      </c>
      <c r="T284" s="8"/>
      <c r="U284" s="8">
        <v>2867443</v>
      </c>
      <c r="V284" s="8"/>
      <c r="W284" s="8">
        <v>476184</v>
      </c>
      <c r="X284" s="8"/>
      <c r="Y284" s="8">
        <v>30184</v>
      </c>
      <c r="Z284" s="8"/>
      <c r="AA284" s="8">
        <v>4759082</v>
      </c>
      <c r="AB284" s="8"/>
      <c r="AC284" s="8">
        <v>1569057</v>
      </c>
      <c r="AD284" s="8"/>
      <c r="AE284" s="8">
        <v>333078</v>
      </c>
      <c r="AF284" s="8"/>
      <c r="AG284" s="12" t="s">
        <v>558</v>
      </c>
      <c r="AH284" s="12"/>
      <c r="AI284" s="12" t="s">
        <v>50</v>
      </c>
      <c r="AJ284" s="12"/>
      <c r="AK284" s="8">
        <v>0</v>
      </c>
      <c r="AL284" s="8"/>
      <c r="AM284" s="8">
        <v>2973989</v>
      </c>
      <c r="AN284" s="8"/>
      <c r="AO284" s="8">
        <v>381842</v>
      </c>
      <c r="AP284" s="8"/>
      <c r="AQ284" s="8">
        <v>764158</v>
      </c>
      <c r="AR284" s="8"/>
      <c r="AS284" s="8"/>
      <c r="AT284" s="8"/>
      <c r="AU284" s="8">
        <v>0</v>
      </c>
      <c r="AV284" s="8"/>
      <c r="AW284" s="8">
        <f t="shared" ref="AW284:AW307" si="14">SUM(G284:AV284)</f>
        <v>40888640</v>
      </c>
      <c r="AY284" s="8">
        <f>+'St of Activites - GA Rev'!AI287-'St of Activities - GA Exp'!AW284</f>
        <v>1052288</v>
      </c>
      <c r="BA284" s="8">
        <v>80854087</v>
      </c>
      <c r="BC284" s="8">
        <f t="shared" ref="BC284:BC305" si="15">+AY284+BA284</f>
        <v>81906375</v>
      </c>
      <c r="BE284" s="8">
        <f>+'St of Net Assets - GA'!AA286-'St of Activities - GA Exp'!BC284</f>
        <v>0</v>
      </c>
    </row>
    <row r="285" spans="1:57">
      <c r="A285" s="12" t="s">
        <v>403</v>
      </c>
      <c r="B285" s="12"/>
      <c r="C285" s="12" t="s">
        <v>32</v>
      </c>
      <c r="D285" s="12"/>
      <c r="E285" s="32">
        <v>44289</v>
      </c>
      <c r="G285" s="8">
        <v>7654598</v>
      </c>
      <c r="H285" s="8"/>
      <c r="I285" s="8">
        <v>1915707</v>
      </c>
      <c r="J285" s="8"/>
      <c r="K285" s="8">
        <v>6427</v>
      </c>
      <c r="L285" s="8"/>
      <c r="M285" s="8">
        <v>110175</v>
      </c>
      <c r="N285" s="8"/>
      <c r="O285" s="8">
        <v>1027742</v>
      </c>
      <c r="P285" s="8"/>
      <c r="Q285" s="8">
        <v>369440</v>
      </c>
      <c r="R285" s="8"/>
      <c r="S285" s="8">
        <v>37371</v>
      </c>
      <c r="T285" s="8"/>
      <c r="U285" s="8">
        <v>1143288</v>
      </c>
      <c r="V285" s="8"/>
      <c r="W285" s="8">
        <v>446735</v>
      </c>
      <c r="X285" s="8"/>
      <c r="Y285" s="8">
        <v>97605</v>
      </c>
      <c r="Z285" s="8"/>
      <c r="AA285" s="8">
        <v>888191</v>
      </c>
      <c r="AB285" s="8"/>
      <c r="AC285" s="8">
        <v>777934</v>
      </c>
      <c r="AD285" s="8"/>
      <c r="AE285" s="8">
        <v>403532</v>
      </c>
      <c r="AF285" s="8"/>
      <c r="AG285" s="12" t="s">
        <v>403</v>
      </c>
      <c r="AH285" s="12"/>
      <c r="AI285" s="12" t="s">
        <v>32</v>
      </c>
      <c r="AJ285" s="12"/>
      <c r="AK285" s="8">
        <v>0</v>
      </c>
      <c r="AL285" s="8"/>
      <c r="AM285" s="8">
        <v>985919</v>
      </c>
      <c r="AN285" s="8"/>
      <c r="AO285" s="8">
        <v>508519</v>
      </c>
      <c r="AP285" s="8"/>
      <c r="AQ285" s="8">
        <v>1337870</v>
      </c>
      <c r="AR285" s="8"/>
      <c r="AS285" s="8"/>
      <c r="AT285" s="8"/>
      <c r="AU285" s="8">
        <v>0</v>
      </c>
      <c r="AV285" s="8"/>
      <c r="AW285" s="8">
        <f t="shared" si="14"/>
        <v>17711053</v>
      </c>
      <c r="AY285" s="8">
        <f>+'St of Activites - GA Rev'!AI288-'St of Activities - GA Exp'!AW285</f>
        <v>3229582</v>
      </c>
      <c r="BA285" s="8">
        <v>5611203</v>
      </c>
      <c r="BC285" s="8">
        <f t="shared" si="15"/>
        <v>8840785</v>
      </c>
      <c r="BE285" s="8">
        <f>+'St of Net Assets - GA'!AA287-'St of Activities - GA Exp'!BC285</f>
        <v>0</v>
      </c>
    </row>
    <row r="286" spans="1:57">
      <c r="A286" s="12" t="s">
        <v>250</v>
      </c>
      <c r="B286" s="12"/>
      <c r="C286" s="12" t="s">
        <v>246</v>
      </c>
      <c r="D286" s="12"/>
      <c r="E286" s="32">
        <v>46128</v>
      </c>
      <c r="G286" s="8">
        <v>6073136</v>
      </c>
      <c r="H286" s="8"/>
      <c r="I286" s="8">
        <v>960398</v>
      </c>
      <c r="J286" s="8"/>
      <c r="K286" s="8">
        <v>1275</v>
      </c>
      <c r="L286" s="8"/>
      <c r="M286" s="8">
        <v>318253</v>
      </c>
      <c r="N286" s="8"/>
      <c r="O286" s="8">
        <v>670149</v>
      </c>
      <c r="P286" s="8"/>
      <c r="Q286" s="8">
        <v>820782</v>
      </c>
      <c r="R286" s="8"/>
      <c r="S286" s="8">
        <v>45506</v>
      </c>
      <c r="T286" s="8"/>
      <c r="U286" s="8">
        <v>1187213</v>
      </c>
      <c r="V286" s="8"/>
      <c r="W286" s="8">
        <v>302472</v>
      </c>
      <c r="X286" s="8"/>
      <c r="Y286" s="8">
        <v>2485</v>
      </c>
      <c r="Z286" s="8"/>
      <c r="AA286" s="8">
        <v>1665428</v>
      </c>
      <c r="AB286" s="8"/>
      <c r="AC286" s="8">
        <v>1196774</v>
      </c>
      <c r="AD286" s="8"/>
      <c r="AE286" s="8">
        <v>281041</v>
      </c>
      <c r="AF286" s="8"/>
      <c r="AG286" s="12" t="s">
        <v>250</v>
      </c>
      <c r="AH286" s="12"/>
      <c r="AI286" s="12" t="s">
        <v>246</v>
      </c>
      <c r="AJ286" s="12"/>
      <c r="AK286" s="8">
        <v>687671</v>
      </c>
      <c r="AL286" s="8"/>
      <c r="AM286" s="8">
        <v>30838</v>
      </c>
      <c r="AN286" s="8"/>
      <c r="AO286" s="8">
        <v>390004</v>
      </c>
      <c r="AP286" s="8"/>
      <c r="AQ286" s="8">
        <v>699486</v>
      </c>
      <c r="AR286" s="8"/>
      <c r="AS286" s="8"/>
      <c r="AT286" s="8"/>
      <c r="AU286" s="8">
        <v>0</v>
      </c>
      <c r="AV286" s="8"/>
      <c r="AW286" s="8">
        <f t="shared" si="14"/>
        <v>15332911</v>
      </c>
      <c r="AY286" s="8">
        <f>+'St of Activites - GA Rev'!AI289-'St of Activities - GA Exp'!AW286</f>
        <v>17811224</v>
      </c>
      <c r="BA286" s="8">
        <v>3159648</v>
      </c>
      <c r="BC286" s="8">
        <f t="shared" si="15"/>
        <v>20970872</v>
      </c>
      <c r="BE286" s="8">
        <f>+'St of Net Assets - GA'!AA288-'St of Activities - GA Exp'!BC286</f>
        <v>0</v>
      </c>
    </row>
    <row r="287" spans="1:57">
      <c r="A287" s="12" t="s">
        <v>250</v>
      </c>
      <c r="B287" s="12"/>
      <c r="C287" s="12" t="s">
        <v>113</v>
      </c>
      <c r="D287" s="12"/>
      <c r="E287" s="32">
        <v>49452</v>
      </c>
      <c r="G287" s="8">
        <v>11773396</v>
      </c>
      <c r="H287" s="8"/>
      <c r="I287" s="8">
        <v>3061883</v>
      </c>
      <c r="J287" s="8"/>
      <c r="K287" s="8">
        <v>3221294</v>
      </c>
      <c r="L287" s="8"/>
      <c r="M287" s="8">
        <f>15970+1694711</f>
        <v>1710681</v>
      </c>
      <c r="N287" s="8"/>
      <c r="O287" s="8">
        <v>1175136</v>
      </c>
      <c r="P287" s="8"/>
      <c r="Q287" s="8">
        <v>1816971</v>
      </c>
      <c r="R287" s="8"/>
      <c r="S287" s="8">
        <v>59266</v>
      </c>
      <c r="T287" s="8"/>
      <c r="U287" s="8">
        <v>2225825</v>
      </c>
      <c r="V287" s="8"/>
      <c r="W287" s="8">
        <v>688348</v>
      </c>
      <c r="X287" s="8"/>
      <c r="Y287" s="8">
        <v>43311</v>
      </c>
      <c r="Z287" s="8"/>
      <c r="AA287" s="8">
        <v>2898207</v>
      </c>
      <c r="AB287" s="8"/>
      <c r="AC287" s="8">
        <v>1501182</v>
      </c>
      <c r="AD287" s="8"/>
      <c r="AE287" s="8">
        <v>230159</v>
      </c>
      <c r="AF287" s="8"/>
      <c r="AG287" s="12" t="s">
        <v>250</v>
      </c>
      <c r="AH287" s="12"/>
      <c r="AI287" s="12" t="s">
        <v>113</v>
      </c>
      <c r="AJ287" s="12"/>
      <c r="AK287" s="8">
        <v>1069504</v>
      </c>
      <c r="AL287" s="8"/>
      <c r="AM287" s="8">
        <v>373808</v>
      </c>
      <c r="AN287" s="8"/>
      <c r="AO287" s="8">
        <v>636640</v>
      </c>
      <c r="AP287" s="8"/>
      <c r="AQ287" s="8">
        <v>21508</v>
      </c>
      <c r="AR287" s="8"/>
      <c r="AS287" s="8"/>
      <c r="AT287" s="8"/>
      <c r="AU287" s="8">
        <v>449330</v>
      </c>
      <c r="AV287" s="8"/>
      <c r="AW287" s="8">
        <f t="shared" si="14"/>
        <v>32956449</v>
      </c>
      <c r="AY287" s="8">
        <f>+'St of Activites - GA Rev'!AI290-'St of Activities - GA Exp'!AW287</f>
        <v>3183407</v>
      </c>
      <c r="BA287" s="8">
        <v>11777294</v>
      </c>
      <c r="BC287" s="8">
        <f t="shared" si="15"/>
        <v>14960701</v>
      </c>
      <c r="BE287" s="8">
        <f>+'St of Net Assets - GA'!AA289-'St of Activities - GA Exp'!BC287</f>
        <v>0</v>
      </c>
    </row>
    <row r="288" spans="1:57">
      <c r="A288" s="12" t="s">
        <v>835</v>
      </c>
      <c r="B288" s="12"/>
      <c r="C288" s="12" t="s">
        <v>210</v>
      </c>
      <c r="D288" s="12"/>
      <c r="E288" s="32"/>
      <c r="G288" s="8">
        <v>4256888</v>
      </c>
      <c r="H288" s="8"/>
      <c r="I288" s="8">
        <v>1392721</v>
      </c>
      <c r="J288" s="8"/>
      <c r="K288" s="8">
        <v>933229</v>
      </c>
      <c r="L288" s="8"/>
      <c r="M288" s="8">
        <v>89789</v>
      </c>
      <c r="N288" s="8"/>
      <c r="O288" s="8">
        <v>477223</v>
      </c>
      <c r="P288" s="8"/>
      <c r="Q288" s="8">
        <v>435460</v>
      </c>
      <c r="R288" s="8"/>
      <c r="S288" s="8">
        <v>107164</v>
      </c>
      <c r="T288" s="8"/>
      <c r="U288" s="8">
        <v>804704</v>
      </c>
      <c r="V288" s="8"/>
      <c r="W288" s="8">
        <v>386371</v>
      </c>
      <c r="X288" s="8"/>
      <c r="Y288" s="8">
        <v>0</v>
      </c>
      <c r="Z288" s="8"/>
      <c r="AA288" s="8">
        <v>942455</v>
      </c>
      <c r="AB288" s="8"/>
      <c r="AC288" s="8">
        <v>608515</v>
      </c>
      <c r="AD288" s="8"/>
      <c r="AE288" s="8">
        <v>0</v>
      </c>
      <c r="AF288" s="8"/>
      <c r="AG288" s="12" t="s">
        <v>835</v>
      </c>
      <c r="AH288" s="12"/>
      <c r="AI288" s="12" t="s">
        <v>210</v>
      </c>
      <c r="AJ288" s="12"/>
      <c r="AK288" s="8">
        <v>479587</v>
      </c>
      <c r="AL288" s="8"/>
      <c r="AM288" s="8">
        <v>0</v>
      </c>
      <c r="AN288" s="8"/>
      <c r="AO288" s="8">
        <v>225045</v>
      </c>
      <c r="AP288" s="8"/>
      <c r="AQ288" s="8">
        <v>1262333</v>
      </c>
      <c r="AR288" s="8"/>
      <c r="AS288" s="8"/>
      <c r="AT288" s="8"/>
      <c r="AU288" s="8">
        <v>0</v>
      </c>
      <c r="AV288" s="8"/>
      <c r="AW288" s="8">
        <f t="shared" si="14"/>
        <v>12401484</v>
      </c>
      <c r="AY288" s="8">
        <f>+'St of Activites - GA Rev'!AI291-'St of Activities - GA Exp'!AW288</f>
        <v>3551560</v>
      </c>
      <c r="BA288" s="8">
        <v>6757585</v>
      </c>
      <c r="BC288" s="8">
        <f t="shared" si="15"/>
        <v>10309145</v>
      </c>
      <c r="BE288" s="8">
        <f>+'St of Net Assets - GA'!AA290-'St of Activities - GA Exp'!BC288</f>
        <v>0</v>
      </c>
    </row>
    <row r="289" spans="1:57" ht="12" customHeight="1">
      <c r="A289" s="12" t="s">
        <v>617</v>
      </c>
      <c r="B289" s="12"/>
      <c r="C289" s="12" t="s">
        <v>113</v>
      </c>
      <c r="D289" s="12"/>
      <c r="E289" s="32">
        <v>44297</v>
      </c>
      <c r="G289" s="8">
        <v>20553474</v>
      </c>
      <c r="H289" s="8"/>
      <c r="I289" s="8">
        <v>6826514</v>
      </c>
      <c r="J289" s="8"/>
      <c r="K289" s="8">
        <v>1429530</v>
      </c>
      <c r="L289" s="8"/>
      <c r="M289" s="8">
        <f>243415+9841133</f>
        <v>10084548</v>
      </c>
      <c r="N289" s="8"/>
      <c r="O289" s="8">
        <v>2744334</v>
      </c>
      <c r="P289" s="8"/>
      <c r="Q289" s="8">
        <v>3142467</v>
      </c>
      <c r="R289" s="8"/>
      <c r="S289" s="8">
        <v>17688</v>
      </c>
      <c r="T289" s="8"/>
      <c r="U289" s="8">
        <v>2965716</v>
      </c>
      <c r="V289" s="8"/>
      <c r="W289" s="8">
        <v>1016690</v>
      </c>
      <c r="X289" s="8"/>
      <c r="Y289" s="8">
        <v>1362884</v>
      </c>
      <c r="Z289" s="8"/>
      <c r="AA289" s="8">
        <v>5430091</v>
      </c>
      <c r="AB289" s="8"/>
      <c r="AC289" s="8">
        <v>1856838</v>
      </c>
      <c r="AD289" s="8"/>
      <c r="AE289" s="8">
        <v>1031254</v>
      </c>
      <c r="AF289" s="8"/>
      <c r="AG289" s="12" t="s">
        <v>617</v>
      </c>
      <c r="AH289" s="12"/>
      <c r="AI289" s="12" t="s">
        <v>113</v>
      </c>
      <c r="AJ289" s="12"/>
      <c r="AK289" s="8">
        <v>2073818</v>
      </c>
      <c r="AL289" s="8"/>
      <c r="AM289" s="8">
        <v>761998</v>
      </c>
      <c r="AN289" s="8"/>
      <c r="AO289" s="8">
        <v>1535079</v>
      </c>
      <c r="AP289" s="8"/>
      <c r="AQ289" s="8">
        <v>791317</v>
      </c>
      <c r="AR289" s="8"/>
      <c r="AS289" s="8"/>
      <c r="AT289" s="8"/>
      <c r="AU289" s="8">
        <v>0</v>
      </c>
      <c r="AV289" s="8"/>
      <c r="AW289" s="8">
        <f t="shared" si="14"/>
        <v>63624240</v>
      </c>
      <c r="AY289" s="8">
        <f>+'St of Activites - GA Rev'!AI292-'St of Activities - GA Exp'!AW289</f>
        <v>5320567</v>
      </c>
      <c r="BA289" s="8">
        <v>58371604</v>
      </c>
      <c r="BC289" s="8">
        <f t="shared" si="15"/>
        <v>63692171</v>
      </c>
      <c r="BE289" s="8">
        <f>+'St of Net Assets - GA'!AA291-'St of Activities - GA Exp'!BC289</f>
        <v>0</v>
      </c>
    </row>
    <row r="290" spans="1:57">
      <c r="A290" s="12" t="s">
        <v>315</v>
      </c>
      <c r="B290" s="12"/>
      <c r="C290" s="12" t="s">
        <v>20</v>
      </c>
      <c r="D290" s="12"/>
      <c r="E290" s="32">
        <v>44305</v>
      </c>
      <c r="G290" s="8">
        <v>19288862</v>
      </c>
      <c r="H290" s="8"/>
      <c r="I290" s="8">
        <v>3934275</v>
      </c>
      <c r="J290" s="8"/>
      <c r="K290" s="8">
        <v>1381444</v>
      </c>
      <c r="L290" s="8"/>
      <c r="M290" s="8">
        <v>3887</v>
      </c>
      <c r="N290" s="8"/>
      <c r="O290" s="8">
        <v>1681982</v>
      </c>
      <c r="P290" s="8"/>
      <c r="Q290" s="8">
        <v>1565835</v>
      </c>
      <c r="R290" s="8"/>
      <c r="S290" s="8">
        <v>80766</v>
      </c>
      <c r="T290" s="8"/>
      <c r="U290" s="8">
        <v>3826924</v>
      </c>
      <c r="V290" s="8"/>
      <c r="W290" s="8">
        <v>1904937</v>
      </c>
      <c r="X290" s="8"/>
      <c r="Y290" s="8">
        <v>1239251</v>
      </c>
      <c r="Z290" s="8"/>
      <c r="AA290" s="8">
        <v>5738721</v>
      </c>
      <c r="AB290" s="8"/>
      <c r="AC290" s="8">
        <v>1787745</v>
      </c>
      <c r="AD290" s="8"/>
      <c r="AE290" s="8">
        <v>21638</v>
      </c>
      <c r="AF290" s="8"/>
      <c r="AG290" s="12" t="s">
        <v>315</v>
      </c>
      <c r="AH290" s="12"/>
      <c r="AI290" s="12" t="s">
        <v>20</v>
      </c>
      <c r="AJ290" s="12"/>
      <c r="AK290" s="8">
        <v>1784677</v>
      </c>
      <c r="AL290" s="8"/>
      <c r="AM290" s="8">
        <v>387889</v>
      </c>
      <c r="AN290" s="8"/>
      <c r="AO290" s="8">
        <v>862772</v>
      </c>
      <c r="AP290" s="8"/>
      <c r="AQ290" s="8">
        <v>134510</v>
      </c>
      <c r="AR290" s="8"/>
      <c r="AS290" s="8"/>
      <c r="AT290" s="8"/>
      <c r="AU290" s="8">
        <v>0</v>
      </c>
      <c r="AV290" s="8"/>
      <c r="AW290" s="8">
        <f t="shared" si="14"/>
        <v>45626115</v>
      </c>
      <c r="AY290" s="8">
        <f>+'St of Activites - GA Rev'!AI293-'St of Activities - GA Exp'!AW290</f>
        <v>1064729</v>
      </c>
      <c r="BA290" s="8">
        <v>10296454</v>
      </c>
      <c r="BC290" s="8">
        <f t="shared" si="15"/>
        <v>11361183</v>
      </c>
      <c r="BE290" s="8">
        <f>+'St of Net Assets - GA'!AA292-'St of Activities - GA Exp'!BC290</f>
        <v>0</v>
      </c>
    </row>
    <row r="291" spans="1:57">
      <c r="A291" s="12" t="s">
        <v>218</v>
      </c>
      <c r="B291" s="12"/>
      <c r="C291" s="12" t="s">
        <v>11</v>
      </c>
      <c r="D291" s="12"/>
      <c r="E291" s="32">
        <v>45831</v>
      </c>
      <c r="F291" s="8"/>
      <c r="G291" s="8">
        <v>4170376</v>
      </c>
      <c r="H291" s="8"/>
      <c r="I291" s="8">
        <v>658308</v>
      </c>
      <c r="J291" s="8"/>
      <c r="K291" s="8">
        <v>242147</v>
      </c>
      <c r="L291" s="8"/>
      <c r="M291" s="8">
        <v>674072</v>
      </c>
      <c r="N291" s="8"/>
      <c r="O291" s="8">
        <v>227291</v>
      </c>
      <c r="P291" s="8"/>
      <c r="Q291" s="8">
        <v>381634</v>
      </c>
      <c r="R291" s="8"/>
      <c r="S291" s="8">
        <v>77695</v>
      </c>
      <c r="T291" s="8"/>
      <c r="U291" s="8">
        <v>658790</v>
      </c>
      <c r="V291" s="8"/>
      <c r="W291" s="8">
        <v>322257</v>
      </c>
      <c r="X291" s="8"/>
      <c r="Y291" s="8">
        <v>100</v>
      </c>
      <c r="Z291" s="8"/>
      <c r="AA291" s="8">
        <v>759739</v>
      </c>
      <c r="AB291" s="8"/>
      <c r="AC291" s="8">
        <v>580845</v>
      </c>
      <c r="AD291" s="8"/>
      <c r="AE291" s="8">
        <v>48818</v>
      </c>
      <c r="AF291" s="8"/>
      <c r="AG291" s="12" t="s">
        <v>218</v>
      </c>
      <c r="AH291" s="12"/>
      <c r="AI291" s="12" t="s">
        <v>11</v>
      </c>
      <c r="AJ291" s="12"/>
      <c r="AK291" s="8">
        <v>355834</v>
      </c>
      <c r="AL291" s="8"/>
      <c r="AM291" s="8">
        <v>0</v>
      </c>
      <c r="AN291" s="8"/>
      <c r="AO291" s="8">
        <v>297109</v>
      </c>
      <c r="AP291" s="8"/>
      <c r="AQ291" s="8">
        <v>131435</v>
      </c>
      <c r="AR291" s="8"/>
      <c r="AS291" s="8"/>
      <c r="AT291" s="8"/>
      <c r="AU291" s="8">
        <v>0</v>
      </c>
      <c r="AV291" s="8"/>
      <c r="AW291" s="8">
        <f t="shared" si="14"/>
        <v>9586450</v>
      </c>
      <c r="AY291" s="8">
        <f>+'St of Activites - GA Rev'!AI294-'St of Activities - GA Exp'!AW291</f>
        <v>-1100949</v>
      </c>
      <c r="BA291" s="8">
        <v>19330002</v>
      </c>
      <c r="BC291" s="8">
        <f t="shared" si="15"/>
        <v>18229053</v>
      </c>
      <c r="BE291" s="8">
        <f>+'St of Net Assets - GA'!AA293-'St of Activities - GA Exp'!BC291</f>
        <v>0</v>
      </c>
    </row>
    <row r="292" spans="1:57">
      <c r="A292" s="12" t="s">
        <v>692</v>
      </c>
      <c r="B292" s="12"/>
      <c r="C292" s="12" t="s">
        <v>64</v>
      </c>
      <c r="D292" s="12"/>
      <c r="E292" s="32">
        <v>50211</v>
      </c>
      <c r="G292" s="8">
        <v>4949553</v>
      </c>
      <c r="H292" s="8"/>
      <c r="I292" s="8">
        <v>631376</v>
      </c>
      <c r="J292" s="8"/>
      <c r="K292" s="8">
        <v>37840</v>
      </c>
      <c r="L292" s="8"/>
      <c r="M292" s="8">
        <v>0</v>
      </c>
      <c r="N292" s="8"/>
      <c r="O292" s="8">
        <v>397037</v>
      </c>
      <c r="P292" s="8"/>
      <c r="Q292" s="8">
        <v>186991</v>
      </c>
      <c r="R292" s="8"/>
      <c r="S292" s="8">
        <v>58798</v>
      </c>
      <c r="T292" s="8"/>
      <c r="U292" s="8">
        <v>1222154</v>
      </c>
      <c r="V292" s="8"/>
      <c r="W292" s="8">
        <v>337802</v>
      </c>
      <c r="X292" s="8"/>
      <c r="Y292" s="8">
        <v>60861</v>
      </c>
      <c r="Z292" s="8"/>
      <c r="AA292" s="8">
        <v>1233128</v>
      </c>
      <c r="AB292" s="8"/>
      <c r="AC292" s="8">
        <v>545948</v>
      </c>
      <c r="AD292" s="8"/>
      <c r="AE292" s="8">
        <v>80344</v>
      </c>
      <c r="AF292" s="8"/>
      <c r="AG292" s="12" t="s">
        <v>692</v>
      </c>
      <c r="AH292" s="12"/>
      <c r="AI292" s="12" t="s">
        <v>64</v>
      </c>
      <c r="AJ292" s="12"/>
      <c r="AK292" s="8">
        <v>486349</v>
      </c>
      <c r="AL292" s="8"/>
      <c r="AM292" s="8">
        <v>13494</v>
      </c>
      <c r="AN292" s="8"/>
      <c r="AO292" s="8">
        <v>256409</v>
      </c>
      <c r="AP292" s="8"/>
      <c r="AQ292" s="8">
        <v>194829</v>
      </c>
      <c r="AR292" s="8"/>
      <c r="AS292" s="8"/>
      <c r="AT292" s="8"/>
      <c r="AU292" s="8">
        <v>0</v>
      </c>
      <c r="AV292" s="8"/>
      <c r="AW292" s="8">
        <f t="shared" si="14"/>
        <v>10692913</v>
      </c>
      <c r="AY292" s="8">
        <f>+'St of Activites - GA Rev'!AI295-'St of Activities - GA Exp'!AW292</f>
        <v>-613347</v>
      </c>
      <c r="BA292" s="8">
        <v>20184058</v>
      </c>
      <c r="BC292" s="8">
        <f t="shared" si="15"/>
        <v>19570711</v>
      </c>
      <c r="BE292" s="8">
        <f>+'St of Net Assets - GA'!AA294-'St of Activities - GA Exp'!BC292</f>
        <v>0</v>
      </c>
    </row>
    <row r="293" spans="1:57" ht="12" customHeight="1">
      <c r="A293" s="12" t="s">
        <v>343</v>
      </c>
      <c r="B293" s="12"/>
      <c r="C293" s="12" t="s">
        <v>24</v>
      </c>
      <c r="D293" s="12"/>
      <c r="E293" s="32">
        <v>46805</v>
      </c>
      <c r="G293" s="8">
        <v>5533544</v>
      </c>
      <c r="H293" s="8"/>
      <c r="I293" s="8">
        <v>1343933</v>
      </c>
      <c r="J293" s="8"/>
      <c r="K293" s="8">
        <v>390668</v>
      </c>
      <c r="L293" s="8"/>
      <c r="M293" s="8">
        <v>5659</v>
      </c>
      <c r="N293" s="8"/>
      <c r="O293" s="8">
        <v>688644</v>
      </c>
      <c r="P293" s="8"/>
      <c r="Q293" s="8">
        <v>713047</v>
      </c>
      <c r="R293" s="8"/>
      <c r="S293" s="8">
        <v>226400</v>
      </c>
      <c r="T293" s="8"/>
      <c r="U293" s="8">
        <v>1131976</v>
      </c>
      <c r="V293" s="8"/>
      <c r="W293" s="8">
        <v>420931</v>
      </c>
      <c r="X293" s="8"/>
      <c r="Y293" s="8">
        <v>0</v>
      </c>
      <c r="Z293" s="8"/>
      <c r="AA293" s="8">
        <v>1439892</v>
      </c>
      <c r="AB293" s="8"/>
      <c r="AC293" s="8">
        <v>1145043</v>
      </c>
      <c r="AD293" s="8"/>
      <c r="AE293" s="8">
        <v>67171</v>
      </c>
      <c r="AF293" s="8"/>
      <c r="AG293" s="12" t="s">
        <v>343</v>
      </c>
      <c r="AH293" s="12"/>
      <c r="AI293" s="12" t="s">
        <v>24</v>
      </c>
      <c r="AJ293" s="12"/>
      <c r="AK293" s="8">
        <v>612020</v>
      </c>
      <c r="AL293" s="8"/>
      <c r="AM293" s="8">
        <v>175225</v>
      </c>
      <c r="AN293" s="8"/>
      <c r="AO293" s="8">
        <v>528211</v>
      </c>
      <c r="AP293" s="8"/>
      <c r="AQ293" s="8">
        <v>104718</v>
      </c>
      <c r="AR293" s="8"/>
      <c r="AS293" s="8"/>
      <c r="AT293" s="8"/>
      <c r="AU293" s="8">
        <v>0</v>
      </c>
      <c r="AV293" s="8"/>
      <c r="AW293" s="8">
        <f t="shared" si="14"/>
        <v>14527082</v>
      </c>
      <c r="AY293" s="8">
        <f>+'St of Activites - GA Rev'!AI296-'St of Activities - GA Exp'!AW293</f>
        <v>-516228</v>
      </c>
      <c r="BA293" s="8">
        <v>4460370</v>
      </c>
      <c r="BC293" s="8">
        <f t="shared" si="15"/>
        <v>3944142</v>
      </c>
      <c r="BE293" s="8">
        <f>+'St of Net Assets - GA'!AA295-'St of Activities - GA Exp'!BC293</f>
        <v>0</v>
      </c>
    </row>
    <row r="294" spans="1:57">
      <c r="A294" s="12" t="s">
        <v>404</v>
      </c>
      <c r="B294" s="12"/>
      <c r="C294" s="12" t="s">
        <v>32</v>
      </c>
      <c r="D294" s="12"/>
      <c r="E294" s="32">
        <v>44313</v>
      </c>
      <c r="G294" s="8">
        <v>10182034</v>
      </c>
      <c r="H294" s="8"/>
      <c r="I294" s="8">
        <v>1911318</v>
      </c>
      <c r="J294" s="8"/>
      <c r="K294" s="8">
        <v>0</v>
      </c>
      <c r="L294" s="8"/>
      <c r="M294" s="8">
        <f>4253+95932</f>
        <v>100185</v>
      </c>
      <c r="N294" s="8"/>
      <c r="O294" s="8">
        <v>1519179</v>
      </c>
      <c r="P294" s="8"/>
      <c r="Q294" s="8">
        <v>1100447</v>
      </c>
      <c r="R294" s="8"/>
      <c r="S294" s="8">
        <v>8062</v>
      </c>
      <c r="T294" s="8"/>
      <c r="U294" s="8">
        <v>1653726</v>
      </c>
      <c r="V294" s="8"/>
      <c r="W294" s="8">
        <v>516436</v>
      </c>
      <c r="X294" s="8"/>
      <c r="Y294" s="8">
        <v>24537</v>
      </c>
      <c r="Z294" s="8"/>
      <c r="AA294" s="8">
        <v>2422097</v>
      </c>
      <c r="AB294" s="8"/>
      <c r="AC294" s="8">
        <v>760225</v>
      </c>
      <c r="AD294" s="8"/>
      <c r="AE294" s="8">
        <v>71722</v>
      </c>
      <c r="AF294" s="8"/>
      <c r="AG294" s="12" t="s">
        <v>404</v>
      </c>
      <c r="AH294" s="12"/>
      <c r="AI294" s="12" t="s">
        <v>32</v>
      </c>
      <c r="AJ294" s="12"/>
      <c r="AK294" s="8">
        <v>0</v>
      </c>
      <c r="AL294" s="8"/>
      <c r="AM294" s="8">
        <v>301010</v>
      </c>
      <c r="AN294" s="8"/>
      <c r="AO294" s="8">
        <v>671779</v>
      </c>
      <c r="AP294" s="8"/>
      <c r="AQ294" s="8">
        <v>328652</v>
      </c>
      <c r="AR294" s="8"/>
      <c r="AS294" s="8"/>
      <c r="AT294" s="8"/>
      <c r="AU294" s="8">
        <v>0</v>
      </c>
      <c r="AV294" s="8"/>
      <c r="AW294" s="8">
        <f t="shared" si="14"/>
        <v>21571409</v>
      </c>
      <c r="AY294" s="8">
        <f>+'St of Activites - GA Rev'!AI297-'St of Activities - GA Exp'!AW294</f>
        <v>-195697</v>
      </c>
      <c r="BA294" s="8">
        <v>12472449</v>
      </c>
      <c r="BC294" s="8">
        <f t="shared" si="15"/>
        <v>12276752</v>
      </c>
      <c r="BE294" s="8">
        <f>+'St of Net Assets - GA'!AA296-'St of Activities - GA Exp'!BC294</f>
        <v>0</v>
      </c>
    </row>
    <row r="295" spans="1:57" ht="12" hidden="1" customHeight="1">
      <c r="A295" s="12" t="s">
        <v>724</v>
      </c>
      <c r="B295" s="12"/>
      <c r="C295" s="12" t="s">
        <v>70</v>
      </c>
      <c r="D295" s="12"/>
      <c r="E295" s="32">
        <v>44321</v>
      </c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12" t="s">
        <v>724</v>
      </c>
      <c r="AH295" s="12"/>
      <c r="AI295" s="12" t="s">
        <v>70</v>
      </c>
      <c r="AJ295" s="12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>
        <v>0</v>
      </c>
      <c r="AV295" s="8"/>
      <c r="AW295" s="8">
        <f t="shared" si="14"/>
        <v>0</v>
      </c>
      <c r="AY295" s="8">
        <f>+'St of Activites - GA Rev'!AI298-'St of Activities - GA Exp'!AW295</f>
        <v>0</v>
      </c>
      <c r="BC295" s="8">
        <f t="shared" si="15"/>
        <v>0</v>
      </c>
      <c r="BE295" s="8">
        <f>+'St of Net Assets - GA'!AA297-'St of Activities - GA Exp'!BC295</f>
        <v>0</v>
      </c>
    </row>
    <row r="296" spans="1:57" ht="12" customHeight="1">
      <c r="A296" s="12" t="s">
        <v>527</v>
      </c>
      <c r="B296" s="12"/>
      <c r="C296" s="12" t="s">
        <v>46</v>
      </c>
      <c r="D296" s="12"/>
      <c r="E296" s="32">
        <v>44339</v>
      </c>
      <c r="G296" s="8">
        <v>26116441</v>
      </c>
      <c r="H296" s="8"/>
      <c r="I296" s="8">
        <v>5985016</v>
      </c>
      <c r="J296" s="8"/>
      <c r="K296" s="8">
        <v>484731</v>
      </c>
      <c r="L296" s="8"/>
      <c r="M296" s="8">
        <v>66429</v>
      </c>
      <c r="N296" s="8"/>
      <c r="O296" s="8">
        <v>2205034</v>
      </c>
      <c r="P296" s="8"/>
      <c r="Q296" s="8">
        <v>4733291</v>
      </c>
      <c r="R296" s="8"/>
      <c r="S296" s="8">
        <v>33112</v>
      </c>
      <c r="T296" s="8"/>
      <c r="U296" s="8">
        <v>3443832</v>
      </c>
      <c r="V296" s="8"/>
      <c r="W296" s="8">
        <v>665885</v>
      </c>
      <c r="X296" s="8"/>
      <c r="Y296" s="8">
        <v>381671</v>
      </c>
      <c r="Z296" s="8"/>
      <c r="AA296" s="8">
        <v>4242280</v>
      </c>
      <c r="AB296" s="8"/>
      <c r="AC296" s="8">
        <v>928443</v>
      </c>
      <c r="AD296" s="8"/>
      <c r="AE296" s="8">
        <v>3750</v>
      </c>
      <c r="AF296" s="8"/>
      <c r="AG296" s="12" t="s">
        <v>527</v>
      </c>
      <c r="AH296" s="12"/>
      <c r="AI296" s="12" t="s">
        <v>46</v>
      </c>
      <c r="AJ296" s="12"/>
      <c r="AK296" s="8">
        <v>0</v>
      </c>
      <c r="AL296" s="8"/>
      <c r="AM296" s="8">
        <v>1124847</v>
      </c>
      <c r="AN296" s="8"/>
      <c r="AO296" s="8">
        <v>927139</v>
      </c>
      <c r="AP296" s="8"/>
      <c r="AQ296" s="8">
        <v>672365</v>
      </c>
      <c r="AR296" s="8"/>
      <c r="AS296" s="8"/>
      <c r="AT296" s="8"/>
      <c r="AU296" s="8">
        <v>0</v>
      </c>
      <c r="AV296" s="8"/>
      <c r="AW296" s="8">
        <f t="shared" si="14"/>
        <v>52014266</v>
      </c>
      <c r="AY296" s="8">
        <f>+'St of Activites - GA Rev'!AI299-'St of Activities - GA Exp'!AW296</f>
        <v>805799</v>
      </c>
      <c r="BA296" s="8">
        <v>84033191</v>
      </c>
      <c r="BC296" s="8">
        <f t="shared" si="15"/>
        <v>84838990</v>
      </c>
      <c r="BE296" s="8">
        <f>+'St of Net Assets - GA'!AA298-'St of Activities - GA Exp'!BC296</f>
        <v>0</v>
      </c>
    </row>
    <row r="297" spans="1:57">
      <c r="A297" s="12" t="s">
        <v>660</v>
      </c>
      <c r="B297" s="12"/>
      <c r="C297" s="12" t="s">
        <v>62</v>
      </c>
      <c r="D297" s="12"/>
      <c r="E297" s="32">
        <v>49882</v>
      </c>
      <c r="G297" s="8">
        <v>9192976</v>
      </c>
      <c r="H297" s="8"/>
      <c r="I297" s="8">
        <v>2761091</v>
      </c>
      <c r="J297" s="8"/>
      <c r="K297" s="8">
        <v>948575</v>
      </c>
      <c r="L297" s="8"/>
      <c r="M297" s="8">
        <v>1430075</v>
      </c>
      <c r="N297" s="8"/>
      <c r="O297" s="8">
        <v>745243</v>
      </c>
      <c r="P297" s="8"/>
      <c r="Q297" s="8">
        <v>885845</v>
      </c>
      <c r="R297" s="8"/>
      <c r="S297" s="8">
        <v>0</v>
      </c>
      <c r="T297" s="8"/>
      <c r="U297" s="8">
        <v>1878703</v>
      </c>
      <c r="V297" s="8"/>
      <c r="W297" s="8">
        <v>402430</v>
      </c>
      <c r="X297" s="8"/>
      <c r="Y297" s="8">
        <v>263232</v>
      </c>
      <c r="Z297" s="8"/>
      <c r="AA297" s="8">
        <v>2490579</v>
      </c>
      <c r="AB297" s="8"/>
      <c r="AC297" s="8">
        <v>1563902</v>
      </c>
      <c r="AD297" s="8"/>
      <c r="AE297" s="8">
        <v>50738</v>
      </c>
      <c r="AF297" s="8"/>
      <c r="AG297" s="12" t="s">
        <v>660</v>
      </c>
      <c r="AH297" s="12"/>
      <c r="AI297" s="12" t="s">
        <v>62</v>
      </c>
      <c r="AJ297" s="12"/>
      <c r="AK297" s="8">
        <v>1001792</v>
      </c>
      <c r="AL297" s="8"/>
      <c r="AM297" s="8">
        <v>29138</v>
      </c>
      <c r="AN297" s="8"/>
      <c r="AO297" s="8">
        <v>939191</v>
      </c>
      <c r="AP297" s="8"/>
      <c r="AQ297" s="8">
        <v>53066</v>
      </c>
      <c r="AR297" s="8"/>
      <c r="AS297" s="8"/>
      <c r="AT297" s="8"/>
      <c r="AU297" s="8">
        <v>0</v>
      </c>
      <c r="AV297" s="8"/>
      <c r="AW297" s="8">
        <f t="shared" si="14"/>
        <v>24636576</v>
      </c>
      <c r="AY297" s="8">
        <f>+'St of Activites - GA Rev'!AI300-'St of Activities - GA Exp'!AW297</f>
        <v>43851</v>
      </c>
      <c r="BA297" s="8">
        <v>10186063</v>
      </c>
      <c r="BC297" s="8">
        <f t="shared" si="15"/>
        <v>10229914</v>
      </c>
      <c r="BE297" s="8">
        <f>+'St of Net Assets - GA'!AA299-'St of Activities - GA Exp'!BC297</f>
        <v>0</v>
      </c>
    </row>
    <row r="298" spans="1:57">
      <c r="A298" s="12" t="s">
        <v>236</v>
      </c>
      <c r="B298" s="12"/>
      <c r="C298" s="12" t="s">
        <v>15</v>
      </c>
      <c r="D298" s="12"/>
      <c r="E298" s="32">
        <v>44347</v>
      </c>
      <c r="G298" s="8">
        <v>7451274</v>
      </c>
      <c r="H298" s="8"/>
      <c r="I298" s="8">
        <v>2146489</v>
      </c>
      <c r="J298" s="8"/>
      <c r="K298" s="8">
        <v>352524</v>
      </c>
      <c r="L298" s="8"/>
      <c r="M298" s="8">
        <v>0</v>
      </c>
      <c r="N298" s="8"/>
      <c r="O298" s="8">
        <v>650104</v>
      </c>
      <c r="P298" s="8"/>
      <c r="Q298" s="8">
        <v>879431</v>
      </c>
      <c r="R298" s="8"/>
      <c r="S298" s="8">
        <v>74600</v>
      </c>
      <c r="T298" s="8"/>
      <c r="U298" s="8">
        <v>1213217</v>
      </c>
      <c r="V298" s="8"/>
      <c r="W298" s="8">
        <v>354500</v>
      </c>
      <c r="X298" s="8"/>
      <c r="Y298" s="8">
        <v>0</v>
      </c>
      <c r="Z298" s="8"/>
      <c r="AA298" s="8">
        <v>1434521</v>
      </c>
      <c r="AB298" s="8"/>
      <c r="AC298" s="8">
        <v>806765</v>
      </c>
      <c r="AD298" s="8"/>
      <c r="AE298" s="8">
        <v>82462</v>
      </c>
      <c r="AF298" s="8"/>
      <c r="AG298" s="12" t="s">
        <v>236</v>
      </c>
      <c r="AH298" s="12"/>
      <c r="AI298" s="12" t="s">
        <v>15</v>
      </c>
      <c r="AJ298" s="12"/>
      <c r="AK298" s="8">
        <v>719369</v>
      </c>
      <c r="AL298" s="8"/>
      <c r="AM298" s="8">
        <v>170953</v>
      </c>
      <c r="AN298" s="8"/>
      <c r="AO298" s="8">
        <v>387009</v>
      </c>
      <c r="AP298" s="8"/>
      <c r="AQ298" s="8">
        <v>623995</v>
      </c>
      <c r="AR298" s="8"/>
      <c r="AS298" s="8"/>
      <c r="AT298" s="8"/>
      <c r="AU298" s="8">
        <v>159791</v>
      </c>
      <c r="AV298" s="8"/>
      <c r="AW298" s="8">
        <f t="shared" si="14"/>
        <v>17507004</v>
      </c>
      <c r="AY298" s="8">
        <f>+'St of Activites - GA Rev'!AI301-'St of Activities - GA Exp'!AW298</f>
        <v>-2323543</v>
      </c>
      <c r="BA298" s="8">
        <v>32805944</v>
      </c>
      <c r="BC298" s="8">
        <f t="shared" si="15"/>
        <v>30482401</v>
      </c>
      <c r="BE298" s="8">
        <f>+'St of Net Assets - GA'!AA300-'St of Activities - GA Exp'!BC298</f>
        <v>0</v>
      </c>
    </row>
    <row r="299" spans="1:57">
      <c r="A299" s="12" t="s">
        <v>708</v>
      </c>
      <c r="B299" s="12"/>
      <c r="C299" s="12" t="s">
        <v>66</v>
      </c>
      <c r="D299" s="12"/>
      <c r="E299" s="32">
        <v>45476</v>
      </c>
      <c r="G299" s="8">
        <v>31151112</v>
      </c>
      <c r="H299" s="8"/>
      <c r="I299" s="8">
        <v>0</v>
      </c>
      <c r="J299" s="8"/>
      <c r="K299" s="8">
        <v>0</v>
      </c>
      <c r="L299" s="8"/>
      <c r="M299" s="8">
        <v>0</v>
      </c>
      <c r="N299" s="8"/>
      <c r="O299" s="8">
        <v>2945369</v>
      </c>
      <c r="P299" s="8"/>
      <c r="Q299" s="8">
        <v>4214801</v>
      </c>
      <c r="R299" s="8"/>
      <c r="S299" s="8">
        <v>23383</v>
      </c>
      <c r="T299" s="8"/>
      <c r="U299" s="8">
        <v>3560776</v>
      </c>
      <c r="V299" s="8"/>
      <c r="W299" s="8">
        <v>1315760</v>
      </c>
      <c r="X299" s="8"/>
      <c r="Y299" s="8">
        <v>851775</v>
      </c>
      <c r="Z299" s="8"/>
      <c r="AA299" s="8">
        <v>4495699</v>
      </c>
      <c r="AB299" s="8"/>
      <c r="AC299" s="8">
        <v>2490847</v>
      </c>
      <c r="AD299" s="8"/>
      <c r="AE299" s="8">
        <v>610875</v>
      </c>
      <c r="AF299" s="8"/>
      <c r="AG299" s="12" t="s">
        <v>708</v>
      </c>
      <c r="AH299" s="12"/>
      <c r="AI299" s="12" t="s">
        <v>66</v>
      </c>
      <c r="AJ299" s="12"/>
      <c r="AK299" s="8">
        <v>0</v>
      </c>
      <c r="AL299" s="8"/>
      <c r="AM299" s="8">
        <v>99833</v>
      </c>
      <c r="AN299" s="8"/>
      <c r="AO299" s="8">
        <v>1265426</v>
      </c>
      <c r="AP299" s="8"/>
      <c r="AQ299" s="8">
        <v>5469165</v>
      </c>
      <c r="AR299" s="8"/>
      <c r="AS299" s="8"/>
      <c r="AT299" s="8"/>
      <c r="AU299" s="8">
        <v>0</v>
      </c>
      <c r="AV299" s="8"/>
      <c r="AW299" s="8">
        <f t="shared" si="14"/>
        <v>58494821</v>
      </c>
      <c r="AY299" s="8">
        <f>+'St of Activites - GA Rev'!AI302-'St of Activities - GA Exp'!AW299</f>
        <v>-3158269</v>
      </c>
      <c r="BA299" s="8">
        <v>15464646</v>
      </c>
      <c r="BC299" s="8">
        <f t="shared" si="15"/>
        <v>12306377</v>
      </c>
      <c r="BE299" s="8">
        <f>+'St of Net Assets - GA'!AA301-'St of Activities - GA Exp'!BC299</f>
        <v>0</v>
      </c>
    </row>
    <row r="300" spans="1:57">
      <c r="A300" s="12" t="s">
        <v>718</v>
      </c>
      <c r="B300" s="12"/>
      <c r="C300" s="12" t="s">
        <v>69</v>
      </c>
      <c r="D300" s="12"/>
      <c r="E300" s="32">
        <v>50450</v>
      </c>
      <c r="G300" s="8">
        <v>41615374</v>
      </c>
      <c r="H300" s="8"/>
      <c r="I300" s="8">
        <v>10434201</v>
      </c>
      <c r="J300" s="8"/>
      <c r="K300" s="8">
        <v>15115</v>
      </c>
      <c r="L300" s="8"/>
      <c r="M300" s="8">
        <v>1055916</v>
      </c>
      <c r="N300" s="8"/>
      <c r="O300" s="8">
        <v>5914562</v>
      </c>
      <c r="P300" s="8"/>
      <c r="Q300" s="8">
        <v>6692737</v>
      </c>
      <c r="R300" s="8"/>
      <c r="S300" s="8">
        <v>85525</v>
      </c>
      <c r="T300" s="8"/>
      <c r="U300" s="8">
        <v>5412530</v>
      </c>
      <c r="V300" s="8"/>
      <c r="W300" s="8">
        <v>2053489</v>
      </c>
      <c r="X300" s="8"/>
      <c r="Y300" s="8">
        <v>438869</v>
      </c>
      <c r="Z300" s="8"/>
      <c r="AA300" s="8">
        <v>13072818</v>
      </c>
      <c r="AB300" s="8"/>
      <c r="AC300" s="8">
        <v>7734614</v>
      </c>
      <c r="AD300" s="8"/>
      <c r="AE300" s="8">
        <v>4569098</v>
      </c>
      <c r="AF300" s="8"/>
      <c r="AG300" s="12" t="s">
        <v>718</v>
      </c>
      <c r="AH300" s="12"/>
      <c r="AI300" s="12" t="s">
        <v>69</v>
      </c>
      <c r="AJ300" s="12"/>
      <c r="AK300" s="8">
        <v>0</v>
      </c>
      <c r="AL300" s="8"/>
      <c r="AM300" s="8">
        <v>5553265</v>
      </c>
      <c r="AN300" s="8"/>
      <c r="AO300" s="8">
        <v>2312308</v>
      </c>
      <c r="AP300" s="8"/>
      <c r="AQ300" s="8">
        <v>7011371</v>
      </c>
      <c r="AR300" s="8"/>
      <c r="AS300" s="8"/>
      <c r="AT300" s="8"/>
      <c r="AU300" s="8">
        <v>0</v>
      </c>
      <c r="AV300" s="8"/>
      <c r="AW300" s="8">
        <f t="shared" si="14"/>
        <v>113971792</v>
      </c>
      <c r="AY300" s="8">
        <f>+'St of Activites - GA Rev'!AI303-'St of Activities - GA Exp'!AW300</f>
        <v>14354622</v>
      </c>
      <c r="BA300" s="8">
        <v>61485503</v>
      </c>
      <c r="BC300" s="8">
        <f t="shared" si="15"/>
        <v>75840125</v>
      </c>
      <c r="BE300" s="8">
        <f>+'St of Net Assets - GA'!AA302-'St of Activities - GA Exp'!BC300</f>
        <v>0</v>
      </c>
    </row>
    <row r="301" spans="1:57">
      <c r="A301" s="12" t="s">
        <v>661</v>
      </c>
      <c r="B301" s="12"/>
      <c r="C301" s="12" t="s">
        <v>62</v>
      </c>
      <c r="D301" s="12"/>
      <c r="E301" s="32">
        <v>44354</v>
      </c>
      <c r="G301" s="8">
        <v>19650791</v>
      </c>
      <c r="H301" s="8"/>
      <c r="I301" s="8">
        <v>4835952</v>
      </c>
      <c r="J301" s="8"/>
      <c r="K301" s="8">
        <v>2775389</v>
      </c>
      <c r="L301" s="8"/>
      <c r="M301" s="8">
        <f>37574+1315526</f>
        <v>1353100</v>
      </c>
      <c r="N301" s="8"/>
      <c r="O301" s="8">
        <v>3394391</v>
      </c>
      <c r="P301" s="8"/>
      <c r="Q301" s="8">
        <v>2203615</v>
      </c>
      <c r="R301" s="8"/>
      <c r="S301" s="8">
        <v>287542</v>
      </c>
      <c r="T301" s="8"/>
      <c r="U301" s="8">
        <v>2982845</v>
      </c>
      <c r="V301" s="8"/>
      <c r="W301" s="8">
        <v>789860</v>
      </c>
      <c r="X301" s="8"/>
      <c r="Y301" s="8">
        <v>42366</v>
      </c>
      <c r="Z301" s="8"/>
      <c r="AA301" s="8">
        <v>5537030</v>
      </c>
      <c r="AB301" s="8"/>
      <c r="AC301" s="8">
        <v>1677079</v>
      </c>
      <c r="AD301" s="8"/>
      <c r="AE301" s="8">
        <v>494761</v>
      </c>
      <c r="AF301" s="8"/>
      <c r="AG301" s="12" t="s">
        <v>661</v>
      </c>
      <c r="AH301" s="12"/>
      <c r="AI301" s="12" t="s">
        <v>62</v>
      </c>
      <c r="AJ301" s="12"/>
      <c r="AK301" s="8">
        <v>1631257</v>
      </c>
      <c r="AL301" s="8"/>
      <c r="AM301" s="8">
        <f>244842+127892</f>
        <v>372734</v>
      </c>
      <c r="AN301" s="8"/>
      <c r="AO301" s="8">
        <v>1691955</v>
      </c>
      <c r="AP301" s="8"/>
      <c r="AQ301" s="8">
        <v>1529989</v>
      </c>
      <c r="AR301" s="8"/>
      <c r="AS301" s="8"/>
      <c r="AT301" s="8"/>
      <c r="AU301" s="8">
        <v>0</v>
      </c>
      <c r="AV301" s="8"/>
      <c r="AW301" s="8">
        <f t="shared" si="14"/>
        <v>51250656</v>
      </c>
      <c r="AY301" s="8">
        <f>+'St of Activites - GA Rev'!AI304-'St of Activities - GA Exp'!AW301</f>
        <v>-1362527</v>
      </c>
      <c r="BA301" s="8">
        <v>35884663</v>
      </c>
      <c r="BC301" s="8">
        <f t="shared" si="15"/>
        <v>34522136</v>
      </c>
      <c r="BE301" s="8">
        <f>+'St of Net Assets - GA'!AA303-'St of Activities - GA Exp'!BC301</f>
        <v>0</v>
      </c>
    </row>
    <row r="302" spans="1:57">
      <c r="A302" s="12" t="s">
        <v>693</v>
      </c>
      <c r="B302" s="12"/>
      <c r="C302" s="12" t="s">
        <v>64</v>
      </c>
      <c r="D302" s="12"/>
      <c r="E302" s="32">
        <v>50153</v>
      </c>
      <c r="G302" s="8">
        <v>4480206</v>
      </c>
      <c r="H302" s="8"/>
      <c r="I302" s="8">
        <v>740194</v>
      </c>
      <c r="J302" s="8"/>
      <c r="K302" s="8">
        <v>45157</v>
      </c>
      <c r="L302" s="8"/>
      <c r="M302" s="8">
        <v>132676</v>
      </c>
      <c r="N302" s="8"/>
      <c r="O302" s="8">
        <v>521713</v>
      </c>
      <c r="P302" s="8"/>
      <c r="Q302" s="8">
        <v>245715</v>
      </c>
      <c r="R302" s="8"/>
      <c r="S302" s="8">
        <v>51092</v>
      </c>
      <c r="T302" s="8"/>
      <c r="U302" s="8">
        <v>789712</v>
      </c>
      <c r="V302" s="8"/>
      <c r="W302" s="8">
        <v>304071</v>
      </c>
      <c r="X302" s="8"/>
      <c r="Y302" s="8">
        <v>0</v>
      </c>
      <c r="Z302" s="8"/>
      <c r="AA302" s="8">
        <v>1081640</v>
      </c>
      <c r="AB302" s="8"/>
      <c r="AC302" s="8">
        <v>563699</v>
      </c>
      <c r="AD302" s="8"/>
      <c r="AE302" s="8">
        <v>94961</v>
      </c>
      <c r="AF302" s="8"/>
      <c r="AG302" s="12" t="s">
        <v>693</v>
      </c>
      <c r="AH302" s="12"/>
      <c r="AI302" s="12" t="s">
        <v>64</v>
      </c>
      <c r="AJ302" s="12"/>
      <c r="AK302" s="8">
        <v>326644</v>
      </c>
      <c r="AL302" s="8"/>
      <c r="AM302" s="8">
        <v>1900</v>
      </c>
      <c r="AN302" s="8"/>
      <c r="AO302" s="8">
        <v>187682</v>
      </c>
      <c r="AP302" s="8"/>
      <c r="AQ302" s="8">
        <v>0</v>
      </c>
      <c r="AR302" s="8"/>
      <c r="AS302" s="8"/>
      <c r="AT302" s="8"/>
      <c r="AU302" s="8">
        <v>0</v>
      </c>
      <c r="AV302" s="8"/>
      <c r="AW302" s="8">
        <f t="shared" si="14"/>
        <v>9567062</v>
      </c>
      <c r="AY302" s="8">
        <f>+'St of Activites - GA Rev'!AI305-'St of Activities - GA Exp'!AW302</f>
        <v>-219690</v>
      </c>
      <c r="BA302" s="8">
        <v>4016962</v>
      </c>
      <c r="BC302" s="8">
        <f t="shared" si="15"/>
        <v>3797272</v>
      </c>
      <c r="BE302" s="8">
        <f>+'St of Net Assets - GA'!AA304-'St of Activities - GA Exp'!BC302</f>
        <v>0</v>
      </c>
    </row>
    <row r="303" spans="1:57">
      <c r="A303" s="12" t="s">
        <v>503</v>
      </c>
      <c r="B303" s="12"/>
      <c r="C303" s="12" t="s">
        <v>118</v>
      </c>
      <c r="D303" s="12"/>
      <c r="E303" s="32">
        <v>44362</v>
      </c>
      <c r="G303" s="8">
        <v>15400491</v>
      </c>
      <c r="H303" s="8"/>
      <c r="I303" s="8">
        <v>3167857</v>
      </c>
      <c r="J303" s="8"/>
      <c r="K303" s="8">
        <v>339265</v>
      </c>
      <c r="L303" s="8"/>
      <c r="M303" s="8">
        <f>25023+373982</f>
        <v>399005</v>
      </c>
      <c r="N303" s="8"/>
      <c r="O303" s="8">
        <v>1411865</v>
      </c>
      <c r="P303" s="8"/>
      <c r="Q303" s="8">
        <v>910500</v>
      </c>
      <c r="R303" s="8"/>
      <c r="S303" s="8">
        <v>60269</v>
      </c>
      <c r="T303" s="8"/>
      <c r="U303" s="8">
        <v>2789343</v>
      </c>
      <c r="V303" s="8"/>
      <c r="W303" s="8">
        <v>854088</v>
      </c>
      <c r="X303" s="8"/>
      <c r="Y303" s="8">
        <v>198852</v>
      </c>
      <c r="Z303" s="8"/>
      <c r="AA303" s="8">
        <v>3436318</v>
      </c>
      <c r="AB303" s="8"/>
      <c r="AC303" s="8">
        <v>959263</v>
      </c>
      <c r="AD303" s="8"/>
      <c r="AE303" s="8">
        <v>258364</v>
      </c>
      <c r="AF303" s="8"/>
      <c r="AG303" s="12" t="s">
        <v>503</v>
      </c>
      <c r="AH303" s="12"/>
      <c r="AI303" s="12" t="s">
        <v>118</v>
      </c>
      <c r="AJ303" s="12"/>
      <c r="AK303" s="8">
        <v>1067574</v>
      </c>
      <c r="AL303" s="8"/>
      <c r="AM303" s="8">
        <v>55903</v>
      </c>
      <c r="AN303" s="8"/>
      <c r="AO303" s="8">
        <v>1685864</v>
      </c>
      <c r="AP303" s="8"/>
      <c r="AQ303" s="8">
        <v>1754012</v>
      </c>
      <c r="AR303" s="8"/>
      <c r="AS303" s="8"/>
      <c r="AT303" s="8"/>
      <c r="AU303" s="8">
        <v>433550</v>
      </c>
      <c r="AV303" s="8"/>
      <c r="AW303" s="8">
        <f t="shared" si="14"/>
        <v>35182383</v>
      </c>
      <c r="AY303" s="8">
        <f>+'St of Activites - GA Rev'!AI306-'St of Activities - GA Exp'!AW303</f>
        <v>-387791</v>
      </c>
      <c r="BA303" s="8">
        <v>13657143</v>
      </c>
      <c r="BC303" s="8">
        <f t="shared" si="15"/>
        <v>13269352</v>
      </c>
      <c r="BE303" s="8">
        <f>+'St of Net Assets - GA'!AA305-'St of Activities - GA Exp'!BC303</f>
        <v>0</v>
      </c>
    </row>
    <row r="304" spans="1:57">
      <c r="A304" s="12" t="s">
        <v>316</v>
      </c>
      <c r="B304" s="12"/>
      <c r="C304" s="12" t="s">
        <v>20</v>
      </c>
      <c r="D304" s="12"/>
      <c r="E304" s="32">
        <v>44370</v>
      </c>
      <c r="G304" s="8">
        <v>22848650</v>
      </c>
      <c r="H304" s="8"/>
      <c r="I304" s="8">
        <v>11219626</v>
      </c>
      <c r="J304" s="8"/>
      <c r="K304" s="8">
        <v>6646443</v>
      </c>
      <c r="L304" s="8"/>
      <c r="M304" s="8">
        <f>297160+556125</f>
        <v>853285</v>
      </c>
      <c r="N304" s="8"/>
      <c r="O304" s="8">
        <v>4616170</v>
      </c>
      <c r="P304" s="8"/>
      <c r="Q304" s="8">
        <v>5897138</v>
      </c>
      <c r="R304" s="8"/>
      <c r="S304" s="8">
        <v>90871</v>
      </c>
      <c r="T304" s="8"/>
      <c r="U304" s="8">
        <v>3336408</v>
      </c>
      <c r="V304" s="8"/>
      <c r="W304" s="8">
        <v>2266538</v>
      </c>
      <c r="X304" s="8"/>
      <c r="Y304" s="8">
        <v>298669</v>
      </c>
      <c r="Z304" s="8"/>
      <c r="AA304" s="8">
        <v>6434369</v>
      </c>
      <c r="AB304" s="8"/>
      <c r="AC304" s="8">
        <v>4805470</v>
      </c>
      <c r="AD304" s="8"/>
      <c r="AE304" s="8">
        <v>899963</v>
      </c>
      <c r="AF304" s="8"/>
      <c r="AG304" s="12" t="s">
        <v>316</v>
      </c>
      <c r="AH304" s="12"/>
      <c r="AI304" s="12" t="s">
        <v>20</v>
      </c>
      <c r="AJ304" s="12"/>
      <c r="AK304" s="8">
        <v>1261832</v>
      </c>
      <c r="AL304" s="8"/>
      <c r="AM304" s="8">
        <v>966200</v>
      </c>
      <c r="AN304" s="8"/>
      <c r="AO304" s="8">
        <v>1448052</v>
      </c>
      <c r="AP304" s="8"/>
      <c r="AQ304" s="8">
        <v>940543</v>
      </c>
      <c r="AR304" s="8"/>
      <c r="AS304" s="8"/>
      <c r="AT304" s="8"/>
      <c r="AU304" s="8">
        <v>0</v>
      </c>
      <c r="AV304" s="8"/>
      <c r="AW304" s="8">
        <f t="shared" si="14"/>
        <v>74830227</v>
      </c>
      <c r="AY304" s="8">
        <f>+'St of Activites - GA Rev'!AI307-'St of Activities - GA Exp'!AW304</f>
        <v>1135421</v>
      </c>
      <c r="BA304" s="8">
        <v>27118716</v>
      </c>
      <c r="BC304" s="8">
        <f t="shared" si="15"/>
        <v>28254137</v>
      </c>
      <c r="BE304" s="8">
        <f>+'St of Net Assets - GA'!AA306-'St of Activities - GA Exp'!BC304</f>
        <v>0</v>
      </c>
    </row>
    <row r="305" spans="1:57">
      <c r="A305" s="12" t="s">
        <v>573</v>
      </c>
      <c r="B305" s="12"/>
      <c r="C305" s="12" t="s">
        <v>51</v>
      </c>
      <c r="D305" s="12"/>
      <c r="E305" s="32">
        <v>48850</v>
      </c>
      <c r="G305" s="8">
        <v>9852632</v>
      </c>
      <c r="H305" s="8"/>
      <c r="I305" s="8">
        <v>1855811</v>
      </c>
      <c r="J305" s="8"/>
      <c r="K305" s="8">
        <v>147671</v>
      </c>
      <c r="L305" s="8"/>
      <c r="M305" s="8">
        <v>219780</v>
      </c>
      <c r="N305" s="8"/>
      <c r="O305" s="8">
        <v>786036</v>
      </c>
      <c r="P305" s="8"/>
      <c r="Q305" s="8">
        <v>1513369</v>
      </c>
      <c r="R305" s="8"/>
      <c r="S305" s="8">
        <v>62581</v>
      </c>
      <c r="T305" s="8"/>
      <c r="U305" s="8">
        <v>1936265</v>
      </c>
      <c r="V305" s="8"/>
      <c r="W305" s="8">
        <v>389627</v>
      </c>
      <c r="X305" s="8"/>
      <c r="Y305" s="8">
        <v>0</v>
      </c>
      <c r="Z305" s="8"/>
      <c r="AA305" s="8">
        <v>2032393</v>
      </c>
      <c r="AB305" s="8"/>
      <c r="AC305" s="8">
        <v>1016757</v>
      </c>
      <c r="AD305" s="8"/>
      <c r="AE305" s="8">
        <v>49719</v>
      </c>
      <c r="AF305" s="8"/>
      <c r="AG305" s="12" t="s">
        <v>573</v>
      </c>
      <c r="AH305" s="12"/>
      <c r="AI305" s="12" t="s">
        <v>51</v>
      </c>
      <c r="AJ305" s="12"/>
      <c r="AK305" s="8">
        <v>936666</v>
      </c>
      <c r="AL305" s="8"/>
      <c r="AM305" s="8">
        <v>19407</v>
      </c>
      <c r="AN305" s="8"/>
      <c r="AO305" s="8">
        <v>605306</v>
      </c>
      <c r="AP305" s="8"/>
      <c r="AQ305" s="8">
        <v>200821</v>
      </c>
      <c r="AR305" s="8"/>
      <c r="AS305" s="8"/>
      <c r="AT305" s="8"/>
      <c r="AU305" s="8">
        <v>0</v>
      </c>
      <c r="AV305" s="8"/>
      <c r="AW305" s="8">
        <f t="shared" si="14"/>
        <v>21624841</v>
      </c>
      <c r="AY305" s="8">
        <f>+'St of Activites - GA Rev'!AI308-'St of Activities - GA Exp'!AW305</f>
        <v>-2338169</v>
      </c>
      <c r="BA305" s="8">
        <v>37656487</v>
      </c>
      <c r="BC305" s="8">
        <f t="shared" si="15"/>
        <v>35318318</v>
      </c>
      <c r="BE305" s="8">
        <f>+'St of Net Assets - GA'!AA307-'St of Activities - GA Exp'!BC305</f>
        <v>0</v>
      </c>
    </row>
    <row r="306" spans="1:57" ht="12" hidden="1" customHeight="1">
      <c r="A306" s="12" t="s">
        <v>830</v>
      </c>
      <c r="B306" s="12"/>
      <c r="C306" s="12" t="s">
        <v>33</v>
      </c>
      <c r="D306" s="12"/>
      <c r="E306" s="32">
        <v>47456</v>
      </c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4" t="s">
        <v>423</v>
      </c>
      <c r="AH306" s="34"/>
      <c r="AI306" s="34" t="s">
        <v>33</v>
      </c>
      <c r="AJ306" s="34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>
        <v>0</v>
      </c>
      <c r="AV306" s="35"/>
      <c r="AW306" s="35">
        <f>SUM(G306:AV306)</f>
        <v>0</v>
      </c>
      <c r="AX306" s="35"/>
      <c r="AY306" s="35">
        <f>+'St of Activites - GA Rev'!AI309-'St of Activities - GA Exp'!AW306</f>
        <v>0</v>
      </c>
      <c r="AZ306" s="35"/>
      <c r="BA306" s="35"/>
      <c r="BB306" s="35"/>
      <c r="BC306" s="35">
        <f>+AY306+BA306</f>
        <v>0</v>
      </c>
      <c r="BD306" s="35"/>
      <c r="BE306" s="35">
        <f>+'St of Net Assets - GA'!AA308-'St of Activities - GA Exp'!BC306</f>
        <v>0</v>
      </c>
    </row>
    <row r="307" spans="1:57" s="35" customFormat="1" ht="12" customHeight="1">
      <c r="A307" s="34" t="s">
        <v>928</v>
      </c>
      <c r="B307" s="34"/>
      <c r="C307" s="34" t="s">
        <v>64</v>
      </c>
      <c r="D307" s="34"/>
      <c r="E307" s="32">
        <v>50229</v>
      </c>
      <c r="G307" s="8">
        <v>4737523</v>
      </c>
      <c r="H307" s="8"/>
      <c r="I307" s="8">
        <v>818400</v>
      </c>
      <c r="J307" s="8"/>
      <c r="K307" s="8">
        <v>42867</v>
      </c>
      <c r="L307" s="8"/>
      <c r="M307" s="8">
        <v>82590</v>
      </c>
      <c r="N307" s="8"/>
      <c r="O307" s="8">
        <v>159027</v>
      </c>
      <c r="P307" s="8"/>
      <c r="Q307" s="8">
        <v>64063</v>
      </c>
      <c r="R307" s="8"/>
      <c r="S307" s="8">
        <v>40640</v>
      </c>
      <c r="T307" s="8"/>
      <c r="U307" s="8">
        <v>568125</v>
      </c>
      <c r="V307" s="8"/>
      <c r="W307" s="8">
        <v>206889</v>
      </c>
      <c r="X307" s="8"/>
      <c r="Y307" s="8">
        <v>0</v>
      </c>
      <c r="Z307" s="8"/>
      <c r="AA307" s="8">
        <v>723599</v>
      </c>
      <c r="AB307" s="8"/>
      <c r="AC307" s="8">
        <v>131086</v>
      </c>
      <c r="AD307" s="8"/>
      <c r="AE307" s="8">
        <v>14787</v>
      </c>
      <c r="AG307" s="34" t="s">
        <v>928</v>
      </c>
      <c r="AH307" s="34"/>
      <c r="AI307" s="34" t="s">
        <v>64</v>
      </c>
      <c r="AJ307" s="34"/>
      <c r="AK307" s="8">
        <v>175301</v>
      </c>
      <c r="AL307" s="8"/>
      <c r="AM307" s="8">
        <v>0</v>
      </c>
      <c r="AN307" s="8"/>
      <c r="AO307" s="8">
        <v>249575</v>
      </c>
      <c r="AP307" s="8"/>
      <c r="AQ307" s="8">
        <v>112598</v>
      </c>
      <c r="AR307" s="8"/>
      <c r="AS307" s="8"/>
      <c r="AT307" s="8"/>
      <c r="AU307" s="8">
        <v>0</v>
      </c>
      <c r="AV307" s="8"/>
      <c r="AW307" s="8">
        <f t="shared" si="14"/>
        <v>8127070</v>
      </c>
      <c r="AX307" s="8"/>
      <c r="AY307" s="8">
        <f>+'St of Activites - GA Rev'!AI310-'St of Activities - GA Exp'!AW307</f>
        <v>-971584</v>
      </c>
      <c r="AZ307" s="8"/>
      <c r="BA307" s="8">
        <v>13527510</v>
      </c>
      <c r="BB307" s="8"/>
      <c r="BC307" s="8">
        <f t="shared" ref="BC307:BC372" si="16">+AY307+BA307</f>
        <v>12555926</v>
      </c>
      <c r="BD307" s="8"/>
      <c r="BE307" s="8">
        <f>+'St of Net Assets - GA'!AA309-'St of Activities - GA Exp'!BC307</f>
        <v>0</v>
      </c>
    </row>
    <row r="308" spans="1:57" s="8" customFormat="1">
      <c r="A308" s="13" t="s">
        <v>260</v>
      </c>
      <c r="B308" s="13"/>
      <c r="C308" s="13" t="s">
        <v>259</v>
      </c>
      <c r="D308" s="13"/>
      <c r="E308" s="13">
        <v>45484</v>
      </c>
      <c r="G308" s="8">
        <v>4002898</v>
      </c>
      <c r="I308" s="8">
        <v>1289888</v>
      </c>
      <c r="K308" s="8">
        <v>136043</v>
      </c>
      <c r="M308" s="8">
        <v>0</v>
      </c>
      <c r="O308" s="8">
        <v>290988</v>
      </c>
      <c r="Q308" s="8">
        <v>198743</v>
      </c>
      <c r="S308" s="8">
        <v>39981</v>
      </c>
      <c r="U308" s="8">
        <v>665735</v>
      </c>
      <c r="W308" s="8">
        <v>308074</v>
      </c>
      <c r="Y308" s="8">
        <v>0</v>
      </c>
      <c r="AA308" s="8">
        <v>936310</v>
      </c>
      <c r="AC308" s="8">
        <v>594395</v>
      </c>
      <c r="AE308" s="8">
        <v>74398</v>
      </c>
      <c r="AG308" s="13" t="s">
        <v>260</v>
      </c>
      <c r="AH308" s="13"/>
      <c r="AI308" s="13" t="s">
        <v>259</v>
      </c>
      <c r="AJ308" s="13"/>
      <c r="AK308" s="8">
        <v>307164</v>
      </c>
      <c r="AM308" s="8">
        <v>11830</v>
      </c>
      <c r="AO308" s="8">
        <v>392063</v>
      </c>
      <c r="AQ308" s="8">
        <v>352685</v>
      </c>
      <c r="AU308" s="8">
        <v>0</v>
      </c>
      <c r="AW308" s="8">
        <f t="shared" ref="AW308:AW372" si="17">SUM(G308:AV308)</f>
        <v>9601195</v>
      </c>
      <c r="AY308" s="8">
        <f>+'St of Activites - GA Rev'!AI311-'St of Activities - GA Exp'!AW308</f>
        <v>606998</v>
      </c>
      <c r="BA308" s="8">
        <v>20835335</v>
      </c>
      <c r="BC308" s="8">
        <f t="shared" si="16"/>
        <v>21442333</v>
      </c>
      <c r="BE308" s="8">
        <f>+'St of Net Assets - GA'!AA310-'St of Activities - GA Exp'!BC308</f>
        <v>0</v>
      </c>
    </row>
    <row r="309" spans="1:57">
      <c r="A309" s="12" t="s">
        <v>535</v>
      </c>
      <c r="B309" s="12"/>
      <c r="C309" s="12" t="s">
        <v>47</v>
      </c>
      <c r="D309" s="12"/>
      <c r="E309" s="32">
        <v>44388</v>
      </c>
      <c r="G309" s="8">
        <v>37092181</v>
      </c>
      <c r="H309" s="8"/>
      <c r="I309" s="8">
        <v>9487412</v>
      </c>
      <c r="J309" s="8"/>
      <c r="K309" s="8">
        <v>550842</v>
      </c>
      <c r="L309" s="8"/>
      <c r="M309" s="8">
        <v>0</v>
      </c>
      <c r="N309" s="8"/>
      <c r="O309" s="8">
        <v>4403313</v>
      </c>
      <c r="P309" s="8"/>
      <c r="Q309" s="8">
        <v>4199455</v>
      </c>
      <c r="R309" s="8"/>
      <c r="S309" s="8">
        <v>100378</v>
      </c>
      <c r="T309" s="8"/>
      <c r="U309" s="8">
        <v>5076677</v>
      </c>
      <c r="V309" s="8"/>
      <c r="W309" s="8">
        <v>1611380</v>
      </c>
      <c r="X309" s="8"/>
      <c r="Y309" s="8">
        <v>629012</v>
      </c>
      <c r="Z309" s="8"/>
      <c r="AA309" s="8">
        <v>8746641</v>
      </c>
      <c r="AB309" s="8"/>
      <c r="AC309" s="8">
        <v>3304386</v>
      </c>
      <c r="AD309" s="8"/>
      <c r="AE309" s="8">
        <v>451852</v>
      </c>
      <c r="AF309" s="8"/>
      <c r="AG309" s="12" t="s">
        <v>535</v>
      </c>
      <c r="AH309" s="12"/>
      <c r="AI309" s="12" t="s">
        <v>47</v>
      </c>
      <c r="AJ309" s="12"/>
      <c r="AK309" s="8">
        <v>2012227</v>
      </c>
      <c r="AL309" s="8"/>
      <c r="AM309" s="8">
        <v>793166</v>
      </c>
      <c r="AN309" s="8"/>
      <c r="AO309" s="8">
        <v>2188722</v>
      </c>
      <c r="AP309" s="8"/>
      <c r="AQ309" s="8">
        <v>6703007</v>
      </c>
      <c r="AR309" s="8"/>
      <c r="AS309" s="8"/>
      <c r="AT309" s="8"/>
      <c r="AU309" s="8">
        <v>0</v>
      </c>
      <c r="AV309" s="8"/>
      <c r="AW309" s="8">
        <f t="shared" si="17"/>
        <v>87350651</v>
      </c>
      <c r="AY309" s="8">
        <f>+'St of Activites - GA Rev'!AI312-'St of Activities - GA Exp'!AW309</f>
        <v>-1152473</v>
      </c>
      <c r="BA309" s="8">
        <v>27893389</v>
      </c>
      <c r="BC309" s="8">
        <f t="shared" si="16"/>
        <v>26740916</v>
      </c>
      <c r="BE309" s="8">
        <f>+'St of Net Assets - GA'!AA311-'St of Activities - GA Exp'!BC309</f>
        <v>0</v>
      </c>
    </row>
    <row r="310" spans="1:57">
      <c r="A310" s="12" t="s">
        <v>538</v>
      </c>
      <c r="B310" s="12"/>
      <c r="C310" s="12" t="s">
        <v>537</v>
      </c>
      <c r="D310" s="12"/>
      <c r="E310" s="32">
        <v>48520</v>
      </c>
      <c r="G310" s="8">
        <v>8572082</v>
      </c>
      <c r="H310" s="8"/>
      <c r="I310" s="8">
        <v>2340331</v>
      </c>
      <c r="J310" s="8"/>
      <c r="K310" s="8">
        <v>1339839</v>
      </c>
      <c r="L310" s="8"/>
      <c r="M310" s="8">
        <f>5500+2104277</f>
        <v>2109777</v>
      </c>
      <c r="N310" s="8"/>
      <c r="O310" s="8">
        <v>708685</v>
      </c>
      <c r="P310" s="8"/>
      <c r="Q310" s="8">
        <v>1031819</v>
      </c>
      <c r="R310" s="8"/>
      <c r="S310" s="8">
        <v>44983</v>
      </c>
      <c r="T310" s="8"/>
      <c r="U310" s="8">
        <v>1780068</v>
      </c>
      <c r="V310" s="8"/>
      <c r="W310" s="8">
        <v>472747</v>
      </c>
      <c r="X310" s="8"/>
      <c r="Y310" s="8">
        <v>0</v>
      </c>
      <c r="Z310" s="8"/>
      <c r="AA310" s="8">
        <v>1010788</v>
      </c>
      <c r="AB310" s="8"/>
      <c r="AC310" s="8">
        <v>1673896</v>
      </c>
      <c r="AD310" s="8"/>
      <c r="AE310" s="8">
        <v>79001</v>
      </c>
      <c r="AF310" s="8"/>
      <c r="AG310" s="12" t="s">
        <v>538</v>
      </c>
      <c r="AH310" s="12"/>
      <c r="AI310" s="12" t="s">
        <v>537</v>
      </c>
      <c r="AJ310" s="12"/>
      <c r="AK310" s="8">
        <v>0</v>
      </c>
      <c r="AL310" s="8"/>
      <c r="AM310" s="8">
        <v>1158452</v>
      </c>
      <c r="AN310" s="8"/>
      <c r="AO310" s="8">
        <v>313267</v>
      </c>
      <c r="AP310" s="8"/>
      <c r="AQ310" s="8">
        <v>365061</v>
      </c>
      <c r="AR310" s="8"/>
      <c r="AS310" s="8"/>
      <c r="AT310" s="8"/>
      <c r="AU310" s="8">
        <v>0</v>
      </c>
      <c r="AV310" s="8"/>
      <c r="AW310" s="8">
        <f t="shared" si="17"/>
        <v>23000796</v>
      </c>
      <c r="AY310" s="8">
        <f>+'St of Activites - GA Rev'!AI313-'St of Activities - GA Exp'!AW310</f>
        <v>-1886562</v>
      </c>
      <c r="BA310" s="8">
        <v>24554488</v>
      </c>
      <c r="BC310" s="8">
        <f t="shared" si="16"/>
        <v>22667926</v>
      </c>
      <c r="BE310" s="8">
        <f>+'St of Net Assets - GA'!AA312-'St of Activities - GA Exp'!BC310</f>
        <v>0</v>
      </c>
    </row>
    <row r="311" spans="1:57">
      <c r="A311" s="12" t="s">
        <v>465</v>
      </c>
      <c r="B311" s="12"/>
      <c r="C311" s="12" t="s">
        <v>41</v>
      </c>
      <c r="D311" s="12"/>
      <c r="E311" s="32">
        <v>45492</v>
      </c>
      <c r="G311" s="8">
        <v>44640756</v>
      </c>
      <c r="H311" s="8"/>
      <c r="I311" s="8">
        <v>11061033</v>
      </c>
      <c r="J311" s="8"/>
      <c r="K311" s="8">
        <v>2309063</v>
      </c>
      <c r="L311" s="8"/>
      <c r="M311" s="8">
        <v>797941</v>
      </c>
      <c r="N311" s="8"/>
      <c r="O311" s="8">
        <v>6154225</v>
      </c>
      <c r="P311" s="8"/>
      <c r="Q311" s="8">
        <v>5234690</v>
      </c>
      <c r="R311" s="8"/>
      <c r="S311" s="8">
        <v>629220</v>
      </c>
      <c r="T311" s="8"/>
      <c r="U311" s="8">
        <v>5505391</v>
      </c>
      <c r="V311" s="8"/>
      <c r="W311" s="8">
        <v>2501111</v>
      </c>
      <c r="X311" s="8"/>
      <c r="Y311" s="8">
        <v>423517</v>
      </c>
      <c r="Z311" s="8"/>
      <c r="AA311" s="8">
        <v>7776178</v>
      </c>
      <c r="AB311" s="8"/>
      <c r="AC311" s="8">
        <v>6165820</v>
      </c>
      <c r="AD311" s="8"/>
      <c r="AE311" s="8">
        <v>1590397</v>
      </c>
      <c r="AF311" s="8"/>
      <c r="AG311" s="12" t="s">
        <v>465</v>
      </c>
      <c r="AH311" s="12"/>
      <c r="AI311" s="12" t="s">
        <v>41</v>
      </c>
      <c r="AJ311" s="12"/>
      <c r="AK311" s="8">
        <v>0</v>
      </c>
      <c r="AL311" s="8"/>
      <c r="AM311" s="8">
        <v>1530735</v>
      </c>
      <c r="AN311" s="8"/>
      <c r="AO311" s="8">
        <v>1847034</v>
      </c>
      <c r="AP311" s="8"/>
      <c r="AQ311" s="8">
        <v>590868</v>
      </c>
      <c r="AR311" s="8"/>
      <c r="AS311" s="8"/>
      <c r="AT311" s="8"/>
      <c r="AU311" s="8">
        <v>0</v>
      </c>
      <c r="AV311" s="8"/>
      <c r="AW311" s="8">
        <f t="shared" si="17"/>
        <v>98757979</v>
      </c>
      <c r="AY311" s="8">
        <f>+'St of Activites - GA Rev'!AI314-'St of Activities - GA Exp'!AW311</f>
        <v>13301408</v>
      </c>
      <c r="BA311" s="8">
        <v>28326486</v>
      </c>
      <c r="BC311" s="8">
        <f t="shared" si="16"/>
        <v>41627894</v>
      </c>
      <c r="BE311" s="8">
        <f>+'St of Net Assets - GA'!AA313-'St of Activities - GA Exp'!BC311</f>
        <v>0</v>
      </c>
    </row>
    <row r="312" spans="1:57">
      <c r="A312" s="12" t="s">
        <v>545</v>
      </c>
      <c r="B312" s="12"/>
      <c r="C312" s="12" t="s">
        <v>48</v>
      </c>
      <c r="D312" s="12"/>
      <c r="E312" s="32">
        <v>48629</v>
      </c>
      <c r="G312" s="8">
        <v>5618858</v>
      </c>
      <c r="H312" s="8"/>
      <c r="I312" s="8">
        <v>946002</v>
      </c>
      <c r="J312" s="8"/>
      <c r="K312" s="8">
        <v>134377</v>
      </c>
      <c r="L312" s="8"/>
      <c r="M312" s="8">
        <v>13661</v>
      </c>
      <c r="N312" s="8"/>
      <c r="O312" s="8">
        <v>699831</v>
      </c>
      <c r="P312" s="8"/>
      <c r="Q312" s="8">
        <v>305238</v>
      </c>
      <c r="R312" s="8"/>
      <c r="S312" s="8">
        <v>76344</v>
      </c>
      <c r="T312" s="8"/>
      <c r="U312" s="8">
        <v>872524</v>
      </c>
      <c r="V312" s="8"/>
      <c r="W312" s="8">
        <v>367336</v>
      </c>
      <c r="X312" s="8"/>
      <c r="Y312" s="8">
        <v>57137</v>
      </c>
      <c r="Z312" s="8"/>
      <c r="AA312" s="8">
        <v>1074787</v>
      </c>
      <c r="AB312" s="8"/>
      <c r="AC312" s="8">
        <v>817090</v>
      </c>
      <c r="AD312" s="8"/>
      <c r="AE312" s="8">
        <v>210309</v>
      </c>
      <c r="AF312" s="8"/>
      <c r="AG312" s="12" t="s">
        <v>545</v>
      </c>
      <c r="AH312" s="12"/>
      <c r="AI312" s="12" t="s">
        <v>48</v>
      </c>
      <c r="AJ312" s="12"/>
      <c r="AK312" s="8">
        <v>0</v>
      </c>
      <c r="AL312" s="8"/>
      <c r="AM312" s="8">
        <v>468573</v>
      </c>
      <c r="AN312" s="8"/>
      <c r="AO312" s="8">
        <v>446304</v>
      </c>
      <c r="AP312" s="8"/>
      <c r="AQ312" s="8">
        <v>629743</v>
      </c>
      <c r="AR312" s="8"/>
      <c r="AS312" s="8"/>
      <c r="AT312" s="8"/>
      <c r="AU312" s="8">
        <v>0</v>
      </c>
      <c r="AV312" s="8"/>
      <c r="AW312" s="8">
        <f t="shared" si="17"/>
        <v>12738114</v>
      </c>
      <c r="AY312" s="8">
        <f>+'St of Activites - GA Rev'!AI315-'St of Activities - GA Exp'!AW312</f>
        <v>550766</v>
      </c>
      <c r="BA312" s="8">
        <v>3108098</v>
      </c>
      <c r="BC312" s="8">
        <f t="shared" si="16"/>
        <v>3658864</v>
      </c>
      <c r="BE312" s="8">
        <f>+'St of Net Assets - GA'!AA314-'St of Activities - GA Exp'!BC312</f>
        <v>0</v>
      </c>
    </row>
    <row r="313" spans="1:57">
      <c r="A313" s="12" t="s">
        <v>354</v>
      </c>
      <c r="B313" s="12"/>
      <c r="C313" s="12" t="s">
        <v>26</v>
      </c>
      <c r="D313" s="12"/>
      <c r="E313" s="32">
        <v>46920</v>
      </c>
      <c r="G313" s="8">
        <v>9763912</v>
      </c>
      <c r="H313" s="8"/>
      <c r="I313" s="8">
        <v>1882487</v>
      </c>
      <c r="J313" s="8"/>
      <c r="K313" s="8">
        <v>571412</v>
      </c>
      <c r="L313" s="8"/>
      <c r="M313" s="8">
        <v>1625240</v>
      </c>
      <c r="N313" s="8"/>
      <c r="O313" s="8">
        <v>1259475</v>
      </c>
      <c r="P313" s="8"/>
      <c r="Q313" s="8">
        <v>1796266</v>
      </c>
      <c r="R313" s="8"/>
      <c r="S313" s="8">
        <v>28370</v>
      </c>
      <c r="T313" s="8"/>
      <c r="U313" s="8">
        <v>2449095</v>
      </c>
      <c r="V313" s="8"/>
      <c r="W313" s="8">
        <v>716948</v>
      </c>
      <c r="X313" s="8"/>
      <c r="Y313" s="8">
        <v>112582</v>
      </c>
      <c r="Z313" s="8"/>
      <c r="AA313" s="8">
        <v>2049514</v>
      </c>
      <c r="AB313" s="8"/>
      <c r="AC313" s="8">
        <v>1675346</v>
      </c>
      <c r="AD313" s="8"/>
      <c r="AE313" s="8">
        <v>146411</v>
      </c>
      <c r="AF313" s="8"/>
      <c r="AG313" s="12" t="s">
        <v>354</v>
      </c>
      <c r="AH313" s="12"/>
      <c r="AI313" s="12" t="s">
        <v>26</v>
      </c>
      <c r="AJ313" s="12"/>
      <c r="AK313" s="8">
        <v>0</v>
      </c>
      <c r="AL313" s="8"/>
      <c r="AM313" s="8">
        <v>1283552</v>
      </c>
      <c r="AN313" s="8"/>
      <c r="AO313" s="8">
        <v>589724</v>
      </c>
      <c r="AP313" s="8"/>
      <c r="AQ313" s="8">
        <v>752405</v>
      </c>
      <c r="AR313" s="8"/>
      <c r="AS313" s="8"/>
      <c r="AT313" s="8"/>
      <c r="AU313" s="8">
        <v>0</v>
      </c>
      <c r="AV313" s="8"/>
      <c r="AW313" s="8">
        <f t="shared" si="17"/>
        <v>26702739</v>
      </c>
      <c r="AY313" s="8">
        <f>+'St of Activites - GA Rev'!AI316-'St of Activities - GA Exp'!AW313</f>
        <v>2455468</v>
      </c>
      <c r="BA313" s="8">
        <v>22361859</v>
      </c>
      <c r="BC313" s="8">
        <f t="shared" si="16"/>
        <v>24817327</v>
      </c>
      <c r="BE313" s="8">
        <f>+'St of Net Assets - GA'!AA315-'St of Activities - GA Exp'!BC313</f>
        <v>0</v>
      </c>
    </row>
    <row r="314" spans="1:57">
      <c r="A314" s="12" t="s">
        <v>559</v>
      </c>
      <c r="B314" s="12"/>
      <c r="C314" s="12" t="s">
        <v>50</v>
      </c>
      <c r="D314" s="12"/>
      <c r="E314" s="32">
        <v>44396</v>
      </c>
      <c r="G314" s="8">
        <v>24067124</v>
      </c>
      <c r="H314" s="8"/>
      <c r="I314" s="8">
        <v>7196893</v>
      </c>
      <c r="J314" s="8"/>
      <c r="K314" s="8">
        <v>730386</v>
      </c>
      <c r="L314" s="8"/>
      <c r="M314" s="8">
        <v>452752</v>
      </c>
      <c r="N314" s="8"/>
      <c r="O314" s="8">
        <v>4281363</v>
      </c>
      <c r="P314" s="8"/>
      <c r="Q314" s="8">
        <v>1442308</v>
      </c>
      <c r="R314" s="8"/>
      <c r="S314" s="8">
        <v>33231</v>
      </c>
      <c r="T314" s="8"/>
      <c r="U314" s="8">
        <v>3051186</v>
      </c>
      <c r="V314" s="8"/>
      <c r="W314" s="8">
        <v>945043</v>
      </c>
      <c r="X314" s="8"/>
      <c r="Y314" s="8">
        <v>293993</v>
      </c>
      <c r="Z314" s="8"/>
      <c r="AA314" s="8">
        <v>3924942</v>
      </c>
      <c r="AB314" s="8"/>
      <c r="AC314" s="8">
        <v>2511914</v>
      </c>
      <c r="AD314" s="8"/>
      <c r="AE314" s="8">
        <v>534180</v>
      </c>
      <c r="AF314" s="8"/>
      <c r="AG314" s="12" t="s">
        <v>559</v>
      </c>
      <c r="AH314" s="12"/>
      <c r="AI314" s="12" t="s">
        <v>50</v>
      </c>
      <c r="AJ314" s="12"/>
      <c r="AK314" s="8">
        <v>0</v>
      </c>
      <c r="AL314" s="8"/>
      <c r="AM314" s="8">
        <v>3108536</v>
      </c>
      <c r="AN314" s="8"/>
      <c r="AO314" s="8">
        <v>855088</v>
      </c>
      <c r="AP314" s="8"/>
      <c r="AQ314" s="8">
        <v>349952</v>
      </c>
      <c r="AR314" s="8"/>
      <c r="AS314" s="8"/>
      <c r="AT314" s="8"/>
      <c r="AU314" s="8">
        <v>10</v>
      </c>
      <c r="AV314" s="8"/>
      <c r="AW314" s="8">
        <f t="shared" si="17"/>
        <v>53778901</v>
      </c>
      <c r="AY314" s="8">
        <f>+'St of Activites - GA Rev'!AI317-'St of Activities - GA Exp'!AW314</f>
        <v>-2608697</v>
      </c>
      <c r="BA314" s="8">
        <v>25454729</v>
      </c>
      <c r="BC314" s="8">
        <f t="shared" si="16"/>
        <v>22846032</v>
      </c>
      <c r="BE314" s="8">
        <f>+'St of Net Assets - GA'!AA316-'St of Activities - GA Exp'!BC314</f>
        <v>0</v>
      </c>
    </row>
    <row r="315" spans="1:57">
      <c r="A315" s="12" t="s">
        <v>251</v>
      </c>
      <c r="B315" s="12"/>
      <c r="C315" s="12" t="s">
        <v>246</v>
      </c>
      <c r="D315" s="12"/>
      <c r="E315" s="32">
        <v>44404</v>
      </c>
      <c r="G315" s="8">
        <v>25443727</v>
      </c>
      <c r="H315" s="8"/>
      <c r="I315" s="8">
        <v>9846602</v>
      </c>
      <c r="J315" s="8"/>
      <c r="K315" s="8">
        <v>28145</v>
      </c>
      <c r="L315" s="8"/>
      <c r="M315" s="8">
        <v>8240976</v>
      </c>
      <c r="N315" s="8"/>
      <c r="O315" s="8">
        <v>4269073</v>
      </c>
      <c r="P315" s="8"/>
      <c r="Q315" s="8">
        <v>4294621</v>
      </c>
      <c r="R315" s="8"/>
      <c r="S315" s="8">
        <v>28152</v>
      </c>
      <c r="T315" s="8"/>
      <c r="U315" s="8">
        <v>4969878</v>
      </c>
      <c r="V315" s="8"/>
      <c r="W315" s="8">
        <v>1602802</v>
      </c>
      <c r="X315" s="8"/>
      <c r="Y315" s="8">
        <v>378914</v>
      </c>
      <c r="Z315" s="8"/>
      <c r="AA315" s="8">
        <v>8650520</v>
      </c>
      <c r="AB315" s="8"/>
      <c r="AC315" s="8">
        <v>3179889</v>
      </c>
      <c r="AD315" s="8"/>
      <c r="AE315" s="8">
        <v>1764603</v>
      </c>
      <c r="AF315" s="8"/>
      <c r="AG315" s="12" t="s">
        <v>251</v>
      </c>
      <c r="AH315" s="12"/>
      <c r="AI315" s="12" t="s">
        <v>246</v>
      </c>
      <c r="AJ315" s="12"/>
      <c r="AK315" s="8">
        <v>0</v>
      </c>
      <c r="AL315" s="8"/>
      <c r="AM315" s="8">
        <v>3689463</v>
      </c>
      <c r="AN315" s="8"/>
      <c r="AO315" s="8">
        <v>787327</v>
      </c>
      <c r="AP315" s="8"/>
      <c r="AQ315" s="8">
        <v>2999529</v>
      </c>
      <c r="AR315" s="8"/>
      <c r="AS315" s="8"/>
      <c r="AT315" s="8"/>
      <c r="AU315" s="8">
        <v>0</v>
      </c>
      <c r="AV315" s="8"/>
      <c r="AW315" s="8">
        <f t="shared" si="17"/>
        <v>80174221</v>
      </c>
      <c r="AY315" s="8">
        <f>+'St of Activites - GA Rev'!AI318-'St of Activities - GA Exp'!AW315</f>
        <v>5303985</v>
      </c>
      <c r="BA315" s="8">
        <v>20385574</v>
      </c>
      <c r="BC315" s="8">
        <f t="shared" si="16"/>
        <v>25689559</v>
      </c>
      <c r="BE315" s="8">
        <f>+'St of Net Assets - GA'!AA317-'St of Activities - GA Exp'!BC315</f>
        <v>0</v>
      </c>
    </row>
    <row r="316" spans="1:57">
      <c r="A316" s="12" t="s">
        <v>497</v>
      </c>
      <c r="B316" s="12"/>
      <c r="C316" s="12" t="s">
        <v>44</v>
      </c>
      <c r="D316" s="12"/>
      <c r="E316" s="32">
        <v>48173</v>
      </c>
      <c r="G316" s="8">
        <v>13329369</v>
      </c>
      <c r="H316" s="8"/>
      <c r="I316" s="8">
        <v>2455789</v>
      </c>
      <c r="J316" s="8"/>
      <c r="K316" s="8">
        <v>125462</v>
      </c>
      <c r="L316" s="8"/>
      <c r="M316" s="8">
        <v>55122</v>
      </c>
      <c r="N316" s="8"/>
      <c r="O316" s="8">
        <v>1829691</v>
      </c>
      <c r="P316" s="8"/>
      <c r="Q316" s="8">
        <v>435085</v>
      </c>
      <c r="R316" s="8"/>
      <c r="S316" s="8">
        <v>878834</v>
      </c>
      <c r="T316" s="8"/>
      <c r="U316" s="8">
        <v>2662188</v>
      </c>
      <c r="V316" s="8"/>
      <c r="W316" s="8">
        <v>981497</v>
      </c>
      <c r="X316" s="8"/>
      <c r="Y316" s="8">
        <v>397262</v>
      </c>
      <c r="Z316" s="8"/>
      <c r="AA316" s="8">
        <v>2786280</v>
      </c>
      <c r="AB316" s="8"/>
      <c r="AC316" s="8">
        <v>1524331</v>
      </c>
      <c r="AD316" s="8"/>
      <c r="AE316" s="8">
        <v>0</v>
      </c>
      <c r="AF316" s="8"/>
      <c r="AG316" s="12" t="s">
        <v>497</v>
      </c>
      <c r="AH316" s="12"/>
      <c r="AI316" s="12" t="s">
        <v>44</v>
      </c>
      <c r="AJ316" s="12"/>
      <c r="AK316" s="8">
        <v>0</v>
      </c>
      <c r="AL316" s="8"/>
      <c r="AM316" s="8">
        <v>0</v>
      </c>
      <c r="AN316" s="8"/>
      <c r="AO316" s="8">
        <v>587261</v>
      </c>
      <c r="AP316" s="8"/>
      <c r="AQ316" s="8">
        <v>1437562</v>
      </c>
      <c r="AR316" s="8"/>
      <c r="AS316" s="8"/>
      <c r="AT316" s="8"/>
      <c r="AU316" s="8">
        <v>0</v>
      </c>
      <c r="AV316" s="8"/>
      <c r="AW316" s="8">
        <f t="shared" si="17"/>
        <v>29485733</v>
      </c>
      <c r="AY316" s="8">
        <f>+'St of Activites - GA Rev'!AI319-'St of Activities - GA Exp'!AW316</f>
        <v>-289020</v>
      </c>
      <c r="BA316" s="8">
        <v>10049786</v>
      </c>
      <c r="BC316" s="8">
        <f t="shared" si="16"/>
        <v>9760766</v>
      </c>
      <c r="BE316" s="8">
        <f>+'St of Net Assets - GA'!AA318-'St of Activities - GA Exp'!BC316</f>
        <v>0</v>
      </c>
    </row>
    <row r="317" spans="1:57">
      <c r="A317" s="12" t="s">
        <v>274</v>
      </c>
      <c r="B317" s="12"/>
      <c r="C317" s="12" t="s">
        <v>116</v>
      </c>
      <c r="D317" s="12"/>
      <c r="E317" s="32">
        <v>45500</v>
      </c>
      <c r="G317" s="8">
        <v>25423030</v>
      </c>
      <c r="H317" s="8"/>
      <c r="I317" s="8">
        <v>5787552</v>
      </c>
      <c r="J317" s="8"/>
      <c r="K317" s="8">
        <v>256885</v>
      </c>
      <c r="L317" s="8"/>
      <c r="M317" s="8">
        <f>13813+879674</f>
        <v>893487</v>
      </c>
      <c r="N317" s="8"/>
      <c r="O317" s="8">
        <v>2356408</v>
      </c>
      <c r="P317" s="8"/>
      <c r="Q317" s="8">
        <v>3132791</v>
      </c>
      <c r="R317" s="8"/>
      <c r="S317" s="8">
        <v>94742</v>
      </c>
      <c r="T317" s="8"/>
      <c r="U317" s="8">
        <v>3024618</v>
      </c>
      <c r="V317" s="8"/>
      <c r="W317" s="8">
        <v>1354831</v>
      </c>
      <c r="X317" s="8"/>
      <c r="Y317" s="8">
        <v>436489</v>
      </c>
      <c r="Z317" s="8"/>
      <c r="AA317" s="8">
        <v>6092521</v>
      </c>
      <c r="AB317" s="8"/>
      <c r="AC317" s="8">
        <v>4350671</v>
      </c>
      <c r="AD317" s="8"/>
      <c r="AE317" s="8">
        <v>820245</v>
      </c>
      <c r="AF317" s="8"/>
      <c r="AG317" s="12" t="s">
        <v>274</v>
      </c>
      <c r="AH317" s="12"/>
      <c r="AI317" s="12" t="s">
        <v>116</v>
      </c>
      <c r="AJ317" s="12"/>
      <c r="AK317" s="8">
        <v>2907252</v>
      </c>
      <c r="AL317" s="8"/>
      <c r="AM317" s="8">
        <v>509684</v>
      </c>
      <c r="AN317" s="8"/>
      <c r="AO317" s="8">
        <v>1185478</v>
      </c>
      <c r="AP317" s="8"/>
      <c r="AQ317" s="8">
        <v>1903275</v>
      </c>
      <c r="AR317" s="8"/>
      <c r="AS317" s="8"/>
      <c r="AT317" s="8"/>
      <c r="AU317" s="8">
        <v>0</v>
      </c>
      <c r="AV317" s="8"/>
      <c r="AW317" s="8">
        <f t="shared" si="17"/>
        <v>60529959</v>
      </c>
      <c r="AY317" s="8">
        <f>+'St of Activites - GA Rev'!AI320-'St of Activities - GA Exp'!AW317</f>
        <v>3711394</v>
      </c>
      <c r="BA317" s="8">
        <v>13122624</v>
      </c>
      <c r="BC317" s="8">
        <f t="shared" si="16"/>
        <v>16834018</v>
      </c>
      <c r="BE317" s="8">
        <f>+'St of Net Assets - GA'!AA319-'St of Activities - GA Exp'!BC317</f>
        <v>0</v>
      </c>
    </row>
    <row r="318" spans="1:57" ht="12" hidden="1" customHeight="1">
      <c r="A318" s="12" t="s">
        <v>736</v>
      </c>
      <c r="B318" s="12"/>
      <c r="C318" s="12" t="s">
        <v>733</v>
      </c>
      <c r="D318" s="12"/>
      <c r="E318" s="32">
        <v>50633</v>
      </c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12" t="s">
        <v>736</v>
      </c>
      <c r="AH318" s="12"/>
      <c r="AI318" s="12" t="s">
        <v>733</v>
      </c>
      <c r="AJ318" s="12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>
        <f t="shared" si="17"/>
        <v>0</v>
      </c>
      <c r="AY318" s="8">
        <f>+'St of Activites - GA Rev'!AI321-'St of Activities - GA Exp'!AW318</f>
        <v>0</v>
      </c>
      <c r="BC318" s="8">
        <f t="shared" si="16"/>
        <v>0</v>
      </c>
      <c r="BE318" s="8">
        <f>+'St of Net Assets - GA'!AA320-'St of Activities - GA Exp'!BC318</f>
        <v>0</v>
      </c>
    </row>
    <row r="319" spans="1:57" ht="12" hidden="1" customHeight="1">
      <c r="A319" s="12" t="s">
        <v>610</v>
      </c>
      <c r="B319" s="12"/>
      <c r="C319" s="12" t="s">
        <v>608</v>
      </c>
      <c r="D319" s="12"/>
      <c r="E319" s="32">
        <v>49361</v>
      </c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12" t="s">
        <v>610</v>
      </c>
      <c r="AH319" s="12"/>
      <c r="AI319" s="12" t="s">
        <v>608</v>
      </c>
      <c r="AJ319" s="12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>
        <f t="shared" si="17"/>
        <v>0</v>
      </c>
      <c r="AY319" s="8">
        <f>+'St of Activites - GA Rev'!AI322-'St of Activities - GA Exp'!AW319</f>
        <v>0</v>
      </c>
      <c r="BC319" s="8">
        <f t="shared" si="16"/>
        <v>0</v>
      </c>
      <c r="BE319" s="8">
        <f>+'St of Net Assets - GA'!AA321-'St of Activities - GA Exp'!BC319</f>
        <v>0</v>
      </c>
    </row>
    <row r="320" spans="1:57">
      <c r="A320" s="12" t="s">
        <v>546</v>
      </c>
      <c r="B320" s="12"/>
      <c r="C320" s="12" t="s">
        <v>48</v>
      </c>
      <c r="D320" s="12"/>
      <c r="E320" s="32">
        <v>45518</v>
      </c>
      <c r="G320" s="8">
        <v>8092685</v>
      </c>
      <c r="H320" s="8"/>
      <c r="I320" s="8">
        <v>0</v>
      </c>
      <c r="J320" s="8"/>
      <c r="K320" s="8">
        <v>0</v>
      </c>
      <c r="L320" s="8"/>
      <c r="M320" s="8">
        <v>0</v>
      </c>
      <c r="N320" s="8"/>
      <c r="O320" s="8">
        <v>749718</v>
      </c>
      <c r="P320" s="8"/>
      <c r="Q320" s="8">
        <v>720893</v>
      </c>
      <c r="R320" s="8"/>
      <c r="S320" s="8">
        <v>91002</v>
      </c>
      <c r="T320" s="8"/>
      <c r="U320" s="8">
        <v>1107794</v>
      </c>
      <c r="V320" s="8"/>
      <c r="W320" s="8">
        <v>406766</v>
      </c>
      <c r="X320" s="8"/>
      <c r="Y320" s="8">
        <v>128433</v>
      </c>
      <c r="Z320" s="8"/>
      <c r="AA320" s="8">
        <v>908058</v>
      </c>
      <c r="AB320" s="8"/>
      <c r="AC320" s="8">
        <v>716543</v>
      </c>
      <c r="AD320" s="8"/>
      <c r="AE320" s="8">
        <v>479481</v>
      </c>
      <c r="AF320" s="8"/>
      <c r="AG320" s="12" t="s">
        <v>546</v>
      </c>
      <c r="AH320" s="12"/>
      <c r="AI320" s="12" t="s">
        <v>48</v>
      </c>
      <c r="AJ320" s="12"/>
      <c r="AK320" s="8">
        <v>0</v>
      </c>
      <c r="AL320" s="8"/>
      <c r="AM320" s="8">
        <v>590360</v>
      </c>
      <c r="AN320" s="8"/>
      <c r="AO320" s="8">
        <v>516897</v>
      </c>
      <c r="AP320" s="8"/>
      <c r="AQ320" s="8">
        <v>0</v>
      </c>
      <c r="AR320" s="8"/>
      <c r="AS320" s="8"/>
      <c r="AT320" s="8"/>
      <c r="AU320" s="8">
        <v>0</v>
      </c>
      <c r="AV320" s="8"/>
      <c r="AW320" s="8">
        <f t="shared" si="17"/>
        <v>14508630</v>
      </c>
      <c r="AY320" s="8">
        <f>+'St of Activites - GA Rev'!AI323-'St of Activities - GA Exp'!AW320</f>
        <v>729709</v>
      </c>
      <c r="BA320" s="8">
        <v>6625619</v>
      </c>
      <c r="BC320" s="8">
        <f t="shared" si="16"/>
        <v>7355328</v>
      </c>
      <c r="BE320" s="8">
        <f>+'St of Net Assets - GA'!AA322-'St of Activities - GA Exp'!BC320</f>
        <v>0</v>
      </c>
    </row>
    <row r="321" spans="1:59">
      <c r="A321" s="12" t="s">
        <v>662</v>
      </c>
      <c r="B321" s="12"/>
      <c r="C321" s="12" t="s">
        <v>62</v>
      </c>
      <c r="D321" s="12"/>
      <c r="E321" s="32">
        <v>49890</v>
      </c>
      <c r="G321" s="8">
        <v>9103032</v>
      </c>
      <c r="H321" s="8"/>
      <c r="I321" s="8">
        <v>2109327</v>
      </c>
      <c r="J321" s="8"/>
      <c r="K321" s="8">
        <v>8062</v>
      </c>
      <c r="L321" s="8"/>
      <c r="M321" s="8">
        <v>4625</v>
      </c>
      <c r="N321" s="8"/>
      <c r="O321" s="8">
        <v>964933</v>
      </c>
      <c r="P321" s="8"/>
      <c r="Q321" s="8">
        <v>879768</v>
      </c>
      <c r="R321" s="8"/>
      <c r="S321" s="8">
        <v>99271</v>
      </c>
      <c r="T321" s="8"/>
      <c r="U321" s="8">
        <v>1495926</v>
      </c>
      <c r="V321" s="8"/>
      <c r="W321" s="8">
        <v>489252</v>
      </c>
      <c r="X321" s="8"/>
      <c r="Y321" s="8">
        <v>76081</v>
      </c>
      <c r="Z321" s="8"/>
      <c r="AA321" s="8">
        <v>1121644</v>
      </c>
      <c r="AB321" s="8"/>
      <c r="AC321" s="8">
        <v>1030809</v>
      </c>
      <c r="AD321" s="8"/>
      <c r="AE321" s="8">
        <v>121066</v>
      </c>
      <c r="AF321" s="8"/>
      <c r="AG321" s="12" t="s">
        <v>662</v>
      </c>
      <c r="AH321" s="12"/>
      <c r="AI321" s="12" t="s">
        <v>62</v>
      </c>
      <c r="AJ321" s="12"/>
      <c r="AK321" s="8">
        <v>855063</v>
      </c>
      <c r="AL321" s="8"/>
      <c r="AM321" s="8">
        <v>42579</v>
      </c>
      <c r="AN321" s="8"/>
      <c r="AO321" s="8">
        <v>578628</v>
      </c>
      <c r="AP321" s="8"/>
      <c r="AQ321" s="8">
        <v>631925</v>
      </c>
      <c r="AR321" s="8"/>
      <c r="AS321" s="8"/>
      <c r="AT321" s="8"/>
      <c r="AU321" s="8">
        <v>12071</v>
      </c>
      <c r="AV321" s="8"/>
      <c r="AW321" s="8">
        <f t="shared" si="17"/>
        <v>19624062</v>
      </c>
      <c r="AY321" s="8">
        <f>+'St of Activites - GA Rev'!AI324-'St of Activities - GA Exp'!AW321</f>
        <v>585018</v>
      </c>
      <c r="BA321" s="8">
        <v>27436193</v>
      </c>
      <c r="BC321" s="8">
        <f t="shared" si="16"/>
        <v>28021211</v>
      </c>
      <c r="BE321" s="8">
        <f>+'St of Net Assets - GA'!AA323-'St of Activities - GA Exp'!BC321</f>
        <v>0</v>
      </c>
    </row>
    <row r="322" spans="1:59">
      <c r="A322" s="12" t="s">
        <v>634</v>
      </c>
      <c r="B322" s="12"/>
      <c r="C322" s="12" t="s">
        <v>59</v>
      </c>
      <c r="D322" s="12"/>
      <c r="E322" s="32">
        <v>49627</v>
      </c>
      <c r="G322" s="8">
        <v>7599698</v>
      </c>
      <c r="H322" s="8"/>
      <c r="I322" s="8">
        <v>1051601</v>
      </c>
      <c r="J322" s="8"/>
      <c r="K322" s="8">
        <v>245087</v>
      </c>
      <c r="L322" s="8"/>
      <c r="M322" s="8">
        <v>22439</v>
      </c>
      <c r="N322" s="8"/>
      <c r="O322" s="8">
        <v>491927</v>
      </c>
      <c r="P322" s="8"/>
      <c r="Q322" s="8">
        <v>720036</v>
      </c>
      <c r="R322" s="8"/>
      <c r="S322" s="8">
        <v>44803</v>
      </c>
      <c r="T322" s="8"/>
      <c r="U322" s="8">
        <v>1328954</v>
      </c>
      <c r="V322" s="8"/>
      <c r="W322" s="8">
        <v>279172</v>
      </c>
      <c r="X322" s="8"/>
      <c r="Y322" s="8">
        <v>0</v>
      </c>
      <c r="Z322" s="8"/>
      <c r="AA322" s="8">
        <v>1235000</v>
      </c>
      <c r="AB322" s="8"/>
      <c r="AC322" s="8">
        <v>983485</v>
      </c>
      <c r="AD322" s="8"/>
      <c r="AE322" s="8">
        <v>2847</v>
      </c>
      <c r="AF322" s="8"/>
      <c r="AG322" s="12" t="s">
        <v>634</v>
      </c>
      <c r="AH322" s="12"/>
      <c r="AI322" s="12" t="s">
        <v>59</v>
      </c>
      <c r="AJ322" s="12"/>
      <c r="AK322" s="8">
        <v>0</v>
      </c>
      <c r="AL322" s="8"/>
      <c r="AM322" s="8">
        <v>684655</v>
      </c>
      <c r="AN322" s="8"/>
      <c r="AO322" s="8">
        <v>446906</v>
      </c>
      <c r="AP322" s="8"/>
      <c r="AQ322" s="8">
        <v>172861</v>
      </c>
      <c r="AR322" s="8"/>
      <c r="AS322" s="8"/>
      <c r="AT322" s="8"/>
      <c r="AU322" s="8">
        <v>0</v>
      </c>
      <c r="AV322" s="8"/>
      <c r="AW322" s="8">
        <f t="shared" ref="AW322:AW335" si="18">SUM(G322:AV322)</f>
        <v>15309471</v>
      </c>
      <c r="AY322" s="8">
        <f>+'St of Activites - GA Rev'!AI325-'St of Activities - GA Exp'!AW322</f>
        <v>-92234</v>
      </c>
      <c r="BA322" s="8">
        <v>25916468</v>
      </c>
      <c r="BC322" s="8">
        <f t="shared" si="16"/>
        <v>25824234</v>
      </c>
      <c r="BE322" s="8">
        <f>+'St of Net Assets - GA'!AA324-'St of Activities - GA Exp'!BC322</f>
        <v>0</v>
      </c>
    </row>
    <row r="323" spans="1:59">
      <c r="A323" s="12"/>
      <c r="B323" s="12"/>
      <c r="C323" s="12"/>
      <c r="D323" s="12"/>
      <c r="E323" s="32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12"/>
      <c r="AH323" s="12"/>
      <c r="AI323" s="12"/>
      <c r="AJ323" s="12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</row>
    <row r="324" spans="1:59">
      <c r="A324" s="12"/>
      <c r="B324" s="12"/>
      <c r="C324" s="12"/>
      <c r="D324" s="12"/>
      <c r="E324" s="32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 t="s">
        <v>819</v>
      </c>
      <c r="AF324" s="8"/>
      <c r="AG324" s="12"/>
      <c r="AH324" s="12"/>
      <c r="AI324" s="12"/>
      <c r="AJ324" s="12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BC324" s="8" t="s">
        <v>819</v>
      </c>
    </row>
    <row r="325" spans="1:59" s="35" customFormat="1">
      <c r="A325" s="34" t="s">
        <v>229</v>
      </c>
      <c r="B325" s="34"/>
      <c r="C325" s="34" t="s">
        <v>14</v>
      </c>
      <c r="D325" s="34"/>
      <c r="E325" s="34">
        <v>45948</v>
      </c>
      <c r="G325" s="35">
        <v>4446988</v>
      </c>
      <c r="I325" s="35">
        <v>458790</v>
      </c>
      <c r="K325" s="35">
        <v>230372</v>
      </c>
      <c r="M325" s="35">
        <v>0</v>
      </c>
      <c r="O325" s="35">
        <v>394895</v>
      </c>
      <c r="Q325" s="35">
        <v>395446</v>
      </c>
      <c r="S325" s="35">
        <v>34144</v>
      </c>
      <c r="U325" s="35">
        <v>620139</v>
      </c>
      <c r="W325" s="35">
        <v>258165</v>
      </c>
      <c r="Y325" s="35">
        <v>0</v>
      </c>
      <c r="AA325" s="35">
        <v>960676</v>
      </c>
      <c r="AC325" s="35">
        <v>254181</v>
      </c>
      <c r="AE325" s="35">
        <v>57159</v>
      </c>
      <c r="AG325" s="34" t="s">
        <v>229</v>
      </c>
      <c r="AH325" s="34"/>
      <c r="AI325" s="34" t="s">
        <v>14</v>
      </c>
      <c r="AJ325" s="34"/>
      <c r="AK325" s="35">
        <v>0</v>
      </c>
      <c r="AM325" s="35">
        <v>370662</v>
      </c>
      <c r="AO325" s="35">
        <v>336544</v>
      </c>
      <c r="AQ325" s="35">
        <v>575588</v>
      </c>
      <c r="AU325" s="35">
        <v>212375</v>
      </c>
      <c r="AW325" s="35">
        <f t="shared" si="18"/>
        <v>9606124</v>
      </c>
      <c r="AY325" s="35">
        <f>+'St of Activites - GA Rev'!AI328-'St of Activities - GA Exp'!AW325</f>
        <v>420007</v>
      </c>
      <c r="BA325" s="35">
        <v>3633174</v>
      </c>
      <c r="BC325" s="35">
        <f t="shared" si="16"/>
        <v>4053181</v>
      </c>
      <c r="BE325" s="35">
        <f>+'St of Net Assets - GA'!AA325-'St of Activities - GA Exp'!BC325</f>
        <v>0</v>
      </c>
    </row>
    <row r="326" spans="1:59" ht="12" hidden="1" customHeight="1">
      <c r="A326" s="12" t="s">
        <v>332</v>
      </c>
      <c r="B326" s="12"/>
      <c r="C326" s="12" t="s">
        <v>21</v>
      </c>
      <c r="D326" s="12"/>
      <c r="E326" s="32">
        <v>46672</v>
      </c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12" t="s">
        <v>332</v>
      </c>
      <c r="AH326" s="12"/>
      <c r="AI326" s="12" t="s">
        <v>21</v>
      </c>
      <c r="AJ326" s="12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>
        <f t="shared" si="18"/>
        <v>0</v>
      </c>
      <c r="AY326" s="8">
        <f>+'St of Activites - GA Rev'!AI329-'St of Activities - GA Exp'!AW326</f>
        <v>0</v>
      </c>
      <c r="BC326" s="8">
        <f t="shared" si="16"/>
        <v>0</v>
      </c>
      <c r="BE326" s="8">
        <f>+'St of Net Assets - GA'!AA326-'St of Activities - GA Exp'!BC326</f>
        <v>0</v>
      </c>
      <c r="BG326" s="10" t="s">
        <v>930</v>
      </c>
    </row>
    <row r="327" spans="1:59">
      <c r="A327" s="12" t="s">
        <v>672</v>
      </c>
      <c r="B327" s="12"/>
      <c r="C327" s="12" t="s">
        <v>63</v>
      </c>
      <c r="D327" s="12"/>
      <c r="E327" s="32">
        <v>50039</v>
      </c>
      <c r="G327" s="8">
        <v>4387493</v>
      </c>
      <c r="H327" s="8"/>
      <c r="I327" s="8">
        <v>787589</v>
      </c>
      <c r="J327" s="8"/>
      <c r="K327" s="8">
        <v>82098</v>
      </c>
      <c r="L327" s="8"/>
      <c r="M327" s="8">
        <v>546809</v>
      </c>
      <c r="N327" s="8"/>
      <c r="O327" s="8">
        <v>510222</v>
      </c>
      <c r="P327" s="8"/>
      <c r="Q327" s="8">
        <v>375423</v>
      </c>
      <c r="R327" s="8"/>
      <c r="S327" s="8">
        <v>45899</v>
      </c>
      <c r="T327" s="8"/>
      <c r="U327" s="8">
        <v>807139</v>
      </c>
      <c r="V327" s="8"/>
      <c r="W327" s="8">
        <v>417383</v>
      </c>
      <c r="X327" s="8"/>
      <c r="Y327" s="8">
        <v>397</v>
      </c>
      <c r="Z327" s="8"/>
      <c r="AA327" s="8">
        <v>958320</v>
      </c>
      <c r="AB327" s="8"/>
      <c r="AC327" s="8">
        <v>385253</v>
      </c>
      <c r="AD327" s="8"/>
      <c r="AE327" s="8">
        <v>68836</v>
      </c>
      <c r="AF327" s="8"/>
      <c r="AG327" s="12" t="s">
        <v>672</v>
      </c>
      <c r="AH327" s="12"/>
      <c r="AI327" s="12" t="s">
        <v>63</v>
      </c>
      <c r="AJ327" s="12"/>
      <c r="AK327" s="8">
        <v>0</v>
      </c>
      <c r="AL327" s="8"/>
      <c r="AM327" s="8">
        <v>293648</v>
      </c>
      <c r="AN327" s="8"/>
      <c r="AO327" s="8">
        <v>326515</v>
      </c>
      <c r="AP327" s="8"/>
      <c r="AQ327" s="8">
        <v>587510</v>
      </c>
      <c r="AR327" s="8"/>
      <c r="AS327" s="8"/>
      <c r="AT327" s="8"/>
      <c r="AU327" s="8">
        <v>0</v>
      </c>
      <c r="AV327" s="8"/>
      <c r="AW327" s="8">
        <f t="shared" si="18"/>
        <v>10580534</v>
      </c>
      <c r="AY327" s="8">
        <f>+'St of Activites - GA Rev'!AI330-'St of Activities - GA Exp'!AW327</f>
        <v>-966327</v>
      </c>
      <c r="BA327" s="8">
        <v>9285606</v>
      </c>
      <c r="BC327" s="8">
        <f t="shared" si="16"/>
        <v>8319279</v>
      </c>
      <c r="BE327" s="8">
        <f>+'St of Net Assets - GA'!AA327-'St of Activities - GA Exp'!BC327</f>
        <v>0</v>
      </c>
    </row>
    <row r="328" spans="1:59" ht="12" hidden="1" customHeight="1">
      <c r="A328" s="12" t="s">
        <v>748</v>
      </c>
      <c r="B328" s="12"/>
      <c r="C328" s="12" t="s">
        <v>747</v>
      </c>
      <c r="D328" s="12"/>
      <c r="E328" s="32">
        <v>50740</v>
      </c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12" t="s">
        <v>748</v>
      </c>
      <c r="AH328" s="12"/>
      <c r="AI328" s="12" t="s">
        <v>747</v>
      </c>
      <c r="AJ328" s="12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>
        <f t="shared" si="18"/>
        <v>0</v>
      </c>
      <c r="AY328" s="8">
        <f>+'St of Activites - GA Rev'!AI331-'St of Activities - GA Exp'!AW328</f>
        <v>0</v>
      </c>
      <c r="BC328" s="8">
        <f t="shared" si="16"/>
        <v>0</v>
      </c>
      <c r="BE328" s="8">
        <f>+'St of Net Assets - GA'!AA328-'St of Activities - GA Exp'!BC328</f>
        <v>0</v>
      </c>
    </row>
    <row r="329" spans="1:59">
      <c r="A329" s="12" t="s">
        <v>252</v>
      </c>
      <c r="B329" s="12"/>
      <c r="C329" s="12" t="s">
        <v>246</v>
      </c>
      <c r="D329" s="12"/>
      <c r="E329" s="32">
        <v>139303</v>
      </c>
      <c r="G329" s="8">
        <v>9962807</v>
      </c>
      <c r="H329" s="8"/>
      <c r="I329" s="8">
        <v>1273693</v>
      </c>
      <c r="J329" s="8"/>
      <c r="K329" s="8">
        <v>0</v>
      </c>
      <c r="L329" s="8"/>
      <c r="M329" s="8">
        <v>33521</v>
      </c>
      <c r="N329" s="8"/>
      <c r="O329" s="8">
        <v>956942</v>
      </c>
      <c r="P329" s="8"/>
      <c r="Q329" s="8">
        <v>710573</v>
      </c>
      <c r="R329" s="8"/>
      <c r="S329" s="8">
        <v>61300</v>
      </c>
      <c r="T329" s="8"/>
      <c r="U329" s="8">
        <v>1600549</v>
      </c>
      <c r="V329" s="8"/>
      <c r="W329" s="8">
        <v>529038</v>
      </c>
      <c r="X329" s="8"/>
      <c r="Y329" s="8">
        <v>132802</v>
      </c>
      <c r="Z329" s="8"/>
      <c r="AA329" s="8">
        <v>1599746</v>
      </c>
      <c r="AB329" s="8"/>
      <c r="AC329" s="8">
        <v>1629905</v>
      </c>
      <c r="AD329" s="8"/>
      <c r="AE329" s="8">
        <v>468385</v>
      </c>
      <c r="AF329" s="8"/>
      <c r="AG329" s="12" t="s">
        <v>252</v>
      </c>
      <c r="AH329" s="12"/>
      <c r="AI329" s="12" t="s">
        <v>246</v>
      </c>
      <c r="AJ329" s="12"/>
      <c r="AK329" s="8">
        <v>807224</v>
      </c>
      <c r="AL329" s="8"/>
      <c r="AM329" s="8">
        <v>2370</v>
      </c>
      <c r="AN329" s="8"/>
      <c r="AO329" s="8">
        <v>840643</v>
      </c>
      <c r="AP329" s="8"/>
      <c r="AQ329" s="8">
        <v>1501000</v>
      </c>
      <c r="AR329" s="8"/>
      <c r="AS329" s="8"/>
      <c r="AT329" s="8"/>
      <c r="AU329" s="8">
        <v>0</v>
      </c>
      <c r="AV329" s="8"/>
      <c r="AW329" s="8">
        <f t="shared" si="18"/>
        <v>22110498</v>
      </c>
      <c r="AY329" s="8">
        <f>+'St of Activites - GA Rev'!AI332-'St of Activities - GA Exp'!AW329</f>
        <v>-1171699</v>
      </c>
      <c r="BA329" s="8">
        <v>5155235</v>
      </c>
      <c r="BC329" s="8">
        <f t="shared" si="16"/>
        <v>3983536</v>
      </c>
      <c r="BE329" s="8">
        <f>+'St of Net Assets - GA'!AA329-'St of Activities - GA Exp'!BC329</f>
        <v>0</v>
      </c>
    </row>
    <row r="330" spans="1:59">
      <c r="A330" s="12" t="s">
        <v>449</v>
      </c>
      <c r="B330" s="12"/>
      <c r="C330" s="12" t="s">
        <v>37</v>
      </c>
      <c r="D330" s="12"/>
      <c r="E330" s="32">
        <v>47712</v>
      </c>
      <c r="G330" s="8">
        <v>2938501</v>
      </c>
      <c r="H330" s="8"/>
      <c r="I330" s="8">
        <v>551216</v>
      </c>
      <c r="J330" s="8"/>
      <c r="K330" s="8">
        <v>274012</v>
      </c>
      <c r="L330" s="8"/>
      <c r="M330" s="8">
        <v>6182</v>
      </c>
      <c r="N330" s="8"/>
      <c r="O330" s="8">
        <v>200248</v>
      </c>
      <c r="P330" s="8"/>
      <c r="Q330" s="8">
        <v>338686</v>
      </c>
      <c r="R330" s="8"/>
      <c r="S330" s="8">
        <v>35207</v>
      </c>
      <c r="T330" s="8"/>
      <c r="U330" s="8">
        <v>450741</v>
      </c>
      <c r="V330" s="8"/>
      <c r="W330" s="8">
        <v>241877</v>
      </c>
      <c r="X330" s="8"/>
      <c r="Y330" s="8">
        <v>3208</v>
      </c>
      <c r="Z330" s="8"/>
      <c r="AA330" s="8">
        <v>495229</v>
      </c>
      <c r="AB330" s="8"/>
      <c r="AC330" s="8">
        <v>396653</v>
      </c>
      <c r="AD330" s="8"/>
      <c r="AE330" s="8">
        <v>7475</v>
      </c>
      <c r="AF330" s="8"/>
      <c r="AG330" s="12" t="s">
        <v>449</v>
      </c>
      <c r="AH330" s="12"/>
      <c r="AI330" s="12" t="s">
        <v>37</v>
      </c>
      <c r="AJ330" s="12"/>
      <c r="AK330" s="8">
        <v>277500</v>
      </c>
      <c r="AL330" s="8"/>
      <c r="AM330" s="8">
        <v>6060</v>
      </c>
      <c r="AN330" s="8"/>
      <c r="AO330" s="8">
        <v>218992</v>
      </c>
      <c r="AP330" s="8"/>
      <c r="AQ330" s="8">
        <v>5106</v>
      </c>
      <c r="AR330" s="8"/>
      <c r="AS330" s="8"/>
      <c r="AT330" s="8"/>
      <c r="AU330" s="8">
        <v>66339</v>
      </c>
      <c r="AV330" s="8"/>
      <c r="AW330" s="8">
        <f t="shared" si="18"/>
        <v>6513232</v>
      </c>
      <c r="AY330" s="8">
        <f>+'St of Activites - GA Rev'!AI333-'St of Activities - GA Exp'!AW330</f>
        <v>93505</v>
      </c>
      <c r="BA330" s="8">
        <v>3199197</v>
      </c>
      <c r="BC330" s="8">
        <f t="shared" si="16"/>
        <v>3292702</v>
      </c>
      <c r="BE330" s="8">
        <f>+'St of Net Assets - GA'!AA330-'St of Activities - GA Exp'!BC330</f>
        <v>0</v>
      </c>
    </row>
    <row r="331" spans="1:59">
      <c r="A331" s="12" t="s">
        <v>737</v>
      </c>
      <c r="B331" s="12"/>
      <c r="C331" s="12" t="s">
        <v>733</v>
      </c>
      <c r="D331" s="12"/>
      <c r="E331" s="32">
        <v>45526</v>
      </c>
      <c r="G331" s="8">
        <v>4785248</v>
      </c>
      <c r="H331" s="8"/>
      <c r="I331" s="8">
        <v>899630</v>
      </c>
      <c r="J331" s="8"/>
      <c r="K331" s="8">
        <v>159124</v>
      </c>
      <c r="L331" s="8"/>
      <c r="M331" s="8">
        <f>11068+473861</f>
        <v>484929</v>
      </c>
      <c r="N331" s="8"/>
      <c r="O331" s="8">
        <v>399605</v>
      </c>
      <c r="P331" s="8"/>
      <c r="Q331" s="8">
        <v>391210</v>
      </c>
      <c r="R331" s="8"/>
      <c r="S331" s="8">
        <v>13095</v>
      </c>
      <c r="T331" s="8"/>
      <c r="U331" s="8">
        <v>619792</v>
      </c>
      <c r="V331" s="8"/>
      <c r="W331" s="8">
        <v>240090</v>
      </c>
      <c r="X331" s="8"/>
      <c r="Y331" s="8">
        <v>105</v>
      </c>
      <c r="Z331" s="8"/>
      <c r="AA331" s="8">
        <v>958947</v>
      </c>
      <c r="AB331" s="8"/>
      <c r="AC331" s="8">
        <v>424723</v>
      </c>
      <c r="AD331" s="8"/>
      <c r="AE331" s="8">
        <v>330299</v>
      </c>
      <c r="AF331" s="8"/>
      <c r="AG331" s="12" t="s">
        <v>737</v>
      </c>
      <c r="AH331" s="12"/>
      <c r="AI331" s="12" t="s">
        <v>733</v>
      </c>
      <c r="AJ331" s="12"/>
      <c r="AK331" s="8">
        <v>0</v>
      </c>
      <c r="AL331" s="8"/>
      <c r="AM331" s="8">
        <v>477102</v>
      </c>
      <c r="AN331" s="8"/>
      <c r="AO331" s="8">
        <v>357014</v>
      </c>
      <c r="AP331" s="8"/>
      <c r="AQ331" s="8">
        <v>196278</v>
      </c>
      <c r="AR331" s="8"/>
      <c r="AS331" s="8"/>
      <c r="AT331" s="8"/>
      <c r="AU331" s="8">
        <v>24481</v>
      </c>
      <c r="AV331" s="8"/>
      <c r="AW331" s="8">
        <f t="shared" si="18"/>
        <v>10761672</v>
      </c>
      <c r="AY331" s="8">
        <f>+'St of Activites - GA Rev'!AI334-'St of Activities - GA Exp'!AW331</f>
        <v>27445</v>
      </c>
      <c r="BA331" s="8">
        <v>27179915</v>
      </c>
      <c r="BC331" s="8">
        <f t="shared" si="16"/>
        <v>27207360</v>
      </c>
      <c r="BE331" s="8">
        <f>+'St of Net Assets - GA'!AA331-'St of Activities - GA Exp'!BC331</f>
        <v>0</v>
      </c>
    </row>
    <row r="332" spans="1:59">
      <c r="A332" s="12" t="s">
        <v>566</v>
      </c>
      <c r="B332" s="12"/>
      <c r="C332" s="12" t="s">
        <v>567</v>
      </c>
      <c r="D332" s="12"/>
      <c r="E332" s="32">
        <v>48777</v>
      </c>
      <c r="G332" s="8">
        <v>9354520</v>
      </c>
      <c r="H332" s="8"/>
      <c r="I332" s="8">
        <v>2301145</v>
      </c>
      <c r="J332" s="8"/>
      <c r="K332" s="8">
        <v>949678</v>
      </c>
      <c r="L332" s="8"/>
      <c r="M332" s="8">
        <f>974+316003</f>
        <v>316977</v>
      </c>
      <c r="N332" s="8"/>
      <c r="O332" s="8">
        <v>731111</v>
      </c>
      <c r="P332" s="8"/>
      <c r="Q332" s="8">
        <v>752627</v>
      </c>
      <c r="R332" s="8"/>
      <c r="S332" s="8">
        <v>86216</v>
      </c>
      <c r="T332" s="8"/>
      <c r="U332" s="8">
        <v>1884146</v>
      </c>
      <c r="V332" s="8"/>
      <c r="W332" s="8">
        <v>641812</v>
      </c>
      <c r="X332" s="8"/>
      <c r="Y332" s="8">
        <v>210582</v>
      </c>
      <c r="Z332" s="8"/>
      <c r="AA332" s="8">
        <v>1639056</v>
      </c>
      <c r="AB332" s="8"/>
      <c r="AC332" s="8">
        <v>1976020</v>
      </c>
      <c r="AD332" s="8"/>
      <c r="AE332" s="8">
        <v>179654</v>
      </c>
      <c r="AF332" s="8"/>
      <c r="AG332" s="12" t="s">
        <v>566</v>
      </c>
      <c r="AH332" s="12"/>
      <c r="AI332" s="12" t="s">
        <v>567</v>
      </c>
      <c r="AJ332" s="12"/>
      <c r="AK332" s="8">
        <v>1140417</v>
      </c>
      <c r="AL332" s="8"/>
      <c r="AM332" s="8">
        <v>0</v>
      </c>
      <c r="AN332" s="8"/>
      <c r="AO332" s="8">
        <v>263587</v>
      </c>
      <c r="AP332" s="8"/>
      <c r="AQ332" s="8">
        <v>662302</v>
      </c>
      <c r="AR332" s="8"/>
      <c r="AS332" s="8"/>
      <c r="AT332" s="8"/>
      <c r="AU332" s="8">
        <v>0</v>
      </c>
      <c r="AV332" s="8"/>
      <c r="AW332" s="8">
        <f t="shared" si="18"/>
        <v>23089850</v>
      </c>
      <c r="AY332" s="8">
        <f>+'St of Activites - GA Rev'!AI335-'St of Activities - GA Exp'!AW332</f>
        <v>21525819</v>
      </c>
      <c r="BA332" s="8">
        <v>20233550</v>
      </c>
      <c r="BC332" s="8">
        <f t="shared" si="16"/>
        <v>41759369</v>
      </c>
      <c r="BE332" s="8">
        <f>+'St of Net Assets - GA'!AA332-'St of Activities - GA Exp'!BC332</f>
        <v>0</v>
      </c>
    </row>
    <row r="333" spans="1:59">
      <c r="A333" s="13" t="s">
        <v>894</v>
      </c>
      <c r="B333" s="12"/>
      <c r="C333" s="12" t="s">
        <v>78</v>
      </c>
      <c r="D333" s="12"/>
      <c r="E333" s="32">
        <v>45534</v>
      </c>
      <c r="G333" s="8">
        <v>4689062</v>
      </c>
      <c r="H333" s="8"/>
      <c r="I333" s="8">
        <v>1357164</v>
      </c>
      <c r="J333" s="8"/>
      <c r="K333" s="8">
        <v>340071</v>
      </c>
      <c r="L333" s="8"/>
      <c r="M333" s="8">
        <v>1168750</v>
      </c>
      <c r="N333" s="8"/>
      <c r="O333" s="8">
        <v>557401</v>
      </c>
      <c r="P333" s="8"/>
      <c r="Q333" s="8">
        <v>495940</v>
      </c>
      <c r="R333" s="8"/>
      <c r="S333" s="8">
        <v>50387</v>
      </c>
      <c r="T333" s="8"/>
      <c r="U333" s="8">
        <v>741526</v>
      </c>
      <c r="V333" s="8"/>
      <c r="W333" s="8">
        <v>408812</v>
      </c>
      <c r="X333" s="8"/>
      <c r="Y333" s="8">
        <v>0</v>
      </c>
      <c r="Z333" s="8"/>
      <c r="AA333" s="8">
        <v>1236499</v>
      </c>
      <c r="AB333" s="8"/>
      <c r="AC333" s="8">
        <v>494433</v>
      </c>
      <c r="AD333" s="8"/>
      <c r="AE333" s="8">
        <v>26503</v>
      </c>
      <c r="AF333" s="8"/>
      <c r="AG333" s="12" t="s">
        <v>569</v>
      </c>
      <c r="AH333" s="12"/>
      <c r="AI333" s="12" t="s">
        <v>78</v>
      </c>
      <c r="AJ333" s="12"/>
      <c r="AK333" s="8">
        <v>411949</v>
      </c>
      <c r="AL333" s="8"/>
      <c r="AM333" s="8">
        <v>0</v>
      </c>
      <c r="AN333" s="8"/>
      <c r="AO333" s="8">
        <v>315898</v>
      </c>
      <c r="AP333" s="8"/>
      <c r="AQ333" s="8">
        <v>494007</v>
      </c>
      <c r="AR333" s="8"/>
      <c r="AS333" s="8"/>
      <c r="AT333" s="8"/>
      <c r="AU333" s="8">
        <v>0</v>
      </c>
      <c r="AV333" s="8"/>
      <c r="AW333" s="8">
        <f t="shared" si="18"/>
        <v>12788402</v>
      </c>
      <c r="AY333" s="8">
        <f>+'St of Activites - GA Rev'!AI336-'St of Activities - GA Exp'!AW333</f>
        <v>1627072</v>
      </c>
      <c r="BA333" s="8">
        <v>26326518</v>
      </c>
      <c r="BC333" s="8">
        <f t="shared" si="16"/>
        <v>27953590</v>
      </c>
      <c r="BE333" s="8">
        <f>+'St of Net Assets - GA'!AA333-'St of Activities - GA Exp'!BC333</f>
        <v>0</v>
      </c>
    </row>
    <row r="334" spans="1:59">
      <c r="A334" s="12" t="s">
        <v>462</v>
      </c>
      <c r="B334" s="12"/>
      <c r="C334" s="12" t="s">
        <v>40</v>
      </c>
      <c r="D334" s="12"/>
      <c r="E334" s="32">
        <v>44420</v>
      </c>
      <c r="G334" s="8">
        <v>16160375</v>
      </c>
      <c r="H334" s="8"/>
      <c r="I334" s="8">
        <v>4307831</v>
      </c>
      <c r="J334" s="8"/>
      <c r="K334" s="8">
        <v>358379</v>
      </c>
      <c r="L334" s="8"/>
      <c r="M334" s="8">
        <v>1544</v>
      </c>
      <c r="N334" s="8"/>
      <c r="O334" s="8">
        <v>1729079</v>
      </c>
      <c r="P334" s="8"/>
      <c r="Q334" s="8">
        <v>2169248</v>
      </c>
      <c r="R334" s="8"/>
      <c r="S334" s="8">
        <v>37936</v>
      </c>
      <c r="T334" s="8"/>
      <c r="U334" s="8">
        <v>2233061</v>
      </c>
      <c r="V334" s="8"/>
      <c r="W334" s="8">
        <v>2867743</v>
      </c>
      <c r="X334" s="8"/>
      <c r="Y334" s="8">
        <v>214919</v>
      </c>
      <c r="Z334" s="8"/>
      <c r="AA334" s="8">
        <v>4399730</v>
      </c>
      <c r="AB334" s="8"/>
      <c r="AC334" s="8">
        <v>1541338</v>
      </c>
      <c r="AD334" s="8"/>
      <c r="AE334" s="8">
        <v>147095</v>
      </c>
      <c r="AF334" s="8"/>
      <c r="AG334" s="12" t="s">
        <v>462</v>
      </c>
      <c r="AH334" s="12"/>
      <c r="AI334" s="12" t="s">
        <v>40</v>
      </c>
      <c r="AJ334" s="12"/>
      <c r="AK334" s="8">
        <v>0</v>
      </c>
      <c r="AL334" s="8"/>
      <c r="AM334" s="8">
        <v>1408377</v>
      </c>
      <c r="AN334" s="8"/>
      <c r="AO334" s="8">
        <v>641929</v>
      </c>
      <c r="AP334" s="8"/>
      <c r="AQ334" s="8">
        <v>325291</v>
      </c>
      <c r="AR334" s="8"/>
      <c r="AS334" s="8"/>
      <c r="AT334" s="8"/>
      <c r="AU334" s="8">
        <v>0</v>
      </c>
      <c r="AV334" s="8"/>
      <c r="AW334" s="8">
        <f t="shared" si="18"/>
        <v>38543875</v>
      </c>
      <c r="AY334" s="8">
        <f>+'St of Activites - GA Rev'!AI337-'St of Activities - GA Exp'!AW334</f>
        <v>-2943524</v>
      </c>
      <c r="BA334" s="8">
        <v>23962434</v>
      </c>
      <c r="BC334" s="8">
        <f t="shared" si="16"/>
        <v>21018910</v>
      </c>
      <c r="BE334" s="8">
        <f>+'St of Net Assets - GA'!AA334-'St of Activities - GA Exp'!BC334</f>
        <v>0</v>
      </c>
    </row>
    <row r="335" spans="1:59">
      <c r="A335" s="12" t="s">
        <v>898</v>
      </c>
      <c r="B335" s="12"/>
      <c r="C335" s="12" t="s">
        <v>32</v>
      </c>
      <c r="D335" s="12"/>
      <c r="E335" s="32">
        <v>44412</v>
      </c>
      <c r="G335" s="8">
        <v>13517835</v>
      </c>
      <c r="H335" s="8"/>
      <c r="I335" s="8">
        <v>5447596</v>
      </c>
      <c r="J335" s="8"/>
      <c r="K335" s="8">
        <v>204742</v>
      </c>
      <c r="L335" s="8"/>
      <c r="M335" s="8">
        <v>3981252</v>
      </c>
      <c r="N335" s="8"/>
      <c r="O335" s="8">
        <v>2348907</v>
      </c>
      <c r="P335" s="8"/>
      <c r="Q335" s="8">
        <v>2971814</v>
      </c>
      <c r="R335" s="8"/>
      <c r="S335" s="8">
        <v>141616</v>
      </c>
      <c r="T335" s="8"/>
      <c r="U335" s="8">
        <v>2711615</v>
      </c>
      <c r="V335" s="8"/>
      <c r="W335" s="8">
        <v>790212</v>
      </c>
      <c r="X335" s="8"/>
      <c r="Y335" s="8">
        <v>131026</v>
      </c>
      <c r="Z335" s="8"/>
      <c r="AA335" s="8">
        <v>4000585</v>
      </c>
      <c r="AB335" s="8"/>
      <c r="AC335" s="8">
        <v>2473645</v>
      </c>
      <c r="AD335" s="8"/>
      <c r="AE335" s="8">
        <v>268725</v>
      </c>
      <c r="AF335" s="8"/>
      <c r="AG335" s="12" t="s">
        <v>405</v>
      </c>
      <c r="AH335" s="12"/>
      <c r="AI335" s="12" t="s">
        <v>32</v>
      </c>
      <c r="AJ335" s="12"/>
      <c r="AK335" s="8">
        <v>0</v>
      </c>
      <c r="AL335" s="8"/>
      <c r="AM335" s="8">
        <v>2168131</v>
      </c>
      <c r="AN335" s="8"/>
      <c r="AO335" s="8">
        <v>754917</v>
      </c>
      <c r="AP335" s="8"/>
      <c r="AQ335" s="8">
        <v>2039210</v>
      </c>
      <c r="AR335" s="8"/>
      <c r="AS335" s="8"/>
      <c r="AT335" s="8"/>
      <c r="AU335" s="8">
        <v>0</v>
      </c>
      <c r="AV335" s="8"/>
      <c r="AW335" s="8">
        <f t="shared" si="18"/>
        <v>43951828</v>
      </c>
      <c r="AY335" s="8">
        <f>+'St of Activites - GA Rev'!AI338-'St of Activities - GA Exp'!AW335</f>
        <v>6239265</v>
      </c>
      <c r="BA335" s="8">
        <v>9031378</v>
      </c>
      <c r="BC335" s="8">
        <f t="shared" si="16"/>
        <v>15270643</v>
      </c>
      <c r="BE335" s="8">
        <f>+'St of Net Assets - GA'!AA335-'St of Activities - GA Exp'!BC335</f>
        <v>0</v>
      </c>
    </row>
    <row r="336" spans="1:59">
      <c r="A336" s="12" t="s">
        <v>437</v>
      </c>
      <c r="B336" s="12"/>
      <c r="C336" s="12" t="s">
        <v>34</v>
      </c>
      <c r="D336" s="12"/>
      <c r="E336" s="32">
        <v>44438</v>
      </c>
      <c r="G336" s="8">
        <v>8226114</v>
      </c>
      <c r="H336" s="8"/>
      <c r="I336" s="8">
        <v>4043805</v>
      </c>
      <c r="J336" s="8"/>
      <c r="K336" s="8">
        <v>241581</v>
      </c>
      <c r="L336" s="8"/>
      <c r="M336" s="8">
        <v>1492792</v>
      </c>
      <c r="N336" s="8"/>
      <c r="O336" s="8">
        <v>1075818</v>
      </c>
      <c r="P336" s="8"/>
      <c r="Q336" s="8">
        <v>332219</v>
      </c>
      <c r="R336" s="8"/>
      <c r="S336" s="8">
        <v>17780</v>
      </c>
      <c r="T336" s="8"/>
      <c r="U336" s="8">
        <v>1639079</v>
      </c>
      <c r="V336" s="8"/>
      <c r="W336" s="8">
        <v>656340</v>
      </c>
      <c r="X336" s="8"/>
      <c r="Y336" s="8">
        <v>0</v>
      </c>
      <c r="Z336" s="8"/>
      <c r="AA336" s="8">
        <v>1639992</v>
      </c>
      <c r="AB336" s="8"/>
      <c r="AC336" s="8">
        <v>1083377</v>
      </c>
      <c r="AD336" s="8"/>
      <c r="AE336" s="8">
        <v>512452</v>
      </c>
      <c r="AF336" s="8"/>
      <c r="AG336" s="12" t="s">
        <v>437</v>
      </c>
      <c r="AH336" s="12"/>
      <c r="AI336" s="12" t="s">
        <v>34</v>
      </c>
      <c r="AJ336" s="12"/>
      <c r="AK336" s="8">
        <v>0</v>
      </c>
      <c r="AL336" s="8"/>
      <c r="AM336" s="8">
        <v>907731</v>
      </c>
      <c r="AN336" s="8"/>
      <c r="AO336" s="8">
        <v>856371</v>
      </c>
      <c r="AP336" s="8"/>
      <c r="AQ336" s="8">
        <v>349804</v>
      </c>
      <c r="AR336" s="8"/>
      <c r="AS336" s="8"/>
      <c r="AT336" s="8"/>
      <c r="AU336" s="8">
        <v>0</v>
      </c>
      <c r="AV336" s="8"/>
      <c r="AW336" s="8">
        <f t="shared" si="17"/>
        <v>23075255</v>
      </c>
      <c r="AY336" s="8">
        <f>+'St of Activites - GA Rev'!AI339-'St of Activities - GA Exp'!AW336</f>
        <v>1352582</v>
      </c>
      <c r="BA336" s="8">
        <v>9568942</v>
      </c>
      <c r="BC336" s="8">
        <f t="shared" si="16"/>
        <v>10921524</v>
      </c>
      <c r="BE336" s="8">
        <f>+'St of Net Assets - GA'!AA336-'St of Activities - GA Exp'!BC336</f>
        <v>0</v>
      </c>
    </row>
    <row r="337" spans="1:57">
      <c r="A337" s="12" t="s">
        <v>227</v>
      </c>
      <c r="B337" s="12"/>
      <c r="C337" s="12" t="s">
        <v>13</v>
      </c>
      <c r="D337" s="12"/>
      <c r="E337" s="32">
        <v>44446</v>
      </c>
      <c r="G337" s="8">
        <v>6332489</v>
      </c>
      <c r="H337" s="8"/>
      <c r="I337" s="8">
        <v>1406267</v>
      </c>
      <c r="J337" s="8"/>
      <c r="K337" s="8">
        <v>80232</v>
      </c>
      <c r="L337" s="8"/>
      <c r="M337" s="8">
        <v>154179</v>
      </c>
      <c r="N337" s="8"/>
      <c r="O337" s="8">
        <v>306207</v>
      </c>
      <c r="P337" s="8"/>
      <c r="Q337" s="8">
        <v>1044579</v>
      </c>
      <c r="R337" s="8"/>
      <c r="S337" s="8">
        <v>71315</v>
      </c>
      <c r="T337" s="8"/>
      <c r="U337" s="8">
        <v>1195464</v>
      </c>
      <c r="V337" s="8"/>
      <c r="W337" s="8">
        <v>326139</v>
      </c>
      <c r="X337" s="8"/>
      <c r="Y337" s="8">
        <v>0</v>
      </c>
      <c r="Z337" s="8"/>
      <c r="AA337" s="8">
        <v>1235579</v>
      </c>
      <c r="AB337" s="8"/>
      <c r="AC337" s="8">
        <v>899799</v>
      </c>
      <c r="AD337" s="8"/>
      <c r="AE337" s="8">
        <v>1840</v>
      </c>
      <c r="AF337" s="8"/>
      <c r="AG337" s="12" t="s">
        <v>227</v>
      </c>
      <c r="AH337" s="12"/>
      <c r="AI337" s="12" t="s">
        <v>13</v>
      </c>
      <c r="AJ337" s="12"/>
      <c r="AK337" s="8">
        <v>693836</v>
      </c>
      <c r="AL337" s="8"/>
      <c r="AM337" s="8">
        <v>8031</v>
      </c>
      <c r="AN337" s="8"/>
      <c r="AO337" s="8">
        <v>396440</v>
      </c>
      <c r="AP337" s="8"/>
      <c r="AQ337" s="8">
        <v>346033</v>
      </c>
      <c r="AR337" s="8"/>
      <c r="AS337" s="8"/>
      <c r="AT337" s="8"/>
      <c r="AU337" s="8">
        <v>0</v>
      </c>
      <c r="AV337" s="8"/>
      <c r="AW337" s="8">
        <f t="shared" si="17"/>
        <v>14498429</v>
      </c>
      <c r="AY337" s="8">
        <f>+'St of Activites - GA Rev'!AI340-'St of Activities - GA Exp'!AW337</f>
        <v>-193893</v>
      </c>
      <c r="BA337" s="8">
        <v>25437495</v>
      </c>
      <c r="BC337" s="8">
        <f t="shared" si="16"/>
        <v>25243602</v>
      </c>
      <c r="BE337" s="8">
        <f>+'St of Net Assets - GA'!AA337-'St of Activities - GA Exp'!BC337</f>
        <v>0</v>
      </c>
    </row>
    <row r="338" spans="1:57" ht="12" customHeight="1">
      <c r="A338" s="12" t="s">
        <v>843</v>
      </c>
      <c r="B338" s="12"/>
      <c r="C338" s="12" t="s">
        <v>27</v>
      </c>
      <c r="D338" s="12"/>
      <c r="E338" s="32">
        <v>44461</v>
      </c>
      <c r="G338" s="8">
        <v>22770760</v>
      </c>
      <c r="H338" s="8"/>
      <c r="I338" s="8">
        <v>3387429</v>
      </c>
      <c r="J338" s="8"/>
      <c r="K338" s="8">
        <v>2239468</v>
      </c>
      <c r="L338" s="8"/>
      <c r="M338" s="8">
        <v>15200</v>
      </c>
      <c r="N338" s="8"/>
      <c r="O338" s="8">
        <v>2369155</v>
      </c>
      <c r="P338" s="8"/>
      <c r="Q338" s="8">
        <v>1725831</v>
      </c>
      <c r="R338" s="8"/>
      <c r="S338" s="8">
        <v>73388</v>
      </c>
      <c r="T338" s="8"/>
      <c r="U338" s="8">
        <v>3088341</v>
      </c>
      <c r="V338" s="8"/>
      <c r="W338" s="8">
        <v>0</v>
      </c>
      <c r="X338" s="8"/>
      <c r="Y338" s="8">
        <v>1734438</v>
      </c>
      <c r="Z338" s="8"/>
      <c r="AA338" s="8">
        <v>4555534</v>
      </c>
      <c r="AB338" s="8"/>
      <c r="AC338" s="8">
        <v>2532345</v>
      </c>
      <c r="AD338" s="8"/>
      <c r="AE338" s="8">
        <v>239663</v>
      </c>
      <c r="AF338" s="8"/>
      <c r="AG338" s="12" t="s">
        <v>843</v>
      </c>
      <c r="AH338" s="12"/>
      <c r="AI338" s="12" t="s">
        <v>27</v>
      </c>
      <c r="AJ338" s="12"/>
      <c r="AK338" s="8">
        <v>1416746</v>
      </c>
      <c r="AL338" s="8"/>
      <c r="AM338" s="8">
        <v>1082656</v>
      </c>
      <c r="AN338" s="8"/>
      <c r="AO338" s="8">
        <v>2154543</v>
      </c>
      <c r="AP338" s="8"/>
      <c r="AQ338" s="8">
        <v>4960848</v>
      </c>
      <c r="AR338" s="8"/>
      <c r="AS338" s="8"/>
      <c r="AT338" s="8"/>
      <c r="AU338" s="8">
        <v>472630</v>
      </c>
      <c r="AV338" s="8"/>
      <c r="AW338" s="8">
        <f t="shared" si="17"/>
        <v>54818975</v>
      </c>
      <c r="AY338" s="8">
        <f>+'St of Activites - GA Rev'!AI341-'St of Activities - GA Exp'!AW338</f>
        <v>4892200</v>
      </c>
      <c r="BA338" s="8">
        <v>28544297</v>
      </c>
      <c r="BC338" s="8">
        <f t="shared" si="16"/>
        <v>33436497</v>
      </c>
      <c r="BE338" s="8">
        <f>+'St of Net Assets - GA'!AA340-'St of Activities - GA Exp'!BC338</f>
        <v>0</v>
      </c>
    </row>
    <row r="339" spans="1:57">
      <c r="A339" s="12" t="s">
        <v>635</v>
      </c>
      <c r="B339" s="12"/>
      <c r="C339" s="12" t="s">
        <v>59</v>
      </c>
      <c r="D339" s="12"/>
      <c r="E339" s="32">
        <v>44461</v>
      </c>
      <c r="G339" s="8">
        <v>2302581</v>
      </c>
      <c r="H339" s="8"/>
      <c r="I339" s="8">
        <v>580262</v>
      </c>
      <c r="J339" s="8"/>
      <c r="K339" s="8">
        <v>0</v>
      </c>
      <c r="L339" s="8"/>
      <c r="M339" s="8">
        <v>83813</v>
      </c>
      <c r="N339" s="8"/>
      <c r="O339" s="8">
        <v>168799</v>
      </c>
      <c r="P339" s="8"/>
      <c r="Q339" s="8">
        <v>451251</v>
      </c>
      <c r="R339" s="8"/>
      <c r="S339" s="8">
        <v>11070</v>
      </c>
      <c r="T339" s="8"/>
      <c r="U339" s="8">
        <v>476746</v>
      </c>
      <c r="V339" s="8"/>
      <c r="W339" s="8">
        <v>216530</v>
      </c>
      <c r="X339" s="8"/>
      <c r="Y339" s="8">
        <v>0</v>
      </c>
      <c r="Z339" s="8"/>
      <c r="AA339" s="8">
        <v>484171</v>
      </c>
      <c r="AB339" s="8"/>
      <c r="AC339" s="8">
        <v>72113</v>
      </c>
      <c r="AD339" s="8"/>
      <c r="AE339" s="8">
        <v>8952</v>
      </c>
      <c r="AF339" s="8"/>
      <c r="AG339" s="12" t="s">
        <v>635</v>
      </c>
      <c r="AH339" s="12"/>
      <c r="AI339" s="12" t="s">
        <v>59</v>
      </c>
      <c r="AJ339" s="12"/>
      <c r="AK339" s="8">
        <v>210171</v>
      </c>
      <c r="AL339" s="8"/>
      <c r="AM339" s="8">
        <v>0</v>
      </c>
      <c r="AN339" s="8"/>
      <c r="AO339" s="8">
        <v>103165</v>
      </c>
      <c r="AP339" s="8"/>
      <c r="AQ339" s="8">
        <v>0</v>
      </c>
      <c r="AR339" s="8"/>
      <c r="AS339" s="8"/>
      <c r="AT339" s="8"/>
      <c r="AU339" s="8">
        <v>0</v>
      </c>
      <c r="AV339" s="8"/>
      <c r="AW339" s="8">
        <f t="shared" si="17"/>
        <v>5169624</v>
      </c>
      <c r="AY339" s="8">
        <f>+'St of Activites - GA Rev'!AI342-'St of Activities - GA Exp'!AW339</f>
        <v>-23576</v>
      </c>
      <c r="BA339" s="8">
        <v>3045628</v>
      </c>
      <c r="BC339" s="8">
        <f t="shared" si="16"/>
        <v>3022052</v>
      </c>
      <c r="BE339" s="8">
        <f>+'St of Net Assets - GA'!AA341-'St of Activities - GA Exp'!BC339</f>
        <v>0</v>
      </c>
    </row>
    <row r="340" spans="1:57">
      <c r="A340" s="12" t="s">
        <v>230</v>
      </c>
      <c r="B340" s="12"/>
      <c r="C340" s="12" t="s">
        <v>14</v>
      </c>
      <c r="D340" s="12"/>
      <c r="E340" s="32">
        <v>45955</v>
      </c>
      <c r="G340" s="8">
        <v>4392267</v>
      </c>
      <c r="H340" s="8"/>
      <c r="I340" s="8">
        <v>352746</v>
      </c>
      <c r="J340" s="8"/>
      <c r="K340" s="8">
        <v>290794</v>
      </c>
      <c r="L340" s="8"/>
      <c r="M340" s="8">
        <v>0</v>
      </c>
      <c r="N340" s="8"/>
      <c r="O340" s="8">
        <v>399013</v>
      </c>
      <c r="P340" s="8"/>
      <c r="Q340" s="8">
        <v>405519</v>
      </c>
      <c r="R340" s="8"/>
      <c r="S340" s="8">
        <v>34402</v>
      </c>
      <c r="T340" s="8"/>
      <c r="U340" s="8">
        <v>745240</v>
      </c>
      <c r="V340" s="8"/>
      <c r="W340" s="8">
        <v>207293</v>
      </c>
      <c r="X340" s="8"/>
      <c r="Y340" s="8">
        <v>0</v>
      </c>
      <c r="Z340" s="8"/>
      <c r="AA340" s="8">
        <v>876733</v>
      </c>
      <c r="AB340" s="8"/>
      <c r="AC340" s="8">
        <v>204131</v>
      </c>
      <c r="AD340" s="8"/>
      <c r="AE340" s="8">
        <v>61031</v>
      </c>
      <c r="AF340" s="8"/>
      <c r="AG340" s="12" t="s">
        <v>230</v>
      </c>
      <c r="AH340" s="12"/>
      <c r="AI340" s="12" t="s">
        <v>14</v>
      </c>
      <c r="AJ340" s="12"/>
      <c r="AK340" s="8">
        <v>0</v>
      </c>
      <c r="AL340" s="8"/>
      <c r="AM340" s="8">
        <v>329846</v>
      </c>
      <c r="AN340" s="8"/>
      <c r="AO340" s="8">
        <v>506043</v>
      </c>
      <c r="AP340" s="8"/>
      <c r="AQ340" s="8">
        <v>300185</v>
      </c>
      <c r="AR340" s="8"/>
      <c r="AS340" s="8"/>
      <c r="AT340" s="8"/>
      <c r="AU340" s="8">
        <v>0</v>
      </c>
      <c r="AV340" s="8"/>
      <c r="AW340" s="8">
        <f t="shared" si="17"/>
        <v>9105243</v>
      </c>
      <c r="AY340" s="8">
        <f>+'St of Activites - GA Rev'!AI343-'St of Activities - GA Exp'!AW340</f>
        <v>1231832</v>
      </c>
      <c r="BA340" s="8">
        <v>10670114</v>
      </c>
      <c r="BC340" s="8">
        <f t="shared" si="16"/>
        <v>11901946</v>
      </c>
      <c r="BE340" s="8">
        <f>+'St of Net Assets - GA'!AA342-'St of Activities - GA Exp'!BC340</f>
        <v>0</v>
      </c>
    </row>
    <row r="341" spans="1:57" ht="12" hidden="1" customHeight="1">
      <c r="A341" s="12" t="s">
        <v>231</v>
      </c>
      <c r="B341" s="12"/>
      <c r="C341" s="12" t="s">
        <v>14</v>
      </c>
      <c r="D341" s="12"/>
      <c r="E341" s="32">
        <v>45963</v>
      </c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13" t="s">
        <v>231</v>
      </c>
      <c r="AH341" s="13"/>
      <c r="AI341" s="13" t="s">
        <v>14</v>
      </c>
      <c r="AJ341" s="13"/>
      <c r="AK341" s="8">
        <v>0</v>
      </c>
      <c r="AL341" s="8"/>
      <c r="AM341" s="8">
        <v>0</v>
      </c>
      <c r="AN341" s="8"/>
      <c r="AO341" s="8">
        <v>0</v>
      </c>
      <c r="AP341" s="8"/>
      <c r="AQ341" s="8">
        <v>0</v>
      </c>
      <c r="AR341" s="8"/>
      <c r="AS341" s="8"/>
      <c r="AT341" s="8"/>
      <c r="AU341" s="8">
        <v>0</v>
      </c>
      <c r="AV341" s="8"/>
      <c r="AW341" s="8">
        <f t="shared" si="17"/>
        <v>0</v>
      </c>
      <c r="AY341" s="8">
        <f>+'St of Activites - GA Rev'!AI344-'St of Activities - GA Exp'!AW341</f>
        <v>0</v>
      </c>
      <c r="BC341" s="8">
        <f t="shared" si="16"/>
        <v>0</v>
      </c>
      <c r="BE341" s="8">
        <f>+'St of Net Assets - GA'!AA343-'St of Activities - GA Exp'!BC341</f>
        <v>0</v>
      </c>
    </row>
    <row r="342" spans="1:57" ht="12" customHeight="1">
      <c r="A342" s="12" t="s">
        <v>560</v>
      </c>
      <c r="B342" s="12"/>
      <c r="C342" s="12" t="s">
        <v>50</v>
      </c>
      <c r="D342" s="12"/>
      <c r="E342" s="32">
        <v>48710</v>
      </c>
      <c r="G342" s="8">
        <v>4539369</v>
      </c>
      <c r="H342" s="8"/>
      <c r="I342" s="8">
        <v>1568856</v>
      </c>
      <c r="J342" s="8"/>
      <c r="K342" s="8">
        <v>0</v>
      </c>
      <c r="L342" s="8"/>
      <c r="M342" s="8">
        <v>333387</v>
      </c>
      <c r="N342" s="8"/>
      <c r="O342" s="8">
        <v>412566</v>
      </c>
      <c r="P342" s="8"/>
      <c r="Q342" s="8">
        <v>368117</v>
      </c>
      <c r="R342" s="8"/>
      <c r="S342" s="8">
        <v>110041</v>
      </c>
      <c r="T342" s="8"/>
      <c r="U342" s="8">
        <v>870947</v>
      </c>
      <c r="V342" s="8"/>
      <c r="W342" s="8">
        <v>241817</v>
      </c>
      <c r="X342" s="8"/>
      <c r="Y342" s="8">
        <v>84249</v>
      </c>
      <c r="Z342" s="8"/>
      <c r="AA342" s="8">
        <v>1514091</v>
      </c>
      <c r="AB342" s="8"/>
      <c r="AC342" s="8">
        <v>363391</v>
      </c>
      <c r="AD342" s="8"/>
      <c r="AE342" s="8">
        <v>233411</v>
      </c>
      <c r="AF342" s="8"/>
      <c r="AG342" s="12" t="s">
        <v>560</v>
      </c>
      <c r="AH342" s="12"/>
      <c r="AI342" s="12" t="s">
        <v>50</v>
      </c>
      <c r="AJ342" s="12"/>
      <c r="AK342" s="8">
        <v>500603</v>
      </c>
      <c r="AL342" s="8"/>
      <c r="AM342" s="8">
        <v>0</v>
      </c>
      <c r="AN342" s="8"/>
      <c r="AO342" s="8">
        <v>412137</v>
      </c>
      <c r="AP342" s="8"/>
      <c r="AQ342" s="8">
        <v>181650</v>
      </c>
      <c r="AR342" s="8"/>
      <c r="AS342" s="8"/>
      <c r="AT342" s="8"/>
      <c r="AU342" s="8">
        <v>0</v>
      </c>
      <c r="AV342" s="8"/>
      <c r="AW342" s="8">
        <f t="shared" si="17"/>
        <v>11734632</v>
      </c>
      <c r="AY342" s="8">
        <f>+'St of Activites - GA Rev'!AI345-'St of Activities - GA Exp'!AW342</f>
        <v>377691</v>
      </c>
      <c r="BA342" s="8">
        <v>27001393</v>
      </c>
      <c r="BC342" s="8">
        <f t="shared" si="16"/>
        <v>27379084</v>
      </c>
      <c r="BE342" s="8">
        <f>+'St of Net Assets - GA'!AA344-'St of Activities - GA Exp'!BC342</f>
        <v>0</v>
      </c>
    </row>
    <row r="343" spans="1:57" hidden="1">
      <c r="A343" s="12" t="s">
        <v>587</v>
      </c>
      <c r="B343" s="12"/>
      <c r="C343" s="12" t="s">
        <v>586</v>
      </c>
      <c r="D343" s="12"/>
      <c r="E343" s="32">
        <v>44479</v>
      </c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12" t="s">
        <v>587</v>
      </c>
      <c r="AH343" s="12"/>
      <c r="AI343" s="12" t="s">
        <v>586</v>
      </c>
      <c r="AJ343" s="12"/>
      <c r="AK343" s="8">
        <v>0</v>
      </c>
      <c r="AL343" s="8"/>
      <c r="AM343" s="8">
        <v>0</v>
      </c>
      <c r="AN343" s="8"/>
      <c r="AO343" s="8">
        <v>0</v>
      </c>
      <c r="AP343" s="8"/>
      <c r="AQ343" s="8">
        <v>0</v>
      </c>
      <c r="AR343" s="8"/>
      <c r="AS343" s="8"/>
      <c r="AT343" s="8"/>
      <c r="AU343" s="8">
        <v>0</v>
      </c>
      <c r="AV343" s="8"/>
      <c r="AW343" s="8">
        <f t="shared" si="17"/>
        <v>0</v>
      </c>
      <c r="AY343" s="8">
        <f>+'St of Activites - GA Rev'!AI346-'St of Activities - GA Exp'!AW343</f>
        <v>0</v>
      </c>
      <c r="BA343" s="8">
        <v>0</v>
      </c>
      <c r="BC343" s="8">
        <f t="shared" si="16"/>
        <v>0</v>
      </c>
      <c r="BE343" s="8">
        <f>+'St of Net Assets - GA'!AA345-'St of Activities - GA Exp'!BC343</f>
        <v>0</v>
      </c>
    </row>
    <row r="344" spans="1:57">
      <c r="A344" s="12" t="s">
        <v>450</v>
      </c>
      <c r="B344" s="12"/>
      <c r="C344" s="12" t="s">
        <v>37</v>
      </c>
      <c r="D344" s="12"/>
      <c r="E344" s="32">
        <v>47720</v>
      </c>
      <c r="G344" s="8">
        <v>5283768</v>
      </c>
      <c r="H344" s="8"/>
      <c r="I344" s="8">
        <v>1045142</v>
      </c>
      <c r="J344" s="8"/>
      <c r="K344" s="8">
        <v>381933</v>
      </c>
      <c r="L344" s="8"/>
      <c r="M344" s="8">
        <f>12685+62899</f>
        <v>75584</v>
      </c>
      <c r="N344" s="8"/>
      <c r="O344" s="8">
        <v>243507</v>
      </c>
      <c r="P344" s="8"/>
      <c r="Q344" s="8">
        <v>553915</v>
      </c>
      <c r="R344" s="8"/>
      <c r="S344" s="8">
        <v>17366</v>
      </c>
      <c r="T344" s="8"/>
      <c r="U344" s="8">
        <v>742349</v>
      </c>
      <c r="V344" s="8"/>
      <c r="W344" s="8">
        <v>244574</v>
      </c>
      <c r="X344" s="8"/>
      <c r="Y344" s="8">
        <v>8535</v>
      </c>
      <c r="Z344" s="8"/>
      <c r="AA344" s="8">
        <v>936361</v>
      </c>
      <c r="AB344" s="8"/>
      <c r="AC344" s="8">
        <v>544102</v>
      </c>
      <c r="AD344" s="8"/>
      <c r="AE344" s="8">
        <v>0</v>
      </c>
      <c r="AF344" s="8"/>
      <c r="AG344" s="12" t="s">
        <v>450</v>
      </c>
      <c r="AH344" s="12"/>
      <c r="AI344" s="12" t="s">
        <v>37</v>
      </c>
      <c r="AJ344" s="12"/>
      <c r="AK344" s="8">
        <v>422483</v>
      </c>
      <c r="AL344" s="8"/>
      <c r="AM344" s="8">
        <v>0</v>
      </c>
      <c r="AN344" s="8"/>
      <c r="AO344" s="8">
        <v>335083</v>
      </c>
      <c r="AP344" s="8"/>
      <c r="AQ344" s="8">
        <v>154379</v>
      </c>
      <c r="AR344" s="8"/>
      <c r="AS344" s="8"/>
      <c r="AT344" s="8"/>
      <c r="AU344" s="8">
        <v>0</v>
      </c>
      <c r="AV344" s="8"/>
      <c r="AW344" s="8">
        <f t="shared" si="17"/>
        <v>10989081</v>
      </c>
      <c r="AY344" s="8">
        <f>+'St of Activites - GA Rev'!AI347-'St of Activities - GA Exp'!AW344</f>
        <v>-167918</v>
      </c>
      <c r="BA344" s="8">
        <v>14475847</v>
      </c>
      <c r="BC344" s="8">
        <f t="shared" si="16"/>
        <v>14307929</v>
      </c>
      <c r="BE344" s="8">
        <f>+'St of Net Assets - GA'!AA346-'St of Activities - GA Exp'!BC344</f>
        <v>0</v>
      </c>
    </row>
    <row r="345" spans="1:57">
      <c r="A345" s="12" t="s">
        <v>253</v>
      </c>
      <c r="B345" s="12"/>
      <c r="C345" s="12" t="s">
        <v>246</v>
      </c>
      <c r="D345" s="12"/>
      <c r="E345" s="32">
        <v>46136</v>
      </c>
      <c r="G345" s="8">
        <v>3664406</v>
      </c>
      <c r="H345" s="8"/>
      <c r="I345" s="8">
        <v>371281</v>
      </c>
      <c r="J345" s="8"/>
      <c r="K345" s="8">
        <v>61436</v>
      </c>
      <c r="L345" s="8"/>
      <c r="M345" s="8">
        <v>0</v>
      </c>
      <c r="N345" s="8"/>
      <c r="O345" s="8">
        <v>229724</v>
      </c>
      <c r="P345" s="8"/>
      <c r="Q345" s="8">
        <v>234797</v>
      </c>
      <c r="R345" s="8"/>
      <c r="S345" s="8">
        <v>60065</v>
      </c>
      <c r="T345" s="8"/>
      <c r="U345" s="8">
        <v>870583</v>
      </c>
      <c r="V345" s="8"/>
      <c r="W345" s="8">
        <v>177089</v>
      </c>
      <c r="X345" s="8"/>
      <c r="Y345" s="8">
        <v>78767</v>
      </c>
      <c r="Z345" s="8"/>
      <c r="AA345" s="8">
        <v>823058</v>
      </c>
      <c r="AB345" s="8"/>
      <c r="AC345" s="8">
        <v>384567</v>
      </c>
      <c r="AD345" s="8"/>
      <c r="AE345" s="8">
        <v>1218</v>
      </c>
      <c r="AF345" s="8"/>
      <c r="AG345" s="12" t="s">
        <v>253</v>
      </c>
      <c r="AH345" s="12"/>
      <c r="AI345" s="12" t="s">
        <v>246</v>
      </c>
      <c r="AJ345" s="12"/>
      <c r="AK345" s="8">
        <v>463084</v>
      </c>
      <c r="AL345" s="8"/>
      <c r="AM345" s="8">
        <v>0</v>
      </c>
      <c r="AN345" s="8"/>
      <c r="AO345" s="8">
        <v>160592</v>
      </c>
      <c r="AP345" s="8"/>
      <c r="AQ345" s="8">
        <v>97230</v>
      </c>
      <c r="AR345" s="8"/>
      <c r="AS345" s="8"/>
      <c r="AT345" s="8"/>
      <c r="AU345" s="8">
        <v>0</v>
      </c>
      <c r="AV345" s="8"/>
      <c r="AW345" s="8">
        <f t="shared" si="17"/>
        <v>7677897</v>
      </c>
      <c r="AY345" s="8">
        <f>+'St of Activites - GA Rev'!AI348-'St of Activities - GA Exp'!AW345</f>
        <v>122061</v>
      </c>
      <c r="BA345" s="8">
        <v>12813144</v>
      </c>
      <c r="BC345" s="8">
        <f t="shared" si="16"/>
        <v>12935205</v>
      </c>
      <c r="BE345" s="8">
        <f>+'St of Net Assets - GA'!AA347-'St of Activities - GA Exp'!BC345</f>
        <v>0</v>
      </c>
    </row>
    <row r="346" spans="1:57">
      <c r="A346" s="12" t="s">
        <v>703</v>
      </c>
      <c r="B346" s="12"/>
      <c r="C346" s="12" t="s">
        <v>65</v>
      </c>
      <c r="D346" s="12"/>
      <c r="E346" s="32">
        <v>44487</v>
      </c>
      <c r="G346" s="8">
        <v>11391686</v>
      </c>
      <c r="H346" s="8"/>
      <c r="I346" s="8">
        <v>2306606</v>
      </c>
      <c r="J346" s="8"/>
      <c r="K346" s="8">
        <v>89088</v>
      </c>
      <c r="L346" s="8"/>
      <c r="M346" s="8">
        <v>416454</v>
      </c>
      <c r="N346" s="8"/>
      <c r="O346" s="8">
        <v>1271587</v>
      </c>
      <c r="P346" s="8"/>
      <c r="Q346" s="8">
        <v>917781</v>
      </c>
      <c r="R346" s="8"/>
      <c r="S346" s="8">
        <v>50664</v>
      </c>
      <c r="T346" s="8"/>
      <c r="U346" s="8">
        <v>1923051</v>
      </c>
      <c r="V346" s="8"/>
      <c r="W346" s="8">
        <v>847766</v>
      </c>
      <c r="X346" s="8"/>
      <c r="Y346" s="8">
        <v>0</v>
      </c>
      <c r="Z346" s="8"/>
      <c r="AA346" s="8">
        <v>1926463</v>
      </c>
      <c r="AB346" s="8"/>
      <c r="AC346" s="8">
        <v>599260</v>
      </c>
      <c r="AD346" s="8"/>
      <c r="AE346" s="8">
        <v>0</v>
      </c>
      <c r="AF346" s="8"/>
      <c r="AG346" s="12" t="s">
        <v>703</v>
      </c>
      <c r="AH346" s="12"/>
      <c r="AI346" s="12" t="s">
        <v>65</v>
      </c>
      <c r="AJ346" s="12"/>
      <c r="AK346" s="8">
        <v>807839</v>
      </c>
      <c r="AL346" s="8"/>
      <c r="AM346" s="8">
        <v>618361</v>
      </c>
      <c r="AN346" s="8"/>
      <c r="AO346" s="8">
        <v>943735</v>
      </c>
      <c r="AP346" s="8"/>
      <c r="AQ346" s="8">
        <v>280986</v>
      </c>
      <c r="AR346" s="8"/>
      <c r="AS346" s="8"/>
      <c r="AT346" s="8"/>
      <c r="AU346" s="8">
        <v>0</v>
      </c>
      <c r="AV346" s="8"/>
      <c r="AW346" s="8">
        <f t="shared" si="17"/>
        <v>24391327</v>
      </c>
      <c r="AY346" s="8">
        <f>+'St of Activites - GA Rev'!AI349-'St of Activities - GA Exp'!AW346</f>
        <v>552498</v>
      </c>
      <c r="BA346" s="8">
        <v>12325866</v>
      </c>
      <c r="BC346" s="8">
        <f t="shared" si="16"/>
        <v>12878364</v>
      </c>
      <c r="BE346" s="8">
        <f>+'St of Net Assets - GA'!AA348-'St of Activities - GA Exp'!BC346</f>
        <v>0</v>
      </c>
    </row>
    <row r="347" spans="1:57">
      <c r="A347" s="12" t="s">
        <v>275</v>
      </c>
      <c r="B347" s="12"/>
      <c r="C347" s="12" t="s">
        <v>116</v>
      </c>
      <c r="D347" s="12"/>
      <c r="E347" s="32">
        <v>45559</v>
      </c>
      <c r="G347" s="8">
        <v>13038692</v>
      </c>
      <c r="H347" s="8"/>
      <c r="I347" s="8">
        <v>2971330</v>
      </c>
      <c r="J347" s="8"/>
      <c r="K347" s="8">
        <v>0</v>
      </c>
      <c r="L347" s="8"/>
      <c r="M347" s="8">
        <v>22949</v>
      </c>
      <c r="N347" s="8"/>
      <c r="O347" s="8">
        <v>1235243</v>
      </c>
      <c r="P347" s="8"/>
      <c r="Q347" s="8">
        <v>1032574</v>
      </c>
      <c r="R347" s="8"/>
      <c r="S347" s="8">
        <v>110271</v>
      </c>
      <c r="T347" s="8"/>
      <c r="U347" s="8">
        <v>1697358</v>
      </c>
      <c r="V347" s="8"/>
      <c r="W347" s="8">
        <v>706502</v>
      </c>
      <c r="X347" s="8"/>
      <c r="Y347" s="8">
        <v>0</v>
      </c>
      <c r="Z347" s="8"/>
      <c r="AA347" s="8">
        <v>2559589</v>
      </c>
      <c r="AB347" s="8"/>
      <c r="AC347" s="8">
        <v>2182274</v>
      </c>
      <c r="AD347" s="8"/>
      <c r="AE347" s="8">
        <v>303880</v>
      </c>
      <c r="AF347" s="8"/>
      <c r="AG347" s="12" t="s">
        <v>275</v>
      </c>
      <c r="AH347" s="12"/>
      <c r="AI347" s="12" t="s">
        <v>116</v>
      </c>
      <c r="AJ347" s="12"/>
      <c r="AK347" s="8">
        <v>0</v>
      </c>
      <c r="AL347" s="8"/>
      <c r="AM347" s="8">
        <v>1500</v>
      </c>
      <c r="AN347" s="8"/>
      <c r="AO347" s="8">
        <v>697199</v>
      </c>
      <c r="AP347" s="8"/>
      <c r="AQ347" s="8">
        <v>23538</v>
      </c>
      <c r="AR347" s="8"/>
      <c r="AS347" s="8"/>
      <c r="AT347" s="8"/>
      <c r="AU347" s="8">
        <v>0</v>
      </c>
      <c r="AV347" s="8"/>
      <c r="AW347" s="8">
        <f t="shared" si="17"/>
        <v>26582899</v>
      </c>
      <c r="AY347" s="8">
        <f>+'St of Activites - GA Rev'!AI350-'St of Activities - GA Exp'!AW347</f>
        <v>2037839</v>
      </c>
      <c r="BA347" s="8">
        <v>30398489</v>
      </c>
      <c r="BC347" s="8">
        <f t="shared" si="16"/>
        <v>32436328</v>
      </c>
      <c r="BE347" s="8">
        <f>+'St of Net Assets - GA'!AA349-'St of Activities - GA Exp'!BC347</f>
        <v>0</v>
      </c>
    </row>
    <row r="348" spans="1:57" ht="12" hidden="1" customHeight="1">
      <c r="A348" s="12" t="s">
        <v>642</v>
      </c>
      <c r="B348" s="12"/>
      <c r="C348" s="12" t="s">
        <v>60</v>
      </c>
      <c r="D348" s="12"/>
      <c r="E348" s="32">
        <v>49718</v>
      </c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12" t="s">
        <v>642</v>
      </c>
      <c r="AH348" s="12"/>
      <c r="AI348" s="12" t="s">
        <v>60</v>
      </c>
      <c r="AJ348" s="12"/>
      <c r="AK348" s="8"/>
      <c r="AL348" s="8"/>
      <c r="AM348" s="8"/>
      <c r="AN348" s="8"/>
      <c r="AO348" s="8"/>
      <c r="AP348" s="8"/>
      <c r="AQ348" s="8">
        <v>0</v>
      </c>
      <c r="AR348" s="8"/>
      <c r="AS348" s="8"/>
      <c r="AT348" s="8"/>
      <c r="AU348" s="8">
        <v>0</v>
      </c>
      <c r="AV348" s="8"/>
      <c r="AW348" s="8">
        <f t="shared" si="17"/>
        <v>0</v>
      </c>
      <c r="AY348" s="8">
        <f>+'St of Activites - GA Rev'!AI351-'St of Activities - GA Exp'!AW348</f>
        <v>0</v>
      </c>
      <c r="BC348" s="8">
        <f t="shared" si="16"/>
        <v>0</v>
      </c>
      <c r="BE348" s="8">
        <f>+'St of Net Assets - GA'!AA350-'St of Activities - GA Exp'!BC348</f>
        <v>0</v>
      </c>
    </row>
    <row r="349" spans="1:57">
      <c r="A349" s="12" t="s">
        <v>484</v>
      </c>
      <c r="B349" s="12"/>
      <c r="C349" s="12" t="s">
        <v>42</v>
      </c>
      <c r="D349" s="12"/>
      <c r="E349" s="32">
        <v>44453</v>
      </c>
      <c r="G349" s="8">
        <v>26612336</v>
      </c>
      <c r="H349" s="8"/>
      <c r="I349" s="8">
        <v>7386301</v>
      </c>
      <c r="J349" s="8"/>
      <c r="K349" s="8">
        <v>491686</v>
      </c>
      <c r="L349" s="8"/>
      <c r="M349" s="8">
        <v>415522</v>
      </c>
      <c r="N349" s="8"/>
      <c r="O349" s="8">
        <v>3165276</v>
      </c>
      <c r="P349" s="8"/>
      <c r="Q349" s="8">
        <v>4581834</v>
      </c>
      <c r="R349" s="8"/>
      <c r="S349" s="8">
        <v>314946</v>
      </c>
      <c r="T349" s="8"/>
      <c r="U349" s="8">
        <v>3621145</v>
      </c>
      <c r="V349" s="8"/>
      <c r="W349" s="8">
        <v>1162601</v>
      </c>
      <c r="X349" s="8"/>
      <c r="Y349" s="8">
        <v>601678</v>
      </c>
      <c r="Z349" s="8"/>
      <c r="AA349" s="8">
        <v>4782208</v>
      </c>
      <c r="AB349" s="8"/>
      <c r="AC349" s="8">
        <v>2066216</v>
      </c>
      <c r="AD349" s="8"/>
      <c r="AE349" s="8">
        <v>1254625</v>
      </c>
      <c r="AF349" s="8"/>
      <c r="AG349" s="12" t="s">
        <v>484</v>
      </c>
      <c r="AH349" s="12"/>
      <c r="AI349" s="12" t="s">
        <v>42</v>
      </c>
      <c r="AJ349" s="12"/>
      <c r="AK349" s="8">
        <v>2794947</v>
      </c>
      <c r="AL349" s="8"/>
      <c r="AM349" s="8">
        <v>81174</v>
      </c>
      <c r="AN349" s="8"/>
      <c r="AO349" s="8">
        <v>925354</v>
      </c>
      <c r="AP349" s="8"/>
      <c r="AQ349" s="8">
        <v>3134092</v>
      </c>
      <c r="AR349" s="8"/>
      <c r="AS349" s="8"/>
      <c r="AT349" s="8"/>
      <c r="AU349" s="8">
        <v>539949</v>
      </c>
      <c r="AV349" s="8"/>
      <c r="AW349" s="8">
        <f t="shared" si="17"/>
        <v>63931890</v>
      </c>
      <c r="AY349" s="8">
        <f>+'St of Activites - GA Rev'!AI352-'St of Activities - GA Exp'!AW349</f>
        <v>6451706</v>
      </c>
      <c r="BA349" s="8">
        <v>18136782</v>
      </c>
      <c r="BC349" s="8">
        <f t="shared" si="16"/>
        <v>24588488</v>
      </c>
      <c r="BE349" s="8">
        <f>+'St of Net Assets - GA'!AA351-'St of Activities - GA Exp'!BC349</f>
        <v>0</v>
      </c>
    </row>
    <row r="350" spans="1:57">
      <c r="A350" s="12" t="s">
        <v>386</v>
      </c>
      <c r="B350" s="12"/>
      <c r="C350" s="12" t="s">
        <v>30</v>
      </c>
      <c r="D350" s="12"/>
      <c r="E350" s="32">
        <v>47217</v>
      </c>
      <c r="G350" s="8">
        <v>3377287</v>
      </c>
      <c r="H350" s="8"/>
      <c r="I350" s="8">
        <v>737524</v>
      </c>
      <c r="J350" s="8"/>
      <c r="K350" s="8">
        <v>36455</v>
      </c>
      <c r="L350" s="8"/>
      <c r="M350" s="8">
        <v>13935</v>
      </c>
      <c r="N350" s="8"/>
      <c r="O350" s="8">
        <v>365278</v>
      </c>
      <c r="P350" s="8"/>
      <c r="Q350" s="8">
        <v>152807</v>
      </c>
      <c r="R350" s="8"/>
      <c r="S350" s="8">
        <v>64246</v>
      </c>
      <c r="T350" s="8"/>
      <c r="U350" s="8">
        <v>547078</v>
      </c>
      <c r="V350" s="8"/>
      <c r="W350" s="8">
        <v>266559</v>
      </c>
      <c r="X350" s="8"/>
      <c r="Y350" s="8">
        <v>0</v>
      </c>
      <c r="Z350" s="8"/>
      <c r="AA350" s="8">
        <v>625905</v>
      </c>
      <c r="AB350" s="8"/>
      <c r="AC350" s="8">
        <v>501687</v>
      </c>
      <c r="AD350" s="8"/>
      <c r="AE350" s="8">
        <v>59554</v>
      </c>
      <c r="AF350" s="8"/>
      <c r="AG350" s="12" t="s">
        <v>386</v>
      </c>
      <c r="AH350" s="12"/>
      <c r="AI350" s="12" t="s">
        <v>30</v>
      </c>
      <c r="AJ350" s="12"/>
      <c r="AK350" s="8">
        <v>195255</v>
      </c>
      <c r="AL350" s="8"/>
      <c r="AM350" s="8">
        <v>124326</v>
      </c>
      <c r="AN350" s="8"/>
      <c r="AO350" s="8">
        <v>299749</v>
      </c>
      <c r="AP350" s="8"/>
      <c r="AQ350" s="8">
        <v>15613</v>
      </c>
      <c r="AR350" s="8"/>
      <c r="AS350" s="8"/>
      <c r="AT350" s="8"/>
      <c r="AU350" s="8">
        <v>0</v>
      </c>
      <c r="AV350" s="8"/>
      <c r="AW350" s="8">
        <f t="shared" si="17"/>
        <v>7383258</v>
      </c>
      <c r="AY350" s="8">
        <f>+'St of Activites - GA Rev'!AI353-'St of Activities - GA Exp'!AW350</f>
        <v>-154681</v>
      </c>
      <c r="BA350" s="8">
        <v>4766559</v>
      </c>
      <c r="BC350" s="8">
        <f t="shared" si="16"/>
        <v>4611878</v>
      </c>
      <c r="BE350" s="8">
        <f>+'St of Net Assets - GA'!AA352-'St of Activities - GA Exp'!BC350</f>
        <v>0</v>
      </c>
    </row>
    <row r="351" spans="1:57">
      <c r="A351" s="12" t="s">
        <v>704</v>
      </c>
      <c r="B351" s="12"/>
      <c r="C351" s="12" t="s">
        <v>65</v>
      </c>
      <c r="D351" s="12"/>
      <c r="E351" s="32">
        <v>45542</v>
      </c>
      <c r="G351" s="8">
        <v>5315573</v>
      </c>
      <c r="H351" s="8"/>
      <c r="I351" s="8">
        <v>1192416</v>
      </c>
      <c r="J351" s="8"/>
      <c r="K351" s="8">
        <v>135290</v>
      </c>
      <c r="L351" s="8"/>
      <c r="M351" s="8">
        <f>666+235864</f>
        <v>236530</v>
      </c>
      <c r="N351" s="8"/>
      <c r="O351" s="8">
        <v>391041</v>
      </c>
      <c r="P351" s="8"/>
      <c r="Q351" s="8">
        <v>881683</v>
      </c>
      <c r="R351" s="8"/>
      <c r="S351" s="8">
        <v>33519</v>
      </c>
      <c r="T351" s="8"/>
      <c r="U351" s="8">
        <v>1003218</v>
      </c>
      <c r="V351" s="8"/>
      <c r="W351" s="8">
        <v>311973</v>
      </c>
      <c r="X351" s="8"/>
      <c r="Y351" s="8">
        <v>0</v>
      </c>
      <c r="Z351" s="8"/>
      <c r="AA351" s="8">
        <v>1470487</v>
      </c>
      <c r="AB351" s="8"/>
      <c r="AC351" s="8">
        <v>540600</v>
      </c>
      <c r="AD351" s="8"/>
      <c r="AE351" s="8">
        <v>10841</v>
      </c>
      <c r="AF351" s="8"/>
      <c r="AG351" s="12" t="s">
        <v>704</v>
      </c>
      <c r="AH351" s="12"/>
      <c r="AI351" s="12" t="s">
        <v>65</v>
      </c>
      <c r="AJ351" s="12"/>
      <c r="AK351" s="8">
        <v>612716</v>
      </c>
      <c r="AL351" s="8"/>
      <c r="AM351" s="8">
        <v>2129</v>
      </c>
      <c r="AN351" s="8"/>
      <c r="AO351" s="8">
        <v>451773</v>
      </c>
      <c r="AP351" s="8"/>
      <c r="AQ351" s="8">
        <v>196314</v>
      </c>
      <c r="AR351" s="8"/>
      <c r="AS351" s="8"/>
      <c r="AT351" s="8"/>
      <c r="AU351" s="8">
        <v>0</v>
      </c>
      <c r="AV351" s="8"/>
      <c r="AW351" s="8">
        <f t="shared" si="17"/>
        <v>12786103</v>
      </c>
      <c r="AY351" s="8">
        <f>+'St of Activites - GA Rev'!AI354-'St of Activities - GA Exp'!AW351</f>
        <v>-861122</v>
      </c>
      <c r="BA351" s="8">
        <v>15118683</v>
      </c>
      <c r="BC351" s="8">
        <f t="shared" si="16"/>
        <v>14257561</v>
      </c>
      <c r="BE351" s="8">
        <f>+'St of Net Assets - GA'!AA353-'St of Activities - GA Exp'!BC351</f>
        <v>0</v>
      </c>
    </row>
    <row r="352" spans="1:57" ht="12" customHeight="1">
      <c r="A352" s="12" t="s">
        <v>695</v>
      </c>
      <c r="B352" s="12"/>
      <c r="C352" s="12" t="s">
        <v>64</v>
      </c>
      <c r="D352" s="12"/>
      <c r="E352" s="32">
        <v>45567</v>
      </c>
      <c r="G352" s="8">
        <v>6481050</v>
      </c>
      <c r="H352" s="8"/>
      <c r="I352" s="8">
        <v>1292125</v>
      </c>
      <c r="J352" s="8"/>
      <c r="K352" s="8">
        <v>127166</v>
      </c>
      <c r="L352" s="8"/>
      <c r="M352" s="8">
        <v>1333</v>
      </c>
      <c r="N352" s="8"/>
      <c r="O352" s="8">
        <v>584911</v>
      </c>
      <c r="P352" s="8"/>
      <c r="Q352" s="8">
        <v>322128</v>
      </c>
      <c r="R352" s="8"/>
      <c r="S352" s="8">
        <v>130789</v>
      </c>
      <c r="T352" s="8"/>
      <c r="U352" s="8">
        <v>946020</v>
      </c>
      <c r="V352" s="8"/>
      <c r="W352" s="8">
        <v>322307</v>
      </c>
      <c r="X352" s="8"/>
      <c r="Y352" s="8">
        <v>0</v>
      </c>
      <c r="Z352" s="8"/>
      <c r="AA352" s="8">
        <v>1025456</v>
      </c>
      <c r="AB352" s="8"/>
      <c r="AC352" s="8">
        <v>753963</v>
      </c>
      <c r="AD352" s="8"/>
      <c r="AE352" s="8">
        <v>368154</v>
      </c>
      <c r="AF352" s="8"/>
      <c r="AG352" s="12" t="s">
        <v>695</v>
      </c>
      <c r="AH352" s="12"/>
      <c r="AI352" s="12" t="s">
        <v>64</v>
      </c>
      <c r="AJ352" s="12"/>
      <c r="AK352" s="8">
        <v>417713</v>
      </c>
      <c r="AL352" s="8"/>
      <c r="AM352" s="8">
        <v>146664</v>
      </c>
      <c r="AN352" s="8"/>
      <c r="AO352" s="8">
        <v>453073</v>
      </c>
      <c r="AP352" s="8"/>
      <c r="AQ352" s="8">
        <v>256082</v>
      </c>
      <c r="AR352" s="8"/>
      <c r="AS352" s="8"/>
      <c r="AT352" s="8"/>
      <c r="AU352" s="8">
        <v>0</v>
      </c>
      <c r="AV352" s="8"/>
      <c r="AW352" s="8">
        <f t="shared" si="17"/>
        <v>13628934</v>
      </c>
      <c r="AY352" s="8">
        <f>+'St of Activites - GA Rev'!AI355-'St of Activities - GA Exp'!AW352</f>
        <v>-193494</v>
      </c>
      <c r="BA352" s="8">
        <v>22503396</v>
      </c>
      <c r="BC352" s="8">
        <f t="shared" si="16"/>
        <v>22309902</v>
      </c>
      <c r="BE352" s="8">
        <f>+'St of Net Assets - GA'!AA354-'St of Activities - GA Exp'!BC352</f>
        <v>0</v>
      </c>
    </row>
    <row r="353" spans="1:57">
      <c r="A353" s="12" t="s">
        <v>547</v>
      </c>
      <c r="B353" s="12"/>
      <c r="C353" s="12" t="s">
        <v>48</v>
      </c>
      <c r="D353" s="12"/>
      <c r="E353" s="32">
        <v>48637</v>
      </c>
      <c r="G353" s="8">
        <v>2666957</v>
      </c>
      <c r="H353" s="8"/>
      <c r="I353" s="8">
        <v>431765</v>
      </c>
      <c r="J353" s="8"/>
      <c r="K353" s="8">
        <v>1832</v>
      </c>
      <c r="L353" s="8"/>
      <c r="M353" s="8">
        <v>5496</v>
      </c>
      <c r="N353" s="8"/>
      <c r="O353" s="8">
        <v>215349</v>
      </c>
      <c r="P353" s="8"/>
      <c r="Q353" s="8">
        <v>271473</v>
      </c>
      <c r="R353" s="8"/>
      <c r="S353" s="8">
        <v>8793</v>
      </c>
      <c r="T353" s="8"/>
      <c r="U353" s="8">
        <v>626738</v>
      </c>
      <c r="V353" s="8"/>
      <c r="W353" s="8">
        <v>205010</v>
      </c>
      <c r="X353" s="8"/>
      <c r="Y353" s="8">
        <v>1495</v>
      </c>
      <c r="Z353" s="8"/>
      <c r="AA353" s="8">
        <v>377701</v>
      </c>
      <c r="AB353" s="8"/>
      <c r="AC353" s="8">
        <v>261229</v>
      </c>
      <c r="AD353" s="8"/>
      <c r="AE353" s="8">
        <v>1214</v>
      </c>
      <c r="AF353" s="8"/>
      <c r="AG353" s="12" t="s">
        <v>547</v>
      </c>
      <c r="AH353" s="12"/>
      <c r="AI353" s="12" t="s">
        <v>48</v>
      </c>
      <c r="AJ353" s="12"/>
      <c r="AK353" s="8">
        <v>137163</v>
      </c>
      <c r="AL353" s="8"/>
      <c r="AM353" s="8">
        <v>10158</v>
      </c>
      <c r="AN353" s="8"/>
      <c r="AO353" s="8">
        <v>221493</v>
      </c>
      <c r="AP353" s="8"/>
      <c r="AQ353" s="8">
        <v>357943</v>
      </c>
      <c r="AR353" s="8"/>
      <c r="AS353" s="8"/>
      <c r="AT353" s="8"/>
      <c r="AU353" s="8">
        <v>0</v>
      </c>
      <c r="AV353" s="8"/>
      <c r="AW353" s="8">
        <f t="shared" si="17"/>
        <v>5801809</v>
      </c>
      <c r="AY353" s="8">
        <f>+'St of Activites - GA Rev'!AI356-'St of Activities - GA Exp'!AW353</f>
        <v>11605725</v>
      </c>
      <c r="BA353" s="8">
        <v>2158564</v>
      </c>
      <c r="BC353" s="8">
        <f t="shared" si="16"/>
        <v>13764289</v>
      </c>
      <c r="BE353" s="8">
        <f>+'St of Net Assets - GA'!AA355-'St of Activities - GA Exp'!BC353</f>
        <v>0</v>
      </c>
    </row>
    <row r="354" spans="1:57" ht="12" customHeight="1">
      <c r="A354" s="12" t="s">
        <v>836</v>
      </c>
      <c r="B354" s="12"/>
      <c r="C354" s="12" t="s">
        <v>64</v>
      </c>
      <c r="D354" s="12"/>
      <c r="E354" s="32"/>
      <c r="G354" s="8">
        <v>12376205</v>
      </c>
      <c r="H354" s="8"/>
      <c r="I354" s="8">
        <v>3126736</v>
      </c>
      <c r="J354" s="8"/>
      <c r="K354" s="8">
        <v>161740</v>
      </c>
      <c r="L354" s="8"/>
      <c r="M354" s="8">
        <v>982506</v>
      </c>
      <c r="N354" s="8"/>
      <c r="O354" s="8">
        <v>1304336</v>
      </c>
      <c r="P354" s="8"/>
      <c r="Q354" s="8">
        <v>928653</v>
      </c>
      <c r="R354" s="8"/>
      <c r="S354" s="8">
        <v>56636</v>
      </c>
      <c r="T354" s="8"/>
      <c r="U354" s="8">
        <v>2135689</v>
      </c>
      <c r="V354" s="8"/>
      <c r="W354" s="8">
        <v>507149</v>
      </c>
      <c r="X354" s="8"/>
      <c r="Y354" s="8">
        <v>133614</v>
      </c>
      <c r="Z354" s="8"/>
      <c r="AA354" s="8">
        <v>2252998</v>
      </c>
      <c r="AB354" s="8"/>
      <c r="AC354" s="8">
        <v>1006986</v>
      </c>
      <c r="AD354" s="8"/>
      <c r="AE354" s="8">
        <v>125798</v>
      </c>
      <c r="AF354" s="8"/>
      <c r="AG354" s="12" t="s">
        <v>836</v>
      </c>
      <c r="AH354" s="12"/>
      <c r="AI354" s="12" t="s">
        <v>64</v>
      </c>
      <c r="AJ354" s="12"/>
      <c r="AK354" s="8">
        <v>1076540</v>
      </c>
      <c r="AL354" s="8"/>
      <c r="AM354" s="8">
        <v>231687</v>
      </c>
      <c r="AN354" s="8"/>
      <c r="AO354" s="8">
        <v>436930</v>
      </c>
      <c r="AP354" s="8"/>
      <c r="AQ354" s="8">
        <v>415960</v>
      </c>
      <c r="AR354" s="8"/>
      <c r="AS354" s="8"/>
      <c r="AT354" s="8"/>
      <c r="AU354" s="8">
        <v>0</v>
      </c>
      <c r="AV354" s="8"/>
      <c r="AW354" s="8">
        <f t="shared" si="17"/>
        <v>27260163</v>
      </c>
      <c r="AY354" s="8">
        <f>+'St of Activites - GA Rev'!AI357-'St of Activities - GA Exp'!AW354</f>
        <v>509430</v>
      </c>
      <c r="BA354" s="8">
        <v>7081161</v>
      </c>
      <c r="BC354" s="8">
        <f t="shared" si="16"/>
        <v>7590591</v>
      </c>
      <c r="BE354" s="8">
        <f>+'St of Net Assets - GA'!AA356-'St of Activities - GA Exp'!BC354</f>
        <v>0</v>
      </c>
    </row>
    <row r="355" spans="1:57">
      <c r="A355" s="12" t="s">
        <v>578</v>
      </c>
      <c r="B355" s="12"/>
      <c r="C355" s="12" t="s">
        <v>52</v>
      </c>
      <c r="D355" s="12"/>
      <c r="E355" s="32">
        <v>48900</v>
      </c>
      <c r="G355" s="8">
        <v>4332037</v>
      </c>
      <c r="H355" s="8"/>
      <c r="I355" s="8">
        <v>913024</v>
      </c>
      <c r="J355" s="8"/>
      <c r="K355" s="8">
        <v>279327</v>
      </c>
      <c r="L355" s="8"/>
      <c r="M355" s="8">
        <f>5893+15424</f>
        <v>21317</v>
      </c>
      <c r="N355" s="8"/>
      <c r="O355" s="8">
        <v>412041</v>
      </c>
      <c r="P355" s="8"/>
      <c r="Q355" s="8">
        <v>444378</v>
      </c>
      <c r="R355" s="8"/>
      <c r="S355" s="8">
        <v>62543</v>
      </c>
      <c r="T355" s="8"/>
      <c r="U355" s="8">
        <v>894003</v>
      </c>
      <c r="V355" s="8"/>
      <c r="W355" s="8">
        <v>376774</v>
      </c>
      <c r="X355" s="8"/>
      <c r="Y355" s="8">
        <v>11868</v>
      </c>
      <c r="Z355" s="8"/>
      <c r="AA355" s="8">
        <v>811029</v>
      </c>
      <c r="AB355" s="8"/>
      <c r="AC355" s="8">
        <v>969101</v>
      </c>
      <c r="AD355" s="8"/>
      <c r="AE355" s="8">
        <v>4436</v>
      </c>
      <c r="AF355" s="8"/>
      <c r="AG355" s="12" t="s">
        <v>578</v>
      </c>
      <c r="AH355" s="12"/>
      <c r="AI355" s="12" t="s">
        <v>52</v>
      </c>
      <c r="AJ355" s="12"/>
      <c r="AK355" s="8">
        <v>546331</v>
      </c>
      <c r="AL355" s="8"/>
      <c r="AM355" s="8">
        <v>2598</v>
      </c>
      <c r="AN355" s="8"/>
      <c r="AO355" s="8">
        <v>207055</v>
      </c>
      <c r="AP355" s="8"/>
      <c r="AQ355" s="8">
        <v>33712</v>
      </c>
      <c r="AR355" s="8"/>
      <c r="AS355" s="8"/>
      <c r="AT355" s="8"/>
      <c r="AU355" s="8">
        <v>0</v>
      </c>
      <c r="AV355" s="8"/>
      <c r="AW355" s="8">
        <f t="shared" si="17"/>
        <v>10321574</v>
      </c>
      <c r="AY355" s="8">
        <f>+'St of Activites - GA Rev'!AI358-'St of Activities - GA Exp'!AW355</f>
        <v>-156075</v>
      </c>
      <c r="BA355" s="8">
        <v>6126923</v>
      </c>
      <c r="BC355" s="8">
        <f t="shared" si="16"/>
        <v>5970848</v>
      </c>
      <c r="BE355" s="8">
        <f>+'St of Net Assets - GA'!AA357-'St of Activities - GA Exp'!BC355</f>
        <v>0</v>
      </c>
    </row>
    <row r="356" spans="1:57">
      <c r="A356" s="12" t="s">
        <v>673</v>
      </c>
      <c r="B356" s="12"/>
      <c r="C356" s="12" t="s">
        <v>63</v>
      </c>
      <c r="D356" s="12"/>
      <c r="E356" s="32">
        <v>50047</v>
      </c>
      <c r="G356" s="8">
        <v>15392158</v>
      </c>
      <c r="H356" s="8"/>
      <c r="I356" s="8">
        <v>3460207</v>
      </c>
      <c r="J356" s="8"/>
      <c r="K356" s="8">
        <v>389503</v>
      </c>
      <c r="L356" s="8"/>
      <c r="M356" s="8">
        <v>471689</v>
      </c>
      <c r="N356" s="8"/>
      <c r="O356" s="8">
        <v>3291704</v>
      </c>
      <c r="P356" s="8"/>
      <c r="Q356" s="8">
        <v>1556012</v>
      </c>
      <c r="R356" s="8"/>
      <c r="S356" s="8">
        <v>80990</v>
      </c>
      <c r="T356" s="8"/>
      <c r="U356" s="8">
        <v>2453920</v>
      </c>
      <c r="V356" s="8"/>
      <c r="W356" s="8">
        <v>794472</v>
      </c>
      <c r="X356" s="8"/>
      <c r="Y356" s="8">
        <v>264945</v>
      </c>
      <c r="Z356" s="8"/>
      <c r="AA356" s="8">
        <v>4844818</v>
      </c>
      <c r="AB356" s="8"/>
      <c r="AC356" s="8">
        <v>2270033</v>
      </c>
      <c r="AD356" s="8"/>
      <c r="AE356" s="8">
        <v>36347</v>
      </c>
      <c r="AF356" s="8"/>
      <c r="AG356" s="12" t="s">
        <v>673</v>
      </c>
      <c r="AH356" s="12"/>
      <c r="AI356" s="12" t="s">
        <v>63</v>
      </c>
      <c r="AJ356" s="12"/>
      <c r="AK356" s="8">
        <v>1377966</v>
      </c>
      <c r="AL356" s="8"/>
      <c r="AM356" s="8">
        <v>469365</v>
      </c>
      <c r="AN356" s="8"/>
      <c r="AO356" s="8">
        <v>1298734</v>
      </c>
      <c r="AP356" s="8"/>
      <c r="AQ356" s="8">
        <v>1750304</v>
      </c>
      <c r="AR356" s="8"/>
      <c r="AS356" s="8"/>
      <c r="AT356" s="8"/>
      <c r="AU356" s="8">
        <v>0</v>
      </c>
      <c r="AV356" s="8"/>
      <c r="AW356" s="8">
        <f t="shared" si="17"/>
        <v>40203167</v>
      </c>
      <c r="AY356" s="8">
        <f>+'St of Activites - GA Rev'!AI359-'St of Activities - GA Exp'!AW356</f>
        <v>4844569</v>
      </c>
      <c r="BA356" s="8">
        <v>11455000</v>
      </c>
      <c r="BC356" s="8">
        <f t="shared" si="16"/>
        <v>16299569</v>
      </c>
      <c r="BE356" s="8">
        <f>+'St of Net Assets - GA'!AA358-'St of Activities - GA Exp'!BC356</f>
        <v>0</v>
      </c>
    </row>
    <row r="357" spans="1:57">
      <c r="A357" s="12" t="s">
        <v>741</v>
      </c>
      <c r="B357" s="12"/>
      <c r="C357" s="12" t="s">
        <v>72</v>
      </c>
      <c r="D357" s="12"/>
      <c r="E357" s="32">
        <v>50708</v>
      </c>
      <c r="G357" s="8">
        <v>2853477</v>
      </c>
      <c r="H357" s="8"/>
      <c r="I357" s="8">
        <v>1402426</v>
      </c>
      <c r="J357" s="8"/>
      <c r="K357" s="8">
        <v>0</v>
      </c>
      <c r="L357" s="8"/>
      <c r="M357" s="8">
        <v>643707</v>
      </c>
      <c r="N357" s="8"/>
      <c r="O357" s="8">
        <v>220093</v>
      </c>
      <c r="P357" s="8"/>
      <c r="Q357" s="8">
        <v>377060</v>
      </c>
      <c r="R357" s="8"/>
      <c r="S357" s="8">
        <v>134381</v>
      </c>
      <c r="T357" s="8"/>
      <c r="U357" s="8">
        <v>607012</v>
      </c>
      <c r="V357" s="8"/>
      <c r="W357" s="8">
        <v>270136</v>
      </c>
      <c r="X357" s="8"/>
      <c r="Y357" s="8">
        <v>0</v>
      </c>
      <c r="Z357" s="8"/>
      <c r="AA357" s="8">
        <v>629251</v>
      </c>
      <c r="AB357" s="8"/>
      <c r="AC357" s="8">
        <v>367232</v>
      </c>
      <c r="AD357" s="8"/>
      <c r="AE357" s="8">
        <v>0</v>
      </c>
      <c r="AF357" s="8"/>
      <c r="AG357" s="12" t="s">
        <v>741</v>
      </c>
      <c r="AH357" s="12"/>
      <c r="AI357" s="12" t="s">
        <v>72</v>
      </c>
      <c r="AJ357" s="12"/>
      <c r="AK357" s="8">
        <v>228506</v>
      </c>
      <c r="AL357" s="8"/>
      <c r="AM357" s="8">
        <v>0</v>
      </c>
      <c r="AN357" s="8"/>
      <c r="AO357" s="8">
        <v>246062</v>
      </c>
      <c r="AP357" s="8"/>
      <c r="AQ357" s="8">
        <v>87437</v>
      </c>
      <c r="AR357" s="8"/>
      <c r="AS357" s="8"/>
      <c r="AT357" s="8"/>
      <c r="AU357" s="8">
        <v>0</v>
      </c>
      <c r="AV357" s="8"/>
      <c r="AW357" s="8">
        <f t="shared" si="17"/>
        <v>8066780</v>
      </c>
      <c r="AY357" s="8">
        <f>+'St of Activites - GA Rev'!AI360-'St of Activities - GA Exp'!AW357</f>
        <v>-217280</v>
      </c>
      <c r="BA357" s="8">
        <v>1975987</v>
      </c>
      <c r="BC357" s="8">
        <f t="shared" si="16"/>
        <v>1758707</v>
      </c>
      <c r="BE357" s="8">
        <f>+'St of Net Assets - GA'!AA359-'St of Activities - GA Exp'!BC357</f>
        <v>0</v>
      </c>
    </row>
    <row r="358" spans="1:57" ht="12" hidden="1" customHeight="1">
      <c r="A358" s="12" t="s">
        <v>581</v>
      </c>
      <c r="B358" s="12"/>
      <c r="C358" s="12" t="s">
        <v>53</v>
      </c>
      <c r="D358" s="12"/>
      <c r="E358" s="32">
        <v>48967</v>
      </c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12" t="s">
        <v>581</v>
      </c>
      <c r="AH358" s="12"/>
      <c r="AI358" s="12" t="s">
        <v>53</v>
      </c>
      <c r="AJ358" s="12"/>
      <c r="AK358" s="8"/>
      <c r="AL358" s="8"/>
      <c r="AM358" s="8"/>
      <c r="AN358" s="8"/>
      <c r="AO358" s="8"/>
      <c r="AP358" s="8"/>
      <c r="AQ358" s="8">
        <v>0</v>
      </c>
      <c r="AR358" s="8"/>
      <c r="AS358" s="8"/>
      <c r="AT358" s="8"/>
      <c r="AU358" s="8">
        <v>0</v>
      </c>
      <c r="AV358" s="8"/>
      <c r="AW358" s="8">
        <f t="shared" si="17"/>
        <v>0</v>
      </c>
      <c r="AY358" s="8">
        <f>+'St of Activites - GA Rev'!AI361-'St of Activities - GA Exp'!AW358</f>
        <v>0</v>
      </c>
      <c r="BC358" s="8">
        <f t="shared" si="16"/>
        <v>0</v>
      </c>
      <c r="BE358" s="8">
        <f>+'St of Net Assets - GA'!AA360-'St of Activities - GA Exp'!BC358</f>
        <v>0</v>
      </c>
    </row>
    <row r="359" spans="1:57">
      <c r="A359" s="12" t="s">
        <v>663</v>
      </c>
      <c r="B359" s="12"/>
      <c r="C359" s="12" t="s">
        <v>62</v>
      </c>
      <c r="D359" s="12"/>
      <c r="E359" s="32">
        <v>44503</v>
      </c>
      <c r="G359" s="8">
        <v>19611382</v>
      </c>
      <c r="H359" s="8"/>
      <c r="I359" s="8">
        <v>3445946</v>
      </c>
      <c r="J359" s="8"/>
      <c r="K359" s="8">
        <v>1883480</v>
      </c>
      <c r="L359" s="8"/>
      <c r="M359" s="8">
        <f>40571+36219</f>
        <v>76790</v>
      </c>
      <c r="N359" s="8"/>
      <c r="O359" s="8">
        <v>2416138</v>
      </c>
      <c r="P359" s="8"/>
      <c r="Q359" s="8">
        <v>2439555</v>
      </c>
      <c r="R359" s="8"/>
      <c r="S359" s="8">
        <v>16861</v>
      </c>
      <c r="T359" s="8"/>
      <c r="U359" s="8">
        <v>3244901</v>
      </c>
      <c r="V359" s="8"/>
      <c r="W359" s="8">
        <v>967443</v>
      </c>
      <c r="X359" s="8"/>
      <c r="Y359" s="8">
        <v>36721</v>
      </c>
      <c r="Z359" s="8"/>
      <c r="AA359" s="8">
        <v>3850814</v>
      </c>
      <c r="AB359" s="8"/>
      <c r="AC359" s="8">
        <v>2855405</v>
      </c>
      <c r="AD359" s="8"/>
      <c r="AE359" s="8">
        <v>379625</v>
      </c>
      <c r="AF359" s="8"/>
      <c r="AG359" s="12" t="s">
        <v>663</v>
      </c>
      <c r="AH359" s="12"/>
      <c r="AI359" s="12" t="s">
        <v>62</v>
      </c>
      <c r="AJ359" s="12"/>
      <c r="AK359" s="8">
        <v>1494215</v>
      </c>
      <c r="AL359" s="8"/>
      <c r="AM359" s="8">
        <v>57974</v>
      </c>
      <c r="AN359" s="8"/>
      <c r="AO359" s="8">
        <v>1239438</v>
      </c>
      <c r="AP359" s="8"/>
      <c r="AQ359" s="8">
        <v>1337904</v>
      </c>
      <c r="AR359" s="8"/>
      <c r="AS359" s="8"/>
      <c r="AT359" s="8"/>
      <c r="AU359" s="8">
        <v>233670</v>
      </c>
      <c r="AV359" s="8"/>
      <c r="AW359" s="8">
        <f t="shared" si="17"/>
        <v>45588262</v>
      </c>
      <c r="AY359" s="8">
        <f>+'St of Activites - GA Rev'!AI362-'St of Activities - GA Exp'!AW359</f>
        <v>1666238</v>
      </c>
      <c r="BA359" s="8">
        <v>2090714</v>
      </c>
      <c r="BC359" s="8">
        <f t="shared" si="16"/>
        <v>3756952</v>
      </c>
      <c r="BE359" s="8">
        <f>+'St of Net Assets - GA'!AA361-'St of Activities - GA Exp'!BC359</f>
        <v>0</v>
      </c>
    </row>
    <row r="360" spans="1:57" hidden="1">
      <c r="A360" s="12" t="s">
        <v>728</v>
      </c>
      <c r="B360" s="12"/>
      <c r="C360" s="12" t="s">
        <v>733</v>
      </c>
      <c r="D360" s="12"/>
      <c r="E360" s="32">
        <v>50641</v>
      </c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12" t="s">
        <v>728</v>
      </c>
      <c r="AH360" s="12"/>
      <c r="AI360" s="12" t="s">
        <v>733</v>
      </c>
      <c r="AJ360" s="12"/>
      <c r="AK360" s="8"/>
      <c r="AL360" s="8"/>
      <c r="AM360" s="8"/>
      <c r="AN360" s="8"/>
      <c r="AO360" s="8"/>
      <c r="AP360" s="8"/>
      <c r="AQ360" s="8">
        <v>0</v>
      </c>
      <c r="AR360" s="8"/>
      <c r="AS360" s="8"/>
      <c r="AT360" s="8"/>
      <c r="AU360" s="8">
        <v>0</v>
      </c>
      <c r="AV360" s="8"/>
      <c r="AW360" s="8">
        <f t="shared" si="17"/>
        <v>0</v>
      </c>
      <c r="AY360" s="8">
        <f>+'St of Activites - GA Rev'!AI363-'St of Activities - GA Exp'!AW360</f>
        <v>0</v>
      </c>
      <c r="BC360" s="8">
        <f t="shared" si="16"/>
        <v>0</v>
      </c>
      <c r="BE360" s="8">
        <f>+'St of Net Assets - GA'!AA362-'St of Activities - GA Exp'!BC360</f>
        <v>0</v>
      </c>
    </row>
    <row r="361" spans="1:57" ht="12" hidden="1" customHeight="1">
      <c r="A361" s="12" t="s">
        <v>406</v>
      </c>
      <c r="B361" s="12"/>
      <c r="C361" s="12" t="s">
        <v>32</v>
      </c>
      <c r="D361" s="12"/>
      <c r="E361" s="32">
        <v>44511</v>
      </c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12" t="s">
        <v>406</v>
      </c>
      <c r="AH361" s="12"/>
      <c r="AI361" s="12" t="s">
        <v>32</v>
      </c>
      <c r="AJ361" s="12"/>
      <c r="AK361" s="8"/>
      <c r="AL361" s="8"/>
      <c r="AM361" s="8"/>
      <c r="AN361" s="8"/>
      <c r="AO361" s="8"/>
      <c r="AP361" s="8"/>
      <c r="AQ361" s="8">
        <v>0</v>
      </c>
      <c r="AR361" s="8"/>
      <c r="AS361" s="8"/>
      <c r="AT361" s="8"/>
      <c r="AU361" s="8">
        <v>0</v>
      </c>
      <c r="AV361" s="8"/>
      <c r="AW361" s="8">
        <f t="shared" si="17"/>
        <v>0</v>
      </c>
      <c r="AY361" s="8">
        <f>+'St of Activites - GA Rev'!AI364-'St of Activities - GA Exp'!AW361</f>
        <v>0</v>
      </c>
      <c r="BC361" s="8">
        <f t="shared" si="16"/>
        <v>0</v>
      </c>
      <c r="BE361" s="8">
        <f>+'St of Net Assets - GA'!AA363-'St of Activities - GA Exp'!BC361</f>
        <v>0</v>
      </c>
    </row>
    <row r="362" spans="1:57">
      <c r="A362" s="12" t="s">
        <v>485</v>
      </c>
      <c r="B362" s="12"/>
      <c r="C362" s="12" t="s">
        <v>42</v>
      </c>
      <c r="D362" s="12"/>
      <c r="E362" s="32">
        <v>48025</v>
      </c>
      <c r="G362" s="8">
        <v>5954705</v>
      </c>
      <c r="H362" s="8"/>
      <c r="I362" s="8">
        <v>2553305</v>
      </c>
      <c r="J362" s="8"/>
      <c r="K362" s="8">
        <v>274336</v>
      </c>
      <c r="L362" s="8"/>
      <c r="M362" s="8">
        <v>282124</v>
      </c>
      <c r="N362" s="8"/>
      <c r="O362" s="8">
        <v>1273321</v>
      </c>
      <c r="P362" s="8"/>
      <c r="Q362" s="8">
        <v>223037</v>
      </c>
      <c r="R362" s="8"/>
      <c r="S362" s="8">
        <v>33056</v>
      </c>
      <c r="T362" s="8"/>
      <c r="U362" s="8">
        <v>1338030</v>
      </c>
      <c r="V362" s="8"/>
      <c r="W362" s="8">
        <v>462500</v>
      </c>
      <c r="X362" s="8"/>
      <c r="Y362" s="8">
        <v>0</v>
      </c>
      <c r="Z362" s="8"/>
      <c r="AA362" s="8">
        <v>1642851</v>
      </c>
      <c r="AB362" s="8"/>
      <c r="AC362" s="8">
        <v>1414221</v>
      </c>
      <c r="AD362" s="8"/>
      <c r="AE362" s="8">
        <v>350675</v>
      </c>
      <c r="AF362" s="8"/>
      <c r="AG362" s="12" t="s">
        <v>485</v>
      </c>
      <c r="AH362" s="12"/>
      <c r="AI362" s="12" t="s">
        <v>42</v>
      </c>
      <c r="AJ362" s="12"/>
      <c r="AK362" s="8">
        <v>770476</v>
      </c>
      <c r="AL362" s="8"/>
      <c r="AM362" s="8">
        <v>16624</v>
      </c>
      <c r="AN362" s="8"/>
      <c r="AO362" s="8">
        <v>723357</v>
      </c>
      <c r="AP362" s="8"/>
      <c r="AQ362" s="8">
        <v>515626</v>
      </c>
      <c r="AR362" s="8"/>
      <c r="AS362" s="8"/>
      <c r="AT362" s="8"/>
      <c r="AU362" s="8">
        <v>0</v>
      </c>
      <c r="AV362" s="8"/>
      <c r="AW362" s="8">
        <f t="shared" si="17"/>
        <v>17828244</v>
      </c>
      <c r="AY362" s="8">
        <f>+'St of Activites - GA Rev'!AI365-'St of Activities - GA Exp'!AW362</f>
        <v>-720696</v>
      </c>
      <c r="BA362" s="8">
        <v>27647325</v>
      </c>
      <c r="BC362" s="8">
        <f t="shared" si="16"/>
        <v>26926629</v>
      </c>
      <c r="BE362" s="8">
        <f>+'St of Net Assets - GA'!AA364-'St of Activities - GA Exp'!BC362</f>
        <v>0</v>
      </c>
    </row>
    <row r="363" spans="1:57" ht="12" customHeight="1">
      <c r="A363" s="12" t="s">
        <v>317</v>
      </c>
      <c r="B363" s="12"/>
      <c r="C363" s="12" t="s">
        <v>20</v>
      </c>
      <c r="D363" s="12"/>
      <c r="E363" s="32">
        <v>44529</v>
      </c>
      <c r="G363" s="8">
        <v>23461756</v>
      </c>
      <c r="H363" s="8"/>
      <c r="I363" s="8">
        <v>6769100</v>
      </c>
      <c r="J363" s="8"/>
      <c r="K363" s="8">
        <v>362396</v>
      </c>
      <c r="L363" s="8"/>
      <c r="M363" s="8">
        <v>335822</v>
      </c>
      <c r="N363" s="8"/>
      <c r="O363" s="8">
        <v>4313535</v>
      </c>
      <c r="P363" s="8"/>
      <c r="Q363" s="8">
        <v>1173503</v>
      </c>
      <c r="R363" s="8"/>
      <c r="S363" s="8">
        <v>194264</v>
      </c>
      <c r="T363" s="8"/>
      <c r="U363" s="8">
        <v>3764269</v>
      </c>
      <c r="V363" s="8"/>
      <c r="W363" s="8">
        <v>1206941</v>
      </c>
      <c r="X363" s="8"/>
      <c r="Y363" s="8">
        <v>107225</v>
      </c>
      <c r="Z363" s="8"/>
      <c r="AA363" s="8">
        <v>4600580</v>
      </c>
      <c r="AB363" s="8"/>
      <c r="AC363" s="8">
        <v>2243881</v>
      </c>
      <c r="AD363" s="8"/>
      <c r="AE363" s="8">
        <v>1136870</v>
      </c>
      <c r="AF363" s="8"/>
      <c r="AG363" s="12" t="s">
        <v>317</v>
      </c>
      <c r="AH363" s="12"/>
      <c r="AI363" s="12" t="s">
        <v>20</v>
      </c>
      <c r="AJ363" s="12"/>
      <c r="AK363" s="8">
        <v>1349775</v>
      </c>
      <c r="AL363" s="8"/>
      <c r="AM363" s="8">
        <v>423544</v>
      </c>
      <c r="AN363" s="8"/>
      <c r="AO363" s="8">
        <v>1529681</v>
      </c>
      <c r="AP363" s="8"/>
      <c r="AQ363" s="8">
        <v>26595</v>
      </c>
      <c r="AR363" s="8"/>
      <c r="AS363" s="8"/>
      <c r="AT363" s="8"/>
      <c r="AU363" s="8">
        <v>0</v>
      </c>
      <c r="AV363" s="8"/>
      <c r="AW363" s="8">
        <f t="shared" si="17"/>
        <v>52999737</v>
      </c>
      <c r="AY363" s="8">
        <f>+'St of Activites - GA Rev'!AI366-'St of Activities - GA Exp'!AW363</f>
        <v>2266744</v>
      </c>
      <c r="BA363" s="8">
        <v>23256640</v>
      </c>
      <c r="BC363" s="8">
        <f t="shared" si="16"/>
        <v>25523384</v>
      </c>
      <c r="BE363" s="8">
        <f>+'St of Net Assets - GA'!AA365-'St of Activities - GA Exp'!BC363</f>
        <v>0</v>
      </c>
    </row>
    <row r="364" spans="1:57" s="8" customFormat="1">
      <c r="A364" s="13" t="s">
        <v>498</v>
      </c>
      <c r="B364" s="13"/>
      <c r="C364" s="13" t="s">
        <v>44</v>
      </c>
      <c r="D364" s="13"/>
      <c r="E364" s="13">
        <v>44537</v>
      </c>
      <c r="G364" s="8">
        <v>14576614</v>
      </c>
      <c r="I364" s="8">
        <v>3923682</v>
      </c>
      <c r="K364" s="8">
        <v>390538</v>
      </c>
      <c r="M364" s="8">
        <v>937878</v>
      </c>
      <c r="O364" s="8">
        <v>1517395</v>
      </c>
      <c r="Q364" s="8">
        <v>2591260</v>
      </c>
      <c r="S364" s="8">
        <v>145829</v>
      </c>
      <c r="U364" s="8">
        <v>1948304</v>
      </c>
      <c r="W364" s="8">
        <v>762286</v>
      </c>
      <c r="Y364" s="8">
        <v>276050</v>
      </c>
      <c r="AA364" s="8">
        <v>2942498</v>
      </c>
      <c r="AC364" s="8">
        <v>2300684</v>
      </c>
      <c r="AE364" s="8">
        <v>62116</v>
      </c>
      <c r="AG364" s="13" t="s">
        <v>498</v>
      </c>
      <c r="AH364" s="13"/>
      <c r="AI364" s="13" t="s">
        <v>44</v>
      </c>
      <c r="AJ364" s="13"/>
      <c r="AK364" s="8">
        <v>1044420</v>
      </c>
      <c r="AM364" s="8">
        <v>410899</v>
      </c>
      <c r="AO364" s="8">
        <v>730632</v>
      </c>
      <c r="AQ364" s="8">
        <v>92176</v>
      </c>
      <c r="AU364" s="8">
        <v>0</v>
      </c>
      <c r="AW364" s="8">
        <f t="shared" si="17"/>
        <v>34653261</v>
      </c>
      <c r="AY364" s="8">
        <f>+'St of Activites - GA Rev'!AI367-'St of Activities - GA Exp'!AW364</f>
        <v>-1968917</v>
      </c>
      <c r="BA364" s="8">
        <v>19445200</v>
      </c>
      <c r="BC364" s="8">
        <f t="shared" si="16"/>
        <v>17476283</v>
      </c>
      <c r="BE364" s="8">
        <f>+'St of Net Assets - GA'!AA366-'St of Activities - GA Exp'!BC364</f>
        <v>0</v>
      </c>
    </row>
    <row r="365" spans="1:57">
      <c r="A365" s="12" t="s">
        <v>318</v>
      </c>
      <c r="B365" s="12"/>
      <c r="C365" s="12" t="s">
        <v>20</v>
      </c>
      <c r="D365" s="12"/>
      <c r="E365" s="32">
        <v>44545</v>
      </c>
      <c r="G365" s="8">
        <v>21558320</v>
      </c>
      <c r="H365" s="8"/>
      <c r="I365" s="8">
        <v>4835486</v>
      </c>
      <c r="J365" s="8"/>
      <c r="K365" s="8">
        <v>194028</v>
      </c>
      <c r="L365" s="8"/>
      <c r="M365" s="8">
        <v>0</v>
      </c>
      <c r="N365" s="8"/>
      <c r="O365" s="8">
        <v>2490528</v>
      </c>
      <c r="P365" s="8"/>
      <c r="Q365" s="8">
        <v>2974945</v>
      </c>
      <c r="R365" s="8"/>
      <c r="S365" s="8">
        <v>38657</v>
      </c>
      <c r="T365" s="8"/>
      <c r="U365" s="8">
        <v>3574520</v>
      </c>
      <c r="V365" s="8"/>
      <c r="W365" s="8">
        <v>1048878</v>
      </c>
      <c r="X365" s="8"/>
      <c r="Y365" s="8">
        <v>325633</v>
      </c>
      <c r="Z365" s="8"/>
      <c r="AA365" s="8">
        <v>4002858</v>
      </c>
      <c r="AB365" s="8"/>
      <c r="AC365" s="8">
        <v>3540389</v>
      </c>
      <c r="AD365" s="8"/>
      <c r="AE365" s="8">
        <v>578689</v>
      </c>
      <c r="AF365" s="8"/>
      <c r="AG365" s="12" t="s">
        <v>318</v>
      </c>
      <c r="AH365" s="12"/>
      <c r="AI365" s="12" t="s">
        <v>20</v>
      </c>
      <c r="AJ365" s="12"/>
      <c r="AK365" s="8">
        <v>1492421</v>
      </c>
      <c r="AL365" s="8"/>
      <c r="AM365" s="8">
        <v>856858</v>
      </c>
      <c r="AN365" s="8"/>
      <c r="AO365" s="8">
        <v>975997</v>
      </c>
      <c r="AP365" s="8"/>
      <c r="AQ365" s="8">
        <v>1131121</v>
      </c>
      <c r="AR365" s="8"/>
      <c r="AS365" s="8"/>
      <c r="AT365" s="8"/>
      <c r="AU365" s="8">
        <v>0</v>
      </c>
      <c r="AV365" s="8"/>
      <c r="AW365" s="8">
        <f t="shared" si="17"/>
        <v>49619328</v>
      </c>
      <c r="AY365" s="8">
        <f>+'St of Activites - GA Rev'!AI368-'St of Activities - GA Exp'!AW365</f>
        <v>1137984</v>
      </c>
      <c r="BA365" s="8">
        <v>16294534</v>
      </c>
      <c r="BC365" s="8">
        <f t="shared" si="16"/>
        <v>17432518</v>
      </c>
      <c r="BE365" s="8">
        <f>+'St of Net Assets - GA'!AA367-'St of Activities - GA Exp'!BC365</f>
        <v>0</v>
      </c>
    </row>
    <row r="366" spans="1:57">
      <c r="A366" s="12" t="s">
        <v>709</v>
      </c>
      <c r="B366" s="12"/>
      <c r="C366" s="12" t="s">
        <v>66</v>
      </c>
      <c r="D366" s="12"/>
      <c r="E366" s="32">
        <v>50336</v>
      </c>
      <c r="G366" s="8">
        <v>6788114</v>
      </c>
      <c r="H366" s="8"/>
      <c r="I366" s="8">
        <v>1349052</v>
      </c>
      <c r="J366" s="8"/>
      <c r="K366" s="8">
        <v>683309</v>
      </c>
      <c r="L366" s="8"/>
      <c r="M366" s="8">
        <v>0</v>
      </c>
      <c r="N366" s="8"/>
      <c r="O366" s="8">
        <v>580664</v>
      </c>
      <c r="P366" s="8"/>
      <c r="Q366" s="8">
        <v>866042</v>
      </c>
      <c r="R366" s="8"/>
      <c r="S366" s="8">
        <v>28133</v>
      </c>
      <c r="T366" s="8"/>
      <c r="U366" s="8">
        <v>1008473</v>
      </c>
      <c r="V366" s="8"/>
      <c r="W366" s="8">
        <v>439745</v>
      </c>
      <c r="X366" s="8"/>
      <c r="Y366" s="8">
        <v>0</v>
      </c>
      <c r="Z366" s="8"/>
      <c r="AA366" s="8">
        <v>1541124</v>
      </c>
      <c r="AB366" s="8"/>
      <c r="AC366" s="8">
        <v>955398</v>
      </c>
      <c r="AD366" s="8"/>
      <c r="AE366" s="8">
        <v>48670</v>
      </c>
      <c r="AF366" s="8"/>
      <c r="AG366" s="12" t="s">
        <v>709</v>
      </c>
      <c r="AH366" s="12"/>
      <c r="AI366" s="12" t="s">
        <v>66</v>
      </c>
      <c r="AJ366" s="12"/>
      <c r="AK366" s="8">
        <v>0</v>
      </c>
      <c r="AL366" s="8"/>
      <c r="AM366" s="8">
        <v>590324</v>
      </c>
      <c r="AN366" s="8"/>
      <c r="AO366" s="8">
        <v>338211</v>
      </c>
      <c r="AP366" s="8"/>
      <c r="AQ366" s="8">
        <v>614450</v>
      </c>
      <c r="AR366" s="8"/>
      <c r="AS366" s="8"/>
      <c r="AT366" s="8"/>
      <c r="AU366" s="8">
        <v>0</v>
      </c>
      <c r="AV366" s="8"/>
      <c r="AW366" s="8">
        <f t="shared" si="17"/>
        <v>15831709</v>
      </c>
      <c r="AY366" s="8">
        <f>+'St of Activites - GA Rev'!AI369-'St of Activities - GA Exp'!AW366</f>
        <v>1127173</v>
      </c>
      <c r="BA366" s="8">
        <v>37329225</v>
      </c>
      <c r="BC366" s="8">
        <f t="shared" si="16"/>
        <v>38456398</v>
      </c>
      <c r="BE366" s="8">
        <f>+'St of Net Assets - GA'!AA368-'St of Activities - GA Exp'!BC366</f>
        <v>0</v>
      </c>
    </row>
    <row r="367" spans="1:57">
      <c r="A367" s="12" t="s">
        <v>266</v>
      </c>
      <c r="B367" s="12"/>
      <c r="C367" s="12" t="s">
        <v>17</v>
      </c>
      <c r="D367" s="12"/>
      <c r="E367" s="32">
        <v>46250</v>
      </c>
      <c r="G367" s="8">
        <v>14487250</v>
      </c>
      <c r="H367" s="8"/>
      <c r="I367" s="8">
        <v>2871037</v>
      </c>
      <c r="J367" s="8"/>
      <c r="K367" s="8">
        <v>786683</v>
      </c>
      <c r="L367" s="8"/>
      <c r="M367" s="8">
        <f>276+42455</f>
        <v>42731</v>
      </c>
      <c r="N367" s="8"/>
      <c r="O367" s="8">
        <v>1613075</v>
      </c>
      <c r="P367" s="8"/>
      <c r="Q367" s="8">
        <v>1671337</v>
      </c>
      <c r="R367" s="8"/>
      <c r="S367" s="8">
        <v>50737</v>
      </c>
      <c r="T367" s="8"/>
      <c r="U367" s="8">
        <v>2772072</v>
      </c>
      <c r="V367" s="8"/>
      <c r="W367" s="8">
        <v>692788</v>
      </c>
      <c r="X367" s="8"/>
      <c r="Y367" s="8">
        <v>0</v>
      </c>
      <c r="Z367" s="8"/>
      <c r="AA367" s="8">
        <v>2738675</v>
      </c>
      <c r="AB367" s="8"/>
      <c r="AC367" s="8">
        <v>1845261</v>
      </c>
      <c r="AD367" s="8"/>
      <c r="AE367" s="8">
        <v>4500</v>
      </c>
      <c r="AF367" s="8"/>
      <c r="AG367" s="12" t="s">
        <v>266</v>
      </c>
      <c r="AH367" s="12"/>
      <c r="AI367" s="12" t="s">
        <v>17</v>
      </c>
      <c r="AJ367" s="12"/>
      <c r="AK367" s="8">
        <v>0</v>
      </c>
      <c r="AL367" s="8"/>
      <c r="AM367" s="8">
        <v>1546748</v>
      </c>
      <c r="AN367" s="8"/>
      <c r="AO367" s="8">
        <v>876218</v>
      </c>
      <c r="AP367" s="8"/>
      <c r="AQ367" s="8">
        <v>268330</v>
      </c>
      <c r="AR367" s="8"/>
      <c r="AS367" s="8"/>
      <c r="AT367" s="8"/>
      <c r="AU367" s="8">
        <v>0</v>
      </c>
      <c r="AV367" s="8"/>
      <c r="AW367" s="8">
        <f t="shared" si="17"/>
        <v>32267442</v>
      </c>
      <c r="AY367" s="8">
        <f>+'St of Activites - GA Rev'!AI370-'St of Activities - GA Exp'!AW367</f>
        <v>-814049</v>
      </c>
      <c r="BA367" s="8">
        <v>21849476</v>
      </c>
      <c r="BC367" s="8">
        <f t="shared" si="16"/>
        <v>21035427</v>
      </c>
      <c r="BE367" s="8">
        <f>+'St of Net Assets - GA'!AA369-'St of Activities - GA Exp'!BC367</f>
        <v>0</v>
      </c>
    </row>
    <row r="368" spans="1:57" hidden="1">
      <c r="A368" s="12" t="s">
        <v>266</v>
      </c>
      <c r="B368" s="12"/>
      <c r="C368" s="12" t="s">
        <v>22</v>
      </c>
      <c r="D368" s="12"/>
      <c r="E368" s="32">
        <v>46722</v>
      </c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12" t="s">
        <v>266</v>
      </c>
      <c r="AH368" s="12"/>
      <c r="AI368" s="12" t="s">
        <v>22</v>
      </c>
      <c r="AJ368" s="12"/>
      <c r="AK368" s="8"/>
      <c r="AL368" s="8"/>
      <c r="AM368" s="8"/>
      <c r="AN368" s="8"/>
      <c r="AO368" s="8"/>
      <c r="AP368" s="8"/>
      <c r="AQ368" s="8">
        <v>0</v>
      </c>
      <c r="AR368" s="8"/>
      <c r="AS368" s="8"/>
      <c r="AT368" s="8"/>
      <c r="AU368" s="8">
        <v>0</v>
      </c>
      <c r="AV368" s="8"/>
      <c r="AW368" s="8">
        <f t="shared" si="17"/>
        <v>0</v>
      </c>
      <c r="AY368" s="8">
        <f>+'St of Activites - GA Rev'!AI371-'St of Activities - GA Exp'!AW368</f>
        <v>0</v>
      </c>
      <c r="BC368" s="8">
        <f t="shared" si="16"/>
        <v>0</v>
      </c>
      <c r="BE368" s="8">
        <f>+'St of Net Assets - GA'!AA370-'St of Activities - GA Exp'!BC368</f>
        <v>0</v>
      </c>
    </row>
    <row r="369" spans="1:57" ht="12" customHeight="1">
      <c r="A369" s="12" t="s">
        <v>561</v>
      </c>
      <c r="B369" s="12"/>
      <c r="C369" s="12" t="s">
        <v>50</v>
      </c>
      <c r="D369" s="12"/>
      <c r="E369" s="32">
        <v>48728</v>
      </c>
      <c r="G369" s="8">
        <v>24243775</v>
      </c>
      <c r="H369" s="8"/>
      <c r="I369" s="8">
        <v>9679219</v>
      </c>
      <c r="J369" s="8"/>
      <c r="K369" s="8">
        <v>394634</v>
      </c>
      <c r="L369" s="8"/>
      <c r="M369" s="8">
        <v>23282</v>
      </c>
      <c r="N369" s="8"/>
      <c r="O369" s="8">
        <v>3621740</v>
      </c>
      <c r="P369" s="8"/>
      <c r="Q369" s="8">
        <v>608296</v>
      </c>
      <c r="R369" s="8"/>
      <c r="S369" s="8">
        <v>98739</v>
      </c>
      <c r="T369" s="8"/>
      <c r="U369" s="8">
        <v>3406762</v>
      </c>
      <c r="V369" s="8"/>
      <c r="W369" s="8">
        <v>956596</v>
      </c>
      <c r="X369" s="8"/>
      <c r="Y369" s="8">
        <v>424448</v>
      </c>
      <c r="Z369" s="8"/>
      <c r="AA369" s="8">
        <v>3797428</v>
      </c>
      <c r="AB369" s="8"/>
      <c r="AC369" s="8">
        <v>2333609</v>
      </c>
      <c r="AD369" s="8"/>
      <c r="AE369" s="8">
        <v>355111</v>
      </c>
      <c r="AF369" s="8"/>
      <c r="AG369" s="12" t="s">
        <v>561</v>
      </c>
      <c r="AH369" s="12"/>
      <c r="AI369" s="12" t="s">
        <v>50</v>
      </c>
      <c r="AJ369" s="12"/>
      <c r="AK369" s="8">
        <v>0</v>
      </c>
      <c r="AL369" s="8"/>
      <c r="AM369" s="8">
        <v>3981857</v>
      </c>
      <c r="AN369" s="8"/>
      <c r="AO369" s="8">
        <v>1168624</v>
      </c>
      <c r="AP369" s="8"/>
      <c r="AQ369" s="8">
        <v>45953</v>
      </c>
      <c r="AR369" s="8"/>
      <c r="AS369" s="8"/>
      <c r="AT369" s="8"/>
      <c r="AU369" s="8">
        <v>0</v>
      </c>
      <c r="AV369" s="8"/>
      <c r="AW369" s="8">
        <f t="shared" si="17"/>
        <v>55140073</v>
      </c>
      <c r="AY369" s="8">
        <f>+'St of Activites - GA Rev'!AI372-'St of Activities - GA Exp'!AW369</f>
        <v>49750</v>
      </c>
      <c r="BA369" s="8">
        <v>10695459</v>
      </c>
      <c r="BC369" s="8">
        <f t="shared" si="16"/>
        <v>10745209</v>
      </c>
      <c r="BE369" s="8">
        <f>+'St of Net Assets - GA'!AA371-'St of Activities - GA Exp'!BC369</f>
        <v>0</v>
      </c>
    </row>
    <row r="370" spans="1:57">
      <c r="A370" s="12" t="s">
        <v>570</v>
      </c>
      <c r="B370" s="12"/>
      <c r="C370" s="12" t="s">
        <v>78</v>
      </c>
      <c r="D370" s="12"/>
      <c r="E370" s="32">
        <v>48819</v>
      </c>
      <c r="G370" s="8">
        <v>4524037</v>
      </c>
      <c r="H370" s="8"/>
      <c r="I370" s="8">
        <v>1287957</v>
      </c>
      <c r="J370" s="8"/>
      <c r="K370" s="8">
        <v>313023</v>
      </c>
      <c r="L370" s="8"/>
      <c r="M370" s="8">
        <v>924231</v>
      </c>
      <c r="N370" s="8"/>
      <c r="O370" s="8">
        <v>416630</v>
      </c>
      <c r="P370" s="8"/>
      <c r="Q370" s="8">
        <v>608876</v>
      </c>
      <c r="R370" s="8"/>
      <c r="S370" s="8">
        <v>16289</v>
      </c>
      <c r="T370" s="8"/>
      <c r="U370" s="8">
        <v>990950</v>
      </c>
      <c r="V370" s="8"/>
      <c r="W370" s="8">
        <v>408777</v>
      </c>
      <c r="X370" s="8"/>
      <c r="Y370" s="8">
        <v>0</v>
      </c>
      <c r="Z370" s="8"/>
      <c r="AA370" s="8">
        <v>851840</v>
      </c>
      <c r="AB370" s="8"/>
      <c r="AC370" s="8">
        <v>780748</v>
      </c>
      <c r="AD370" s="8"/>
      <c r="AE370" s="8">
        <v>13212</v>
      </c>
      <c r="AF370" s="8"/>
      <c r="AG370" s="12" t="s">
        <v>570</v>
      </c>
      <c r="AH370" s="12"/>
      <c r="AI370" s="12" t="s">
        <v>78</v>
      </c>
      <c r="AJ370" s="12"/>
      <c r="AK370" s="8">
        <v>383773</v>
      </c>
      <c r="AL370" s="8"/>
      <c r="AM370" s="8">
        <v>0</v>
      </c>
      <c r="AN370" s="8"/>
      <c r="AO370" s="8">
        <v>288736</v>
      </c>
      <c r="AP370" s="8"/>
      <c r="AQ370" s="8">
        <v>53630</v>
      </c>
      <c r="AR370" s="8"/>
      <c r="AS370" s="8"/>
      <c r="AT370" s="8"/>
      <c r="AU370" s="8">
        <v>0</v>
      </c>
      <c r="AV370" s="8"/>
      <c r="AW370" s="8">
        <f t="shared" si="17"/>
        <v>11862709</v>
      </c>
      <c r="AY370" s="8">
        <f>+'St of Activites - GA Rev'!AI373-'St of Activities - GA Exp'!AW370</f>
        <v>591033</v>
      </c>
      <c r="BA370" s="8">
        <v>1891889</v>
      </c>
      <c r="BC370" s="8">
        <f t="shared" si="16"/>
        <v>2482922</v>
      </c>
      <c r="BE370" s="8">
        <f>+'St of Net Assets - GA'!AA372-'St of Activities - GA Exp'!BC370</f>
        <v>0</v>
      </c>
    </row>
    <row r="371" spans="1:57">
      <c r="A371" s="12" t="s">
        <v>486</v>
      </c>
      <c r="B371" s="12"/>
      <c r="C371" s="12" t="s">
        <v>50</v>
      </c>
      <c r="D371" s="12"/>
      <c r="E371" s="32">
        <v>48033</v>
      </c>
      <c r="G371" s="8">
        <v>9079911</v>
      </c>
      <c r="H371" s="8"/>
      <c r="I371" s="8">
        <v>2930025</v>
      </c>
      <c r="J371" s="8"/>
      <c r="K371" s="8">
        <v>300275</v>
      </c>
      <c r="L371" s="8"/>
      <c r="M371" s="8">
        <v>376926</v>
      </c>
      <c r="N371" s="8"/>
      <c r="O371" s="8">
        <v>1482221</v>
      </c>
      <c r="P371" s="8"/>
      <c r="Q371" s="8">
        <v>575504</v>
      </c>
      <c r="R371" s="8"/>
      <c r="S371" s="8">
        <v>28022</v>
      </c>
      <c r="T371" s="8"/>
      <c r="U371" s="8">
        <v>1727071</v>
      </c>
      <c r="V371" s="8"/>
      <c r="W371" s="8">
        <v>412331</v>
      </c>
      <c r="X371" s="8"/>
      <c r="Y371" s="8">
        <v>198642</v>
      </c>
      <c r="Z371" s="8"/>
      <c r="AA371" s="8">
        <v>2177807</v>
      </c>
      <c r="AB371" s="8"/>
      <c r="AC371" s="8">
        <v>957253</v>
      </c>
      <c r="AD371" s="8"/>
      <c r="AE371" s="8">
        <v>42862</v>
      </c>
      <c r="AF371" s="8"/>
      <c r="AG371" s="12" t="s">
        <v>486</v>
      </c>
      <c r="AH371" s="12"/>
      <c r="AI371" s="12" t="s">
        <v>42</v>
      </c>
      <c r="AJ371" s="12"/>
      <c r="AK371" s="8">
        <v>0</v>
      </c>
      <c r="AL371" s="8"/>
      <c r="AM371" s="8">
        <v>1000315</v>
      </c>
      <c r="AN371" s="8"/>
      <c r="AO371" s="8">
        <v>789148</v>
      </c>
      <c r="AP371" s="8"/>
      <c r="AQ371" s="8">
        <v>349201</v>
      </c>
      <c r="AR371" s="8"/>
      <c r="AS371" s="8"/>
      <c r="AT371" s="8"/>
      <c r="AU371" s="8">
        <v>0</v>
      </c>
      <c r="AV371" s="8"/>
      <c r="AW371" s="8">
        <f t="shared" si="17"/>
        <v>22427514</v>
      </c>
      <c r="AY371" s="8">
        <f>+'St of Activites - GA Rev'!AI374-'St of Activities - GA Exp'!AW371</f>
        <v>-154165</v>
      </c>
      <c r="BA371" s="8">
        <v>9862582</v>
      </c>
      <c r="BC371" s="8">
        <f t="shared" si="16"/>
        <v>9708417</v>
      </c>
      <c r="BE371" s="8">
        <f>+'St of Net Assets - GA'!AA373-'St of Activities - GA Exp'!BC371</f>
        <v>0</v>
      </c>
    </row>
    <row r="372" spans="1:57">
      <c r="A372" s="12" t="s">
        <v>486</v>
      </c>
      <c r="B372" s="12"/>
      <c r="C372" s="12" t="s">
        <v>42</v>
      </c>
      <c r="D372" s="12"/>
      <c r="E372" s="32">
        <v>48736</v>
      </c>
      <c r="G372" s="8">
        <v>5530375</v>
      </c>
      <c r="H372" s="8"/>
      <c r="I372" s="8">
        <v>1060923</v>
      </c>
      <c r="J372" s="8"/>
      <c r="K372" s="8">
        <v>146782</v>
      </c>
      <c r="L372" s="8"/>
      <c r="M372" s="8">
        <v>0</v>
      </c>
      <c r="N372" s="8"/>
      <c r="O372" s="8">
        <v>476698</v>
      </c>
      <c r="P372" s="8"/>
      <c r="Q372" s="8">
        <v>545613</v>
      </c>
      <c r="R372" s="8"/>
      <c r="S372" s="8">
        <v>84871</v>
      </c>
      <c r="T372" s="8"/>
      <c r="U372" s="8">
        <v>1097397</v>
      </c>
      <c r="V372" s="8"/>
      <c r="W372" s="8">
        <v>294649</v>
      </c>
      <c r="X372" s="8"/>
      <c r="Y372" s="8">
        <v>0</v>
      </c>
      <c r="Z372" s="8"/>
      <c r="AA372" s="8">
        <v>1182201</v>
      </c>
      <c r="AB372" s="8"/>
      <c r="AC372" s="8">
        <v>1453757</v>
      </c>
      <c r="AD372" s="8"/>
      <c r="AE372" s="8">
        <v>118154</v>
      </c>
      <c r="AF372" s="8"/>
      <c r="AG372" s="12" t="s">
        <v>486</v>
      </c>
      <c r="AH372" s="12"/>
      <c r="AI372" s="12" t="s">
        <v>50</v>
      </c>
      <c r="AJ372" s="12"/>
      <c r="AK372" s="8">
        <v>471851</v>
      </c>
      <c r="AL372" s="8"/>
      <c r="AM372" s="8">
        <v>1436</v>
      </c>
      <c r="AN372" s="8"/>
      <c r="AO372" s="8">
        <v>300792</v>
      </c>
      <c r="AP372" s="8"/>
      <c r="AQ372" s="8">
        <v>345520</v>
      </c>
      <c r="AR372" s="8"/>
      <c r="AS372" s="8"/>
      <c r="AT372" s="8"/>
      <c r="AU372" s="8">
        <v>0</v>
      </c>
      <c r="AV372" s="8"/>
      <c r="AW372" s="8">
        <f t="shared" si="17"/>
        <v>13111019</v>
      </c>
      <c r="AY372" s="8">
        <f>+'St of Activites - GA Rev'!AI375-'St of Activities - GA Exp'!AW372</f>
        <v>684596</v>
      </c>
      <c r="BA372" s="8">
        <v>6970536</v>
      </c>
      <c r="BC372" s="8">
        <f t="shared" si="16"/>
        <v>7655132</v>
      </c>
      <c r="BE372" s="8">
        <f>+'St of Net Assets - GA'!AA374-'St of Activities - GA Exp'!BC372</f>
        <v>0</v>
      </c>
    </row>
    <row r="373" spans="1:57">
      <c r="A373" s="12" t="s">
        <v>407</v>
      </c>
      <c r="B373" s="12"/>
      <c r="C373" s="12" t="s">
        <v>32</v>
      </c>
      <c r="D373" s="12"/>
      <c r="E373" s="32">
        <v>47365</v>
      </c>
      <c r="G373" s="8">
        <v>41620476</v>
      </c>
      <c r="H373" s="8"/>
      <c r="I373" s="8">
        <v>9855588</v>
      </c>
      <c r="J373" s="8"/>
      <c r="K373" s="8">
        <v>1803923</v>
      </c>
      <c r="L373" s="8"/>
      <c r="M373" s="8">
        <v>1224532</v>
      </c>
      <c r="N373" s="8"/>
      <c r="O373" s="8">
        <v>4529166</v>
      </c>
      <c r="P373" s="8"/>
      <c r="Q373" s="8">
        <v>5561887</v>
      </c>
      <c r="R373" s="8"/>
      <c r="S373" s="8">
        <v>182771</v>
      </c>
      <c r="T373" s="8"/>
      <c r="U373" s="8">
        <v>5671596</v>
      </c>
      <c r="V373" s="8"/>
      <c r="W373" s="8">
        <v>1578274</v>
      </c>
      <c r="X373" s="8"/>
      <c r="Y373" s="8">
        <v>668574</v>
      </c>
      <c r="Z373" s="8"/>
      <c r="AA373" s="8">
        <v>8011657</v>
      </c>
      <c r="AB373" s="8"/>
      <c r="AC373" s="8">
        <v>4764172</v>
      </c>
      <c r="AD373" s="8"/>
      <c r="AE373" s="8">
        <v>1636869</v>
      </c>
      <c r="AF373" s="8"/>
      <c r="AG373" s="12" t="s">
        <v>407</v>
      </c>
      <c r="AH373" s="12"/>
      <c r="AI373" s="12" t="s">
        <v>32</v>
      </c>
      <c r="AJ373" s="12"/>
      <c r="AK373" s="8">
        <v>0</v>
      </c>
      <c r="AL373" s="8"/>
      <c r="AM373" s="8">
        <f>3023713+4107862</f>
        <v>7131575</v>
      </c>
      <c r="AN373" s="8"/>
      <c r="AO373" s="8">
        <v>1543938</v>
      </c>
      <c r="AP373" s="8"/>
      <c r="AQ373" s="8">
        <v>993695</v>
      </c>
      <c r="AR373" s="8"/>
      <c r="AS373" s="8"/>
      <c r="AT373" s="8"/>
      <c r="AU373" s="8">
        <v>0</v>
      </c>
      <c r="AV373" s="8"/>
      <c r="AW373" s="8">
        <f t="shared" ref="AW373:AW385" si="19">SUM(G373:AV373)</f>
        <v>96778693</v>
      </c>
      <c r="AY373" s="8">
        <f>+'St of Activites - GA Rev'!AI376-'St of Activities - GA Exp'!AW373</f>
        <v>301113</v>
      </c>
      <c r="BA373" s="8">
        <v>25185394</v>
      </c>
      <c r="BC373" s="8">
        <f t="shared" ref="BC373:BC385" si="20">+AY373+BA373</f>
        <v>25486507</v>
      </c>
      <c r="BE373" s="8">
        <f>+'St of Net Assets - GA'!AA375-'St of Activities - GA Exp'!BC373</f>
        <v>0</v>
      </c>
    </row>
    <row r="374" spans="1:57">
      <c r="A374" s="12" t="s">
        <v>407</v>
      </c>
      <c r="B374" s="12"/>
      <c r="C374" s="12" t="s">
        <v>59</v>
      </c>
      <c r="D374" s="12"/>
      <c r="E374" s="32">
        <v>49635</v>
      </c>
      <c r="G374" s="8">
        <v>7624821</v>
      </c>
      <c r="H374" s="8"/>
      <c r="I374" s="8">
        <v>1338859</v>
      </c>
      <c r="J374" s="8"/>
      <c r="K374" s="8">
        <v>67347</v>
      </c>
      <c r="L374" s="8"/>
      <c r="M374" s="8">
        <f>13562+565920</f>
        <v>579482</v>
      </c>
      <c r="N374" s="8"/>
      <c r="O374" s="8">
        <v>688436</v>
      </c>
      <c r="P374" s="8"/>
      <c r="Q374" s="8">
        <v>1178383</v>
      </c>
      <c r="R374" s="8"/>
      <c r="S374" s="8">
        <v>13462</v>
      </c>
      <c r="T374" s="8"/>
      <c r="U374" s="8">
        <v>1266514</v>
      </c>
      <c r="V374" s="8"/>
      <c r="W374" s="8">
        <v>303192</v>
      </c>
      <c r="X374" s="8"/>
      <c r="Y374" s="8">
        <v>0</v>
      </c>
      <c r="Z374" s="8"/>
      <c r="AA374" s="8">
        <v>1893416</v>
      </c>
      <c r="AB374" s="8"/>
      <c r="AC374" s="8">
        <v>1551761</v>
      </c>
      <c r="AD374" s="8"/>
      <c r="AE374" s="8">
        <v>31135</v>
      </c>
      <c r="AF374" s="8"/>
      <c r="AG374" s="12" t="s">
        <v>407</v>
      </c>
      <c r="AH374" s="12"/>
      <c r="AI374" s="12" t="s">
        <v>59</v>
      </c>
      <c r="AJ374" s="12"/>
      <c r="AK374" s="8">
        <v>0</v>
      </c>
      <c r="AL374" s="8"/>
      <c r="AM374" s="8">
        <v>731590</v>
      </c>
      <c r="AN374" s="8"/>
      <c r="AO374" s="8">
        <v>335866</v>
      </c>
      <c r="AP374" s="8"/>
      <c r="AQ374" s="8">
        <v>194866</v>
      </c>
      <c r="AR374" s="8"/>
      <c r="AS374" s="8"/>
      <c r="AT374" s="8"/>
      <c r="AU374" s="8">
        <v>0</v>
      </c>
      <c r="AV374" s="8"/>
      <c r="AW374" s="8">
        <f t="shared" si="19"/>
        <v>17799130</v>
      </c>
      <c r="AY374" s="8">
        <f>+'St of Activites - GA Rev'!AI377-'St of Activities - GA Exp'!AW374</f>
        <v>-134521</v>
      </c>
      <c r="BA374" s="8">
        <v>26956042</v>
      </c>
      <c r="BC374" s="8">
        <f t="shared" si="20"/>
        <v>26821521</v>
      </c>
      <c r="BE374" s="8">
        <f>+'St of Net Assets - GA'!AA376-'St of Activities - GA Exp'!BC374</f>
        <v>0</v>
      </c>
    </row>
    <row r="375" spans="1:57">
      <c r="A375" s="12" t="s">
        <v>407</v>
      </c>
      <c r="B375" s="12"/>
      <c r="C375" s="12" t="s">
        <v>62</v>
      </c>
      <c r="D375" s="12"/>
      <c r="E375" s="32">
        <v>49908</v>
      </c>
      <c r="G375" s="8">
        <v>9785100</v>
      </c>
      <c r="H375" s="8"/>
      <c r="I375" s="8">
        <v>2677787</v>
      </c>
      <c r="J375" s="8"/>
      <c r="K375" s="8">
        <v>284770</v>
      </c>
      <c r="L375" s="8"/>
      <c r="M375" s="8">
        <v>88382</v>
      </c>
      <c r="N375" s="8"/>
      <c r="O375" s="8">
        <v>957203</v>
      </c>
      <c r="P375" s="8"/>
      <c r="Q375" s="8">
        <v>288200</v>
      </c>
      <c r="R375" s="8"/>
      <c r="S375" s="8">
        <v>39685</v>
      </c>
      <c r="T375" s="8"/>
      <c r="U375" s="8">
        <v>1871832</v>
      </c>
      <c r="V375" s="8"/>
      <c r="W375" s="8">
        <v>414383</v>
      </c>
      <c r="X375" s="8"/>
      <c r="Y375" s="8">
        <v>0</v>
      </c>
      <c r="Z375" s="8"/>
      <c r="AA375" s="8">
        <v>1884654</v>
      </c>
      <c r="AB375" s="8"/>
      <c r="AC375" s="8">
        <v>1280721</v>
      </c>
      <c r="AD375" s="8"/>
      <c r="AE375" s="8">
        <v>400355</v>
      </c>
      <c r="AF375" s="8"/>
      <c r="AG375" s="12" t="s">
        <v>407</v>
      </c>
      <c r="AH375" s="12"/>
      <c r="AI375" s="12" t="s">
        <v>62</v>
      </c>
      <c r="AJ375" s="12"/>
      <c r="AK375" s="8">
        <v>832309</v>
      </c>
      <c r="AL375" s="8"/>
      <c r="AM375" s="8">
        <v>10171</v>
      </c>
      <c r="AN375" s="8"/>
      <c r="AO375" s="8">
        <v>496595</v>
      </c>
      <c r="AP375" s="8"/>
      <c r="AQ375" s="8">
        <v>1046041</v>
      </c>
      <c r="AR375" s="8"/>
      <c r="AS375" s="8"/>
      <c r="AT375" s="8"/>
      <c r="AU375" s="8">
        <v>88113</v>
      </c>
      <c r="AV375" s="8"/>
      <c r="AW375" s="8">
        <f t="shared" si="19"/>
        <v>22446301</v>
      </c>
      <c r="AY375" s="8">
        <f>+'St of Activites - GA Rev'!AI378-'St of Activities - GA Exp'!AW375</f>
        <v>-689274</v>
      </c>
      <c r="BA375" s="8">
        <v>1389070</v>
      </c>
      <c r="BC375" s="8">
        <f t="shared" si="20"/>
        <v>699796</v>
      </c>
      <c r="BE375" s="8">
        <f>+'St of Net Assets - GA'!AA377-'St of Activities - GA Exp'!BC375</f>
        <v>0</v>
      </c>
    </row>
    <row r="376" spans="1:57">
      <c r="A376" s="12" t="s">
        <v>267</v>
      </c>
      <c r="B376" s="12"/>
      <c r="C376" s="12" t="s">
        <v>17</v>
      </c>
      <c r="D376" s="12"/>
      <c r="E376" s="32">
        <v>46268</v>
      </c>
      <c r="G376" s="8">
        <v>7737821</v>
      </c>
      <c r="H376" s="8"/>
      <c r="I376" s="8">
        <v>1818964</v>
      </c>
      <c r="J376" s="8"/>
      <c r="K376" s="8">
        <v>0</v>
      </c>
      <c r="L376" s="8"/>
      <c r="M376" s="8">
        <v>15177</v>
      </c>
      <c r="N376" s="8"/>
      <c r="O376" s="8">
        <v>502605</v>
      </c>
      <c r="P376" s="8"/>
      <c r="Q376" s="8">
        <v>837850</v>
      </c>
      <c r="R376" s="8"/>
      <c r="S376" s="8">
        <v>93922</v>
      </c>
      <c r="T376" s="8"/>
      <c r="U376" s="8">
        <v>1202895</v>
      </c>
      <c r="V376" s="8"/>
      <c r="W376" s="8">
        <v>395494</v>
      </c>
      <c r="X376" s="8"/>
      <c r="Y376" s="8">
        <v>0</v>
      </c>
      <c r="Z376" s="8"/>
      <c r="AA376" s="8">
        <v>1352160</v>
      </c>
      <c r="AB376" s="8"/>
      <c r="AC376" s="8">
        <v>1075000</v>
      </c>
      <c r="AD376" s="8"/>
      <c r="AE376" s="8">
        <v>27861</v>
      </c>
      <c r="AF376" s="8"/>
      <c r="AG376" s="12" t="s">
        <v>267</v>
      </c>
      <c r="AH376" s="12"/>
      <c r="AI376" s="12" t="s">
        <v>17</v>
      </c>
      <c r="AJ376" s="12"/>
      <c r="AK376" s="8">
        <v>573630</v>
      </c>
      <c r="AL376" s="8"/>
      <c r="AM376" s="8">
        <f>19164+40305</f>
        <v>59469</v>
      </c>
      <c r="AN376" s="8"/>
      <c r="AO376" s="8">
        <v>434124</v>
      </c>
      <c r="AP376" s="8"/>
      <c r="AQ376" s="8">
        <v>20789</v>
      </c>
      <c r="AR376" s="8"/>
      <c r="AS376" s="8"/>
      <c r="AT376" s="8"/>
      <c r="AU376" s="8">
        <v>0</v>
      </c>
      <c r="AV376" s="8"/>
      <c r="AW376" s="8">
        <f t="shared" si="19"/>
        <v>16147761</v>
      </c>
      <c r="AY376" s="8">
        <f>+'St of Activites - GA Rev'!AI379-'St of Activities - GA Exp'!AW376</f>
        <v>-663920</v>
      </c>
      <c r="BA376" s="8">
        <v>9024297</v>
      </c>
      <c r="BC376" s="8">
        <f t="shared" si="20"/>
        <v>8360377</v>
      </c>
      <c r="BE376" s="8">
        <f>+'St of Net Assets - GA'!AA378-'St of Activities - GA Exp'!BC376</f>
        <v>0</v>
      </c>
    </row>
    <row r="377" spans="1:57">
      <c r="A377" s="12" t="s">
        <v>742</v>
      </c>
      <c r="B377" s="12"/>
      <c r="C377" s="12" t="s">
        <v>72</v>
      </c>
      <c r="D377" s="12"/>
      <c r="E377" s="32">
        <v>50716</v>
      </c>
      <c r="G377" s="8">
        <v>4463884</v>
      </c>
      <c r="H377" s="8"/>
      <c r="I377" s="8">
        <v>1176143</v>
      </c>
      <c r="J377" s="8"/>
      <c r="K377" s="8">
        <v>160313</v>
      </c>
      <c r="L377" s="8"/>
      <c r="M377" s="8">
        <v>0</v>
      </c>
      <c r="N377" s="8"/>
      <c r="O377" s="8">
        <v>315884</v>
      </c>
      <c r="P377" s="8"/>
      <c r="Q377" s="8">
        <v>475102</v>
      </c>
      <c r="R377" s="8"/>
      <c r="S377" s="8">
        <v>13926</v>
      </c>
      <c r="T377" s="8"/>
      <c r="U377" s="8">
        <v>821128</v>
      </c>
      <c r="V377" s="8"/>
      <c r="W377" s="8">
        <v>299669</v>
      </c>
      <c r="X377" s="8"/>
      <c r="Y377" s="8">
        <v>0</v>
      </c>
      <c r="Z377" s="8"/>
      <c r="AA377" s="8">
        <v>859573</v>
      </c>
      <c r="AB377" s="8"/>
      <c r="AC377" s="8">
        <v>341065</v>
      </c>
      <c r="AD377" s="8"/>
      <c r="AE377" s="8">
        <v>1391</v>
      </c>
      <c r="AF377" s="8"/>
      <c r="AG377" s="12" t="s">
        <v>742</v>
      </c>
      <c r="AH377" s="12"/>
      <c r="AI377" s="12" t="s">
        <v>72</v>
      </c>
      <c r="AJ377" s="12"/>
      <c r="AK377" s="8">
        <v>0</v>
      </c>
      <c r="AL377" s="8"/>
      <c r="AM377" s="8">
        <v>356130</v>
      </c>
      <c r="AN377" s="8"/>
      <c r="AO377" s="8">
        <v>330783</v>
      </c>
      <c r="AP377" s="8"/>
      <c r="AQ377" s="8">
        <v>130102</v>
      </c>
      <c r="AR377" s="8"/>
      <c r="AS377" s="8"/>
      <c r="AT377" s="8"/>
      <c r="AU377" s="8">
        <v>376333</v>
      </c>
      <c r="AV377" s="8"/>
      <c r="AW377" s="8">
        <f t="shared" si="19"/>
        <v>10121426</v>
      </c>
      <c r="AY377" s="8">
        <f>+'St of Activites - GA Rev'!AI380-'St of Activities - GA Exp'!AW377</f>
        <v>-486355</v>
      </c>
      <c r="BA377" s="8">
        <v>6581013</v>
      </c>
      <c r="BC377" s="8">
        <f t="shared" si="20"/>
        <v>6094658</v>
      </c>
      <c r="BE377" s="8">
        <f>+'St of Net Assets - GA'!AA379-'St of Activities - GA Exp'!BC377</f>
        <v>0</v>
      </c>
    </row>
    <row r="378" spans="1:57">
      <c r="A378" s="12" t="s">
        <v>674</v>
      </c>
      <c r="B378" s="12"/>
      <c r="C378" s="12" t="s">
        <v>63</v>
      </c>
      <c r="D378" s="12"/>
      <c r="E378" s="32">
        <v>44552</v>
      </c>
      <c r="G378" s="8">
        <v>10704032</v>
      </c>
      <c r="H378" s="8"/>
      <c r="I378" s="8">
        <v>1527876</v>
      </c>
      <c r="J378" s="8"/>
      <c r="K378" s="8">
        <v>791623</v>
      </c>
      <c r="L378" s="8"/>
      <c r="M378" s="8">
        <f>1167+315352</f>
        <v>316519</v>
      </c>
      <c r="N378" s="8"/>
      <c r="O378" s="8">
        <v>797913</v>
      </c>
      <c r="P378" s="8"/>
      <c r="Q378" s="8">
        <v>905399</v>
      </c>
      <c r="R378" s="8"/>
      <c r="S378" s="8">
        <v>43158</v>
      </c>
      <c r="T378" s="8"/>
      <c r="U378" s="8">
        <v>1559502</v>
      </c>
      <c r="V378" s="8"/>
      <c r="W378" s="8">
        <v>507517</v>
      </c>
      <c r="X378" s="8"/>
      <c r="Y378" s="8">
        <v>479827</v>
      </c>
      <c r="Z378" s="8"/>
      <c r="AA378" s="8">
        <v>2023579</v>
      </c>
      <c r="AB378" s="8"/>
      <c r="AC378" s="8">
        <v>1359161</v>
      </c>
      <c r="AD378" s="8"/>
      <c r="AE378" s="8">
        <v>77665</v>
      </c>
      <c r="AF378" s="8"/>
      <c r="AG378" s="12" t="s">
        <v>674</v>
      </c>
      <c r="AH378" s="12"/>
      <c r="AI378" s="12" t="s">
        <v>63</v>
      </c>
      <c r="AJ378" s="12"/>
      <c r="AK378" s="8">
        <v>788395</v>
      </c>
      <c r="AL378" s="8"/>
      <c r="AM378" s="8">
        <v>1004</v>
      </c>
      <c r="AN378" s="8"/>
      <c r="AO378" s="8">
        <v>499769</v>
      </c>
      <c r="AP378" s="8"/>
      <c r="AQ378" s="8">
        <v>3147</v>
      </c>
      <c r="AR378" s="8"/>
      <c r="AS378" s="8"/>
      <c r="AT378" s="8"/>
      <c r="AU378" s="8">
        <v>0</v>
      </c>
      <c r="AV378" s="8"/>
      <c r="AW378" s="8">
        <f t="shared" si="19"/>
        <v>22386086</v>
      </c>
      <c r="AY378" s="8">
        <f>+'St of Activites - GA Rev'!AI381-'St of Activities - GA Exp'!AW378</f>
        <v>583639</v>
      </c>
      <c r="BA378" s="8">
        <v>9874749</v>
      </c>
      <c r="BC378" s="8">
        <f t="shared" si="20"/>
        <v>10458388</v>
      </c>
      <c r="BE378" s="8">
        <f>+'St of Net Assets - GA'!AA380-'St of Activities - GA Exp'!BC378</f>
        <v>0</v>
      </c>
    </row>
    <row r="379" spans="1:57">
      <c r="A379" s="12" t="s">
        <v>451</v>
      </c>
      <c r="B379" s="12"/>
      <c r="C379" s="12" t="s">
        <v>37</v>
      </c>
      <c r="D379" s="12"/>
      <c r="E379" s="32">
        <v>44560</v>
      </c>
      <c r="G379" s="8">
        <v>11077820</v>
      </c>
      <c r="H379" s="8"/>
      <c r="I379" s="8">
        <v>3508515</v>
      </c>
      <c r="J379" s="8"/>
      <c r="K379" s="8">
        <v>191187</v>
      </c>
      <c r="L379" s="8"/>
      <c r="M379" s="8">
        <f>68184+873313</f>
        <v>941497</v>
      </c>
      <c r="N379" s="8"/>
      <c r="O379" s="8">
        <v>1121723</v>
      </c>
      <c r="P379" s="8"/>
      <c r="Q379" s="8">
        <v>1816703</v>
      </c>
      <c r="R379" s="8"/>
      <c r="S379" s="8">
        <v>51968</v>
      </c>
      <c r="T379" s="8"/>
      <c r="U379" s="8">
        <v>2127136</v>
      </c>
      <c r="V379" s="8"/>
      <c r="W379" s="8">
        <v>392893</v>
      </c>
      <c r="X379" s="8"/>
      <c r="Y379" s="8">
        <v>55974</v>
      </c>
      <c r="Z379" s="8"/>
      <c r="AA379" s="8">
        <v>2543777</v>
      </c>
      <c r="AB379" s="8"/>
      <c r="AC379" s="8">
        <v>839044</v>
      </c>
      <c r="AD379" s="8"/>
      <c r="AE379" s="8">
        <v>96423</v>
      </c>
      <c r="AF379" s="8"/>
      <c r="AG379" s="12" t="s">
        <v>451</v>
      </c>
      <c r="AH379" s="12"/>
      <c r="AI379" s="12" t="s">
        <v>37</v>
      </c>
      <c r="AJ379" s="12"/>
      <c r="AK379" s="8">
        <v>968895</v>
      </c>
      <c r="AL379" s="8"/>
      <c r="AM379" s="8">
        <v>511602</v>
      </c>
      <c r="AN379" s="8"/>
      <c r="AO379" s="8">
        <v>715968</v>
      </c>
      <c r="AP379" s="8"/>
      <c r="AQ379" s="8">
        <v>613046</v>
      </c>
      <c r="AR379" s="8"/>
      <c r="AS379" s="8"/>
      <c r="AT379" s="8"/>
      <c r="AU379" s="8">
        <v>0</v>
      </c>
      <c r="AV379" s="8"/>
      <c r="AW379" s="8">
        <f t="shared" si="19"/>
        <v>27574171</v>
      </c>
      <c r="AY379" s="8">
        <f>+'St of Activites - GA Rev'!AI382-'St of Activities - GA Exp'!AW379</f>
        <v>810022</v>
      </c>
      <c r="BA379" s="8">
        <v>27692802</v>
      </c>
      <c r="BC379" s="8">
        <f t="shared" si="20"/>
        <v>28502824</v>
      </c>
      <c r="BE379" s="8">
        <f>+'St of Net Assets - GA'!AA381-'St of Activities - GA Exp'!BC379</f>
        <v>0</v>
      </c>
    </row>
    <row r="380" spans="1:57">
      <c r="A380" s="12" t="s">
        <v>902</v>
      </c>
      <c r="B380" s="12"/>
      <c r="C380" s="12" t="s">
        <v>32</v>
      </c>
      <c r="D380" s="12"/>
      <c r="E380" s="32">
        <v>44578</v>
      </c>
      <c r="G380" s="8">
        <v>12491967</v>
      </c>
      <c r="H380" s="8"/>
      <c r="I380" s="8">
        <v>3023296</v>
      </c>
      <c r="J380" s="8"/>
      <c r="K380" s="8">
        <v>0</v>
      </c>
      <c r="L380" s="8"/>
      <c r="M380" s="8">
        <v>676762</v>
      </c>
      <c r="N380" s="8"/>
      <c r="O380" s="8">
        <v>1679899</v>
      </c>
      <c r="P380" s="8"/>
      <c r="Q380" s="8">
        <v>1350825</v>
      </c>
      <c r="R380" s="8"/>
      <c r="S380" s="8">
        <v>30966</v>
      </c>
      <c r="T380" s="8"/>
      <c r="U380" s="8">
        <v>1795538</v>
      </c>
      <c r="V380" s="8"/>
      <c r="W380" s="8">
        <v>621907</v>
      </c>
      <c r="X380" s="8"/>
      <c r="Y380" s="8">
        <v>0</v>
      </c>
      <c r="Z380" s="8"/>
      <c r="AA380" s="8">
        <v>2829420</v>
      </c>
      <c r="AB380" s="8"/>
      <c r="AC380" s="8">
        <v>459254</v>
      </c>
      <c r="AD380" s="8"/>
      <c r="AE380" s="8">
        <v>318851</v>
      </c>
      <c r="AF380" s="8"/>
      <c r="AG380" s="12" t="s">
        <v>408</v>
      </c>
      <c r="AH380" s="12"/>
      <c r="AI380" s="12" t="s">
        <v>32</v>
      </c>
      <c r="AJ380" s="12"/>
      <c r="AK380" s="8">
        <v>1254253</v>
      </c>
      <c r="AL380" s="8"/>
      <c r="AM380" s="8">
        <f>638741+93159</f>
        <v>731900</v>
      </c>
      <c r="AN380" s="8"/>
      <c r="AO380" s="8">
        <v>0</v>
      </c>
      <c r="AP380" s="8"/>
      <c r="AQ380" s="8">
        <v>238721</v>
      </c>
      <c r="AR380" s="8"/>
      <c r="AS380" s="8"/>
      <c r="AT380" s="8"/>
      <c r="AU380" s="8">
        <v>0</v>
      </c>
      <c r="AV380" s="8"/>
      <c r="AW380" s="8">
        <f t="shared" si="19"/>
        <v>27503559</v>
      </c>
      <c r="AY380" s="8">
        <f>+'St of Activites - GA Rev'!AI383-'St of Activities - GA Exp'!AW380</f>
        <v>116062</v>
      </c>
      <c r="BA380" s="8">
        <v>10458177</v>
      </c>
      <c r="BC380" s="8">
        <f t="shared" si="20"/>
        <v>10574239</v>
      </c>
      <c r="BE380" s="8">
        <f>+'St of Net Assets - GA'!AA382-'St of Activities - GA Exp'!BC380</f>
        <v>0</v>
      </c>
    </row>
    <row r="381" spans="1:57">
      <c r="A381" s="12" t="s">
        <v>409</v>
      </c>
      <c r="B381" s="12"/>
      <c r="C381" s="12" t="s">
        <v>32</v>
      </c>
      <c r="D381" s="12"/>
      <c r="E381" s="32">
        <v>47373</v>
      </c>
      <c r="G381" s="8">
        <v>33291581</v>
      </c>
      <c r="H381" s="8"/>
      <c r="I381" s="8">
        <v>6868388</v>
      </c>
      <c r="J381" s="8"/>
      <c r="K381" s="8">
        <v>7</v>
      </c>
      <c r="L381" s="8"/>
      <c r="M381" s="8">
        <v>235794</v>
      </c>
      <c r="N381" s="8"/>
      <c r="O381" s="8">
        <v>4578328</v>
      </c>
      <c r="P381" s="8"/>
      <c r="Q381" s="8">
        <v>5415907</v>
      </c>
      <c r="R381" s="8"/>
      <c r="S381" s="8">
        <v>133180</v>
      </c>
      <c r="T381" s="8"/>
      <c r="U381" s="8">
        <v>4747322</v>
      </c>
      <c r="V381" s="8"/>
      <c r="W381" s="8">
        <v>1124823</v>
      </c>
      <c r="X381" s="8"/>
      <c r="Y381" s="8">
        <v>395701</v>
      </c>
      <c r="Z381" s="8"/>
      <c r="AA381" s="8">
        <v>8878458</v>
      </c>
      <c r="AB381" s="8"/>
      <c r="AC381" s="8">
        <v>2630803</v>
      </c>
      <c r="AD381" s="8"/>
      <c r="AE381" s="8">
        <v>534923</v>
      </c>
      <c r="AF381" s="8"/>
      <c r="AG381" s="12" t="s">
        <v>409</v>
      </c>
      <c r="AH381" s="12"/>
      <c r="AI381" s="12" t="s">
        <v>32</v>
      </c>
      <c r="AJ381" s="12"/>
      <c r="AK381" s="8">
        <v>0</v>
      </c>
      <c r="AL381" s="8"/>
      <c r="AM381" s="8">
        <v>4731732</v>
      </c>
      <c r="AN381" s="8"/>
      <c r="AO381" s="8">
        <v>1757295</v>
      </c>
      <c r="AP381" s="8"/>
      <c r="AQ381" s="8">
        <v>1106046</v>
      </c>
      <c r="AR381" s="8"/>
      <c r="AS381" s="8"/>
      <c r="AT381" s="8"/>
      <c r="AU381" s="8">
        <v>0</v>
      </c>
      <c r="AV381" s="8"/>
      <c r="AW381" s="8">
        <f t="shared" si="19"/>
        <v>76430288</v>
      </c>
      <c r="AY381" s="8">
        <f>+'St of Activites - GA Rev'!AI384-'St of Activities - GA Exp'!AW381</f>
        <v>1811264</v>
      </c>
      <c r="BA381" s="8">
        <v>5900384</v>
      </c>
      <c r="BC381" s="8">
        <f t="shared" si="20"/>
        <v>7711648</v>
      </c>
      <c r="BE381" s="8">
        <f>+'St of Net Assets - GA'!AA383-'St of Activities - GA Exp'!BC381</f>
        <v>0</v>
      </c>
    </row>
    <row r="382" spans="1:57">
      <c r="A382" s="12" t="s">
        <v>562</v>
      </c>
      <c r="B382" s="12"/>
      <c r="C382" s="12" t="s">
        <v>50</v>
      </c>
      <c r="D382" s="12"/>
      <c r="E382" s="32">
        <v>44586</v>
      </c>
      <c r="G382" s="8">
        <v>12045633</v>
      </c>
      <c r="H382" s="8"/>
      <c r="I382" s="8">
        <v>2230843</v>
      </c>
      <c r="J382" s="8"/>
      <c r="K382" s="8">
        <v>0</v>
      </c>
      <c r="L382" s="8"/>
      <c r="M382" s="8">
        <v>233939</v>
      </c>
      <c r="N382" s="8"/>
      <c r="O382" s="8">
        <v>1320596</v>
      </c>
      <c r="P382" s="8"/>
      <c r="Q382" s="8">
        <v>150673</v>
      </c>
      <c r="R382" s="8"/>
      <c r="S382" s="8">
        <v>28249</v>
      </c>
      <c r="T382" s="8"/>
      <c r="U382" s="8">
        <v>1789107</v>
      </c>
      <c r="V382" s="8"/>
      <c r="W382" s="8">
        <v>676569</v>
      </c>
      <c r="X382" s="8"/>
      <c r="Y382" s="8">
        <v>9289</v>
      </c>
      <c r="Z382" s="8"/>
      <c r="AA382" s="8">
        <v>1938121</v>
      </c>
      <c r="AB382" s="8"/>
      <c r="AC382" s="8">
        <v>181913</v>
      </c>
      <c r="AD382" s="8"/>
      <c r="AE382" s="8">
        <v>578211</v>
      </c>
      <c r="AF382" s="8"/>
      <c r="AG382" s="12" t="s">
        <v>562</v>
      </c>
      <c r="AH382" s="12"/>
      <c r="AI382" s="12" t="s">
        <v>50</v>
      </c>
      <c r="AJ382" s="12"/>
      <c r="AK382" s="8">
        <v>357389</v>
      </c>
      <c r="AL382" s="8"/>
      <c r="AM382" s="8">
        <f>221070+51885</f>
        <v>272955</v>
      </c>
      <c r="AN382" s="8"/>
      <c r="AO382" s="8">
        <v>988707</v>
      </c>
      <c r="AP382" s="8"/>
      <c r="AQ382" s="8">
        <v>823635</v>
      </c>
      <c r="AR382" s="8"/>
      <c r="AS382" s="8"/>
      <c r="AT382" s="8"/>
      <c r="AU382" s="8">
        <v>0</v>
      </c>
      <c r="AV382" s="8"/>
      <c r="AW382" s="8">
        <f t="shared" si="19"/>
        <v>23625829</v>
      </c>
      <c r="AY382" s="8">
        <f>+'St of Activites - GA Rev'!AI385-'St of Activities - GA Exp'!AW382</f>
        <v>440890</v>
      </c>
      <c r="BA382" s="8">
        <v>2255808</v>
      </c>
      <c r="BC382" s="8">
        <f t="shared" si="20"/>
        <v>2696698</v>
      </c>
      <c r="BE382" s="8">
        <f>+'St of Net Assets - GA'!AA384-'St of Activities - GA Exp'!BC382</f>
        <v>0</v>
      </c>
    </row>
    <row r="383" spans="1:57" s="35" customFormat="1">
      <c r="A383" s="34" t="s">
        <v>499</v>
      </c>
      <c r="B383" s="34"/>
      <c r="C383" s="34" t="s">
        <v>44</v>
      </c>
      <c r="D383" s="34"/>
      <c r="E383" s="32">
        <v>44594</v>
      </c>
      <c r="G383" s="8">
        <v>6275601</v>
      </c>
      <c r="H383" s="8"/>
      <c r="I383" s="8">
        <v>1119277</v>
      </c>
      <c r="J383" s="8"/>
      <c r="K383" s="8">
        <v>94062</v>
      </c>
      <c r="L383" s="8"/>
      <c r="M383" s="8">
        <v>478499</v>
      </c>
      <c r="N383" s="8"/>
      <c r="O383" s="8">
        <v>963243</v>
      </c>
      <c r="P383" s="8"/>
      <c r="Q383" s="8">
        <v>475930</v>
      </c>
      <c r="R383" s="8"/>
      <c r="S383" s="8">
        <v>88364</v>
      </c>
      <c r="T383" s="8"/>
      <c r="U383" s="8">
        <v>1443980</v>
      </c>
      <c r="V383" s="8"/>
      <c r="W383" s="8">
        <v>412399</v>
      </c>
      <c r="X383" s="8"/>
      <c r="Y383" s="8">
        <v>237720</v>
      </c>
      <c r="Z383" s="8"/>
      <c r="AA383" s="8">
        <v>1723121</v>
      </c>
      <c r="AB383" s="8"/>
      <c r="AC383" s="8">
        <v>482628</v>
      </c>
      <c r="AD383" s="8"/>
      <c r="AE383" s="8">
        <v>59426</v>
      </c>
      <c r="AG383" s="34" t="s">
        <v>499</v>
      </c>
      <c r="AH383" s="34"/>
      <c r="AI383" s="34" t="s">
        <v>44</v>
      </c>
      <c r="AJ383" s="34"/>
      <c r="AK383" s="8">
        <v>401344</v>
      </c>
      <c r="AL383" s="8"/>
      <c r="AM383" s="8">
        <v>0</v>
      </c>
      <c r="AN383" s="8"/>
      <c r="AO383" s="8">
        <f>83350+196479+75467</f>
        <v>355296</v>
      </c>
      <c r="AP383" s="8"/>
      <c r="AQ383" s="8">
        <v>24293</v>
      </c>
      <c r="AR383" s="8"/>
      <c r="AS383" s="8"/>
      <c r="AT383" s="8"/>
      <c r="AU383" s="8">
        <v>0</v>
      </c>
      <c r="AV383" s="8"/>
      <c r="AW383" s="8">
        <f t="shared" si="19"/>
        <v>14635183</v>
      </c>
      <c r="AX383" s="8"/>
      <c r="AY383" s="8">
        <f>+'St of Activites - GA Rev'!AI386-'St of Activities - GA Exp'!AW383</f>
        <v>-474998</v>
      </c>
      <c r="AZ383" s="8"/>
      <c r="BA383" s="8">
        <v>6144775</v>
      </c>
      <c r="BB383" s="8"/>
      <c r="BC383" s="8">
        <f t="shared" si="20"/>
        <v>5669777</v>
      </c>
      <c r="BD383" s="8"/>
      <c r="BE383" s="8">
        <f>+'St of Net Assets - GA'!AA385-'St of Activities - GA Exp'!BC383</f>
        <v>0</v>
      </c>
    </row>
    <row r="384" spans="1:57" ht="12" hidden="1" customHeight="1">
      <c r="A384" s="12" t="s">
        <v>643</v>
      </c>
      <c r="B384" s="12"/>
      <c r="C384" s="12" t="s">
        <v>60</v>
      </c>
      <c r="D384" s="12"/>
      <c r="E384" s="32">
        <v>49726</v>
      </c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12" t="s">
        <v>643</v>
      </c>
      <c r="AH384" s="12"/>
      <c r="AI384" s="12" t="s">
        <v>60</v>
      </c>
      <c r="AJ384" s="12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>
        <v>0</v>
      </c>
      <c r="AV384" s="8"/>
      <c r="AW384" s="8">
        <f t="shared" si="19"/>
        <v>0</v>
      </c>
      <c r="AY384" s="8">
        <f>+'St of Activites - GA Rev'!AI387-'St of Activities - GA Exp'!AW384</f>
        <v>0</v>
      </c>
      <c r="BC384" s="8">
        <f t="shared" si="20"/>
        <v>0</v>
      </c>
      <c r="BE384" s="8">
        <f>+'St of Net Assets - GA'!AA386-'St of Activities - GA Exp'!BC384</f>
        <v>0</v>
      </c>
    </row>
    <row r="385" spans="1:57">
      <c r="A385" s="12" t="s">
        <v>339</v>
      </c>
      <c r="B385" s="12"/>
      <c r="C385" s="12" t="s">
        <v>23</v>
      </c>
      <c r="D385" s="12"/>
      <c r="E385" s="32">
        <v>46763</v>
      </c>
      <c r="G385" s="8">
        <v>63351084</v>
      </c>
      <c r="H385" s="8"/>
      <c r="I385" s="8">
        <v>13891719</v>
      </c>
      <c r="J385" s="8"/>
      <c r="K385" s="8">
        <v>993021</v>
      </c>
      <c r="L385" s="8"/>
      <c r="M385" s="8">
        <v>0</v>
      </c>
      <c r="N385" s="8"/>
      <c r="O385" s="8">
        <v>4542879</v>
      </c>
      <c r="P385" s="8"/>
      <c r="Q385" s="8">
        <v>6645984</v>
      </c>
      <c r="R385" s="8"/>
      <c r="S385" s="8">
        <v>396744</v>
      </c>
      <c r="T385" s="8"/>
      <c r="U385" s="8">
        <v>7681963</v>
      </c>
      <c r="V385" s="8"/>
      <c r="W385" s="8">
        <v>0</v>
      </c>
      <c r="X385" s="8"/>
      <c r="Y385" s="8">
        <v>2227233</v>
      </c>
      <c r="Z385" s="8"/>
      <c r="AA385" s="8">
        <v>12924366</v>
      </c>
      <c r="AB385" s="8"/>
      <c r="AC385" s="8">
        <v>7230673</v>
      </c>
      <c r="AD385" s="8"/>
      <c r="AE385" s="8">
        <v>2367639</v>
      </c>
      <c r="AF385" s="8"/>
      <c r="AG385" s="12" t="s">
        <v>339</v>
      </c>
      <c r="AH385" s="12"/>
      <c r="AI385" s="12" t="s">
        <v>23</v>
      </c>
      <c r="AJ385" s="12"/>
      <c r="AK385" s="8">
        <v>5525299</v>
      </c>
      <c r="AL385" s="8"/>
      <c r="AM385" s="8">
        <v>516660</v>
      </c>
      <c r="AN385" s="8"/>
      <c r="AO385" s="8">
        <v>3821794</v>
      </c>
      <c r="AP385" s="8"/>
      <c r="AQ385" s="8">
        <v>16131220</v>
      </c>
      <c r="AR385" s="8"/>
      <c r="AS385" s="8"/>
      <c r="AT385" s="8"/>
      <c r="AU385" s="8">
        <v>0</v>
      </c>
      <c r="AV385" s="8"/>
      <c r="AW385" s="8">
        <f t="shared" si="19"/>
        <v>148248278</v>
      </c>
      <c r="AY385" s="8">
        <f>+'St of Activites - GA Rev'!AI388-'St of Activities - GA Exp'!AW385</f>
        <v>2636426</v>
      </c>
      <c r="BA385" s="8">
        <v>48916796</v>
      </c>
      <c r="BC385" s="8">
        <f t="shared" si="20"/>
        <v>51553222</v>
      </c>
      <c r="BE385" s="8">
        <f>+'St of Net Assets - GA'!AA387-'St of Activities - GA Exp'!BC385</f>
        <v>0</v>
      </c>
    </row>
    <row r="386" spans="1:57" s="8" customFormat="1">
      <c r="A386" s="13" t="s">
        <v>319</v>
      </c>
      <c r="B386" s="13"/>
      <c r="C386" s="13" t="s">
        <v>20</v>
      </c>
      <c r="D386" s="13"/>
      <c r="E386" s="13">
        <v>46573</v>
      </c>
      <c r="G386" s="8">
        <v>17719501</v>
      </c>
      <c r="I386" s="8">
        <v>4114114</v>
      </c>
      <c r="K386" s="8">
        <f>638832+42151</f>
        <v>680983</v>
      </c>
      <c r="M386" s="8">
        <v>0</v>
      </c>
      <c r="O386" s="8">
        <v>1567523</v>
      </c>
      <c r="Q386" s="8">
        <v>1750721</v>
      </c>
      <c r="S386" s="8">
        <v>397631</v>
      </c>
      <c r="U386" s="8">
        <v>2588303</v>
      </c>
      <c r="W386" s="8">
        <v>843644</v>
      </c>
      <c r="Y386" s="8">
        <v>4462</v>
      </c>
      <c r="AA386" s="8">
        <v>4077705</v>
      </c>
      <c r="AC386" s="8">
        <v>2692053</v>
      </c>
      <c r="AE386" s="8">
        <v>380126</v>
      </c>
      <c r="AG386" s="13" t="s">
        <v>319</v>
      </c>
      <c r="AH386" s="13"/>
      <c r="AI386" s="13" t="s">
        <v>20</v>
      </c>
      <c r="AJ386" s="13"/>
      <c r="AK386" s="8">
        <v>1184100</v>
      </c>
      <c r="AM386" s="8">
        <v>208725</v>
      </c>
      <c r="AO386" s="8">
        <v>1691868</v>
      </c>
      <c r="AQ386" s="8">
        <v>1240963</v>
      </c>
      <c r="AU386" s="8">
        <v>0</v>
      </c>
      <c r="AW386" s="8">
        <f t="shared" ref="AW386:AW451" si="21">SUM(G386:AV386)</f>
        <v>41142422</v>
      </c>
      <c r="AY386" s="8">
        <f>+'St of Activites - GA Rev'!AI389-'St of Activities - GA Exp'!AW386</f>
        <v>135682</v>
      </c>
      <c r="BA386" s="8">
        <v>18064670</v>
      </c>
      <c r="BC386" s="8">
        <f t="shared" ref="BC386:BC451" si="22">+AY386+BA386</f>
        <v>18200352</v>
      </c>
      <c r="BE386" s="8">
        <f>+'St of Net Assets - GA'!AA388-'St of Activities - GA Exp'!BC386</f>
        <v>0</v>
      </c>
    </row>
    <row r="387" spans="1:57">
      <c r="A387" s="12" t="s">
        <v>618</v>
      </c>
      <c r="B387" s="12"/>
      <c r="C387" s="12" t="s">
        <v>113</v>
      </c>
      <c r="D387" s="12"/>
      <c r="E387" s="32">
        <v>49478</v>
      </c>
      <c r="G387" s="8">
        <v>6755368</v>
      </c>
      <c r="H387" s="8"/>
      <c r="I387" s="8">
        <v>1185760</v>
      </c>
      <c r="J387" s="8"/>
      <c r="K387" s="8">
        <v>303549</v>
      </c>
      <c r="L387" s="8"/>
      <c r="M387" s="8">
        <v>330631</v>
      </c>
      <c r="N387" s="8"/>
      <c r="O387" s="8">
        <v>921276</v>
      </c>
      <c r="P387" s="8"/>
      <c r="Q387" s="8">
        <v>929516</v>
      </c>
      <c r="R387" s="8"/>
      <c r="S387" s="8">
        <v>38541</v>
      </c>
      <c r="T387" s="8"/>
      <c r="U387" s="8">
        <v>1292120</v>
      </c>
      <c r="V387" s="8"/>
      <c r="W387" s="8">
        <v>575113</v>
      </c>
      <c r="X387" s="8"/>
      <c r="Y387" s="8">
        <v>0</v>
      </c>
      <c r="Z387" s="8"/>
      <c r="AA387" s="8">
        <v>2012444</v>
      </c>
      <c r="AB387" s="8"/>
      <c r="AC387" s="8">
        <v>620703</v>
      </c>
      <c r="AD387" s="8"/>
      <c r="AE387" s="8">
        <v>31350</v>
      </c>
      <c r="AF387" s="8"/>
      <c r="AG387" s="12" t="s">
        <v>618</v>
      </c>
      <c r="AH387" s="12"/>
      <c r="AI387" s="12" t="s">
        <v>113</v>
      </c>
      <c r="AJ387" s="12"/>
      <c r="AK387" s="8">
        <v>697471</v>
      </c>
      <c r="AL387" s="8"/>
      <c r="AM387" s="8">
        <v>3780</v>
      </c>
      <c r="AN387" s="8"/>
      <c r="AO387" s="8">
        <v>764681</v>
      </c>
      <c r="AP387" s="8"/>
      <c r="AQ387" s="8">
        <v>823531</v>
      </c>
      <c r="AR387" s="8"/>
      <c r="AS387" s="8"/>
      <c r="AT387" s="8"/>
      <c r="AU387" s="8">
        <v>0</v>
      </c>
      <c r="AV387" s="8"/>
      <c r="AW387" s="8">
        <f t="shared" si="21"/>
        <v>17285834</v>
      </c>
      <c r="AY387" s="8">
        <f>+'St of Activites - GA Rev'!AI390-'St of Activities - GA Exp'!AW387</f>
        <v>2402251</v>
      </c>
      <c r="BA387" s="8">
        <v>12446312</v>
      </c>
      <c r="BC387" s="8">
        <f t="shared" si="22"/>
        <v>14848563</v>
      </c>
      <c r="BE387" s="8">
        <f>+'St of Net Assets - GA'!AA389-'St of Activities - GA Exp'!BC387</f>
        <v>0</v>
      </c>
    </row>
    <row r="388" spans="1:57">
      <c r="A388" s="12" t="s">
        <v>320</v>
      </c>
      <c r="B388" s="12"/>
      <c r="C388" s="12" t="s">
        <v>20</v>
      </c>
      <c r="D388" s="12"/>
      <c r="E388" s="32">
        <v>46581</v>
      </c>
      <c r="G388" s="8">
        <v>18238270</v>
      </c>
      <c r="H388" s="8"/>
      <c r="I388" s="8">
        <v>5832538</v>
      </c>
      <c r="J388" s="8"/>
      <c r="K388" s="8">
        <v>293462</v>
      </c>
      <c r="L388" s="8"/>
      <c r="M388" s="8">
        <v>0</v>
      </c>
      <c r="N388" s="8"/>
      <c r="O388" s="8">
        <v>3471580</v>
      </c>
      <c r="P388" s="8"/>
      <c r="Q388" s="8">
        <v>3670822</v>
      </c>
      <c r="R388" s="8"/>
      <c r="S388" s="8">
        <v>110200</v>
      </c>
      <c r="T388" s="8"/>
      <c r="U388" s="8">
        <v>2926908</v>
      </c>
      <c r="V388" s="8"/>
      <c r="W388" s="8">
        <v>1176289</v>
      </c>
      <c r="X388" s="8"/>
      <c r="Y388" s="8">
        <v>549721</v>
      </c>
      <c r="Z388" s="8"/>
      <c r="AA388" s="8">
        <v>5118866</v>
      </c>
      <c r="AB388" s="8"/>
      <c r="AC388" s="8">
        <v>3367878</v>
      </c>
      <c r="AD388" s="8"/>
      <c r="AE388" s="8">
        <v>1202049</v>
      </c>
      <c r="AF388" s="8"/>
      <c r="AG388" s="12" t="s">
        <v>320</v>
      </c>
      <c r="AH388" s="12"/>
      <c r="AI388" s="12" t="s">
        <v>20</v>
      </c>
      <c r="AJ388" s="12"/>
      <c r="AK388" s="8">
        <v>589901</v>
      </c>
      <c r="AL388" s="8"/>
      <c r="AM388" s="8">
        <v>66898</v>
      </c>
      <c r="AN388" s="8"/>
      <c r="AO388" s="8">
        <v>1617987</v>
      </c>
      <c r="AP388" s="8"/>
      <c r="AQ388" s="8">
        <v>1296998</v>
      </c>
      <c r="AR388" s="8"/>
      <c r="AS388" s="8"/>
      <c r="AT388" s="8"/>
      <c r="AU388" s="8">
        <f>568910+58531</f>
        <v>627441</v>
      </c>
      <c r="AV388" s="8"/>
      <c r="AW388" s="8">
        <f t="shared" si="21"/>
        <v>50157808</v>
      </c>
      <c r="AY388" s="8">
        <f>+'St of Activites - GA Rev'!AI391-'St of Activities - GA Exp'!AW388</f>
        <v>6577355</v>
      </c>
      <c r="BA388" s="8">
        <v>46637134</v>
      </c>
      <c r="BC388" s="8">
        <f t="shared" si="22"/>
        <v>53214489</v>
      </c>
      <c r="BE388" s="8">
        <f>+'St of Net Assets - GA'!AA390-'St of Activities - GA Exp'!BC388</f>
        <v>0</v>
      </c>
    </row>
    <row r="389" spans="1:57" ht="12" customHeight="1">
      <c r="A389" s="12" t="s">
        <v>504</v>
      </c>
      <c r="B389" s="12"/>
      <c r="C389" s="12" t="s">
        <v>118</v>
      </c>
      <c r="D389" s="12"/>
      <c r="E389" s="32">
        <v>44602</v>
      </c>
      <c r="G389" s="8">
        <v>17065504</v>
      </c>
      <c r="H389" s="8"/>
      <c r="I389" s="8">
        <v>3806767</v>
      </c>
      <c r="J389" s="8"/>
      <c r="K389" s="8">
        <v>3517701</v>
      </c>
      <c r="L389" s="8"/>
      <c r="M389" s="8">
        <f>916854+211798</f>
        <v>1128652</v>
      </c>
      <c r="N389" s="8"/>
      <c r="O389" s="8">
        <v>2709389</v>
      </c>
      <c r="P389" s="8"/>
      <c r="Q389" s="8">
        <v>2891269</v>
      </c>
      <c r="R389" s="8"/>
      <c r="S389" s="8">
        <v>48546</v>
      </c>
      <c r="T389" s="8"/>
      <c r="U389" s="8">
        <v>2603712</v>
      </c>
      <c r="V389" s="8"/>
      <c r="W389" s="8">
        <v>910136</v>
      </c>
      <c r="X389" s="8"/>
      <c r="Y389" s="8">
        <v>290107</v>
      </c>
      <c r="Z389" s="8"/>
      <c r="AA389" s="8">
        <v>4696891</v>
      </c>
      <c r="AB389" s="8"/>
      <c r="AC389" s="8">
        <v>2286098</v>
      </c>
      <c r="AD389" s="8"/>
      <c r="AE389" s="8">
        <v>9219</v>
      </c>
      <c r="AF389" s="8"/>
      <c r="AG389" s="12" t="s">
        <v>504</v>
      </c>
      <c r="AH389" s="12"/>
      <c r="AI389" s="12" t="s">
        <v>118</v>
      </c>
      <c r="AJ389" s="12"/>
      <c r="AK389" s="8">
        <v>1623452</v>
      </c>
      <c r="AL389" s="8"/>
      <c r="AM389" s="8">
        <v>188255</v>
      </c>
      <c r="AN389" s="8"/>
      <c r="AO389" s="8">
        <v>1010097</v>
      </c>
      <c r="AP389" s="8"/>
      <c r="AQ389" s="8">
        <v>2005426</v>
      </c>
      <c r="AR389" s="8"/>
      <c r="AS389" s="8"/>
      <c r="AT389" s="8"/>
      <c r="AU389" s="8">
        <v>0</v>
      </c>
      <c r="AV389" s="8"/>
      <c r="AW389" s="8">
        <f t="shared" si="21"/>
        <v>46791221</v>
      </c>
      <c r="AY389" s="8">
        <f>+'St of Activites - GA Rev'!AI392-'St of Activities - GA Exp'!AW389</f>
        <v>-1285504</v>
      </c>
      <c r="BA389" s="8">
        <v>18814063</v>
      </c>
      <c r="BC389" s="8">
        <f t="shared" si="22"/>
        <v>17528559</v>
      </c>
      <c r="BE389" s="8">
        <f>+'St of Net Assets - GA'!AA391-'St of Activities - GA Exp'!BC389</f>
        <v>0</v>
      </c>
    </row>
    <row r="390" spans="1:57">
      <c r="A390" s="12" t="s">
        <v>729</v>
      </c>
      <c r="B390" s="12"/>
      <c r="C390" s="12" t="s">
        <v>71</v>
      </c>
      <c r="D390" s="12"/>
      <c r="E390" s="32">
        <v>44610</v>
      </c>
      <c r="G390" s="8">
        <v>8536349</v>
      </c>
      <c r="H390" s="8"/>
      <c r="I390" s="8">
        <v>1103488</v>
      </c>
      <c r="J390" s="8"/>
      <c r="K390" s="8">
        <v>285890</v>
      </c>
      <c r="L390" s="8"/>
      <c r="M390" s="8">
        <v>746568</v>
      </c>
      <c r="N390" s="8"/>
      <c r="O390" s="8">
        <v>874802</v>
      </c>
      <c r="P390" s="8"/>
      <c r="Q390" s="8">
        <v>756327</v>
      </c>
      <c r="R390" s="8"/>
      <c r="S390" s="8">
        <v>213340</v>
      </c>
      <c r="T390" s="8"/>
      <c r="U390" s="8">
        <v>1487852</v>
      </c>
      <c r="V390" s="8"/>
      <c r="W390" s="8">
        <v>492285</v>
      </c>
      <c r="X390" s="8"/>
      <c r="Y390" s="8">
        <v>63945</v>
      </c>
      <c r="Z390" s="8"/>
      <c r="AA390" s="8">
        <v>1388473</v>
      </c>
      <c r="AB390" s="8"/>
      <c r="AC390" s="8">
        <v>443838</v>
      </c>
      <c r="AD390" s="8"/>
      <c r="AE390" s="8">
        <v>57890</v>
      </c>
      <c r="AF390" s="8"/>
      <c r="AG390" s="12" t="s">
        <v>729</v>
      </c>
      <c r="AH390" s="12"/>
      <c r="AI390" s="12" t="s">
        <v>71</v>
      </c>
      <c r="AJ390" s="12"/>
      <c r="AK390" s="8">
        <v>651310</v>
      </c>
      <c r="AL390" s="8"/>
      <c r="AM390" s="8">
        <v>0</v>
      </c>
      <c r="AN390" s="8"/>
      <c r="AO390" s="8">
        <v>455691</v>
      </c>
      <c r="AP390" s="8"/>
      <c r="AQ390" s="8">
        <v>1808550</v>
      </c>
      <c r="AR390" s="8"/>
      <c r="AS390" s="8"/>
      <c r="AT390" s="8"/>
      <c r="AU390" s="8">
        <v>0</v>
      </c>
      <c r="AV390" s="8"/>
      <c r="AW390" s="8">
        <f t="shared" si="21"/>
        <v>19366598</v>
      </c>
      <c r="AY390" s="8">
        <f>+'St of Activites - GA Rev'!AI393-'St of Activities - GA Exp'!AW390</f>
        <v>-124147</v>
      </c>
      <c r="BA390" s="8">
        <v>3390148</v>
      </c>
      <c r="BC390" s="8">
        <f t="shared" si="22"/>
        <v>3266001</v>
      </c>
      <c r="BE390" s="8">
        <f>+'St of Net Assets - GA'!AA392-'St of Activities - GA Exp'!BC390</f>
        <v>0</v>
      </c>
    </row>
    <row r="391" spans="1:57">
      <c r="A391" s="12" t="s">
        <v>664</v>
      </c>
      <c r="B391" s="12"/>
      <c r="C391" s="12" t="s">
        <v>62</v>
      </c>
      <c r="D391" s="12"/>
      <c r="E391" s="32">
        <v>49916</v>
      </c>
      <c r="G391" s="8">
        <v>3494644</v>
      </c>
      <c r="H391" s="8"/>
      <c r="I391" s="8">
        <v>666107</v>
      </c>
      <c r="J391" s="8"/>
      <c r="K391" s="8">
        <v>215595</v>
      </c>
      <c r="L391" s="8"/>
      <c r="M391" s="8">
        <v>723241</v>
      </c>
      <c r="N391" s="8"/>
      <c r="O391" s="8">
        <v>429085</v>
      </c>
      <c r="P391" s="8"/>
      <c r="Q391" s="8">
        <v>170400</v>
      </c>
      <c r="R391" s="8"/>
      <c r="S391" s="8">
        <v>24066</v>
      </c>
      <c r="T391" s="8"/>
      <c r="U391" s="8">
        <v>670121</v>
      </c>
      <c r="V391" s="8"/>
      <c r="W391" s="8">
        <v>244429</v>
      </c>
      <c r="X391" s="8"/>
      <c r="Y391" s="8">
        <v>7324</v>
      </c>
      <c r="Z391" s="8"/>
      <c r="AA391" s="8">
        <v>641483</v>
      </c>
      <c r="AB391" s="8"/>
      <c r="AC391" s="8">
        <v>596339</v>
      </c>
      <c r="AD391" s="8"/>
      <c r="AE391" s="8">
        <v>26344</v>
      </c>
      <c r="AF391" s="8"/>
      <c r="AG391" s="12" t="s">
        <v>664</v>
      </c>
      <c r="AH391" s="12"/>
      <c r="AI391" s="12" t="s">
        <v>62</v>
      </c>
      <c r="AJ391" s="12"/>
      <c r="AK391" s="8">
        <v>364576</v>
      </c>
      <c r="AL391" s="8"/>
      <c r="AM391" s="8">
        <v>22813</v>
      </c>
      <c r="AN391" s="8"/>
      <c r="AO391" s="8">
        <v>457485</v>
      </c>
      <c r="AP391" s="8"/>
      <c r="AQ391" s="8">
        <v>426868</v>
      </c>
      <c r="AR391" s="8"/>
      <c r="AS391" s="8"/>
      <c r="AT391" s="8"/>
      <c r="AU391" s="8">
        <v>0</v>
      </c>
      <c r="AV391" s="8"/>
      <c r="AW391" s="8">
        <f t="shared" si="21"/>
        <v>9180920</v>
      </c>
      <c r="AY391" s="8">
        <f>+'St of Activites - GA Rev'!AI394-'St of Activities - GA Exp'!AW391</f>
        <v>-177359</v>
      </c>
      <c r="BA391" s="8">
        <v>20404580</v>
      </c>
      <c r="BC391" s="8">
        <f t="shared" si="22"/>
        <v>20227221</v>
      </c>
      <c r="BE391" s="8">
        <f>+'St of Net Assets - GA'!AA393-'St of Activities - GA Exp'!BC391</f>
        <v>0</v>
      </c>
    </row>
    <row r="392" spans="1:57">
      <c r="A392" s="12" t="s">
        <v>743</v>
      </c>
      <c r="B392" s="12"/>
      <c r="C392" s="12" t="s">
        <v>72</v>
      </c>
      <c r="D392" s="12"/>
      <c r="E392" s="32">
        <v>50724</v>
      </c>
      <c r="G392" s="8">
        <v>7727519</v>
      </c>
      <c r="H392" s="8"/>
      <c r="I392" s="8">
        <v>2291845</v>
      </c>
      <c r="J392" s="8"/>
      <c r="K392" s="8">
        <v>378582</v>
      </c>
      <c r="L392" s="8"/>
      <c r="M392" s="8">
        <v>0</v>
      </c>
      <c r="N392" s="8"/>
      <c r="O392" s="8">
        <v>574841</v>
      </c>
      <c r="P392" s="8"/>
      <c r="Q392" s="8">
        <v>654056</v>
      </c>
      <c r="R392" s="8"/>
      <c r="S392" s="8">
        <v>45176</v>
      </c>
      <c r="T392" s="8"/>
      <c r="U392" s="8">
        <v>1306356</v>
      </c>
      <c r="V392" s="8"/>
      <c r="W392" s="8">
        <v>410236</v>
      </c>
      <c r="X392" s="8"/>
      <c r="Y392" s="8">
        <v>7183</v>
      </c>
      <c r="Z392" s="8"/>
      <c r="AA392" s="8">
        <v>1082815</v>
      </c>
      <c r="AB392" s="8"/>
      <c r="AC392" s="8">
        <v>810259</v>
      </c>
      <c r="AD392" s="8"/>
      <c r="AE392" s="8">
        <v>0</v>
      </c>
      <c r="AF392" s="8"/>
      <c r="AG392" s="12" t="s">
        <v>743</v>
      </c>
      <c r="AH392" s="12"/>
      <c r="AI392" s="12" t="s">
        <v>72</v>
      </c>
      <c r="AJ392" s="12"/>
      <c r="AK392" s="8">
        <v>0</v>
      </c>
      <c r="AL392" s="8"/>
      <c r="AM392" s="8">
        <v>663498</v>
      </c>
      <c r="AN392" s="8"/>
      <c r="AO392" s="8">
        <v>466242</v>
      </c>
      <c r="AP392" s="8"/>
      <c r="AQ392" s="8">
        <v>817137</v>
      </c>
      <c r="AR392" s="8"/>
      <c r="AS392" s="8"/>
      <c r="AT392" s="8"/>
      <c r="AU392" s="8">
        <v>0</v>
      </c>
      <c r="AV392" s="8"/>
      <c r="AW392" s="8">
        <f t="shared" si="21"/>
        <v>17235745</v>
      </c>
      <c r="AY392" s="8">
        <f>+'St of Activites - GA Rev'!AI395-'St of Activities - GA Exp'!AW392</f>
        <v>-714321</v>
      </c>
      <c r="BA392" s="8">
        <v>6670073</v>
      </c>
      <c r="BC392" s="8">
        <f t="shared" si="22"/>
        <v>5955752</v>
      </c>
      <c r="BE392" s="8">
        <f>+'St of Net Assets - GA'!AA394-'St of Activities - GA Exp'!BC392</f>
        <v>0</v>
      </c>
    </row>
    <row r="393" spans="1:57">
      <c r="A393" s="12" t="s">
        <v>505</v>
      </c>
      <c r="B393" s="12"/>
      <c r="C393" s="12" t="s">
        <v>118</v>
      </c>
      <c r="D393" s="12"/>
      <c r="E393" s="32">
        <v>48215</v>
      </c>
      <c r="G393" s="8">
        <v>8725172</v>
      </c>
      <c r="H393" s="8"/>
      <c r="I393" s="8">
        <v>0</v>
      </c>
      <c r="J393" s="8"/>
      <c r="K393" s="8">
        <v>0</v>
      </c>
      <c r="L393" s="8"/>
      <c r="M393" s="8">
        <v>0</v>
      </c>
      <c r="N393" s="8"/>
      <c r="O393" s="8">
        <v>595873</v>
      </c>
      <c r="P393" s="8"/>
      <c r="Q393" s="8">
        <v>548232</v>
      </c>
      <c r="R393" s="8"/>
      <c r="S393" s="8">
        <v>20664</v>
      </c>
      <c r="T393" s="8"/>
      <c r="U393" s="8">
        <v>965952</v>
      </c>
      <c r="V393" s="8"/>
      <c r="W393" s="8">
        <v>478201</v>
      </c>
      <c r="X393" s="8"/>
      <c r="Y393" s="8">
        <v>0</v>
      </c>
      <c r="Z393" s="8"/>
      <c r="AA393" s="8">
        <v>1199001</v>
      </c>
      <c r="AB393" s="8"/>
      <c r="AC393" s="8">
        <v>40548</v>
      </c>
      <c r="AD393" s="8"/>
      <c r="AE393" s="8">
        <v>48757</v>
      </c>
      <c r="AF393" s="8"/>
      <c r="AG393" s="12" t="s">
        <v>505</v>
      </c>
      <c r="AH393" s="12"/>
      <c r="AI393" s="12" t="s">
        <v>118</v>
      </c>
      <c r="AJ393" s="12"/>
      <c r="AK393" s="8">
        <v>0</v>
      </c>
      <c r="AL393" s="8"/>
      <c r="AM393" s="8">
        <v>403329</v>
      </c>
      <c r="AN393" s="8"/>
      <c r="AO393" s="8">
        <v>646268</v>
      </c>
      <c r="AP393" s="8"/>
      <c r="AQ393" s="8">
        <v>189565</v>
      </c>
      <c r="AR393" s="8"/>
      <c r="AS393" s="8"/>
      <c r="AT393" s="8"/>
      <c r="AU393" s="8">
        <v>0</v>
      </c>
      <c r="AV393" s="8"/>
      <c r="AW393" s="8">
        <f t="shared" si="21"/>
        <v>13861562</v>
      </c>
      <c r="AY393" s="8">
        <f>+'St of Activites - GA Rev'!AI396-'St of Activities - GA Exp'!AW393</f>
        <v>-136102</v>
      </c>
      <c r="BA393" s="8">
        <v>7342963</v>
      </c>
      <c r="BC393" s="8">
        <f t="shared" si="22"/>
        <v>7206861</v>
      </c>
      <c r="BE393" s="8">
        <f>+'St of Net Assets - GA'!AA395-'St of Activities - GA Exp'!BC393</f>
        <v>0</v>
      </c>
    </row>
    <row r="394" spans="1:57" ht="12" hidden="1" customHeight="1">
      <c r="A394" s="12" t="s">
        <v>611</v>
      </c>
      <c r="B394" s="12"/>
      <c r="C394" s="12" t="s">
        <v>608</v>
      </c>
      <c r="D394" s="12"/>
      <c r="E394" s="32">
        <v>49379</v>
      </c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12" t="s">
        <v>611</v>
      </c>
      <c r="AH394" s="12"/>
      <c r="AI394" s="12" t="s">
        <v>608</v>
      </c>
      <c r="AJ394" s="12"/>
      <c r="AK394" s="8"/>
      <c r="AL394" s="8"/>
      <c r="AM394" s="8"/>
      <c r="AN394" s="8"/>
      <c r="AO394" s="8"/>
      <c r="AP394" s="8"/>
      <c r="AQ394" s="8">
        <v>0</v>
      </c>
      <c r="AR394" s="8"/>
      <c r="AS394" s="8"/>
      <c r="AT394" s="8"/>
      <c r="AU394" s="8">
        <v>0</v>
      </c>
      <c r="AV394" s="8"/>
      <c r="AW394" s="8">
        <f t="shared" si="21"/>
        <v>0</v>
      </c>
      <c r="AY394" s="8">
        <f>+'St of Activites - GA Rev'!AI397-'St of Activities - GA Exp'!AW394</f>
        <v>0</v>
      </c>
      <c r="BC394" s="8">
        <f t="shared" si="22"/>
        <v>0</v>
      </c>
      <c r="BE394" s="8">
        <f>+'St of Net Assets - GA'!AA396-'St of Activities - GA Exp'!BC394</f>
        <v>0</v>
      </c>
    </row>
    <row r="395" spans="1:57" ht="12" hidden="1" customHeight="1">
      <c r="A395" s="12" t="s">
        <v>612</v>
      </c>
      <c r="B395" s="12"/>
      <c r="C395" s="12" t="s">
        <v>608</v>
      </c>
      <c r="D395" s="12"/>
      <c r="E395" s="32">
        <v>49387</v>
      </c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12" t="s">
        <v>612</v>
      </c>
      <c r="AH395" s="12"/>
      <c r="AI395" s="12" t="s">
        <v>608</v>
      </c>
      <c r="AJ395" s="12"/>
      <c r="AK395" s="8"/>
      <c r="AL395" s="8"/>
      <c r="AM395" s="8"/>
      <c r="AN395" s="8"/>
      <c r="AO395" s="8"/>
      <c r="AP395" s="8"/>
      <c r="AQ395" s="8">
        <v>0</v>
      </c>
      <c r="AR395" s="8"/>
      <c r="AS395" s="8"/>
      <c r="AT395" s="8"/>
      <c r="AU395" s="8">
        <v>0</v>
      </c>
      <c r="AV395" s="8"/>
      <c r="AW395" s="8">
        <f t="shared" si="21"/>
        <v>0</v>
      </c>
      <c r="AY395" s="8">
        <f>+'St of Activites - GA Rev'!AI398-'St of Activities - GA Exp'!AW395</f>
        <v>0</v>
      </c>
      <c r="BC395" s="8">
        <f t="shared" si="22"/>
        <v>0</v>
      </c>
      <c r="BE395" s="8">
        <f>+'St of Net Assets - GA'!AA397-'St of Activities - GA Exp'!BC395</f>
        <v>0</v>
      </c>
    </row>
    <row r="396" spans="1:57">
      <c r="A396" s="12" t="s">
        <v>466</v>
      </c>
      <c r="B396" s="12"/>
      <c r="C396" s="12" t="s">
        <v>41</v>
      </c>
      <c r="D396" s="12"/>
      <c r="E396" s="32">
        <v>44628</v>
      </c>
      <c r="G396" s="8">
        <v>13226449</v>
      </c>
      <c r="H396" s="8"/>
      <c r="I396" s="8">
        <v>3990929</v>
      </c>
      <c r="J396" s="8"/>
      <c r="K396" s="8">
        <v>531005</v>
      </c>
      <c r="L396" s="8"/>
      <c r="M396" s="8">
        <v>2529387</v>
      </c>
      <c r="N396" s="8"/>
      <c r="O396" s="8">
        <v>2375333</v>
      </c>
      <c r="P396" s="8"/>
      <c r="Q396" s="8">
        <v>2175309</v>
      </c>
      <c r="R396" s="8"/>
      <c r="S396" s="8">
        <v>145596</v>
      </c>
      <c r="T396" s="8"/>
      <c r="U396" s="8">
        <v>3428109</v>
      </c>
      <c r="V396" s="8"/>
      <c r="W396" s="8">
        <v>625541</v>
      </c>
      <c r="X396" s="8"/>
      <c r="Y396" s="8">
        <v>84624</v>
      </c>
      <c r="Z396" s="8"/>
      <c r="AA396" s="8">
        <v>2693739</v>
      </c>
      <c r="AB396" s="8"/>
      <c r="AC396" s="8">
        <v>1632125</v>
      </c>
      <c r="AD396" s="8"/>
      <c r="AE396" s="8">
        <v>307216</v>
      </c>
      <c r="AF396" s="8"/>
      <c r="AG396" s="12" t="s">
        <v>466</v>
      </c>
      <c r="AH396" s="12"/>
      <c r="AI396" s="12" t="s">
        <v>41</v>
      </c>
      <c r="AJ396" s="12"/>
      <c r="AK396" s="8">
        <v>0</v>
      </c>
      <c r="AL396" s="8"/>
      <c r="AM396" s="8">
        <v>1986824</v>
      </c>
      <c r="AN396" s="8"/>
      <c r="AO396" s="8">
        <v>626464</v>
      </c>
      <c r="AP396" s="8"/>
      <c r="AQ396" s="8">
        <v>1441310</v>
      </c>
      <c r="AR396" s="8"/>
      <c r="AS396" s="8"/>
      <c r="AT396" s="8"/>
      <c r="AU396" s="8">
        <v>0</v>
      </c>
      <c r="AV396" s="8"/>
      <c r="AW396" s="8">
        <f t="shared" si="21"/>
        <v>37799960</v>
      </c>
      <c r="AY396" s="8">
        <f>+'St of Activites - GA Rev'!AI399-'St of Activities - GA Exp'!AW396</f>
        <v>32539356</v>
      </c>
      <c r="BA396" s="8">
        <v>31753093</v>
      </c>
      <c r="BC396" s="8">
        <f t="shared" si="22"/>
        <v>64292449</v>
      </c>
      <c r="BE396" s="8">
        <f>+'St of Net Assets - GA'!AA398-'St of Activities - GA Exp'!BC396</f>
        <v>0</v>
      </c>
    </row>
    <row r="397" spans="1:57" ht="12" hidden="1" customHeight="1">
      <c r="A397" s="12" t="s">
        <v>467</v>
      </c>
      <c r="B397" s="12"/>
      <c r="C397" s="12" t="s">
        <v>41</v>
      </c>
      <c r="D397" s="12"/>
      <c r="E397" s="32">
        <v>47894</v>
      </c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12" t="s">
        <v>467</v>
      </c>
      <c r="AH397" s="12"/>
      <c r="AI397" s="12" t="s">
        <v>41</v>
      </c>
      <c r="AJ397" s="12"/>
      <c r="AK397" s="8"/>
      <c r="AL397" s="8"/>
      <c r="AM397" s="8"/>
      <c r="AN397" s="8"/>
      <c r="AO397" s="8"/>
      <c r="AP397" s="8"/>
      <c r="AQ397" s="8">
        <v>0</v>
      </c>
      <c r="AR397" s="8"/>
      <c r="AS397" s="8"/>
      <c r="AT397" s="8"/>
      <c r="AU397" s="8">
        <v>0</v>
      </c>
      <c r="AV397" s="8"/>
      <c r="AW397" s="8">
        <f t="shared" si="21"/>
        <v>0</v>
      </c>
      <c r="AY397" s="8">
        <f>+'St of Activites - GA Rev'!AI400-'St of Activities - GA Exp'!AW397</f>
        <v>0</v>
      </c>
      <c r="BC397" s="8">
        <f t="shared" si="22"/>
        <v>0</v>
      </c>
      <c r="BE397" s="8">
        <f>+'St of Net Assets - GA'!AA399-'St of Activities - GA Exp'!BC397</f>
        <v>0</v>
      </c>
    </row>
    <row r="398" spans="1:57" ht="12" customHeight="1">
      <c r="A398" s="12" t="s">
        <v>624</v>
      </c>
      <c r="B398" s="12"/>
      <c r="C398" s="12" t="s">
        <v>58</v>
      </c>
      <c r="D398" s="12"/>
      <c r="E398" s="32">
        <v>49510</v>
      </c>
      <c r="G398" s="8">
        <v>5260098</v>
      </c>
      <c r="H398" s="8"/>
      <c r="I398" s="8">
        <v>1503094</v>
      </c>
      <c r="J398" s="8"/>
      <c r="K398" s="8">
        <v>4114</v>
      </c>
      <c r="L398" s="8"/>
      <c r="M398" s="8">
        <v>600283</v>
      </c>
      <c r="N398" s="8"/>
      <c r="O398" s="8">
        <v>328564</v>
      </c>
      <c r="P398" s="8"/>
      <c r="Q398" s="8">
        <v>203168</v>
      </c>
      <c r="R398" s="8"/>
      <c r="S398" s="8">
        <v>149524</v>
      </c>
      <c r="T398" s="8"/>
      <c r="U398" s="8">
        <v>702836</v>
      </c>
      <c r="V398" s="8"/>
      <c r="W398" s="8">
        <v>264773</v>
      </c>
      <c r="X398" s="8"/>
      <c r="Y398" s="8">
        <v>0</v>
      </c>
      <c r="Z398" s="8"/>
      <c r="AA398" s="8">
        <v>1095139</v>
      </c>
      <c r="AB398" s="8"/>
      <c r="AC398" s="8">
        <v>696466</v>
      </c>
      <c r="AD398" s="8"/>
      <c r="AE398" s="8">
        <v>0</v>
      </c>
      <c r="AF398" s="8"/>
      <c r="AG398" s="12" t="s">
        <v>624</v>
      </c>
      <c r="AH398" s="12"/>
      <c r="AI398" s="12" t="s">
        <v>58</v>
      </c>
      <c r="AJ398" s="12"/>
      <c r="AK398" s="8">
        <v>0</v>
      </c>
      <c r="AL398" s="8"/>
      <c r="AM398" s="8">
        <v>312746</v>
      </c>
      <c r="AN398" s="8"/>
      <c r="AO398" s="8">
        <v>298148</v>
      </c>
      <c r="AP398" s="8"/>
      <c r="AQ398" s="8">
        <v>85845</v>
      </c>
      <c r="AR398" s="8"/>
      <c r="AS398" s="8"/>
      <c r="AT398" s="8"/>
      <c r="AU398" s="8">
        <v>0</v>
      </c>
      <c r="AV398" s="8"/>
      <c r="AW398" s="8">
        <f t="shared" si="21"/>
        <v>11504798</v>
      </c>
      <c r="AY398" s="8">
        <f>+'St of Activites - GA Rev'!AI401-'St of Activities - GA Exp'!AW398</f>
        <v>-560158</v>
      </c>
      <c r="BA398" s="8">
        <v>21090443</v>
      </c>
      <c r="BC398" s="8">
        <f t="shared" si="22"/>
        <v>20530285</v>
      </c>
      <c r="BE398" s="8">
        <f>+'St of Net Assets - GA'!AA400-'St of Activities - GA Exp'!BC398</f>
        <v>0</v>
      </c>
    </row>
    <row r="399" spans="1:57" ht="12" hidden="1" customHeight="1">
      <c r="A399" s="12" t="s">
        <v>613</v>
      </c>
      <c r="B399" s="12"/>
      <c r="C399" s="12" t="s">
        <v>608</v>
      </c>
      <c r="D399" s="12"/>
      <c r="E399" s="32">
        <v>49395</v>
      </c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12" t="s">
        <v>613</v>
      </c>
      <c r="AH399" s="12"/>
      <c r="AI399" s="12" t="s">
        <v>608</v>
      </c>
      <c r="AJ399" s="12"/>
      <c r="AK399" s="8"/>
      <c r="AL399" s="8"/>
      <c r="AM399" s="8"/>
      <c r="AN399" s="8"/>
      <c r="AO399" s="8"/>
      <c r="AP399" s="8"/>
      <c r="AQ399" s="8">
        <v>0</v>
      </c>
      <c r="AR399" s="8"/>
      <c r="AS399" s="8"/>
      <c r="AT399" s="8"/>
      <c r="AU399" s="8">
        <v>0</v>
      </c>
      <c r="AV399" s="8"/>
      <c r="AW399" s="8">
        <f t="shared" si="21"/>
        <v>0</v>
      </c>
      <c r="AY399" s="8">
        <f>+'St of Activites - GA Rev'!AI402-'St of Activities - GA Exp'!AW399</f>
        <v>0</v>
      </c>
      <c r="BC399" s="8">
        <f t="shared" si="22"/>
        <v>0</v>
      </c>
      <c r="BE399" s="8">
        <f>+'St of Net Assets - GA'!AA401-'St of Activities - GA Exp'!BC399</f>
        <v>0</v>
      </c>
    </row>
    <row r="400" spans="1:57" ht="12" hidden="1" customHeight="1">
      <c r="A400" s="12" t="s">
        <v>541</v>
      </c>
      <c r="B400" s="12"/>
      <c r="C400" s="12" t="s">
        <v>540</v>
      </c>
      <c r="D400" s="12"/>
      <c r="E400" s="32">
        <v>48579</v>
      </c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12" t="s">
        <v>541</v>
      </c>
      <c r="AH400" s="12"/>
      <c r="AI400" s="12" t="s">
        <v>540</v>
      </c>
      <c r="AJ400" s="12"/>
      <c r="AK400" s="8"/>
      <c r="AL400" s="8"/>
      <c r="AM400" s="8"/>
      <c r="AN400" s="8"/>
      <c r="AO400" s="8"/>
      <c r="AP400" s="8"/>
      <c r="AQ400" s="8">
        <v>0</v>
      </c>
      <c r="AR400" s="8"/>
      <c r="AS400" s="8"/>
      <c r="AT400" s="8"/>
      <c r="AU400" s="8">
        <v>0</v>
      </c>
      <c r="AV400" s="8"/>
      <c r="AW400" s="8">
        <f t="shared" si="21"/>
        <v>0</v>
      </c>
      <c r="AY400" s="8">
        <f>+'St of Activites - GA Rev'!AI403-'St of Activities - GA Exp'!AW400</f>
        <v>0</v>
      </c>
      <c r="BC400" s="8">
        <f t="shared" si="22"/>
        <v>0</v>
      </c>
      <c r="BE400" s="8">
        <f>+'St of Net Assets - GA'!AA402-'St of Activities - GA Exp'!BC400</f>
        <v>0</v>
      </c>
    </row>
    <row r="401" spans="1:57">
      <c r="A401" s="12" t="s">
        <v>321</v>
      </c>
      <c r="B401" s="12"/>
      <c r="C401" s="12" t="s">
        <v>20</v>
      </c>
      <c r="D401" s="12"/>
      <c r="E401" s="32">
        <v>44636</v>
      </c>
      <c r="G401" s="8">
        <v>62591363</v>
      </c>
      <c r="H401" s="8"/>
      <c r="I401" s="8">
        <v>18650354</v>
      </c>
      <c r="J401" s="8"/>
      <c r="K401" s="8">
        <v>3499530</v>
      </c>
      <c r="L401" s="8"/>
      <c r="M401" s="8">
        <v>117571</v>
      </c>
      <c r="N401" s="8"/>
      <c r="O401" s="8">
        <v>8416014</v>
      </c>
      <c r="P401" s="8"/>
      <c r="Q401" s="8">
        <v>6381186</v>
      </c>
      <c r="R401" s="8"/>
      <c r="S401" s="8">
        <v>1118628</v>
      </c>
      <c r="T401" s="8"/>
      <c r="U401" s="8">
        <v>11526294</v>
      </c>
      <c r="V401" s="8"/>
      <c r="W401" s="8">
        <v>2753764</v>
      </c>
      <c r="X401" s="8"/>
      <c r="Y401" s="8">
        <v>1690228</v>
      </c>
      <c r="Z401" s="8"/>
      <c r="AA401" s="8">
        <v>17583975</v>
      </c>
      <c r="AB401" s="8"/>
      <c r="AC401" s="8">
        <v>6920614</v>
      </c>
      <c r="AD401" s="8"/>
      <c r="AE401" s="8">
        <v>2184176</v>
      </c>
      <c r="AF401" s="8"/>
      <c r="AG401" s="12" t="s">
        <v>321</v>
      </c>
      <c r="AH401" s="12"/>
      <c r="AI401" s="12" t="s">
        <v>20</v>
      </c>
      <c r="AJ401" s="12"/>
      <c r="AK401" s="8">
        <v>0</v>
      </c>
      <c r="AL401" s="8"/>
      <c r="AM401" s="8">
        <v>4282128</v>
      </c>
      <c r="AN401" s="8"/>
      <c r="AO401" s="8">
        <v>3425550</v>
      </c>
      <c r="AP401" s="8"/>
      <c r="AQ401" s="8">
        <v>2317695</v>
      </c>
      <c r="AR401" s="8"/>
      <c r="AS401" s="8"/>
      <c r="AT401" s="8"/>
      <c r="AU401" s="8">
        <v>0</v>
      </c>
      <c r="AV401" s="8"/>
      <c r="AW401" s="8">
        <f t="shared" si="21"/>
        <v>153459070</v>
      </c>
      <c r="AY401" s="8">
        <f>+'St of Activites - GA Rev'!AI404-'St of Activities - GA Exp'!AW401</f>
        <v>-3391311</v>
      </c>
      <c r="BA401" s="8">
        <v>38263814</v>
      </c>
      <c r="BC401" s="8">
        <f t="shared" si="22"/>
        <v>34872503</v>
      </c>
      <c r="BE401" s="8">
        <f>+'St of Net Assets - GA'!AA403-'St of Activities - GA Exp'!BC401</f>
        <v>0</v>
      </c>
    </row>
    <row r="402" spans="1:57">
      <c r="A402" s="12" t="s">
        <v>438</v>
      </c>
      <c r="B402" s="12"/>
      <c r="C402" s="12" t="s">
        <v>34</v>
      </c>
      <c r="D402" s="12"/>
      <c r="E402" s="32">
        <v>47597</v>
      </c>
      <c r="G402" s="8">
        <v>4350416</v>
      </c>
      <c r="H402" s="8"/>
      <c r="I402" s="8">
        <v>1237533</v>
      </c>
      <c r="J402" s="8"/>
      <c r="K402" s="8">
        <v>3833</v>
      </c>
      <c r="L402" s="8"/>
      <c r="M402" s="8">
        <v>392049</v>
      </c>
      <c r="N402" s="8"/>
      <c r="O402" s="8">
        <v>478809</v>
      </c>
      <c r="P402" s="8"/>
      <c r="Q402" s="8">
        <v>669714</v>
      </c>
      <c r="R402" s="8"/>
      <c r="S402" s="8">
        <v>42802</v>
      </c>
      <c r="T402" s="8"/>
      <c r="U402" s="8">
        <v>935558</v>
      </c>
      <c r="V402" s="8"/>
      <c r="W402" s="8">
        <v>336741</v>
      </c>
      <c r="X402" s="8"/>
      <c r="Y402" s="8">
        <v>119199</v>
      </c>
      <c r="Z402" s="8"/>
      <c r="AA402" s="8">
        <v>894458</v>
      </c>
      <c r="AB402" s="8"/>
      <c r="AC402" s="8">
        <v>420640</v>
      </c>
      <c r="AD402" s="8"/>
      <c r="AE402" s="8">
        <v>162441</v>
      </c>
      <c r="AF402" s="8"/>
      <c r="AG402" s="12" t="s">
        <v>438</v>
      </c>
      <c r="AH402" s="12"/>
      <c r="AI402" s="12" t="s">
        <v>34</v>
      </c>
      <c r="AJ402" s="12"/>
      <c r="AK402" s="8">
        <v>0</v>
      </c>
      <c r="AL402" s="8"/>
      <c r="AM402" s="8">
        <v>429688</v>
      </c>
      <c r="AN402" s="8"/>
      <c r="AO402" s="8">
        <v>454358</v>
      </c>
      <c r="AP402" s="8"/>
      <c r="AQ402" s="8">
        <v>285850</v>
      </c>
      <c r="AR402" s="8"/>
      <c r="AS402" s="8"/>
      <c r="AT402" s="8"/>
      <c r="AU402" s="8">
        <v>69669</v>
      </c>
      <c r="AV402" s="8"/>
      <c r="AW402" s="8">
        <f t="shared" si="21"/>
        <v>11283758</v>
      </c>
      <c r="AY402" s="8">
        <f>+'St of Activites - GA Rev'!AI405-'St of Activities - GA Exp'!AW402</f>
        <v>604530</v>
      </c>
      <c r="BA402" s="8">
        <v>11640304</v>
      </c>
      <c r="BC402" s="8">
        <f t="shared" si="22"/>
        <v>12244834</v>
      </c>
      <c r="BE402" s="8">
        <f>+'St of Net Assets - GA'!AA404-'St of Activities - GA Exp'!BC402</f>
        <v>0</v>
      </c>
    </row>
    <row r="403" spans="1:57" ht="12" hidden="1" customHeight="1">
      <c r="A403" s="12" t="s">
        <v>584</v>
      </c>
      <c r="B403" s="12"/>
      <c r="C403" s="12" t="s">
        <v>583</v>
      </c>
      <c r="D403" s="12"/>
      <c r="E403" s="32">
        <v>45575</v>
      </c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12" t="s">
        <v>584</v>
      </c>
      <c r="AH403" s="12"/>
      <c r="AI403" s="12" t="s">
        <v>583</v>
      </c>
      <c r="AJ403" s="12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>
        <v>0</v>
      </c>
      <c r="AV403" s="8"/>
      <c r="AW403" s="8">
        <f t="shared" si="21"/>
        <v>0</v>
      </c>
      <c r="AY403" s="8">
        <f>+'St of Activites - GA Rev'!AI406-'St of Activities - GA Exp'!AW403</f>
        <v>0</v>
      </c>
      <c r="BC403" s="8">
        <f t="shared" si="22"/>
        <v>0</v>
      </c>
      <c r="BE403" s="8">
        <f>+'St of Net Assets - GA'!AA405-'St of Activities - GA Exp'!BC403</f>
        <v>0</v>
      </c>
    </row>
    <row r="404" spans="1:57">
      <c r="A404" s="12" t="s">
        <v>344</v>
      </c>
      <c r="B404" s="12"/>
      <c r="C404" s="12" t="s">
        <v>24</v>
      </c>
      <c r="D404" s="12"/>
      <c r="E404" s="32">
        <v>46813</v>
      </c>
      <c r="G404" s="8">
        <v>9213976</v>
      </c>
      <c r="H404" s="8"/>
      <c r="I404" s="8">
        <v>2515743</v>
      </c>
      <c r="J404" s="8"/>
      <c r="K404" s="8">
        <v>218252</v>
      </c>
      <c r="L404" s="8"/>
      <c r="M404" s="8">
        <v>358945</v>
      </c>
      <c r="N404" s="8"/>
      <c r="O404" s="8">
        <v>1445957</v>
      </c>
      <c r="P404" s="8"/>
      <c r="Q404" s="8">
        <v>1049123</v>
      </c>
      <c r="R404" s="8"/>
      <c r="S404" s="8">
        <v>32376</v>
      </c>
      <c r="T404" s="8"/>
      <c r="U404" s="8">
        <v>1631799</v>
      </c>
      <c r="V404" s="8"/>
      <c r="W404" s="8">
        <v>574125</v>
      </c>
      <c r="X404" s="8"/>
      <c r="Y404" s="8">
        <v>25962</v>
      </c>
      <c r="Z404" s="8"/>
      <c r="AA404" s="8">
        <v>2242467</v>
      </c>
      <c r="AB404" s="8"/>
      <c r="AC404" s="8">
        <v>921480</v>
      </c>
      <c r="AD404" s="8"/>
      <c r="AE404" s="8">
        <v>60706</v>
      </c>
      <c r="AF404" s="8"/>
      <c r="AG404" s="12" t="s">
        <v>344</v>
      </c>
      <c r="AH404" s="12"/>
      <c r="AI404" s="12" t="s">
        <v>24</v>
      </c>
      <c r="AJ404" s="12"/>
      <c r="AK404" s="8">
        <v>916180</v>
      </c>
      <c r="AL404" s="8"/>
      <c r="AM404" s="8">
        <v>44013</v>
      </c>
      <c r="AN404" s="8"/>
      <c r="AO404" s="8">
        <v>704155</v>
      </c>
      <c r="AP404" s="8"/>
      <c r="AQ404" s="8">
        <v>8390</v>
      </c>
      <c r="AR404" s="8"/>
      <c r="AS404" s="8"/>
      <c r="AT404" s="8"/>
      <c r="AU404" s="8">
        <v>0</v>
      </c>
      <c r="AV404" s="8"/>
      <c r="AW404" s="8">
        <f t="shared" si="21"/>
        <v>21963649</v>
      </c>
      <c r="AY404" s="8">
        <f>+'St of Activites - GA Rev'!AI407-'St of Activities - GA Exp'!AW404</f>
        <v>1421773</v>
      </c>
      <c r="BA404" s="8">
        <v>10110086</v>
      </c>
      <c r="BC404" s="8">
        <f t="shared" si="22"/>
        <v>11531859</v>
      </c>
      <c r="BE404" s="8">
        <f>+'St of Net Assets - GA'!AA406-'St of Activities - GA Exp'!BC404</f>
        <v>0</v>
      </c>
    </row>
    <row r="405" spans="1:57" ht="12" customHeight="1">
      <c r="A405" s="12" t="s">
        <v>213</v>
      </c>
      <c r="B405" s="12"/>
      <c r="C405" s="12" t="s">
        <v>41</v>
      </c>
      <c r="D405" s="12"/>
      <c r="E405" s="32">
        <v>47902</v>
      </c>
      <c r="G405" s="8">
        <v>15294055</v>
      </c>
      <c r="H405" s="8"/>
      <c r="I405" s="8">
        <v>1428200</v>
      </c>
      <c r="J405" s="8"/>
      <c r="K405" s="8">
        <v>121250</v>
      </c>
      <c r="L405" s="8"/>
      <c r="M405" s="8">
        <v>916119</v>
      </c>
      <c r="N405" s="8"/>
      <c r="O405" s="8">
        <v>1025569</v>
      </c>
      <c r="P405" s="8"/>
      <c r="Q405" s="8">
        <v>2506310</v>
      </c>
      <c r="R405" s="8"/>
      <c r="S405" s="8">
        <v>125627</v>
      </c>
      <c r="T405" s="8"/>
      <c r="U405" s="8">
        <v>1905194</v>
      </c>
      <c r="V405" s="8"/>
      <c r="W405" s="8">
        <v>974311</v>
      </c>
      <c r="X405" s="8"/>
      <c r="Y405" s="8">
        <v>278977</v>
      </c>
      <c r="Z405" s="8"/>
      <c r="AA405" s="8">
        <v>4527545</v>
      </c>
      <c r="AB405" s="8"/>
      <c r="AC405" s="8">
        <v>1361969</v>
      </c>
      <c r="AD405" s="8"/>
      <c r="AE405" s="8">
        <v>50928</v>
      </c>
      <c r="AF405" s="8"/>
      <c r="AG405" s="12" t="s">
        <v>213</v>
      </c>
      <c r="AH405" s="12"/>
      <c r="AI405" s="12" t="s">
        <v>41</v>
      </c>
      <c r="AJ405" s="12"/>
      <c r="AK405" s="8">
        <v>995261</v>
      </c>
      <c r="AL405" s="8"/>
      <c r="AM405" s="8">
        <v>424243</v>
      </c>
      <c r="AN405" s="8"/>
      <c r="AO405" s="8">
        <v>1457243</v>
      </c>
      <c r="AP405" s="8"/>
      <c r="AQ405" s="8">
        <v>90102</v>
      </c>
      <c r="AR405" s="8"/>
      <c r="AS405" s="8"/>
      <c r="AT405" s="8"/>
      <c r="AU405" s="8">
        <v>0</v>
      </c>
      <c r="AV405" s="8"/>
      <c r="AW405" s="8">
        <f t="shared" si="21"/>
        <v>33482903</v>
      </c>
      <c r="AY405" s="8">
        <f>+'St of Activites - GA Rev'!AI408-'St of Activities - GA Exp'!AW405</f>
        <v>-3020679</v>
      </c>
      <c r="BA405" s="8">
        <v>82661538</v>
      </c>
      <c r="BC405" s="8">
        <f t="shared" si="22"/>
        <v>79640859</v>
      </c>
      <c r="BE405" s="8">
        <f>+'St of Net Assets - GA'!AA407-'St of Activities - GA Exp'!BC405</f>
        <v>0</v>
      </c>
    </row>
    <row r="406" spans="1:57">
      <c r="A406" s="12" t="s">
        <v>213</v>
      </c>
      <c r="B406" s="12"/>
      <c r="C406" s="12" t="s">
        <v>62</v>
      </c>
      <c r="D406" s="12"/>
      <c r="E406" s="32">
        <v>49924</v>
      </c>
      <c r="G406" s="8">
        <v>18207339</v>
      </c>
      <c r="H406" s="8"/>
      <c r="I406" s="8">
        <v>4495003</v>
      </c>
      <c r="J406" s="8"/>
      <c r="K406" s="8">
        <v>2242392</v>
      </c>
      <c r="L406" s="8"/>
      <c r="M406" s="8">
        <f>20709+488445</f>
        <v>509154</v>
      </c>
      <c r="N406" s="8"/>
      <c r="O406" s="8">
        <v>2903665</v>
      </c>
      <c r="P406" s="8"/>
      <c r="Q406" s="8">
        <v>1956561</v>
      </c>
      <c r="R406" s="8"/>
      <c r="S406" s="8">
        <v>97863</v>
      </c>
      <c r="T406" s="8"/>
      <c r="U406" s="8">
        <v>2992984</v>
      </c>
      <c r="V406" s="8"/>
      <c r="W406" s="8">
        <v>733539</v>
      </c>
      <c r="X406" s="8"/>
      <c r="Y406" s="8">
        <v>125828</v>
      </c>
      <c r="Z406" s="8"/>
      <c r="AA406" s="8">
        <v>4043578</v>
      </c>
      <c r="AB406" s="8"/>
      <c r="AC406" s="8">
        <v>1966746</v>
      </c>
      <c r="AD406" s="8"/>
      <c r="AE406" s="8">
        <v>398145</v>
      </c>
      <c r="AF406" s="8"/>
      <c r="AG406" s="12" t="s">
        <v>213</v>
      </c>
      <c r="AH406" s="12"/>
      <c r="AI406" s="12" t="s">
        <v>62</v>
      </c>
      <c r="AJ406" s="12"/>
      <c r="AK406" s="8">
        <v>1653628</v>
      </c>
      <c r="AL406" s="8"/>
      <c r="AM406" s="8">
        <v>359615</v>
      </c>
      <c r="AN406" s="8"/>
      <c r="AO406" s="8">
        <v>1153499</v>
      </c>
      <c r="AP406" s="8"/>
      <c r="AQ406" s="8">
        <v>23734</v>
      </c>
      <c r="AR406" s="8"/>
      <c r="AS406" s="8"/>
      <c r="AT406" s="8"/>
      <c r="AU406" s="8">
        <v>0</v>
      </c>
      <c r="AV406" s="8"/>
      <c r="AW406" s="8">
        <f>SUM(G406:AV406)</f>
        <v>43863273</v>
      </c>
      <c r="AY406" s="8">
        <f>+'St of Activites - GA Rev'!AI409-'St of Activities - GA Exp'!AW406</f>
        <v>4868280</v>
      </c>
      <c r="BA406" s="8">
        <v>37988972</v>
      </c>
      <c r="BC406" s="8">
        <f t="shared" si="22"/>
        <v>42857252</v>
      </c>
      <c r="BE406" s="8">
        <f>+'St of Net Assets - GA'!AA408-'St of Activities - GA Exp'!BC406</f>
        <v>0</v>
      </c>
    </row>
    <row r="407" spans="1:57">
      <c r="A407" s="12" t="s">
        <v>744</v>
      </c>
      <c r="B407" s="12"/>
      <c r="C407" s="12" t="s">
        <v>72</v>
      </c>
      <c r="D407" s="12"/>
      <c r="E407" s="32">
        <v>45583</v>
      </c>
      <c r="G407" s="8">
        <v>22114519</v>
      </c>
      <c r="H407" s="8"/>
      <c r="I407" s="8">
        <v>4113829</v>
      </c>
      <c r="J407" s="8"/>
      <c r="K407" s="8">
        <v>0</v>
      </c>
      <c r="L407" s="8"/>
      <c r="M407" s="8">
        <v>223953</v>
      </c>
      <c r="N407" s="8"/>
      <c r="O407" s="8">
        <v>2203109</v>
      </c>
      <c r="P407" s="8"/>
      <c r="Q407" s="8">
        <v>854356</v>
      </c>
      <c r="R407" s="8"/>
      <c r="S407" s="8">
        <v>133021</v>
      </c>
      <c r="T407" s="8"/>
      <c r="U407" s="8">
        <v>2582821</v>
      </c>
      <c r="V407" s="8"/>
      <c r="W407" s="8">
        <v>925044</v>
      </c>
      <c r="X407" s="8"/>
      <c r="Y407" s="8">
        <v>205219</v>
      </c>
      <c r="Z407" s="8"/>
      <c r="AA407" s="8">
        <v>4545665</v>
      </c>
      <c r="AB407" s="8"/>
      <c r="AC407" s="8">
        <v>2176188</v>
      </c>
      <c r="AD407" s="8"/>
      <c r="AE407" s="8">
        <v>263546</v>
      </c>
      <c r="AF407" s="8"/>
      <c r="AG407" s="12" t="s">
        <v>744</v>
      </c>
      <c r="AH407" s="12"/>
      <c r="AI407" s="12" t="s">
        <v>72</v>
      </c>
      <c r="AJ407" s="12"/>
      <c r="AK407" s="8">
        <v>0</v>
      </c>
      <c r="AL407" s="8"/>
      <c r="AM407" s="8">
        <v>0</v>
      </c>
      <c r="AN407" s="8"/>
      <c r="AO407" s="8">
        <f>1366627+408268</f>
        <v>1774895</v>
      </c>
      <c r="AP407" s="8"/>
      <c r="AQ407" s="8">
        <v>1433668</v>
      </c>
      <c r="AR407" s="8"/>
      <c r="AS407" s="8"/>
      <c r="AT407" s="8"/>
      <c r="AU407" s="8">
        <v>0</v>
      </c>
      <c r="AV407" s="8"/>
      <c r="AW407" s="8">
        <f t="shared" si="21"/>
        <v>43549833</v>
      </c>
      <c r="AY407" s="8">
        <f>+'St of Activites - GA Rev'!AI410-'St of Activities - GA Exp'!AW407</f>
        <v>981019</v>
      </c>
      <c r="BA407" s="8">
        <v>10876643</v>
      </c>
      <c r="BC407" s="8">
        <f t="shared" si="22"/>
        <v>11857662</v>
      </c>
      <c r="BE407" s="8">
        <f>+'St of Net Assets - GA'!AA409-'St of Activities - GA Exp'!BC407</f>
        <v>0</v>
      </c>
    </row>
    <row r="408" spans="1:57">
      <c r="A408" s="12" t="s">
        <v>375</v>
      </c>
      <c r="B408" s="12"/>
      <c r="C408" s="12" t="s">
        <v>28</v>
      </c>
      <c r="D408" s="12"/>
      <c r="E408" s="32">
        <v>47076</v>
      </c>
      <c r="G408" s="8">
        <v>2401809</v>
      </c>
      <c r="H408" s="8"/>
      <c r="I408" s="8">
        <v>203088</v>
      </c>
      <c r="J408" s="8"/>
      <c r="K408" s="8">
        <v>211204</v>
      </c>
      <c r="L408" s="8"/>
      <c r="M408" s="8">
        <v>19809</v>
      </c>
      <c r="N408" s="8"/>
      <c r="O408" s="8">
        <v>106494</v>
      </c>
      <c r="P408" s="8"/>
      <c r="Q408" s="8">
        <v>137950</v>
      </c>
      <c r="R408" s="8"/>
      <c r="S408" s="8">
        <v>17384</v>
      </c>
      <c r="T408" s="8"/>
      <c r="U408" s="8">
        <v>452149</v>
      </c>
      <c r="V408" s="8"/>
      <c r="W408" s="8">
        <v>175860</v>
      </c>
      <c r="X408" s="8"/>
      <c r="Y408" s="8">
        <v>1043</v>
      </c>
      <c r="Z408" s="8"/>
      <c r="AA408" s="8">
        <v>423703</v>
      </c>
      <c r="AB408" s="8"/>
      <c r="AC408" s="8">
        <v>274964</v>
      </c>
      <c r="AD408" s="8"/>
      <c r="AE408" s="8">
        <v>54526</v>
      </c>
      <c r="AF408" s="8"/>
      <c r="AG408" s="12" t="s">
        <v>375</v>
      </c>
      <c r="AH408" s="12"/>
      <c r="AI408" s="12" t="s">
        <v>28</v>
      </c>
      <c r="AJ408" s="12"/>
      <c r="AK408" s="8">
        <v>0</v>
      </c>
      <c r="AL408" s="8"/>
      <c r="AM408" s="8">
        <v>254132</v>
      </c>
      <c r="AN408" s="8"/>
      <c r="AO408" s="8">
        <v>365990</v>
      </c>
      <c r="AP408" s="8"/>
      <c r="AQ408" s="8">
        <v>0</v>
      </c>
      <c r="AR408" s="8"/>
      <c r="AS408" s="8"/>
      <c r="AT408" s="8"/>
      <c r="AU408" s="8">
        <v>36686</v>
      </c>
      <c r="AV408" s="8"/>
      <c r="AW408" s="8">
        <f t="shared" si="21"/>
        <v>5136791</v>
      </c>
      <c r="AY408" s="8">
        <f>+'St of Activites - GA Rev'!AI411-'St of Activities - GA Exp'!AW408</f>
        <v>16371</v>
      </c>
      <c r="BA408" s="8">
        <v>3710790</v>
      </c>
      <c r="BC408" s="8">
        <f t="shared" si="22"/>
        <v>3727161</v>
      </c>
      <c r="BE408" s="8">
        <f>+'St of Net Assets - GA'!AA410-'St of Activities - GA Exp'!BC408</f>
        <v>0</v>
      </c>
    </row>
    <row r="409" spans="1:57">
      <c r="A409" s="12" t="s">
        <v>353</v>
      </c>
      <c r="B409" s="12"/>
      <c r="C409" s="12" t="s">
        <v>25</v>
      </c>
      <c r="D409" s="12"/>
      <c r="E409" s="32">
        <v>46896</v>
      </c>
      <c r="G409" s="8">
        <v>47880000</v>
      </c>
      <c r="H409" s="8"/>
      <c r="I409" s="8">
        <v>7249632</v>
      </c>
      <c r="J409" s="8"/>
      <c r="K409" s="8">
        <v>1098881</v>
      </c>
      <c r="L409" s="8"/>
      <c r="M409" s="8">
        <v>2413847</v>
      </c>
      <c r="N409" s="8"/>
      <c r="O409" s="8">
        <v>4422909</v>
      </c>
      <c r="P409" s="8"/>
      <c r="Q409" s="8">
        <v>5837143</v>
      </c>
      <c r="R409" s="8"/>
      <c r="S409" s="8">
        <v>522851</v>
      </c>
      <c r="T409" s="8"/>
      <c r="U409" s="8">
        <v>7476862</v>
      </c>
      <c r="V409" s="8"/>
      <c r="W409" s="8">
        <v>1789425</v>
      </c>
      <c r="X409" s="8"/>
      <c r="Y409" s="8">
        <v>44051</v>
      </c>
      <c r="Z409" s="8"/>
      <c r="AA409" s="8">
        <v>9267414</v>
      </c>
      <c r="AB409" s="8"/>
      <c r="AC409" s="8">
        <v>5701343</v>
      </c>
      <c r="AD409" s="8"/>
      <c r="AE409" s="8">
        <v>162150</v>
      </c>
      <c r="AF409" s="8"/>
      <c r="AG409" s="12" t="s">
        <v>353</v>
      </c>
      <c r="AH409" s="12"/>
      <c r="AI409" s="12" t="s">
        <v>25</v>
      </c>
      <c r="AJ409" s="12"/>
      <c r="AK409" s="8">
        <v>3635100</v>
      </c>
      <c r="AL409" s="8"/>
      <c r="AM409" s="8">
        <v>65316</v>
      </c>
      <c r="AN409" s="8"/>
      <c r="AO409" s="8">
        <v>2772116</v>
      </c>
      <c r="AP409" s="8"/>
      <c r="AQ409" s="8">
        <v>8899230</v>
      </c>
      <c r="AR409" s="8"/>
      <c r="AS409" s="8"/>
      <c r="AT409" s="8"/>
      <c r="AU409" s="8">
        <v>0</v>
      </c>
      <c r="AV409" s="8"/>
      <c r="AW409" s="8">
        <f t="shared" si="21"/>
        <v>109238270</v>
      </c>
      <c r="AY409" s="8">
        <f>+'St of Activites - GA Rev'!AI412-'St of Activities - GA Exp'!AW409</f>
        <v>3657415</v>
      </c>
      <c r="BA409" s="8">
        <v>23300357</v>
      </c>
      <c r="BC409" s="8">
        <f t="shared" si="22"/>
        <v>26957772</v>
      </c>
      <c r="BE409" s="8">
        <f>+'St of Net Assets - GA'!AA411-'St of Activities - GA Exp'!BC409</f>
        <v>0</v>
      </c>
    </row>
    <row r="410" spans="1:57">
      <c r="A410" s="12" t="s">
        <v>376</v>
      </c>
      <c r="B410" s="12"/>
      <c r="C410" s="12" t="s">
        <v>28</v>
      </c>
      <c r="D410" s="12"/>
      <c r="E410" s="32">
        <v>47084</v>
      </c>
      <c r="G410" s="8">
        <v>6928700</v>
      </c>
      <c r="H410" s="8"/>
      <c r="I410" s="8">
        <v>1612088</v>
      </c>
      <c r="J410" s="8"/>
      <c r="K410" s="8">
        <v>132592</v>
      </c>
      <c r="L410" s="8"/>
      <c r="M410" s="8">
        <v>0</v>
      </c>
      <c r="N410" s="8"/>
      <c r="O410" s="8">
        <v>647727</v>
      </c>
      <c r="P410" s="8"/>
      <c r="Q410" s="8">
        <v>710754</v>
      </c>
      <c r="R410" s="8"/>
      <c r="S410" s="8">
        <v>29185</v>
      </c>
      <c r="T410" s="8"/>
      <c r="U410" s="8">
        <v>1057608</v>
      </c>
      <c r="V410" s="8"/>
      <c r="W410" s="8">
        <v>413143</v>
      </c>
      <c r="X410" s="8"/>
      <c r="Y410" s="8">
        <v>10726</v>
      </c>
      <c r="Z410" s="8"/>
      <c r="AA410" s="8">
        <v>1476770</v>
      </c>
      <c r="AB410" s="8"/>
      <c r="AC410" s="8">
        <v>891129</v>
      </c>
      <c r="AD410" s="8"/>
      <c r="AE410" s="8">
        <v>82802</v>
      </c>
      <c r="AF410" s="8"/>
      <c r="AG410" s="13" t="s">
        <v>376</v>
      </c>
      <c r="AH410" s="13"/>
      <c r="AI410" s="13" t="s">
        <v>28</v>
      </c>
      <c r="AJ410" s="13"/>
      <c r="AK410" s="8">
        <v>0</v>
      </c>
      <c r="AL410" s="8"/>
      <c r="AM410" s="8">
        <v>549645</v>
      </c>
      <c r="AN410" s="8"/>
      <c r="AO410" s="8">
        <v>687166</v>
      </c>
      <c r="AP410" s="8"/>
      <c r="AQ410" s="8">
        <v>389170</v>
      </c>
      <c r="AR410" s="8"/>
      <c r="AS410" s="8"/>
      <c r="AT410" s="8"/>
      <c r="AU410" s="8">
        <v>0</v>
      </c>
      <c r="AV410" s="8"/>
      <c r="AW410" s="8">
        <f t="shared" si="21"/>
        <v>15619205</v>
      </c>
      <c r="AY410" s="8">
        <f>+'St of Activites - GA Rev'!AI413-'St of Activities - GA Exp'!AW410</f>
        <v>1374707</v>
      </c>
      <c r="BA410" s="8">
        <v>13544614</v>
      </c>
      <c r="BC410" s="8">
        <f t="shared" si="22"/>
        <v>14919321</v>
      </c>
      <c r="BE410" s="8">
        <f>+'St of Net Assets - GA'!AA412-'St of Activities - GA Exp'!BC410</f>
        <v>0</v>
      </c>
    </row>
    <row r="411" spans="1:57">
      <c r="A411" s="12" t="s">
        <v>548</v>
      </c>
      <c r="B411" s="12"/>
      <c r="C411" s="12" t="s">
        <v>48</v>
      </c>
      <c r="D411" s="12"/>
      <c r="E411" s="32">
        <v>44644</v>
      </c>
      <c r="G411" s="8">
        <v>19105320</v>
      </c>
      <c r="H411" s="8"/>
      <c r="I411" s="8">
        <v>0</v>
      </c>
      <c r="J411" s="8"/>
      <c r="K411" s="8">
        <v>0</v>
      </c>
      <c r="L411" s="8"/>
      <c r="M411" s="8">
        <v>0</v>
      </c>
      <c r="N411" s="8"/>
      <c r="O411" s="8">
        <v>1549456</v>
      </c>
      <c r="P411" s="8"/>
      <c r="Q411" s="8">
        <v>2085124</v>
      </c>
      <c r="R411" s="8"/>
      <c r="S411" s="8">
        <v>20339</v>
      </c>
      <c r="T411" s="8"/>
      <c r="U411" s="8">
        <v>2361191</v>
      </c>
      <c r="V411" s="8"/>
      <c r="W411" s="8">
        <v>401055</v>
      </c>
      <c r="X411" s="8"/>
      <c r="Y411" s="8">
        <v>52433</v>
      </c>
      <c r="Z411" s="8"/>
      <c r="AA411" s="8">
        <v>2882505</v>
      </c>
      <c r="AB411" s="8"/>
      <c r="AC411" s="8">
        <v>1442206</v>
      </c>
      <c r="AD411" s="8"/>
      <c r="AE411" s="8">
        <v>192486</v>
      </c>
      <c r="AF411" s="8"/>
      <c r="AG411" s="12" t="s">
        <v>548</v>
      </c>
      <c r="AH411" s="12"/>
      <c r="AI411" s="12" t="s">
        <v>48</v>
      </c>
      <c r="AJ411" s="12"/>
      <c r="AK411" s="8">
        <v>0</v>
      </c>
      <c r="AL411" s="8"/>
      <c r="AM411" s="8">
        <v>289838</v>
      </c>
      <c r="AN411" s="8"/>
      <c r="AO411" s="8">
        <v>717482</v>
      </c>
      <c r="AP411" s="8"/>
      <c r="AQ411" s="8">
        <v>607378</v>
      </c>
      <c r="AR411" s="8"/>
      <c r="AS411" s="8"/>
      <c r="AT411" s="8"/>
      <c r="AU411" s="8">
        <v>0</v>
      </c>
      <c r="AV411" s="8"/>
      <c r="AW411" s="8">
        <f t="shared" si="21"/>
        <v>31706813</v>
      </c>
      <c r="AY411" s="8">
        <f>+'St of Activites - GA Rev'!AI414-'St of Activities - GA Exp'!AW411</f>
        <v>1288804</v>
      </c>
      <c r="BA411" s="8">
        <v>23718916</v>
      </c>
      <c r="BC411" s="8">
        <f t="shared" si="22"/>
        <v>25007720</v>
      </c>
      <c r="BE411" s="8">
        <f>+'St of Net Assets - GA'!AA415-'St of Activities - GA Exp'!BC411</f>
        <v>0</v>
      </c>
    </row>
    <row r="412" spans="1:57" ht="12" hidden="1" customHeight="1">
      <c r="A412" s="12" t="s">
        <v>365</v>
      </c>
      <c r="B412" s="12"/>
      <c r="C412" s="12" t="s">
        <v>27</v>
      </c>
      <c r="D412" s="12"/>
      <c r="E412" s="32">
        <v>46995</v>
      </c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12" t="s">
        <v>365</v>
      </c>
      <c r="AH412" s="12"/>
      <c r="AI412" s="12" t="s">
        <v>27</v>
      </c>
      <c r="AJ412" s="12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>
        <v>0</v>
      </c>
      <c r="AV412" s="8"/>
      <c r="AW412" s="8">
        <f t="shared" si="21"/>
        <v>0</v>
      </c>
      <c r="AY412" s="8">
        <f>+'St of Activites - GA Rev'!AI415-'St of Activities - GA Exp'!AW412</f>
        <v>0</v>
      </c>
      <c r="BC412" s="8">
        <f t="shared" si="22"/>
        <v>0</v>
      </c>
      <c r="BE412" s="8">
        <f>+'St of Net Assets - GA'!AA416-'St of Activities - GA Exp'!BC412</f>
        <v>0</v>
      </c>
    </row>
    <row r="413" spans="1:57" ht="12" customHeight="1">
      <c r="A413" s="12"/>
      <c r="B413" s="12"/>
      <c r="C413" s="12"/>
      <c r="D413" s="12"/>
      <c r="E413" s="32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12"/>
      <c r="AH413" s="12"/>
      <c r="AI413" s="12"/>
      <c r="AJ413" s="12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</row>
    <row r="414" spans="1:57" ht="12" customHeight="1">
      <c r="A414" s="12"/>
      <c r="B414" s="12"/>
      <c r="C414" s="12"/>
      <c r="D414" s="12"/>
      <c r="E414" s="32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 t="s">
        <v>819</v>
      </c>
      <c r="AF414" s="8"/>
      <c r="AG414" s="12"/>
      <c r="AH414" s="12"/>
      <c r="AI414" s="12"/>
      <c r="AJ414" s="12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BC414" s="8" t="s">
        <v>819</v>
      </c>
    </row>
    <row r="415" spans="1:57" s="35" customFormat="1">
      <c r="A415" s="34" t="s">
        <v>365</v>
      </c>
      <c r="B415" s="34"/>
      <c r="C415" s="34" t="s">
        <v>62</v>
      </c>
      <c r="D415" s="34"/>
      <c r="E415" s="34">
        <v>49932</v>
      </c>
      <c r="G415" s="35">
        <v>23792244</v>
      </c>
      <c r="I415" s="35">
        <v>4987879</v>
      </c>
      <c r="K415" s="35">
        <v>2072829</v>
      </c>
      <c r="M415" s="35">
        <f>56469+651691</f>
        <v>708160</v>
      </c>
      <c r="O415" s="35">
        <v>2963783</v>
      </c>
      <c r="Q415" s="35">
        <v>3696398</v>
      </c>
      <c r="S415" s="35">
        <v>154000</v>
      </c>
      <c r="U415" s="35">
        <v>3658410</v>
      </c>
      <c r="W415" s="35">
        <v>905188</v>
      </c>
      <c r="Y415" s="35">
        <v>136060</v>
      </c>
      <c r="AA415" s="35">
        <v>5271957</v>
      </c>
      <c r="AC415" s="35">
        <v>2414322</v>
      </c>
      <c r="AE415" s="35">
        <v>228230</v>
      </c>
      <c r="AG415" s="34" t="s">
        <v>365</v>
      </c>
      <c r="AH415" s="34"/>
      <c r="AI415" s="34" t="s">
        <v>62</v>
      </c>
      <c r="AJ415" s="34"/>
      <c r="AK415" s="35">
        <v>2522238</v>
      </c>
      <c r="AM415" s="35">
        <v>37082</v>
      </c>
      <c r="AO415" s="35">
        <v>1059959</v>
      </c>
      <c r="AQ415" s="35">
        <v>2638460</v>
      </c>
      <c r="AU415" s="35">
        <v>527080</v>
      </c>
      <c r="AW415" s="35">
        <f t="shared" si="21"/>
        <v>57774279</v>
      </c>
      <c r="AY415" s="35">
        <f>+'St of Activites - GA Rev'!AI418-'St of Activities - GA Exp'!AW415</f>
        <v>-488362</v>
      </c>
      <c r="BA415" s="35">
        <v>22663034</v>
      </c>
      <c r="BC415" s="35">
        <f t="shared" si="22"/>
        <v>22174672</v>
      </c>
      <c r="BE415" s="35">
        <f>+'St of Net Assets - GA'!AA417-'St of Activities - GA Exp'!BC415</f>
        <v>0</v>
      </c>
    </row>
    <row r="416" spans="1:57">
      <c r="A416" s="12" t="s">
        <v>528</v>
      </c>
      <c r="B416" s="12"/>
      <c r="C416" s="12" t="s">
        <v>46</v>
      </c>
      <c r="D416" s="12"/>
      <c r="E416" s="32">
        <v>48421</v>
      </c>
      <c r="G416" s="8">
        <v>7103169</v>
      </c>
      <c r="H416" s="8"/>
      <c r="I416" s="8">
        <v>923060</v>
      </c>
      <c r="J416" s="8"/>
      <c r="K416" s="8">
        <v>88901</v>
      </c>
      <c r="L416" s="8"/>
      <c r="M416" s="8">
        <v>10021</v>
      </c>
      <c r="N416" s="8"/>
      <c r="O416" s="8">
        <v>444743</v>
      </c>
      <c r="P416" s="8"/>
      <c r="Q416" s="8">
        <v>374849</v>
      </c>
      <c r="R416" s="8"/>
      <c r="S416" s="8">
        <v>100740</v>
      </c>
      <c r="T416" s="8"/>
      <c r="U416" s="8">
        <v>1171123</v>
      </c>
      <c r="V416" s="8"/>
      <c r="W416" s="8">
        <v>315606</v>
      </c>
      <c r="X416" s="8"/>
      <c r="Y416" s="8">
        <v>0</v>
      </c>
      <c r="Z416" s="8"/>
      <c r="AA416" s="8">
        <v>1133168</v>
      </c>
      <c r="AB416" s="8"/>
      <c r="AC416" s="8">
        <v>455901</v>
      </c>
      <c r="AD416" s="8"/>
      <c r="AE416" s="8">
        <v>0</v>
      </c>
      <c r="AF416" s="8"/>
      <c r="AG416" s="12" t="s">
        <v>528</v>
      </c>
      <c r="AH416" s="12"/>
      <c r="AI416" s="12" t="s">
        <v>46</v>
      </c>
      <c r="AJ416" s="12"/>
      <c r="AK416" s="8">
        <v>0</v>
      </c>
      <c r="AL416" s="8"/>
      <c r="AM416" s="8">
        <v>534810</v>
      </c>
      <c r="AN416" s="8"/>
      <c r="AO416" s="8">
        <v>615529</v>
      </c>
      <c r="AP416" s="8"/>
      <c r="AQ416" s="8">
        <v>131083</v>
      </c>
      <c r="AR416" s="8"/>
      <c r="AS416" s="8"/>
      <c r="AT416" s="8"/>
      <c r="AU416" s="8">
        <v>0</v>
      </c>
      <c r="AV416" s="8"/>
      <c r="AW416" s="8">
        <f t="shared" si="21"/>
        <v>13402703</v>
      </c>
      <c r="AY416" s="8">
        <f>+'St of Activites - GA Rev'!AI419-'St of Activities - GA Exp'!AW416</f>
        <v>44590</v>
      </c>
      <c r="BA416" s="8">
        <v>10441323</v>
      </c>
      <c r="BC416" s="8">
        <f t="shared" si="22"/>
        <v>10485913</v>
      </c>
      <c r="BE416" s="8">
        <f>+'St of Net Assets - GA'!AA418-'St of Activities - GA Exp'!BC416</f>
        <v>0</v>
      </c>
    </row>
    <row r="417" spans="1:57">
      <c r="A417" s="12" t="s">
        <v>619</v>
      </c>
      <c r="B417" s="12"/>
      <c r="C417" s="12" t="s">
        <v>113</v>
      </c>
      <c r="D417" s="12"/>
      <c r="E417" s="32">
        <v>49460</v>
      </c>
      <c r="G417" s="8">
        <v>3590573</v>
      </c>
      <c r="H417" s="8"/>
      <c r="I417" s="8">
        <v>940954</v>
      </c>
      <c r="J417" s="8"/>
      <c r="K417" s="8">
        <v>203438</v>
      </c>
      <c r="L417" s="8"/>
      <c r="M417" s="8">
        <v>420955</v>
      </c>
      <c r="N417" s="8"/>
      <c r="O417" s="8">
        <v>445507</v>
      </c>
      <c r="P417" s="8"/>
      <c r="Q417" s="8">
        <v>432584</v>
      </c>
      <c r="R417" s="8"/>
      <c r="S417" s="8">
        <v>19016</v>
      </c>
      <c r="T417" s="8"/>
      <c r="U417" s="8">
        <v>817118</v>
      </c>
      <c r="V417" s="8"/>
      <c r="W417" s="8">
        <v>253512</v>
      </c>
      <c r="X417" s="8"/>
      <c r="Y417" s="8">
        <v>11451</v>
      </c>
      <c r="Z417" s="8"/>
      <c r="AA417" s="8">
        <v>969002</v>
      </c>
      <c r="AB417" s="8"/>
      <c r="AC417" s="8">
        <v>457614</v>
      </c>
      <c r="AD417" s="8"/>
      <c r="AE417" s="8">
        <v>54758</v>
      </c>
      <c r="AF417" s="8"/>
      <c r="AG417" s="12" t="s">
        <v>619</v>
      </c>
      <c r="AH417" s="12"/>
      <c r="AI417" s="12" t="s">
        <v>113</v>
      </c>
      <c r="AJ417" s="12"/>
      <c r="AK417" s="8">
        <v>520510</v>
      </c>
      <c r="AL417" s="8"/>
      <c r="AM417" s="8">
        <v>0</v>
      </c>
      <c r="AN417" s="8"/>
      <c r="AO417" s="8">
        <v>344668</v>
      </c>
      <c r="AP417" s="8"/>
      <c r="AQ417" s="8">
        <v>112475</v>
      </c>
      <c r="AR417" s="8"/>
      <c r="AS417" s="8"/>
      <c r="AT417" s="8"/>
      <c r="AU417" s="8">
        <v>0</v>
      </c>
      <c r="AV417" s="8"/>
      <c r="AW417" s="8">
        <f t="shared" si="21"/>
        <v>9594135</v>
      </c>
      <c r="AY417" s="8">
        <f>+'St of Activites - GA Rev'!AI420-'St of Activities - GA Exp'!AW417</f>
        <v>256746</v>
      </c>
      <c r="BA417" s="8">
        <v>24127215</v>
      </c>
      <c r="BC417" s="8">
        <f t="shared" si="22"/>
        <v>24383961</v>
      </c>
      <c r="BE417" s="8">
        <f>+'St of Net Assets - GA'!AA419-'St of Activities - GA Exp'!BC417</f>
        <v>0</v>
      </c>
    </row>
    <row r="418" spans="1:57" ht="12" customHeight="1">
      <c r="A418" s="12" t="s">
        <v>520</v>
      </c>
      <c r="B418" s="12"/>
      <c r="C418" s="12" t="s">
        <v>45</v>
      </c>
      <c r="D418" s="12"/>
      <c r="E418" s="32">
        <v>48348</v>
      </c>
      <c r="G418" s="8">
        <v>10822850</v>
      </c>
      <c r="H418" s="8"/>
      <c r="I418" s="8">
        <v>1019464</v>
      </c>
      <c r="J418" s="8"/>
      <c r="K418" s="8">
        <v>227252</v>
      </c>
      <c r="L418" s="8"/>
      <c r="M418" s="8">
        <f>111337+290</f>
        <v>111627</v>
      </c>
      <c r="N418" s="8"/>
      <c r="O418" s="8">
        <v>1507951</v>
      </c>
      <c r="P418" s="8"/>
      <c r="Q418" s="8">
        <v>420473</v>
      </c>
      <c r="R418" s="8"/>
      <c r="S418" s="8">
        <v>17482</v>
      </c>
      <c r="T418" s="8"/>
      <c r="U418" s="8">
        <v>1448032</v>
      </c>
      <c r="V418" s="8"/>
      <c r="W418" s="8">
        <v>520580</v>
      </c>
      <c r="X418" s="8"/>
      <c r="Y418" s="8">
        <v>266</v>
      </c>
      <c r="Z418" s="8"/>
      <c r="AA418" s="8">
        <v>2185096</v>
      </c>
      <c r="AB418" s="8"/>
      <c r="AC418" s="8">
        <v>1001035</v>
      </c>
      <c r="AD418" s="8"/>
      <c r="AE418" s="8">
        <v>8800</v>
      </c>
      <c r="AF418" s="8"/>
      <c r="AG418" s="12" t="s">
        <v>520</v>
      </c>
      <c r="AH418" s="12"/>
      <c r="AI418" s="12" t="s">
        <v>45</v>
      </c>
      <c r="AJ418" s="12"/>
      <c r="AK418" s="8">
        <v>842666</v>
      </c>
      <c r="AL418" s="8"/>
      <c r="AM418" s="8">
        <v>417867</v>
      </c>
      <c r="AN418" s="8"/>
      <c r="AO418" s="8">
        <v>715279</v>
      </c>
      <c r="AP418" s="8"/>
      <c r="AQ418" s="8">
        <v>419934</v>
      </c>
      <c r="AR418" s="8"/>
      <c r="AS418" s="8"/>
      <c r="AT418" s="8"/>
      <c r="AU418" s="8">
        <v>0</v>
      </c>
      <c r="AV418" s="8"/>
      <c r="AW418" s="8">
        <f t="shared" si="21"/>
        <v>21686654</v>
      </c>
      <c r="AY418" s="8">
        <f>+'St of Activites - GA Rev'!AI421-'St of Activities - GA Exp'!AW418</f>
        <v>90077</v>
      </c>
      <c r="BA418" s="8">
        <v>1083760</v>
      </c>
      <c r="BC418" s="8">
        <f t="shared" si="22"/>
        <v>1173837</v>
      </c>
      <c r="BE418" s="8">
        <f>+'St of Net Assets - GA'!AA420-'St of Activities - GA Exp'!BC418</f>
        <v>0</v>
      </c>
    </row>
    <row r="419" spans="1:57">
      <c r="A419" s="12" t="s">
        <v>582</v>
      </c>
      <c r="B419" s="12"/>
      <c r="C419" s="12" t="s">
        <v>53</v>
      </c>
      <c r="D419" s="12"/>
      <c r="E419" s="32">
        <v>44651</v>
      </c>
      <c r="G419" s="8">
        <v>8347270</v>
      </c>
      <c r="H419" s="8"/>
      <c r="I419" s="8">
        <v>1871129</v>
      </c>
      <c r="J419" s="8"/>
      <c r="K419" s="8">
        <v>134074</v>
      </c>
      <c r="L419" s="8"/>
      <c r="M419" s="8">
        <v>1481406</v>
      </c>
      <c r="N419" s="8"/>
      <c r="O419" s="8">
        <v>1865607</v>
      </c>
      <c r="P419" s="8"/>
      <c r="Q419" s="8">
        <v>364346</v>
      </c>
      <c r="R419" s="8"/>
      <c r="S419" s="8">
        <v>20551</v>
      </c>
      <c r="T419" s="8"/>
      <c r="U419" s="8">
        <v>1362271</v>
      </c>
      <c r="V419" s="8"/>
      <c r="W419" s="8">
        <v>657148</v>
      </c>
      <c r="X419" s="8"/>
      <c r="Y419" s="8">
        <v>0</v>
      </c>
      <c r="Z419" s="8"/>
      <c r="AA419" s="8">
        <v>2309508</v>
      </c>
      <c r="AB419" s="8"/>
      <c r="AC419" s="8">
        <v>1006158</v>
      </c>
      <c r="AD419" s="8"/>
      <c r="AE419" s="8">
        <v>119714</v>
      </c>
      <c r="AF419" s="8"/>
      <c r="AG419" s="12" t="s">
        <v>582</v>
      </c>
      <c r="AH419" s="12"/>
      <c r="AI419" s="12" t="s">
        <v>53</v>
      </c>
      <c r="AJ419" s="12"/>
      <c r="AK419" s="8">
        <v>624808</v>
      </c>
      <c r="AL419" s="8"/>
      <c r="AM419" s="8">
        <v>111312</v>
      </c>
      <c r="AN419" s="8"/>
      <c r="AO419" s="8">
        <v>564837</v>
      </c>
      <c r="AP419" s="8"/>
      <c r="AQ419" s="8">
        <v>166399</v>
      </c>
      <c r="AR419" s="8"/>
      <c r="AS419" s="8"/>
      <c r="AT419" s="8"/>
      <c r="AU419" s="8">
        <v>0</v>
      </c>
      <c r="AV419" s="8"/>
      <c r="AW419" s="8">
        <f t="shared" si="21"/>
        <v>21006538</v>
      </c>
      <c r="AY419" s="8">
        <f>+'St of Activites - GA Rev'!AI422-'St of Activities - GA Exp'!AW419</f>
        <v>2689214</v>
      </c>
      <c r="BA419" s="8">
        <v>7372787</v>
      </c>
      <c r="BC419" s="8">
        <f t="shared" si="22"/>
        <v>10062001</v>
      </c>
      <c r="BE419" s="8">
        <f>+'St of Net Assets - GA'!AA421-'St of Activities - GA Exp'!BC419</f>
        <v>0</v>
      </c>
    </row>
    <row r="420" spans="1:57" ht="12" customHeight="1">
      <c r="A420" s="12" t="s">
        <v>636</v>
      </c>
      <c r="B420" s="12"/>
      <c r="C420" s="12" t="s">
        <v>59</v>
      </c>
      <c r="D420" s="12"/>
      <c r="E420" s="32">
        <v>44669</v>
      </c>
      <c r="G420" s="8">
        <v>13103606</v>
      </c>
      <c r="H420" s="8"/>
      <c r="I420" s="8">
        <v>5396013</v>
      </c>
      <c r="J420" s="8"/>
      <c r="K420" s="8">
        <v>452153</v>
      </c>
      <c r="L420" s="8"/>
      <c r="M420" s="8">
        <f>1422054+43500</f>
        <v>1465554</v>
      </c>
      <c r="N420" s="8"/>
      <c r="O420" s="8">
        <v>1736450</v>
      </c>
      <c r="P420" s="8"/>
      <c r="Q420" s="8">
        <v>1900014</v>
      </c>
      <c r="R420" s="8"/>
      <c r="S420" s="8">
        <v>22717</v>
      </c>
      <c r="T420" s="8"/>
      <c r="U420" s="8">
        <v>1957080</v>
      </c>
      <c r="V420" s="8"/>
      <c r="W420" s="8">
        <v>798597</v>
      </c>
      <c r="X420" s="8"/>
      <c r="Y420" s="8">
        <v>76236</v>
      </c>
      <c r="Z420" s="8"/>
      <c r="AA420" s="8">
        <v>2640319</v>
      </c>
      <c r="AB420" s="8"/>
      <c r="AC420" s="8">
        <v>696035</v>
      </c>
      <c r="AD420" s="8"/>
      <c r="AE420" s="8">
        <v>77150</v>
      </c>
      <c r="AF420" s="8"/>
      <c r="AG420" s="12" t="s">
        <v>636</v>
      </c>
      <c r="AH420" s="12"/>
      <c r="AI420" s="12" t="s">
        <v>59</v>
      </c>
      <c r="AJ420" s="12"/>
      <c r="AK420" s="8">
        <v>1192836</v>
      </c>
      <c r="AL420" s="8"/>
      <c r="AM420" s="8">
        <v>239402</v>
      </c>
      <c r="AN420" s="8"/>
      <c r="AO420" s="8">
        <v>321079</v>
      </c>
      <c r="AP420" s="8"/>
      <c r="AQ420" s="8">
        <v>641868</v>
      </c>
      <c r="AR420" s="8"/>
      <c r="AS420" s="8"/>
      <c r="AT420" s="8"/>
      <c r="AU420" s="8">
        <v>0</v>
      </c>
      <c r="AV420" s="8"/>
      <c r="AW420" s="8">
        <f t="shared" si="21"/>
        <v>32717109</v>
      </c>
      <c r="AY420" s="8">
        <f>+'St of Activites - GA Rev'!AI423-'St of Activities - GA Exp'!AW420</f>
        <v>-2271910</v>
      </c>
      <c r="BA420" s="8">
        <v>54722613</v>
      </c>
      <c r="BC420" s="8">
        <f t="shared" si="22"/>
        <v>52450703</v>
      </c>
      <c r="BE420" s="8">
        <f>+'St of Net Assets - GA'!AA422-'St of Activities - GA Exp'!BC420</f>
        <v>0</v>
      </c>
    </row>
    <row r="421" spans="1:57" ht="12" hidden="1" customHeight="1">
      <c r="A421" s="12" t="s">
        <v>605</v>
      </c>
      <c r="B421" s="12"/>
      <c r="C421" s="12" t="s">
        <v>57</v>
      </c>
      <c r="D421" s="12"/>
      <c r="E421" s="32">
        <v>49288</v>
      </c>
      <c r="G421" s="8">
        <v>5277553</v>
      </c>
      <c r="H421" s="8"/>
      <c r="I421" s="8">
        <v>1522073</v>
      </c>
      <c r="J421" s="8"/>
      <c r="K421" s="8">
        <v>489366</v>
      </c>
      <c r="L421" s="8"/>
      <c r="M421" s="8">
        <v>28996</v>
      </c>
      <c r="N421" s="8"/>
      <c r="O421" s="8">
        <v>581661</v>
      </c>
      <c r="P421" s="8"/>
      <c r="Q421" s="8">
        <v>0</v>
      </c>
      <c r="R421" s="8"/>
      <c r="S421" s="8">
        <v>0</v>
      </c>
      <c r="T421" s="8"/>
      <c r="U421" s="8">
        <v>0</v>
      </c>
      <c r="V421" s="8"/>
      <c r="W421" s="8">
        <v>0</v>
      </c>
      <c r="X421" s="8"/>
      <c r="Y421" s="8">
        <v>0</v>
      </c>
      <c r="Z421" s="8"/>
      <c r="AA421" s="8">
        <v>0</v>
      </c>
      <c r="AB421" s="8"/>
      <c r="AC421" s="8">
        <v>0</v>
      </c>
      <c r="AD421" s="8"/>
      <c r="AE421" s="8">
        <v>0</v>
      </c>
      <c r="AF421" s="8"/>
      <c r="AG421" s="12" t="s">
        <v>605</v>
      </c>
      <c r="AH421" s="12"/>
      <c r="AI421" s="12" t="s">
        <v>57</v>
      </c>
      <c r="AJ421" s="12"/>
      <c r="AK421" s="8">
        <v>0</v>
      </c>
      <c r="AL421" s="8"/>
      <c r="AM421" s="8">
        <v>0</v>
      </c>
      <c r="AN421" s="8"/>
      <c r="AO421" s="8">
        <v>0</v>
      </c>
      <c r="AP421" s="8"/>
      <c r="AQ421" s="8">
        <v>0</v>
      </c>
      <c r="AR421" s="8"/>
      <c r="AS421" s="8"/>
      <c r="AT421" s="8"/>
      <c r="AU421" s="8">
        <v>0</v>
      </c>
      <c r="AV421" s="8"/>
      <c r="AW421" s="8">
        <f t="shared" si="21"/>
        <v>7899649</v>
      </c>
      <c r="AY421" s="8">
        <f>+'St of Activites - GA Rev'!AI424-'St of Activities - GA Exp'!AW421</f>
        <v>-7899649</v>
      </c>
      <c r="BA421" s="8">
        <v>0</v>
      </c>
      <c r="BC421" s="8">
        <f t="shared" si="22"/>
        <v>-7899649</v>
      </c>
      <c r="BE421" s="8">
        <f>+'St of Net Assets - GA'!AA423-'St of Activities - GA Exp'!BC421</f>
        <v>7899649</v>
      </c>
    </row>
    <row r="422" spans="1:57">
      <c r="A422" s="12" t="s">
        <v>410</v>
      </c>
      <c r="B422" s="12"/>
      <c r="C422" s="12" t="s">
        <v>32</v>
      </c>
      <c r="D422" s="12"/>
      <c r="E422" s="32">
        <v>44677</v>
      </c>
      <c r="G422" s="8">
        <v>28731431</v>
      </c>
      <c r="H422" s="8"/>
      <c r="I422" s="8">
        <v>7329970</v>
      </c>
      <c r="J422" s="8"/>
      <c r="K422" s="8">
        <v>128903</v>
      </c>
      <c r="L422" s="8"/>
      <c r="M422" s="8">
        <v>5676076</v>
      </c>
      <c r="N422" s="8"/>
      <c r="O422" s="8">
        <v>4458456</v>
      </c>
      <c r="P422" s="8"/>
      <c r="Q422" s="8">
        <v>5967436</v>
      </c>
      <c r="R422" s="8"/>
      <c r="S422" s="8">
        <v>271234</v>
      </c>
      <c r="T422" s="8"/>
      <c r="U422" s="8">
        <f>6516374</f>
        <v>6516374</v>
      </c>
      <c r="V422" s="8"/>
      <c r="W422" s="8">
        <v>2945291</v>
      </c>
      <c r="X422" s="8"/>
      <c r="Y422" s="8">
        <v>565562</v>
      </c>
      <c r="Z422" s="8"/>
      <c r="AA422" s="8">
        <v>7971617</v>
      </c>
      <c r="AB422" s="8"/>
      <c r="AC422" s="8">
        <v>5212829</v>
      </c>
      <c r="AD422" s="8"/>
      <c r="AE422" s="8">
        <v>1711621</v>
      </c>
      <c r="AF422" s="8"/>
      <c r="AG422" s="12" t="s">
        <v>410</v>
      </c>
      <c r="AH422" s="12"/>
      <c r="AI422" s="12" t="s">
        <v>32</v>
      </c>
      <c r="AJ422" s="12"/>
      <c r="AK422" s="8">
        <v>0</v>
      </c>
      <c r="AL422" s="8"/>
      <c r="AM422" s="8">
        <v>4076235</v>
      </c>
      <c r="AN422" s="8"/>
      <c r="AO422" s="8">
        <v>1461925</v>
      </c>
      <c r="AP422" s="8"/>
      <c r="AQ422" s="8">
        <v>3727692</v>
      </c>
      <c r="AR422" s="8"/>
      <c r="AS422" s="8"/>
      <c r="AT422" s="8"/>
      <c r="AU422" s="8">
        <v>0</v>
      </c>
      <c r="AV422" s="8"/>
      <c r="AW422" s="8">
        <f t="shared" si="21"/>
        <v>86752652</v>
      </c>
      <c r="AY422" s="8">
        <f>+'St of Activites - GA Rev'!AI425-'St of Activities - GA Exp'!AW422</f>
        <v>-5715158</v>
      </c>
      <c r="BA422" s="8">
        <v>65582099</v>
      </c>
      <c r="BC422" s="8">
        <f t="shared" si="22"/>
        <v>59866941</v>
      </c>
      <c r="BE422" s="8">
        <f>+'St of Net Assets - GA'!AA424-'St of Activities - GA Exp'!BC422</f>
        <v>0</v>
      </c>
    </row>
    <row r="423" spans="1:57" ht="12" customHeight="1">
      <c r="A423" s="12" t="s">
        <v>224</v>
      </c>
      <c r="B423" s="12"/>
      <c r="C423" s="12" t="s">
        <v>12</v>
      </c>
      <c r="D423" s="12"/>
      <c r="E423" s="32">
        <v>45880</v>
      </c>
      <c r="G423" s="8">
        <v>6228817</v>
      </c>
      <c r="H423" s="8"/>
      <c r="I423" s="8">
        <v>1636815</v>
      </c>
      <c r="J423" s="8"/>
      <c r="K423" s="8">
        <v>234738</v>
      </c>
      <c r="L423" s="8"/>
      <c r="M423" s="8">
        <v>741292</v>
      </c>
      <c r="N423" s="8"/>
      <c r="O423" s="8">
        <v>625148</v>
      </c>
      <c r="P423" s="8"/>
      <c r="Q423" s="8">
        <v>304474</v>
      </c>
      <c r="R423" s="8"/>
      <c r="S423" s="8">
        <v>27430</v>
      </c>
      <c r="T423" s="8"/>
      <c r="U423" s="8">
        <v>1282197</v>
      </c>
      <c r="V423" s="8"/>
      <c r="W423" s="8">
        <v>301121</v>
      </c>
      <c r="X423" s="8"/>
      <c r="Y423" s="8">
        <v>84482</v>
      </c>
      <c r="Z423" s="8"/>
      <c r="AA423" s="8">
        <v>1438286</v>
      </c>
      <c r="AB423" s="8"/>
      <c r="AC423" s="8">
        <v>1339737</v>
      </c>
      <c r="AD423" s="8"/>
      <c r="AE423" s="8">
        <v>74695</v>
      </c>
      <c r="AF423" s="8"/>
      <c r="AG423" s="12" t="s">
        <v>224</v>
      </c>
      <c r="AH423" s="12"/>
      <c r="AI423" s="12" t="s">
        <v>12</v>
      </c>
      <c r="AJ423" s="12"/>
      <c r="AK423" s="8">
        <v>587433</v>
      </c>
      <c r="AL423" s="8"/>
      <c r="AM423" s="8">
        <v>23993</v>
      </c>
      <c r="AN423" s="8"/>
      <c r="AO423" s="8">
        <v>755198</v>
      </c>
      <c r="AP423" s="8"/>
      <c r="AQ423" s="8">
        <v>375301</v>
      </c>
      <c r="AR423" s="8"/>
      <c r="AS423" s="8"/>
      <c r="AT423" s="8"/>
      <c r="AU423" s="8">
        <v>0</v>
      </c>
      <c r="AV423" s="8"/>
      <c r="AW423" s="8">
        <f t="shared" si="21"/>
        <v>16061157</v>
      </c>
      <c r="AY423" s="8">
        <f>+'St of Activites - GA Rev'!AI426-'St of Activities - GA Exp'!AW423</f>
        <v>-1041636</v>
      </c>
      <c r="BA423" s="8">
        <v>25397296</v>
      </c>
      <c r="BC423" s="8">
        <f t="shared" si="22"/>
        <v>24355660</v>
      </c>
      <c r="BE423" s="8">
        <f>+'St of Net Assets - GA'!AA425-'St of Activities - GA Exp'!BC423</f>
        <v>0</v>
      </c>
    </row>
    <row r="424" spans="1:57">
      <c r="A424" s="12" t="s">
        <v>903</v>
      </c>
      <c r="B424" s="12"/>
      <c r="C424" s="12" t="s">
        <v>56</v>
      </c>
      <c r="D424" s="12"/>
      <c r="E424" s="32"/>
      <c r="G424" s="8">
        <v>12504904</v>
      </c>
      <c r="H424" s="8"/>
      <c r="I424" s="8">
        <v>4455400</v>
      </c>
      <c r="J424" s="8"/>
      <c r="K424" s="8">
        <v>317065</v>
      </c>
      <c r="L424" s="8"/>
      <c r="M424" s="8">
        <v>1182384</v>
      </c>
      <c r="N424" s="8"/>
      <c r="O424" s="8">
        <v>1443247</v>
      </c>
      <c r="P424" s="8"/>
      <c r="Q424" s="8">
        <v>970898</v>
      </c>
      <c r="R424" s="8"/>
      <c r="S424" s="8">
        <v>43534</v>
      </c>
      <c r="T424" s="8"/>
      <c r="U424" s="8">
        <v>2632632</v>
      </c>
      <c r="V424" s="8"/>
      <c r="W424" s="8">
        <v>660689</v>
      </c>
      <c r="X424" s="8"/>
      <c r="Y424" s="8">
        <v>153922</v>
      </c>
      <c r="Z424" s="8"/>
      <c r="AA424" s="8">
        <v>2703711</v>
      </c>
      <c r="AB424" s="8"/>
      <c r="AC424" s="8">
        <v>1640368</v>
      </c>
      <c r="AD424" s="8"/>
      <c r="AE424" s="8">
        <v>683482</v>
      </c>
      <c r="AF424" s="8"/>
      <c r="AG424" s="12" t="s">
        <v>813</v>
      </c>
      <c r="AH424" s="12"/>
      <c r="AI424" s="12" t="s">
        <v>56</v>
      </c>
      <c r="AJ424" s="12"/>
      <c r="AK424" s="8">
        <v>1448958</v>
      </c>
      <c r="AL424" s="8"/>
      <c r="AM424" s="8">
        <v>9207</v>
      </c>
      <c r="AN424" s="8"/>
      <c r="AO424" s="8">
        <v>1267535</v>
      </c>
      <c r="AP424" s="8"/>
      <c r="AQ424" s="8">
        <v>976432</v>
      </c>
      <c r="AR424" s="8"/>
      <c r="AS424" s="8"/>
      <c r="AT424" s="8"/>
      <c r="AU424" s="8">
        <v>0</v>
      </c>
      <c r="AV424" s="8"/>
      <c r="AW424" s="8">
        <f t="shared" si="21"/>
        <v>33094368</v>
      </c>
      <c r="AY424" s="8">
        <f>+'St of Activites - GA Rev'!AI427-'St of Activities - GA Exp'!AW424</f>
        <v>1243480</v>
      </c>
      <c r="BA424" s="8">
        <v>16270466</v>
      </c>
      <c r="BC424" s="8">
        <f t="shared" si="22"/>
        <v>17513946</v>
      </c>
      <c r="BE424" s="8">
        <f>+'St of Net Assets - GA'!AA426-'St of Activities - GA Exp'!BC424</f>
        <v>0</v>
      </c>
    </row>
    <row r="425" spans="1:57" ht="12" customHeight="1">
      <c r="A425" s="12" t="s">
        <v>411</v>
      </c>
      <c r="B425" s="12"/>
      <c r="C425" s="12" t="s">
        <v>32</v>
      </c>
      <c r="D425" s="12"/>
      <c r="E425" s="32">
        <v>44693</v>
      </c>
      <c r="G425" s="8">
        <v>6622951</v>
      </c>
      <c r="H425" s="8"/>
      <c r="I425" s="8">
        <v>1828477</v>
      </c>
      <c r="J425" s="8"/>
      <c r="K425" s="8">
        <v>91172</v>
      </c>
      <c r="L425" s="8"/>
      <c r="M425" s="8">
        <v>395818</v>
      </c>
      <c r="N425" s="8"/>
      <c r="O425" s="8">
        <v>934169</v>
      </c>
      <c r="P425" s="8"/>
      <c r="Q425" s="8">
        <v>687897</v>
      </c>
      <c r="R425" s="8"/>
      <c r="S425" s="8">
        <v>47281</v>
      </c>
      <c r="T425" s="8"/>
      <c r="U425" s="8">
        <v>1281960</v>
      </c>
      <c r="V425" s="8"/>
      <c r="W425" s="8">
        <v>428914</v>
      </c>
      <c r="X425" s="8"/>
      <c r="Y425" s="8">
        <v>26889</v>
      </c>
      <c r="Z425" s="8"/>
      <c r="AA425" s="8">
        <v>1052875</v>
      </c>
      <c r="AB425" s="8"/>
      <c r="AC425" s="8">
        <v>305345</v>
      </c>
      <c r="AD425" s="8"/>
      <c r="AE425" s="8">
        <v>340151</v>
      </c>
      <c r="AF425" s="8"/>
      <c r="AG425" s="12" t="s">
        <v>411</v>
      </c>
      <c r="AH425" s="12"/>
      <c r="AI425" s="12" t="s">
        <v>32</v>
      </c>
      <c r="AJ425" s="12"/>
      <c r="AK425" s="8">
        <v>0</v>
      </c>
      <c r="AL425" s="8"/>
      <c r="AM425" s="8">
        <v>1039389</v>
      </c>
      <c r="AN425" s="8"/>
      <c r="AO425" s="8">
        <v>601596</v>
      </c>
      <c r="AP425" s="8"/>
      <c r="AQ425" s="8">
        <v>20959</v>
      </c>
      <c r="AR425" s="8"/>
      <c r="AS425" s="8"/>
      <c r="AT425" s="8"/>
      <c r="AU425" s="8">
        <v>0</v>
      </c>
      <c r="AV425" s="8"/>
      <c r="AW425" s="8">
        <f t="shared" si="21"/>
        <v>15705843</v>
      </c>
      <c r="AY425" s="8">
        <f>+'St of Activites - GA Rev'!AI428-'St of Activities - GA Exp'!AW425</f>
        <v>-601442</v>
      </c>
      <c r="BA425" s="8">
        <v>4916497</v>
      </c>
      <c r="BC425" s="8">
        <f t="shared" si="22"/>
        <v>4315055</v>
      </c>
      <c r="BE425" s="8">
        <f>+'St of Net Assets - GA'!AA427-'St of Activities - GA Exp'!BC425</f>
        <v>0</v>
      </c>
    </row>
    <row r="426" spans="1:57">
      <c r="A426" s="12" t="s">
        <v>675</v>
      </c>
      <c r="B426" s="12"/>
      <c r="C426" s="12" t="s">
        <v>63</v>
      </c>
      <c r="D426" s="12"/>
      <c r="E426" s="32">
        <v>50054</v>
      </c>
      <c r="G426" s="8">
        <v>13728591</v>
      </c>
      <c r="H426" s="8"/>
      <c r="I426" s="8">
        <v>2480951</v>
      </c>
      <c r="J426" s="8"/>
      <c r="K426" s="8">
        <v>424171</v>
      </c>
      <c r="L426" s="8"/>
      <c r="M426" s="8">
        <v>443542</v>
      </c>
      <c r="N426" s="8"/>
      <c r="O426" s="8">
        <v>1547826</v>
      </c>
      <c r="P426" s="8"/>
      <c r="Q426" s="8">
        <v>828293</v>
      </c>
      <c r="R426" s="8"/>
      <c r="S426" s="8">
        <v>371562</v>
      </c>
      <c r="T426" s="8"/>
      <c r="U426" s="8">
        <v>2312223</v>
      </c>
      <c r="V426" s="8"/>
      <c r="W426" s="8">
        <v>907869</v>
      </c>
      <c r="X426" s="8"/>
      <c r="Y426" s="8">
        <v>74119</v>
      </c>
      <c r="Z426" s="8"/>
      <c r="AA426" s="8">
        <v>3870447</v>
      </c>
      <c r="AB426" s="8"/>
      <c r="AC426" s="8">
        <v>2235481</v>
      </c>
      <c r="AD426" s="8"/>
      <c r="AE426" s="8">
        <v>244248</v>
      </c>
      <c r="AF426" s="8"/>
      <c r="AG426" s="12" t="s">
        <v>675</v>
      </c>
      <c r="AH426" s="12"/>
      <c r="AI426" s="12" t="s">
        <v>63</v>
      </c>
      <c r="AJ426" s="12"/>
      <c r="AK426" s="8">
        <v>765926</v>
      </c>
      <c r="AL426" s="8"/>
      <c r="AM426" s="8">
        <v>340547</v>
      </c>
      <c r="AN426" s="8"/>
      <c r="AO426" s="8">
        <v>1036271</v>
      </c>
      <c r="AP426" s="8"/>
      <c r="AQ426" s="8">
        <v>516354</v>
      </c>
      <c r="AR426" s="8"/>
      <c r="AS426" s="8"/>
      <c r="AT426" s="8"/>
      <c r="AU426" s="8">
        <v>36778</v>
      </c>
      <c r="AV426" s="8"/>
      <c r="AW426" s="8">
        <f t="shared" si="21"/>
        <v>32165199</v>
      </c>
      <c r="AY426" s="8">
        <f>+'St of Activites - GA Rev'!AI429-'St of Activities - GA Exp'!AW426</f>
        <v>2005347</v>
      </c>
      <c r="BA426" s="8">
        <v>21046350</v>
      </c>
      <c r="BC426" s="8">
        <f t="shared" si="22"/>
        <v>23051697</v>
      </c>
      <c r="BE426" s="8">
        <f>+'St of Net Assets - GA'!AA428-'St of Activities - GA Exp'!BC426</f>
        <v>0</v>
      </c>
    </row>
    <row r="427" spans="1:57">
      <c r="A427" s="12" t="s">
        <v>366</v>
      </c>
      <c r="B427" s="12"/>
      <c r="C427" s="12" t="s">
        <v>27</v>
      </c>
      <c r="D427" s="12"/>
      <c r="E427" s="32">
        <v>47001</v>
      </c>
      <c r="G427" s="8">
        <v>28966422</v>
      </c>
      <c r="H427" s="8"/>
      <c r="I427" s="8">
        <v>3923681</v>
      </c>
      <c r="J427" s="8"/>
      <c r="K427" s="8">
        <v>347955</v>
      </c>
      <c r="L427" s="8"/>
      <c r="M427" s="8">
        <v>67158</v>
      </c>
      <c r="N427" s="8"/>
      <c r="O427" s="8">
        <v>10247264</v>
      </c>
      <c r="P427" s="8"/>
      <c r="Q427" s="8">
        <v>1789444</v>
      </c>
      <c r="R427" s="8"/>
      <c r="S427" s="8">
        <v>52425</v>
      </c>
      <c r="T427" s="8"/>
      <c r="U427" s="8">
        <v>6006921</v>
      </c>
      <c r="V427" s="8"/>
      <c r="W427" s="8">
        <v>1293439</v>
      </c>
      <c r="X427" s="8"/>
      <c r="Y427" s="8">
        <v>425289</v>
      </c>
      <c r="Z427" s="8"/>
      <c r="AA427" s="8">
        <v>5688930</v>
      </c>
      <c r="AB427" s="8"/>
      <c r="AC427" s="8">
        <v>3171039</v>
      </c>
      <c r="AD427" s="8"/>
      <c r="AE427" s="8">
        <v>532806</v>
      </c>
      <c r="AF427" s="8"/>
      <c r="AG427" s="12" t="s">
        <v>366</v>
      </c>
      <c r="AH427" s="12"/>
      <c r="AI427" s="12" t="s">
        <v>27</v>
      </c>
      <c r="AJ427" s="12"/>
      <c r="AK427" s="8">
        <v>2467094</v>
      </c>
      <c r="AL427" s="8"/>
      <c r="AM427" s="8">
        <v>37304</v>
      </c>
      <c r="AN427" s="8"/>
      <c r="AO427" s="8">
        <v>1471179</v>
      </c>
      <c r="AP427" s="8"/>
      <c r="AQ427" s="8">
        <v>3541409</v>
      </c>
      <c r="AR427" s="8"/>
      <c r="AS427" s="8"/>
      <c r="AT427" s="8"/>
      <c r="AU427" s="8">
        <v>289984</v>
      </c>
      <c r="AV427" s="8"/>
      <c r="AW427" s="8">
        <f t="shared" si="21"/>
        <v>70319743</v>
      </c>
      <c r="AY427" s="8">
        <f>+'St of Activites - GA Rev'!AI430-'St of Activities - GA Exp'!AW427</f>
        <v>-5051638</v>
      </c>
      <c r="BA427" s="8">
        <v>25218860</v>
      </c>
      <c r="BC427" s="8">
        <f t="shared" si="22"/>
        <v>20167222</v>
      </c>
      <c r="BE427" s="8">
        <f>+'St of Net Assets - GA'!AA429-'St of Activities - GA Exp'!BC427</f>
        <v>0</v>
      </c>
    </row>
    <row r="428" spans="1:57" ht="12" hidden="1" customHeight="1">
      <c r="A428" s="12" t="s">
        <v>322</v>
      </c>
      <c r="B428" s="12"/>
      <c r="C428" s="12" t="s">
        <v>20</v>
      </c>
      <c r="D428" s="12"/>
      <c r="E428" s="32">
        <v>46599</v>
      </c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12" t="s">
        <v>322</v>
      </c>
      <c r="AH428" s="12"/>
      <c r="AI428" s="12" t="s">
        <v>20</v>
      </c>
      <c r="AJ428" s="12"/>
      <c r="AK428" s="8"/>
      <c r="AL428" s="8"/>
      <c r="AM428" s="8"/>
      <c r="AN428" s="8"/>
      <c r="AO428" s="8"/>
      <c r="AP428" s="8"/>
      <c r="AQ428" s="8">
        <v>0</v>
      </c>
      <c r="AR428" s="8"/>
      <c r="AS428" s="8"/>
      <c r="AT428" s="8"/>
      <c r="AU428" s="8">
        <v>0</v>
      </c>
      <c r="AV428" s="8"/>
      <c r="AW428" s="8">
        <f t="shared" si="21"/>
        <v>0</v>
      </c>
      <c r="AY428" s="8">
        <f>+'St of Activites - GA Rev'!AI431-'St of Activities - GA Exp'!AW428</f>
        <v>0</v>
      </c>
      <c r="BC428" s="8">
        <f t="shared" si="22"/>
        <v>0</v>
      </c>
      <c r="BE428" s="8">
        <f>+'St of Net Assets - GA'!AA430-'St of Activities - GA Exp'!BC428</f>
        <v>0</v>
      </c>
    </row>
    <row r="429" spans="1:57">
      <c r="A429" s="12" t="s">
        <v>529</v>
      </c>
      <c r="B429" s="12"/>
      <c r="C429" s="12" t="s">
        <v>46</v>
      </c>
      <c r="D429" s="12"/>
      <c r="E429" s="32">
        <v>48439</v>
      </c>
      <c r="G429" s="8">
        <v>3158818</v>
      </c>
      <c r="H429" s="8"/>
      <c r="I429" s="8">
        <v>554024</v>
      </c>
      <c r="J429" s="8"/>
      <c r="K429" s="8">
        <v>125386</v>
      </c>
      <c r="L429" s="8"/>
      <c r="M429" s="8">
        <v>1175169</v>
      </c>
      <c r="N429" s="8"/>
      <c r="O429" s="8">
        <v>260030</v>
      </c>
      <c r="P429" s="8"/>
      <c r="Q429" s="8">
        <v>238547</v>
      </c>
      <c r="R429" s="8"/>
      <c r="S429" s="8">
        <v>42551</v>
      </c>
      <c r="T429" s="8"/>
      <c r="U429" s="8">
        <v>646178</v>
      </c>
      <c r="V429" s="8"/>
      <c r="W429" s="8">
        <v>232339</v>
      </c>
      <c r="X429" s="8"/>
      <c r="Y429" s="8">
        <v>0</v>
      </c>
      <c r="Z429" s="8"/>
      <c r="AA429" s="8">
        <v>687201</v>
      </c>
      <c r="AB429" s="8"/>
      <c r="AC429" s="8">
        <v>522449</v>
      </c>
      <c r="AD429" s="8"/>
      <c r="AE429" s="8">
        <v>26001</v>
      </c>
      <c r="AF429" s="8"/>
      <c r="AG429" s="12" t="s">
        <v>529</v>
      </c>
      <c r="AH429" s="12"/>
      <c r="AI429" s="12" t="s">
        <v>46</v>
      </c>
      <c r="AJ429" s="12"/>
      <c r="AK429" s="8">
        <v>404581</v>
      </c>
      <c r="AL429" s="8"/>
      <c r="AM429" s="8">
        <v>0</v>
      </c>
      <c r="AN429" s="8"/>
      <c r="AO429" s="8">
        <v>260633</v>
      </c>
      <c r="AP429" s="8"/>
      <c r="AQ429" s="8">
        <v>16672</v>
      </c>
      <c r="AR429" s="8"/>
      <c r="AS429" s="8"/>
      <c r="AT429" s="8"/>
      <c r="AU429" s="8">
        <v>0</v>
      </c>
      <c r="AV429" s="8"/>
      <c r="AW429" s="8">
        <f t="shared" si="21"/>
        <v>8350579</v>
      </c>
      <c r="AY429" s="8">
        <f>+'St of Activites - GA Rev'!AI432-'St of Activities - GA Exp'!AW429</f>
        <v>426728</v>
      </c>
      <c r="BA429" s="8">
        <v>3311065</v>
      </c>
      <c r="BC429" s="8">
        <f t="shared" si="22"/>
        <v>3737793</v>
      </c>
      <c r="BE429" s="8">
        <f>+'St of Net Assets - GA'!AA431-'St of Activities - GA Exp'!BC429</f>
        <v>0</v>
      </c>
    </row>
    <row r="430" spans="1:57" ht="12" customHeight="1">
      <c r="A430" s="12" t="s">
        <v>429</v>
      </c>
      <c r="B430" s="12"/>
      <c r="C430" s="12" t="s">
        <v>426</v>
      </c>
      <c r="D430" s="12"/>
      <c r="E430" s="32">
        <v>47506</v>
      </c>
      <c r="G430" s="8">
        <v>2395049</v>
      </c>
      <c r="H430" s="8"/>
      <c r="I430" s="8">
        <v>453781</v>
      </c>
      <c r="J430" s="8"/>
      <c r="K430" s="8">
        <v>159550</v>
      </c>
      <c r="L430" s="8"/>
      <c r="M430" s="8">
        <v>54257</v>
      </c>
      <c r="N430" s="8"/>
      <c r="O430" s="8">
        <v>216487</v>
      </c>
      <c r="P430" s="8"/>
      <c r="Q430" s="8">
        <v>248709</v>
      </c>
      <c r="R430" s="8"/>
      <c r="S430" s="8">
        <v>29237</v>
      </c>
      <c r="T430" s="8"/>
      <c r="U430" s="8">
        <v>606431</v>
      </c>
      <c r="V430" s="8"/>
      <c r="W430" s="8">
        <v>208214</v>
      </c>
      <c r="X430" s="8"/>
      <c r="Y430" s="8">
        <v>0</v>
      </c>
      <c r="Z430" s="8"/>
      <c r="AA430" s="8">
        <v>453711</v>
      </c>
      <c r="AB430" s="8"/>
      <c r="AC430" s="8">
        <v>408116</v>
      </c>
      <c r="AD430" s="8"/>
      <c r="AE430" s="8">
        <v>35808</v>
      </c>
      <c r="AF430" s="8"/>
      <c r="AG430" s="12" t="s">
        <v>429</v>
      </c>
      <c r="AH430" s="12"/>
      <c r="AI430" s="12" t="s">
        <v>426</v>
      </c>
      <c r="AJ430" s="12"/>
      <c r="AK430" s="8">
        <v>0</v>
      </c>
      <c r="AL430" s="8"/>
      <c r="AM430" s="8">
        <v>626</v>
      </c>
      <c r="AN430" s="8"/>
      <c r="AO430" s="8">
        <v>181186</v>
      </c>
      <c r="AP430" s="8"/>
      <c r="AQ430" s="8">
        <v>196312</v>
      </c>
      <c r="AR430" s="8"/>
      <c r="AS430" s="8"/>
      <c r="AT430" s="8"/>
      <c r="AU430" s="8">
        <v>21494</v>
      </c>
      <c r="AV430" s="8"/>
      <c r="AW430" s="8">
        <f t="shared" si="21"/>
        <v>5668968</v>
      </c>
      <c r="AY430" s="8">
        <f>+'St of Activites - GA Rev'!AI433-'St of Activities - GA Exp'!AW430</f>
        <v>-303584</v>
      </c>
      <c r="BA430" s="8">
        <v>2461589</v>
      </c>
      <c r="BC430" s="8">
        <f t="shared" si="22"/>
        <v>2158005</v>
      </c>
      <c r="BE430" s="8">
        <f>+'St of Net Assets - GA'!AA432-'St of Activities - GA Exp'!BC430</f>
        <v>0</v>
      </c>
    </row>
    <row r="431" spans="1:57">
      <c r="A431" s="12" t="s">
        <v>292</v>
      </c>
      <c r="B431" s="12"/>
      <c r="C431" s="12" t="s">
        <v>19</v>
      </c>
      <c r="D431" s="12"/>
      <c r="E431" s="32">
        <v>46474</v>
      </c>
      <c r="G431" s="8">
        <v>6099839</v>
      </c>
      <c r="H431" s="8"/>
      <c r="I431" s="8">
        <v>1032956</v>
      </c>
      <c r="J431" s="8"/>
      <c r="K431" s="8">
        <v>230224</v>
      </c>
      <c r="L431" s="8"/>
      <c r="M431" s="8">
        <v>38715</v>
      </c>
      <c r="N431" s="8"/>
      <c r="O431" s="8">
        <v>456548</v>
      </c>
      <c r="P431" s="8"/>
      <c r="Q431" s="8">
        <v>613652</v>
      </c>
      <c r="R431" s="8"/>
      <c r="S431" s="8">
        <v>19147</v>
      </c>
      <c r="T431" s="8"/>
      <c r="U431" s="8">
        <v>818068</v>
      </c>
      <c r="V431" s="8"/>
      <c r="W431" s="8">
        <v>332295</v>
      </c>
      <c r="X431" s="8"/>
      <c r="Y431" s="8">
        <v>0</v>
      </c>
      <c r="Z431" s="8"/>
      <c r="AA431" s="8">
        <v>1149232</v>
      </c>
      <c r="AB431" s="8"/>
      <c r="AC431" s="8">
        <v>790969</v>
      </c>
      <c r="AD431" s="8"/>
      <c r="AE431" s="8">
        <v>2819</v>
      </c>
      <c r="AF431" s="8"/>
      <c r="AG431" s="12" t="s">
        <v>292</v>
      </c>
      <c r="AH431" s="12"/>
      <c r="AI431" s="12" t="s">
        <v>19</v>
      </c>
      <c r="AJ431" s="12"/>
      <c r="AK431" s="8">
        <v>548538</v>
      </c>
      <c r="AL431" s="8"/>
      <c r="AM431" s="8">
        <v>0</v>
      </c>
      <c r="AN431" s="8"/>
      <c r="AO431" s="8">
        <v>403102</v>
      </c>
      <c r="AP431" s="8"/>
      <c r="AQ431" s="8">
        <v>144540</v>
      </c>
      <c r="AR431" s="8"/>
      <c r="AS431" s="8"/>
      <c r="AT431" s="8"/>
      <c r="AU431" s="8">
        <v>0</v>
      </c>
      <c r="AV431" s="8"/>
      <c r="AW431" s="8">
        <f t="shared" si="21"/>
        <v>12680644</v>
      </c>
      <c r="AY431" s="8">
        <f>+'St of Activites - GA Rev'!AI434-'St of Activities - GA Exp'!AW431</f>
        <v>-303634</v>
      </c>
      <c r="BA431" s="8">
        <v>17981877</v>
      </c>
      <c r="BC431" s="8">
        <f t="shared" si="22"/>
        <v>17678243</v>
      </c>
      <c r="BE431" s="8">
        <f>+'St of Net Assets - GA'!AA433-'St of Activities - GA Exp'!BC431</f>
        <v>0</v>
      </c>
    </row>
    <row r="432" spans="1:57">
      <c r="A432" s="12" t="s">
        <v>904</v>
      </c>
      <c r="B432" s="12"/>
      <c r="C432" s="12" t="s">
        <v>77</v>
      </c>
      <c r="D432" s="12"/>
      <c r="E432" s="32">
        <v>46078</v>
      </c>
      <c r="G432" s="8">
        <v>5460868</v>
      </c>
      <c r="H432" s="8"/>
      <c r="I432" s="8">
        <v>1433748</v>
      </c>
      <c r="J432" s="8"/>
      <c r="K432" s="8">
        <v>638749</v>
      </c>
      <c r="L432" s="8"/>
      <c r="M432" s="8">
        <v>189663</v>
      </c>
      <c r="N432" s="8"/>
      <c r="O432" s="8">
        <v>381127</v>
      </c>
      <c r="P432" s="8"/>
      <c r="Q432" s="8">
        <v>900232</v>
      </c>
      <c r="R432" s="8"/>
      <c r="S432" s="8">
        <v>102734</v>
      </c>
      <c r="T432" s="8"/>
      <c r="U432" s="8">
        <v>903577</v>
      </c>
      <c r="V432" s="8"/>
      <c r="W432" s="8">
        <v>341767</v>
      </c>
      <c r="X432" s="8"/>
      <c r="Y432" s="8">
        <v>0</v>
      </c>
      <c r="Z432" s="8"/>
      <c r="AA432" s="8">
        <v>1222367</v>
      </c>
      <c r="AB432" s="8"/>
      <c r="AC432" s="8">
        <v>757663</v>
      </c>
      <c r="AD432" s="8"/>
      <c r="AE432" s="8">
        <v>77969</v>
      </c>
      <c r="AF432" s="8"/>
      <c r="AG432" s="12" t="s">
        <v>243</v>
      </c>
      <c r="AH432" s="12"/>
      <c r="AI432" s="12" t="s">
        <v>77</v>
      </c>
      <c r="AJ432" s="12"/>
      <c r="AK432" s="8">
        <v>671242</v>
      </c>
      <c r="AL432" s="8"/>
      <c r="AM432" s="8">
        <v>31113</v>
      </c>
      <c r="AN432" s="8"/>
      <c r="AO432" s="8">
        <v>310222</v>
      </c>
      <c r="AP432" s="8"/>
      <c r="AQ432" s="8">
        <v>239850</v>
      </c>
      <c r="AR432" s="8"/>
      <c r="AS432" s="8"/>
      <c r="AT432" s="8"/>
      <c r="AU432" s="8">
        <v>20114</v>
      </c>
      <c r="AV432" s="8"/>
      <c r="AW432" s="8">
        <f t="shared" si="21"/>
        <v>13683005</v>
      </c>
      <c r="AY432" s="8">
        <f>+'St of Activites - GA Rev'!AI435-'St of Activities - GA Exp'!AW432</f>
        <v>-916656</v>
      </c>
      <c r="BA432" s="8">
        <v>32208311</v>
      </c>
      <c r="BC432" s="8">
        <f t="shared" si="22"/>
        <v>31291655</v>
      </c>
      <c r="BE432" s="8">
        <f>+'St of Net Assets - GA'!AA434-'St of Activities - GA Exp'!BC432</f>
        <v>0</v>
      </c>
    </row>
    <row r="433" spans="1:59">
      <c r="A433" s="12" t="s">
        <v>730</v>
      </c>
      <c r="B433" s="12"/>
      <c r="C433" s="12" t="s">
        <v>71</v>
      </c>
      <c r="D433" s="12"/>
      <c r="E433" s="32">
        <v>45591</v>
      </c>
      <c r="G433" s="8">
        <v>4389728</v>
      </c>
      <c r="H433" s="8"/>
      <c r="I433" s="8">
        <v>942078</v>
      </c>
      <c r="J433" s="8"/>
      <c r="K433" s="8">
        <v>77553</v>
      </c>
      <c r="L433" s="8"/>
      <c r="M433" s="8">
        <v>70836</v>
      </c>
      <c r="N433" s="8"/>
      <c r="O433" s="8">
        <v>349644</v>
      </c>
      <c r="P433" s="8"/>
      <c r="Q433" s="8">
        <v>529055</v>
      </c>
      <c r="R433" s="8"/>
      <c r="S433" s="8">
        <v>69254</v>
      </c>
      <c r="T433" s="8"/>
      <c r="U433" s="8">
        <v>661464</v>
      </c>
      <c r="V433" s="8"/>
      <c r="W433" s="8">
        <v>325728</v>
      </c>
      <c r="X433" s="8"/>
      <c r="Y433" s="8">
        <v>0</v>
      </c>
      <c r="Z433" s="8"/>
      <c r="AA433" s="8">
        <v>941689</v>
      </c>
      <c r="AB433" s="8"/>
      <c r="AC433" s="8">
        <v>203970</v>
      </c>
      <c r="AD433" s="8"/>
      <c r="AE433" s="8">
        <v>0</v>
      </c>
      <c r="AF433" s="8"/>
      <c r="AG433" s="12" t="s">
        <v>730</v>
      </c>
      <c r="AH433" s="12"/>
      <c r="AI433" s="12" t="s">
        <v>71</v>
      </c>
      <c r="AJ433" s="12"/>
      <c r="AK433" s="8">
        <v>483389</v>
      </c>
      <c r="AL433" s="8"/>
      <c r="AM433" s="8">
        <v>0</v>
      </c>
      <c r="AN433" s="8"/>
      <c r="AO433" s="8">
        <v>141817</v>
      </c>
      <c r="AP433" s="8"/>
      <c r="AQ433" s="8">
        <v>312383</v>
      </c>
      <c r="AR433" s="8"/>
      <c r="AS433" s="8"/>
      <c r="AT433" s="8"/>
      <c r="AU433" s="8">
        <v>0</v>
      </c>
      <c r="AV433" s="8"/>
      <c r="AW433" s="8">
        <f t="shared" si="21"/>
        <v>9498588</v>
      </c>
      <c r="AY433" s="8">
        <f>+'St of Activites - GA Rev'!AI436-'St of Activities - GA Exp'!AW433</f>
        <v>1192450</v>
      </c>
      <c r="BA433" s="8">
        <v>3934204</v>
      </c>
      <c r="BC433" s="8">
        <f t="shared" si="22"/>
        <v>5126654</v>
      </c>
      <c r="BE433" s="8">
        <f>+'St of Net Assets - GA'!AA435-'St of Activities - GA Exp'!BC433</f>
        <v>0</v>
      </c>
    </row>
    <row r="434" spans="1:59">
      <c r="A434" s="12" t="s">
        <v>530</v>
      </c>
      <c r="B434" s="12"/>
      <c r="C434" s="12" t="s">
        <v>46</v>
      </c>
      <c r="D434" s="12"/>
      <c r="E434" s="32">
        <v>48447</v>
      </c>
      <c r="G434" s="8">
        <v>9906161</v>
      </c>
      <c r="H434" s="8"/>
      <c r="I434" s="8">
        <v>1361123</v>
      </c>
      <c r="J434" s="8"/>
      <c r="K434" s="8">
        <v>184675</v>
      </c>
      <c r="L434" s="8"/>
      <c r="M434" s="8">
        <v>0</v>
      </c>
      <c r="N434" s="8"/>
      <c r="O434" s="8">
        <v>450592</v>
      </c>
      <c r="P434" s="8"/>
      <c r="Q434" s="8">
        <v>779178</v>
      </c>
      <c r="R434" s="8"/>
      <c r="S434" s="8">
        <v>14481</v>
      </c>
      <c r="T434" s="8"/>
      <c r="U434" s="8">
        <v>1259473</v>
      </c>
      <c r="V434" s="8"/>
      <c r="W434" s="8">
        <v>494863</v>
      </c>
      <c r="X434" s="8"/>
      <c r="Y434" s="8">
        <v>29940</v>
      </c>
      <c r="Z434" s="8"/>
      <c r="AA434" s="8">
        <v>1396507</v>
      </c>
      <c r="AB434" s="8"/>
      <c r="AC434" s="8">
        <v>992674</v>
      </c>
      <c r="AD434" s="8"/>
      <c r="AE434" s="8">
        <v>37830</v>
      </c>
      <c r="AF434" s="8"/>
      <c r="AG434" s="12" t="s">
        <v>530</v>
      </c>
      <c r="AH434" s="12"/>
      <c r="AI434" s="12" t="s">
        <v>46</v>
      </c>
      <c r="AJ434" s="12"/>
      <c r="AK434" s="8">
        <v>0</v>
      </c>
      <c r="AL434" s="8"/>
      <c r="AM434" s="8">
        <v>821383</v>
      </c>
      <c r="AN434" s="8"/>
      <c r="AO434" s="8">
        <v>587975</v>
      </c>
      <c r="AP434" s="8"/>
      <c r="AQ434" s="8">
        <v>774780</v>
      </c>
      <c r="AR434" s="8"/>
      <c r="AS434" s="8"/>
      <c r="AT434" s="8"/>
      <c r="AU434" s="8">
        <v>0</v>
      </c>
      <c r="AV434" s="8"/>
      <c r="AW434" s="8">
        <f t="shared" si="21"/>
        <v>19091635</v>
      </c>
      <c r="AY434" s="8">
        <f>+'St of Activites - GA Rev'!AI437-'St of Activities - GA Exp'!AW434</f>
        <v>707106</v>
      </c>
      <c r="BA434" s="8">
        <v>33773244</v>
      </c>
      <c r="BC434" s="8">
        <f t="shared" si="22"/>
        <v>34480350</v>
      </c>
      <c r="BE434" s="8">
        <f>+'St of Net Assets - GA'!AA436-'St of Activities - GA Exp'!BC434</f>
        <v>0</v>
      </c>
    </row>
    <row r="435" spans="1:59">
      <c r="A435" s="12" t="s">
        <v>293</v>
      </c>
      <c r="B435" s="12"/>
      <c r="C435" s="12" t="s">
        <v>19</v>
      </c>
      <c r="D435" s="12"/>
      <c r="E435" s="32">
        <v>46482</v>
      </c>
      <c r="G435" s="8">
        <v>9019188</v>
      </c>
      <c r="H435" s="8"/>
      <c r="I435" s="8">
        <v>2349078</v>
      </c>
      <c r="J435" s="8"/>
      <c r="K435" s="8">
        <v>367480</v>
      </c>
      <c r="L435" s="8"/>
      <c r="M435" s="8">
        <v>0</v>
      </c>
      <c r="N435" s="8"/>
      <c r="O435" s="8">
        <v>798275</v>
      </c>
      <c r="P435" s="8"/>
      <c r="Q435" s="8">
        <v>1018933</v>
      </c>
      <c r="R435" s="8"/>
      <c r="S435" s="8">
        <v>47337</v>
      </c>
      <c r="T435" s="8"/>
      <c r="U435" s="8">
        <v>1408223</v>
      </c>
      <c r="V435" s="8"/>
      <c r="W435" s="8">
        <v>603781</v>
      </c>
      <c r="X435" s="8"/>
      <c r="Y435" s="8">
        <v>0</v>
      </c>
      <c r="Z435" s="8"/>
      <c r="AA435" s="8">
        <v>1754577</v>
      </c>
      <c r="AB435" s="8"/>
      <c r="AC435" s="8">
        <v>1601499</v>
      </c>
      <c r="AD435" s="8"/>
      <c r="AE435" s="8">
        <v>372754</v>
      </c>
      <c r="AF435" s="8"/>
      <c r="AG435" s="12" t="s">
        <v>293</v>
      </c>
      <c r="AH435" s="12"/>
      <c r="AI435" s="12" t="s">
        <v>19</v>
      </c>
      <c r="AJ435" s="12"/>
      <c r="AK435" s="8">
        <v>999251</v>
      </c>
      <c r="AL435" s="8"/>
      <c r="AM435" s="8">
        <v>0</v>
      </c>
      <c r="AN435" s="8"/>
      <c r="AO435" s="8">
        <v>403447</v>
      </c>
      <c r="AP435" s="8"/>
      <c r="AQ435" s="8">
        <v>102423</v>
      </c>
      <c r="AR435" s="8"/>
      <c r="AS435" s="8"/>
      <c r="AT435" s="8"/>
      <c r="AU435" s="8">
        <v>0</v>
      </c>
      <c r="AV435" s="8"/>
      <c r="AW435" s="8">
        <f t="shared" si="21"/>
        <v>20846246</v>
      </c>
      <c r="AY435" s="8">
        <f>+'St of Activites - GA Rev'!AI438-'St of Activities - GA Exp'!AW435</f>
        <v>2079142</v>
      </c>
      <c r="BA435" s="8">
        <v>8211074</v>
      </c>
      <c r="BC435" s="8">
        <f t="shared" si="22"/>
        <v>10290216</v>
      </c>
      <c r="BE435" s="8">
        <f>+'St of Net Assets - GA'!AA437-'St of Activities - GA Exp'!BC435</f>
        <v>0</v>
      </c>
    </row>
    <row r="436" spans="1:59">
      <c r="A436" s="12" t="s">
        <v>430</v>
      </c>
      <c r="B436" s="12"/>
      <c r="C436" s="12" t="s">
        <v>426</v>
      </c>
      <c r="D436" s="12"/>
      <c r="E436" s="32">
        <v>47514</v>
      </c>
      <c r="G436" s="8">
        <v>4931153</v>
      </c>
      <c r="H436" s="8"/>
      <c r="I436" s="8">
        <v>1064171</v>
      </c>
      <c r="J436" s="8"/>
      <c r="K436" s="8">
        <v>257291</v>
      </c>
      <c r="L436" s="8"/>
      <c r="M436" s="8">
        <v>741928</v>
      </c>
      <c r="N436" s="8"/>
      <c r="O436" s="8">
        <v>288306</v>
      </c>
      <c r="P436" s="8"/>
      <c r="Q436" s="8">
        <v>430784</v>
      </c>
      <c r="R436" s="8"/>
      <c r="S436" s="8">
        <v>89887</v>
      </c>
      <c r="T436" s="8"/>
      <c r="U436" s="8">
        <v>763494</v>
      </c>
      <c r="V436" s="8"/>
      <c r="W436" s="8">
        <v>227398</v>
      </c>
      <c r="X436" s="8"/>
      <c r="Y436" s="8">
        <v>31641</v>
      </c>
      <c r="Z436" s="8"/>
      <c r="AA436" s="8">
        <v>1093006</v>
      </c>
      <c r="AB436" s="8"/>
      <c r="AC436" s="8">
        <v>724781</v>
      </c>
      <c r="AD436" s="8"/>
      <c r="AE436" s="8">
        <v>41257</v>
      </c>
      <c r="AF436" s="8"/>
      <c r="AG436" s="12" t="s">
        <v>430</v>
      </c>
      <c r="AH436" s="12"/>
      <c r="AI436" s="12" t="s">
        <v>426</v>
      </c>
      <c r="AJ436" s="12"/>
      <c r="AK436" s="8">
        <v>0</v>
      </c>
      <c r="AL436" s="8"/>
      <c r="AM436" s="8">
        <v>394273</v>
      </c>
      <c r="AN436" s="8"/>
      <c r="AO436" s="8">
        <v>346336</v>
      </c>
      <c r="AP436" s="8"/>
      <c r="AQ436" s="8">
        <v>240902</v>
      </c>
      <c r="AR436" s="8"/>
      <c r="AS436" s="8"/>
      <c r="AT436" s="8"/>
      <c r="AU436" s="8">
        <v>64863</v>
      </c>
      <c r="AV436" s="8"/>
      <c r="AW436" s="8">
        <f t="shared" si="21"/>
        <v>11731471</v>
      </c>
      <c r="AY436" s="8">
        <f>+'St of Activites - GA Rev'!AI439-'St of Activities - GA Exp'!AW436</f>
        <v>-735632</v>
      </c>
      <c r="BA436" s="8">
        <v>20034648</v>
      </c>
      <c r="BC436" s="8">
        <f t="shared" si="22"/>
        <v>19299016</v>
      </c>
      <c r="BE436" s="8">
        <f>+'St of Net Assets - GA'!AA438-'St of Activities - GA Exp'!BC436</f>
        <v>0</v>
      </c>
    </row>
    <row r="437" spans="1:59">
      <c r="A437" s="12" t="s">
        <v>488</v>
      </c>
      <c r="B437" s="12"/>
      <c r="C437" s="12" t="s">
        <v>41</v>
      </c>
      <c r="D437" s="12"/>
      <c r="E437" s="32"/>
      <c r="G437" s="8">
        <v>18507422</v>
      </c>
      <c r="H437" s="8"/>
      <c r="I437" s="8">
        <v>3365994</v>
      </c>
      <c r="J437" s="8"/>
      <c r="K437" s="8">
        <v>0</v>
      </c>
      <c r="L437" s="8"/>
      <c r="M437" s="8">
        <v>642088</v>
      </c>
      <c r="N437" s="8"/>
      <c r="O437" s="8">
        <v>1902737</v>
      </c>
      <c r="P437" s="8"/>
      <c r="Q437" s="8">
        <v>1766595</v>
      </c>
      <c r="R437" s="8"/>
      <c r="S437" s="8">
        <v>21539</v>
      </c>
      <c r="T437" s="8"/>
      <c r="U437" s="8">
        <v>4575606</v>
      </c>
      <c r="V437" s="8"/>
      <c r="W437" s="8">
        <v>1057003</v>
      </c>
      <c r="X437" s="8"/>
      <c r="Y437" s="8">
        <v>107145</v>
      </c>
      <c r="Z437" s="8"/>
      <c r="AA437" s="8">
        <v>5498487</v>
      </c>
      <c r="AB437" s="8"/>
      <c r="AC437" s="8">
        <v>5268827</v>
      </c>
      <c r="AD437" s="8"/>
      <c r="AE437" s="8">
        <v>64587</v>
      </c>
      <c r="AF437" s="8"/>
      <c r="AG437" s="12" t="s">
        <v>488</v>
      </c>
      <c r="AH437" s="12"/>
      <c r="AI437" s="12" t="s">
        <v>41</v>
      </c>
      <c r="AJ437" s="12"/>
      <c r="AK437" s="8">
        <v>0</v>
      </c>
      <c r="AL437" s="8"/>
      <c r="AM437" s="8">
        <v>105980</v>
      </c>
      <c r="AN437" s="8"/>
      <c r="AO437" s="8">
        <v>835324</v>
      </c>
      <c r="AP437" s="8"/>
      <c r="AQ437" s="8">
        <v>277019</v>
      </c>
      <c r="AR437" s="8"/>
      <c r="AS437" s="8"/>
      <c r="AT437" s="8"/>
      <c r="AU437" s="8">
        <v>0</v>
      </c>
      <c r="AV437" s="8"/>
      <c r="AW437" s="8">
        <f t="shared" si="21"/>
        <v>43996353</v>
      </c>
      <c r="AY437" s="8">
        <f>+'St of Activites - GA Rev'!AI440-'St of Activities - GA Exp'!AW437</f>
        <v>838637</v>
      </c>
      <c r="BA437" s="8">
        <v>15875590</v>
      </c>
      <c r="BC437" s="8">
        <f t="shared" si="22"/>
        <v>16714227</v>
      </c>
      <c r="BE437" s="8">
        <f>+'St of Net Assets - GA'!AA439-'St of Activities - GA Exp'!BC437</f>
        <v>0</v>
      </c>
    </row>
    <row r="438" spans="1:59">
      <c r="A438" s="12" t="s">
        <v>488</v>
      </c>
      <c r="B438" s="12"/>
      <c r="C438" s="12" t="s">
        <v>43</v>
      </c>
      <c r="D438" s="12"/>
      <c r="E438" s="32">
        <v>48090</v>
      </c>
      <c r="G438" s="8">
        <v>3785039</v>
      </c>
      <c r="H438" s="8"/>
      <c r="I438" s="8">
        <v>735294</v>
      </c>
      <c r="J438" s="8"/>
      <c r="K438" s="8">
        <v>128385</v>
      </c>
      <c r="L438" s="8"/>
      <c r="M438" s="8">
        <v>0</v>
      </c>
      <c r="N438" s="8"/>
      <c r="O438" s="8">
        <v>208292</v>
      </c>
      <c r="P438" s="8"/>
      <c r="Q438" s="8">
        <v>563725</v>
      </c>
      <c r="R438" s="8"/>
      <c r="S438" s="8">
        <v>18421</v>
      </c>
      <c r="T438" s="8"/>
      <c r="U438" s="8">
        <v>616931</v>
      </c>
      <c r="V438" s="8"/>
      <c r="W438" s="8">
        <v>246770</v>
      </c>
      <c r="X438" s="8"/>
      <c r="Y438" s="8">
        <v>15455</v>
      </c>
      <c r="Z438" s="8"/>
      <c r="AA438" s="8">
        <v>872335</v>
      </c>
      <c r="AB438" s="8"/>
      <c r="AC438" s="8">
        <v>460998</v>
      </c>
      <c r="AD438" s="8"/>
      <c r="AE438" s="8">
        <v>42016</v>
      </c>
      <c r="AF438" s="8"/>
      <c r="AG438" s="12" t="s">
        <v>488</v>
      </c>
      <c r="AH438" s="12"/>
      <c r="AI438" s="12" t="s">
        <v>43</v>
      </c>
      <c r="AJ438" s="12"/>
      <c r="AK438" s="8">
        <v>368172</v>
      </c>
      <c r="AL438" s="8"/>
      <c r="AM438" s="8">
        <v>0</v>
      </c>
      <c r="AN438" s="8"/>
      <c r="AO438" s="8">
        <v>328740</v>
      </c>
      <c r="AP438" s="8"/>
      <c r="AQ438" s="8">
        <v>115513</v>
      </c>
      <c r="AR438" s="8"/>
      <c r="AS438" s="8"/>
      <c r="AT438" s="8"/>
      <c r="AU438" s="8">
        <v>0</v>
      </c>
      <c r="AV438" s="8"/>
      <c r="AW438" s="8">
        <f t="shared" si="21"/>
        <v>8506086</v>
      </c>
      <c r="AY438" s="8">
        <f>+'St of Activites - GA Rev'!AI441-'St of Activities - GA Exp'!AW438</f>
        <v>-953317</v>
      </c>
      <c r="BA438" s="8">
        <v>12165953</v>
      </c>
      <c r="BC438" s="8">
        <f t="shared" si="22"/>
        <v>11212636</v>
      </c>
      <c r="BE438" s="8">
        <f>+'St of Net Assets - GA'!AA440-'St of Activities - GA Exp'!BC438</f>
        <v>0</v>
      </c>
    </row>
    <row r="439" spans="1:59">
      <c r="A439" s="12" t="s">
        <v>475</v>
      </c>
      <c r="B439" s="12"/>
      <c r="C439" s="12" t="s">
        <v>471</v>
      </c>
      <c r="D439" s="12"/>
      <c r="E439" s="32">
        <v>47944</v>
      </c>
      <c r="G439" s="8">
        <v>8690972</v>
      </c>
      <c r="H439" s="8"/>
      <c r="I439" s="8">
        <v>3032615</v>
      </c>
      <c r="J439" s="8"/>
      <c r="K439" s="8">
        <v>257332</v>
      </c>
      <c r="L439" s="8"/>
      <c r="M439" s="8">
        <v>0</v>
      </c>
      <c r="N439" s="8"/>
      <c r="O439" s="8">
        <v>500070</v>
      </c>
      <c r="P439" s="8"/>
      <c r="Q439" s="8">
        <v>692759</v>
      </c>
      <c r="R439" s="8"/>
      <c r="S439" s="8">
        <v>199270</v>
      </c>
      <c r="T439" s="8"/>
      <c r="U439" s="8">
        <v>1449476</v>
      </c>
      <c r="V439" s="8"/>
      <c r="W439" s="8">
        <v>358562</v>
      </c>
      <c r="X439" s="8"/>
      <c r="Y439" s="8">
        <v>0</v>
      </c>
      <c r="Z439" s="8"/>
      <c r="AA439" s="8">
        <v>3105046</v>
      </c>
      <c r="AB439" s="8"/>
      <c r="AC439" s="8">
        <v>1454584</v>
      </c>
      <c r="AD439" s="8"/>
      <c r="AE439" s="8">
        <v>60480</v>
      </c>
      <c r="AF439" s="8"/>
      <c r="AG439" s="12" t="s">
        <v>475</v>
      </c>
      <c r="AH439" s="12"/>
      <c r="AI439" s="12" t="s">
        <v>471</v>
      </c>
      <c r="AJ439" s="12"/>
      <c r="AK439" s="8">
        <v>1400812</v>
      </c>
      <c r="AL439" s="8"/>
      <c r="AM439" s="8">
        <v>0</v>
      </c>
      <c r="AN439" s="8"/>
      <c r="AO439" s="8">
        <v>552000</v>
      </c>
      <c r="AP439" s="8"/>
      <c r="AQ439" s="8">
        <v>0</v>
      </c>
      <c r="AR439" s="8"/>
      <c r="AS439" s="8"/>
      <c r="AT439" s="8"/>
      <c r="AU439" s="8">
        <v>0</v>
      </c>
      <c r="AV439" s="8"/>
      <c r="AW439" s="8">
        <f t="shared" si="21"/>
        <v>21753978</v>
      </c>
      <c r="AY439" s="8">
        <f>+'St of Activites - GA Rev'!AI442-'St of Activities - GA Exp'!AW439</f>
        <v>-1954860</v>
      </c>
      <c r="BA439" s="8">
        <v>49212926</v>
      </c>
      <c r="BC439" s="8">
        <f t="shared" si="22"/>
        <v>47258066</v>
      </c>
      <c r="BE439" s="8">
        <f>+'St of Net Assets - GA'!AA441-'St of Activities - GA Exp'!BC439</f>
        <v>0</v>
      </c>
    </row>
    <row r="440" spans="1:59" ht="12" customHeight="1">
      <c r="A440" s="12" t="s">
        <v>323</v>
      </c>
      <c r="B440" s="12"/>
      <c r="C440" s="12" t="s">
        <v>20</v>
      </c>
      <c r="D440" s="12"/>
      <c r="E440" s="32">
        <v>44701</v>
      </c>
      <c r="G440" s="8">
        <v>14048703</v>
      </c>
      <c r="H440" s="8"/>
      <c r="I440" s="8">
        <v>3770618</v>
      </c>
      <c r="J440" s="8"/>
      <c r="K440" s="8">
        <v>399058</v>
      </c>
      <c r="L440" s="8"/>
      <c r="M440" s="8">
        <v>28267</v>
      </c>
      <c r="N440" s="8"/>
      <c r="O440" s="8">
        <v>1943987</v>
      </c>
      <c r="P440" s="8"/>
      <c r="Q440" s="8">
        <v>788700</v>
      </c>
      <c r="R440" s="8"/>
      <c r="S440" s="8">
        <v>34638</v>
      </c>
      <c r="T440" s="8"/>
      <c r="U440" s="8">
        <v>2164910</v>
      </c>
      <c r="V440" s="8"/>
      <c r="W440" s="8">
        <v>744376</v>
      </c>
      <c r="X440" s="8"/>
      <c r="Y440" s="8">
        <v>462862</v>
      </c>
      <c r="Z440" s="8"/>
      <c r="AA440" s="8">
        <v>3421446</v>
      </c>
      <c r="AB440" s="8"/>
      <c r="AC440" s="8">
        <v>1605161</v>
      </c>
      <c r="AD440" s="8"/>
      <c r="AE440" s="8">
        <v>743091</v>
      </c>
      <c r="AF440" s="8"/>
      <c r="AG440" s="12" t="s">
        <v>323</v>
      </c>
      <c r="AH440" s="12"/>
      <c r="AI440" s="12" t="s">
        <v>20</v>
      </c>
      <c r="AJ440" s="12"/>
      <c r="AK440" s="8">
        <v>0</v>
      </c>
      <c r="AL440" s="8"/>
      <c r="AM440" s="8">
        <v>166761</v>
      </c>
      <c r="AN440" s="8"/>
      <c r="AO440" s="8">
        <v>1116630</v>
      </c>
      <c r="AP440" s="8"/>
      <c r="AQ440" s="8">
        <v>1229402</v>
      </c>
      <c r="AR440" s="8"/>
      <c r="AS440" s="8"/>
      <c r="AT440" s="8"/>
      <c r="AU440" s="8">
        <v>1409879</v>
      </c>
      <c r="AV440" s="8"/>
      <c r="AW440" s="8">
        <f t="shared" si="21"/>
        <v>34078489</v>
      </c>
      <c r="AY440" s="8">
        <f>+'St of Activites - GA Rev'!AI443-'St of Activities - GA Exp'!AW440</f>
        <v>361052</v>
      </c>
      <c r="BA440" s="8">
        <v>7778439</v>
      </c>
      <c r="BC440" s="8">
        <f t="shared" si="22"/>
        <v>8139491</v>
      </c>
      <c r="BE440" s="8">
        <f>+'St of Net Assets - GA'!AA442-'St of Activities - GA Exp'!BC440</f>
        <v>0</v>
      </c>
    </row>
    <row r="441" spans="1:59" ht="12" customHeight="1">
      <c r="A441" s="12" t="s">
        <v>395</v>
      </c>
      <c r="B441" s="12"/>
      <c r="C441" s="12" t="s">
        <v>31</v>
      </c>
      <c r="D441" s="12"/>
      <c r="E441" s="32">
        <v>47308</v>
      </c>
      <c r="G441" s="8">
        <v>8516398</v>
      </c>
      <c r="H441" s="8"/>
      <c r="I441" s="8">
        <v>1951525</v>
      </c>
      <c r="J441" s="8"/>
      <c r="K441" s="8">
        <v>351231</v>
      </c>
      <c r="L441" s="8"/>
      <c r="M441" s="8">
        <v>0</v>
      </c>
      <c r="N441" s="8"/>
      <c r="O441" s="8">
        <v>668812</v>
      </c>
      <c r="P441" s="8"/>
      <c r="Q441" s="8">
        <v>1126208</v>
      </c>
      <c r="R441" s="8"/>
      <c r="S441" s="8">
        <v>28620</v>
      </c>
      <c r="T441" s="8"/>
      <c r="U441" s="8">
        <v>1384883</v>
      </c>
      <c r="V441" s="8"/>
      <c r="W441" s="8">
        <v>552652</v>
      </c>
      <c r="X441" s="8"/>
      <c r="Y441" s="8">
        <v>0</v>
      </c>
      <c r="Z441" s="8"/>
      <c r="AA441" s="8">
        <v>1683657</v>
      </c>
      <c r="AB441" s="8"/>
      <c r="AC441" s="8">
        <v>923010</v>
      </c>
      <c r="AD441" s="8"/>
      <c r="AE441" s="8">
        <v>29362</v>
      </c>
      <c r="AF441" s="8"/>
      <c r="AG441" s="12" t="s">
        <v>395</v>
      </c>
      <c r="AH441" s="12"/>
      <c r="AI441" s="12" t="s">
        <v>31</v>
      </c>
      <c r="AJ441" s="12"/>
      <c r="AK441" s="8">
        <v>991995</v>
      </c>
      <c r="AL441" s="8"/>
      <c r="AM441" s="8">
        <v>9905</v>
      </c>
      <c r="AN441" s="8"/>
      <c r="AO441" s="8">
        <v>260924</v>
      </c>
      <c r="AP441" s="8"/>
      <c r="AQ441" s="8">
        <v>41555</v>
      </c>
      <c r="AR441" s="8"/>
      <c r="AS441" s="8"/>
      <c r="AT441" s="8"/>
      <c r="AU441" s="8">
        <v>0</v>
      </c>
      <c r="AV441" s="8"/>
      <c r="AW441" s="8">
        <f t="shared" si="21"/>
        <v>18520737</v>
      </c>
      <c r="AY441" s="8">
        <f>+'St of Activites - GA Rev'!AI444-'St of Activities - GA Exp'!AW441</f>
        <v>337446</v>
      </c>
      <c r="BA441" s="8">
        <v>13619560</v>
      </c>
      <c r="BC441" s="8">
        <f t="shared" si="22"/>
        <v>13957006</v>
      </c>
      <c r="BE441" s="8">
        <f>+'St of Net Assets - GA'!AA443-'St of Activities - GA Exp'!BC441</f>
        <v>0</v>
      </c>
    </row>
    <row r="442" spans="1:59" ht="12" customHeight="1">
      <c r="A442" s="12" t="s">
        <v>600</v>
      </c>
      <c r="B442" s="12"/>
      <c r="C442" s="12" t="s">
        <v>56</v>
      </c>
      <c r="D442" s="12"/>
      <c r="E442" s="32">
        <v>49213</v>
      </c>
      <c r="G442" s="8">
        <v>5613856</v>
      </c>
      <c r="H442" s="8"/>
      <c r="I442" s="8">
        <v>1186499</v>
      </c>
      <c r="J442" s="8"/>
      <c r="K442" s="8">
        <v>337227</v>
      </c>
      <c r="L442" s="8"/>
      <c r="M442" s="8">
        <v>558119</v>
      </c>
      <c r="N442" s="8"/>
      <c r="O442" s="8">
        <v>502507</v>
      </c>
      <c r="P442" s="8"/>
      <c r="Q442" s="8">
        <v>373144</v>
      </c>
      <c r="R442" s="8"/>
      <c r="S442" s="8">
        <v>25833</v>
      </c>
      <c r="T442" s="8"/>
      <c r="U442" s="8">
        <v>790997</v>
      </c>
      <c r="V442" s="8"/>
      <c r="W442" s="8">
        <v>341888</v>
      </c>
      <c r="X442" s="8"/>
      <c r="Y442" s="8">
        <v>10854</v>
      </c>
      <c r="Z442" s="8"/>
      <c r="AA442" s="8">
        <v>1029956</v>
      </c>
      <c r="AB442" s="8"/>
      <c r="AC442" s="8">
        <v>763361</v>
      </c>
      <c r="AD442" s="8"/>
      <c r="AE442" s="8">
        <v>17363</v>
      </c>
      <c r="AF442" s="8"/>
      <c r="AG442" s="12" t="s">
        <v>600</v>
      </c>
      <c r="AH442" s="12"/>
      <c r="AI442" s="12" t="s">
        <v>56</v>
      </c>
      <c r="AJ442" s="12"/>
      <c r="AK442" s="8">
        <v>343211</v>
      </c>
      <c r="AL442" s="8"/>
      <c r="AM442" s="8">
        <v>22088</v>
      </c>
      <c r="AN442" s="8"/>
      <c r="AO442" s="8">
        <v>322398</v>
      </c>
      <c r="AP442" s="8"/>
      <c r="AQ442" s="8">
        <v>22113</v>
      </c>
      <c r="AR442" s="8"/>
      <c r="AS442" s="8"/>
      <c r="AT442" s="8"/>
      <c r="AU442" s="8">
        <v>27155</v>
      </c>
      <c r="AV442" s="8"/>
      <c r="AW442" s="8">
        <f t="shared" si="21"/>
        <v>12288569</v>
      </c>
      <c r="AY442" s="8">
        <f>+'St of Activites - GA Rev'!AI445-'St of Activities - GA Exp'!AW442</f>
        <v>-431976</v>
      </c>
      <c r="BA442" s="8">
        <v>1719149</v>
      </c>
      <c r="BC442" s="8">
        <f t="shared" si="22"/>
        <v>1287173</v>
      </c>
      <c r="BE442" s="8">
        <f>+'St of Net Assets - GA'!AA444-'St of Activities - GA Exp'!BC442</f>
        <v>0</v>
      </c>
    </row>
    <row r="443" spans="1:59" ht="12" customHeight="1">
      <c r="A443" s="12" t="s">
        <v>254</v>
      </c>
      <c r="B443" s="12"/>
      <c r="C443" s="12" t="s">
        <v>246</v>
      </c>
      <c r="D443" s="12"/>
      <c r="E443" s="32">
        <v>46144</v>
      </c>
      <c r="G443" s="8">
        <v>11085096</v>
      </c>
      <c r="H443" s="8"/>
      <c r="I443" s="8">
        <v>1881815</v>
      </c>
      <c r="J443" s="8"/>
      <c r="K443" s="8">
        <v>0</v>
      </c>
      <c r="L443" s="8"/>
      <c r="M443" s="8">
        <f>1173+222898</f>
        <v>224071</v>
      </c>
      <c r="N443" s="8"/>
      <c r="O443" s="8">
        <v>1028579</v>
      </c>
      <c r="P443" s="8"/>
      <c r="Q443" s="8">
        <v>1432129</v>
      </c>
      <c r="R443" s="8"/>
      <c r="S443" s="8">
        <v>51828</v>
      </c>
      <c r="T443" s="8"/>
      <c r="U443" s="8">
        <v>1922777</v>
      </c>
      <c r="V443" s="8"/>
      <c r="W443" s="8">
        <v>668717</v>
      </c>
      <c r="X443" s="8"/>
      <c r="Y443" s="8">
        <v>0</v>
      </c>
      <c r="Z443" s="8"/>
      <c r="AA443" s="8">
        <v>2828484</v>
      </c>
      <c r="AB443" s="8"/>
      <c r="AC443" s="8">
        <v>2097136</v>
      </c>
      <c r="AD443" s="8"/>
      <c r="AE443" s="8">
        <v>33898</v>
      </c>
      <c r="AF443" s="8"/>
      <c r="AG443" s="12" t="s">
        <v>254</v>
      </c>
      <c r="AH443" s="12"/>
      <c r="AI443" s="12" t="s">
        <v>246</v>
      </c>
      <c r="AJ443" s="12"/>
      <c r="AK443" s="8">
        <v>1013382</v>
      </c>
      <c r="AL443" s="8"/>
      <c r="AM443" s="8">
        <v>0</v>
      </c>
      <c r="AN443" s="8"/>
      <c r="AO443" s="8">
        <f>904121+192002</f>
        <v>1096123</v>
      </c>
      <c r="AP443" s="8"/>
      <c r="AQ443" s="8">
        <v>928810</v>
      </c>
      <c r="AR443" s="8"/>
      <c r="AS443" s="8"/>
      <c r="AT443" s="8"/>
      <c r="AU443" s="8">
        <v>0</v>
      </c>
      <c r="AV443" s="8"/>
      <c r="AW443" s="8">
        <f t="shared" si="21"/>
        <v>26292845</v>
      </c>
      <c r="AY443" s="8">
        <f>+'St of Activites - GA Rev'!AI446-'St of Activities - GA Exp'!AW443</f>
        <v>644426</v>
      </c>
      <c r="BA443" s="8">
        <v>16802887</v>
      </c>
      <c r="BC443" s="8">
        <f t="shared" si="22"/>
        <v>17447313</v>
      </c>
      <c r="BE443" s="8">
        <f>+'St of Net Assets - GA'!AA445-'St of Activities - GA Exp'!BC443</f>
        <v>0</v>
      </c>
      <c r="BG443" s="47"/>
    </row>
    <row r="444" spans="1:59" ht="12" customHeight="1">
      <c r="A444" s="12" t="s">
        <v>745</v>
      </c>
      <c r="B444" s="12"/>
      <c r="C444" s="12" t="s">
        <v>72</v>
      </c>
      <c r="D444" s="12"/>
      <c r="E444" s="32">
        <v>45609</v>
      </c>
      <c r="G444" s="8">
        <v>10595140</v>
      </c>
      <c r="H444" s="8"/>
      <c r="I444" s="8">
        <v>2295071</v>
      </c>
      <c r="J444" s="8"/>
      <c r="K444" s="8">
        <v>252364</v>
      </c>
      <c r="L444" s="8"/>
      <c r="M444" s="8">
        <v>23675</v>
      </c>
      <c r="N444" s="8"/>
      <c r="O444" s="8">
        <v>1798557</v>
      </c>
      <c r="P444" s="8"/>
      <c r="Q444" s="8">
        <v>1156014</v>
      </c>
      <c r="R444" s="8"/>
      <c r="S444" s="8">
        <v>57706</v>
      </c>
      <c r="T444" s="8"/>
      <c r="U444" s="8">
        <v>1879921</v>
      </c>
      <c r="V444" s="8"/>
      <c r="W444" s="8">
        <v>511812</v>
      </c>
      <c r="X444" s="8"/>
      <c r="Y444" s="8">
        <v>115638</v>
      </c>
      <c r="Z444" s="8"/>
      <c r="AA444" s="8">
        <v>2891701</v>
      </c>
      <c r="AB444" s="8"/>
      <c r="AC444" s="8">
        <v>917022</v>
      </c>
      <c r="AD444" s="8"/>
      <c r="AE444" s="8">
        <v>473349</v>
      </c>
      <c r="AF444" s="8"/>
      <c r="AG444" s="12" t="s">
        <v>745</v>
      </c>
      <c r="AH444" s="12"/>
      <c r="AI444" s="12" t="s">
        <v>72</v>
      </c>
      <c r="AJ444" s="12"/>
      <c r="AK444" s="8">
        <v>0</v>
      </c>
      <c r="AL444" s="8"/>
      <c r="AM444" s="8">
        <v>967146</v>
      </c>
      <c r="AN444" s="8"/>
      <c r="AO444" s="8">
        <v>717946</v>
      </c>
      <c r="AP444" s="8"/>
      <c r="AQ444" s="8">
        <v>0</v>
      </c>
      <c r="AR444" s="8"/>
      <c r="AS444" s="8"/>
      <c r="AT444" s="8"/>
      <c r="AU444" s="8">
        <v>5177</v>
      </c>
      <c r="AV444" s="8"/>
      <c r="AW444" s="8">
        <f t="shared" si="21"/>
        <v>24658239</v>
      </c>
      <c r="AY444" s="8">
        <f>+'St of Activites - GA Rev'!AI447-'St of Activities - GA Exp'!AW444</f>
        <v>-1730365</v>
      </c>
      <c r="BA444" s="8">
        <v>42234845</v>
      </c>
      <c r="BC444" s="8">
        <f t="shared" si="22"/>
        <v>40504480</v>
      </c>
      <c r="BE444" s="8">
        <f>+'St of Net Assets - GA'!AA446-'St of Activities - GA Exp'!BC444</f>
        <v>0</v>
      </c>
    </row>
    <row r="445" spans="1:59" ht="12" customHeight="1">
      <c r="A445" s="12" t="s">
        <v>651</v>
      </c>
      <c r="B445" s="12"/>
      <c r="C445" s="12" t="s">
        <v>61</v>
      </c>
      <c r="D445" s="12"/>
      <c r="E445" s="32">
        <v>49817</v>
      </c>
      <c r="G445" s="8">
        <v>2000111</v>
      </c>
      <c r="H445" s="8"/>
      <c r="I445" s="8">
        <v>527599</v>
      </c>
      <c r="J445" s="8"/>
      <c r="K445" s="8">
        <v>1662</v>
      </c>
      <c r="L445" s="8"/>
      <c r="M445" s="8">
        <v>9738</v>
      </c>
      <c r="N445" s="8"/>
      <c r="O445" s="8">
        <v>90379</v>
      </c>
      <c r="P445" s="8"/>
      <c r="Q445" s="8">
        <v>118403</v>
      </c>
      <c r="R445" s="8"/>
      <c r="S445" s="8">
        <v>9672</v>
      </c>
      <c r="T445" s="8"/>
      <c r="U445" s="8">
        <v>339306</v>
      </c>
      <c r="V445" s="8"/>
      <c r="W445" s="8">
        <v>135645</v>
      </c>
      <c r="X445" s="8"/>
      <c r="Y445" s="8">
        <v>935</v>
      </c>
      <c r="Z445" s="8"/>
      <c r="AA445" s="8">
        <v>401495</v>
      </c>
      <c r="AB445" s="8"/>
      <c r="AC445" s="8">
        <v>174449</v>
      </c>
      <c r="AD445" s="8"/>
      <c r="AE445" s="8">
        <v>122033</v>
      </c>
      <c r="AF445" s="8"/>
      <c r="AG445" s="12" t="s">
        <v>651</v>
      </c>
      <c r="AH445" s="12"/>
      <c r="AI445" s="12" t="s">
        <v>61</v>
      </c>
      <c r="AJ445" s="12"/>
      <c r="AK445" s="8">
        <v>0</v>
      </c>
      <c r="AL445" s="8"/>
      <c r="AM445" s="8">
        <v>152868</v>
      </c>
      <c r="AN445" s="8"/>
      <c r="AO445" s="8">
        <v>196590</v>
      </c>
      <c r="AP445" s="8"/>
      <c r="AQ445" s="8">
        <v>207687</v>
      </c>
      <c r="AR445" s="8"/>
      <c r="AS445" s="8"/>
      <c r="AT445" s="8"/>
      <c r="AU445" s="8">
        <v>0</v>
      </c>
      <c r="AV445" s="8"/>
      <c r="AW445" s="8">
        <f t="shared" si="21"/>
        <v>4488572</v>
      </c>
      <c r="AY445" s="8">
        <f>+'St of Activites - GA Rev'!AI448-'St of Activities - GA Exp'!AW445</f>
        <v>131280</v>
      </c>
      <c r="BA445" s="8">
        <v>2892981</v>
      </c>
      <c r="BC445" s="8">
        <f t="shared" si="22"/>
        <v>3024261</v>
      </c>
      <c r="BE445" s="8">
        <f>+'St of Net Assets - GA'!AA447-'St of Activities - GA Exp'!BC445</f>
        <v>0</v>
      </c>
    </row>
    <row r="446" spans="1:59">
      <c r="A446" s="12" t="s">
        <v>839</v>
      </c>
      <c r="B446" s="12"/>
      <c r="C446" s="12" t="s">
        <v>115</v>
      </c>
      <c r="D446" s="12"/>
      <c r="E446" s="32"/>
      <c r="G446" s="8">
        <v>7404781</v>
      </c>
      <c r="H446" s="8"/>
      <c r="I446" s="8">
        <v>2569610</v>
      </c>
      <c r="J446" s="8"/>
      <c r="K446" s="8">
        <v>486675</v>
      </c>
      <c r="L446" s="8"/>
      <c r="M446" s="8">
        <f>546896+1672538</f>
        <v>2219434</v>
      </c>
      <c r="N446" s="8"/>
      <c r="O446" s="8">
        <v>872806</v>
      </c>
      <c r="P446" s="8"/>
      <c r="Q446" s="8">
        <v>507551</v>
      </c>
      <c r="R446" s="8"/>
      <c r="S446" s="8">
        <v>20060</v>
      </c>
      <c r="T446" s="8"/>
      <c r="U446" s="8">
        <v>1389911</v>
      </c>
      <c r="V446" s="8"/>
      <c r="W446" s="8">
        <v>663543</v>
      </c>
      <c r="X446" s="8"/>
      <c r="Y446" s="8">
        <v>11794</v>
      </c>
      <c r="Z446" s="8"/>
      <c r="AA446" s="8">
        <v>2041266</v>
      </c>
      <c r="AB446" s="8"/>
      <c r="AC446" s="8">
        <v>730397</v>
      </c>
      <c r="AD446" s="8"/>
      <c r="AE446" s="8">
        <v>211038</v>
      </c>
      <c r="AF446" s="8"/>
      <c r="AG446" s="12" t="s">
        <v>839</v>
      </c>
      <c r="AH446" s="12"/>
      <c r="AI446" s="12" t="s">
        <v>115</v>
      </c>
      <c r="AJ446" s="12"/>
      <c r="AK446" s="8">
        <v>589363</v>
      </c>
      <c r="AL446" s="8"/>
      <c r="AM446" s="8">
        <v>42955</v>
      </c>
      <c r="AN446" s="8"/>
      <c r="AO446" s="8">
        <v>607122</v>
      </c>
      <c r="AP446" s="8"/>
      <c r="AQ446" s="8">
        <v>46334</v>
      </c>
      <c r="AR446" s="8"/>
      <c r="AS446" s="8"/>
      <c r="AT446" s="8"/>
      <c r="AU446" s="8">
        <v>94585</v>
      </c>
      <c r="AV446" s="8"/>
      <c r="AW446" s="8">
        <f t="shared" si="21"/>
        <v>20509225</v>
      </c>
      <c r="AY446" s="8">
        <f>+'St of Activites - GA Rev'!AI449-'St of Activities - GA Exp'!AW446</f>
        <v>2284710</v>
      </c>
      <c r="BA446" s="8">
        <v>2868727</v>
      </c>
      <c r="BC446" s="8">
        <f t="shared" si="22"/>
        <v>5153437</v>
      </c>
      <c r="BE446" s="8">
        <f>+'St of Net Assets - GA'!AA448-'St of Activities - GA Exp'!BC446</f>
        <v>0</v>
      </c>
    </row>
    <row r="447" spans="1:59">
      <c r="A447" s="12" t="s">
        <v>345</v>
      </c>
      <c r="B447" s="12"/>
      <c r="C447" s="12" t="s">
        <v>24</v>
      </c>
      <c r="D447" s="12"/>
      <c r="E447" s="32">
        <v>44743</v>
      </c>
      <c r="G447" s="8">
        <v>16539596</v>
      </c>
      <c r="H447" s="8"/>
      <c r="I447" s="8">
        <v>8625588</v>
      </c>
      <c r="J447" s="8"/>
      <c r="K447" s="8">
        <v>1665386</v>
      </c>
      <c r="L447" s="8"/>
      <c r="M447" s="8">
        <f>1194029+356416</f>
        <v>1550445</v>
      </c>
      <c r="N447" s="8"/>
      <c r="O447" s="8">
        <v>1966662</v>
      </c>
      <c r="P447" s="8"/>
      <c r="Q447" s="8">
        <v>2345780</v>
      </c>
      <c r="R447" s="8"/>
      <c r="S447" s="8">
        <v>225384</v>
      </c>
      <c r="T447" s="8"/>
      <c r="U447" s="8">
        <v>3260728</v>
      </c>
      <c r="V447" s="8"/>
      <c r="W447" s="8">
        <v>827379</v>
      </c>
      <c r="X447" s="8"/>
      <c r="Y447" s="8">
        <v>167861</v>
      </c>
      <c r="Z447" s="8"/>
      <c r="AA447" s="8">
        <v>4266515</v>
      </c>
      <c r="AB447" s="8"/>
      <c r="AC447" s="8">
        <v>1605498</v>
      </c>
      <c r="AD447" s="8"/>
      <c r="AE447" s="8">
        <v>869701</v>
      </c>
      <c r="AF447" s="8"/>
      <c r="AG447" s="12" t="s">
        <v>345</v>
      </c>
      <c r="AH447" s="12"/>
      <c r="AI447" s="12" t="s">
        <v>24</v>
      </c>
      <c r="AJ447" s="12"/>
      <c r="AK447" s="8">
        <v>1926881</v>
      </c>
      <c r="AL447" s="8"/>
      <c r="AM447" s="8">
        <v>1471777</v>
      </c>
      <c r="AN447" s="8"/>
      <c r="AO447" s="8">
        <v>1434639</v>
      </c>
      <c r="AP447" s="8"/>
      <c r="AQ447" s="8">
        <v>44512</v>
      </c>
      <c r="AR447" s="8"/>
      <c r="AS447" s="8"/>
      <c r="AT447" s="8"/>
      <c r="AU447" s="8">
        <v>0</v>
      </c>
      <c r="AV447" s="8"/>
      <c r="AW447" s="8">
        <f t="shared" si="21"/>
        <v>48794332</v>
      </c>
      <c r="AY447" s="8">
        <f>+'St of Activites - GA Rev'!AI450-'St of Activities - GA Exp'!AW447</f>
        <v>288778</v>
      </c>
      <c r="BA447" s="8">
        <v>13170210</v>
      </c>
      <c r="BC447" s="8">
        <f t="shared" si="22"/>
        <v>13458988</v>
      </c>
      <c r="BE447" s="8">
        <f>+'St of Net Assets - GA'!AA449-'St of Activities - GA Exp'!BC447</f>
        <v>0</v>
      </c>
    </row>
    <row r="448" spans="1:59">
      <c r="A448" s="12" t="s">
        <v>665</v>
      </c>
      <c r="B448" s="12"/>
      <c r="C448" s="12" t="s">
        <v>62</v>
      </c>
      <c r="D448" s="12"/>
      <c r="E448" s="32">
        <v>49940</v>
      </c>
      <c r="G448" s="8">
        <v>5647761</v>
      </c>
      <c r="H448" s="8"/>
      <c r="I448" s="8">
        <v>1968239</v>
      </c>
      <c r="J448" s="8"/>
      <c r="K448" s="8">
        <v>354875</v>
      </c>
      <c r="L448" s="8"/>
      <c r="M448" s="8">
        <f>6001+357905</f>
        <v>363906</v>
      </c>
      <c r="N448" s="8"/>
      <c r="O448" s="8">
        <v>1127276</v>
      </c>
      <c r="P448" s="8"/>
      <c r="Q448" s="8">
        <v>154611</v>
      </c>
      <c r="R448" s="8"/>
      <c r="S448" s="8">
        <v>11084</v>
      </c>
      <c r="T448" s="8"/>
      <c r="U448" s="8">
        <v>1188638</v>
      </c>
      <c r="V448" s="8"/>
      <c r="W448" s="8">
        <v>357374</v>
      </c>
      <c r="X448" s="8"/>
      <c r="Y448" s="8">
        <v>48810</v>
      </c>
      <c r="Z448" s="8"/>
      <c r="AA448" s="8">
        <v>868519</v>
      </c>
      <c r="AB448" s="8"/>
      <c r="AC448" s="8">
        <v>1053828</v>
      </c>
      <c r="AD448" s="8"/>
      <c r="AE448" s="8">
        <v>24590</v>
      </c>
      <c r="AF448" s="8"/>
      <c r="AG448" s="12" t="s">
        <v>665</v>
      </c>
      <c r="AH448" s="12"/>
      <c r="AI448" s="12" t="s">
        <v>62</v>
      </c>
      <c r="AJ448" s="12"/>
      <c r="AK448" s="8">
        <v>483106</v>
      </c>
      <c r="AL448" s="8"/>
      <c r="AM448" s="8">
        <v>77666</v>
      </c>
      <c r="AN448" s="8"/>
      <c r="AO448" s="8">
        <v>470965</v>
      </c>
      <c r="AP448" s="8"/>
      <c r="AQ448" s="8">
        <v>557050</v>
      </c>
      <c r="AR448" s="8"/>
      <c r="AS448" s="8"/>
      <c r="AT448" s="8"/>
      <c r="AU448" s="8">
        <v>0</v>
      </c>
      <c r="AV448" s="8"/>
      <c r="AW448" s="8">
        <f t="shared" si="21"/>
        <v>14758298</v>
      </c>
      <c r="AY448" s="8">
        <f>+'St of Activites - GA Rev'!AI451-'St of Activities - GA Exp'!AW448</f>
        <v>1722755</v>
      </c>
      <c r="BA448" s="8">
        <v>31851879</v>
      </c>
      <c r="BC448" s="8">
        <f t="shared" si="22"/>
        <v>33574634</v>
      </c>
      <c r="BE448" s="8">
        <f>+'St of Net Assets - GA'!AA450-'St of Activities - GA Exp'!BC448</f>
        <v>0</v>
      </c>
    </row>
    <row r="449" spans="1:57">
      <c r="A449" s="12" t="s">
        <v>592</v>
      </c>
      <c r="B449" s="12"/>
      <c r="C449" s="12" t="s">
        <v>55</v>
      </c>
      <c r="D449" s="12"/>
      <c r="E449" s="32"/>
      <c r="G449" s="8">
        <v>6479119</v>
      </c>
      <c r="H449" s="8"/>
      <c r="I449" s="8">
        <v>1841428</v>
      </c>
      <c r="J449" s="8"/>
      <c r="K449" s="8">
        <v>0</v>
      </c>
      <c r="L449" s="8"/>
      <c r="M449" s="8">
        <v>99394</v>
      </c>
      <c r="N449" s="8"/>
      <c r="O449" s="8">
        <v>668315</v>
      </c>
      <c r="P449" s="8"/>
      <c r="Q449" s="8">
        <v>916458</v>
      </c>
      <c r="R449" s="8"/>
      <c r="S449" s="8">
        <v>16983</v>
      </c>
      <c r="T449" s="8"/>
      <c r="U449" s="8">
        <v>1928899</v>
      </c>
      <c r="V449" s="8"/>
      <c r="W449" s="8">
        <v>321830</v>
      </c>
      <c r="X449" s="8"/>
      <c r="Y449" s="8">
        <v>0</v>
      </c>
      <c r="Z449" s="8"/>
      <c r="AA449" s="8">
        <v>1725498</v>
      </c>
      <c r="AB449" s="8"/>
      <c r="AC449" s="8">
        <v>1604148</v>
      </c>
      <c r="AD449" s="8"/>
      <c r="AE449" s="8">
        <v>115066</v>
      </c>
      <c r="AF449" s="8"/>
      <c r="AG449" s="12" t="s">
        <v>592</v>
      </c>
      <c r="AH449" s="12"/>
      <c r="AI449" s="12" t="s">
        <v>55</v>
      </c>
      <c r="AJ449" s="12"/>
      <c r="AK449" s="8">
        <v>729813</v>
      </c>
      <c r="AL449" s="8"/>
      <c r="AM449" s="8">
        <v>0</v>
      </c>
      <c r="AN449" s="8"/>
      <c r="AO449" s="8">
        <v>470198</v>
      </c>
      <c r="AP449" s="8"/>
      <c r="AQ449" s="8">
        <v>36931</v>
      </c>
      <c r="AR449" s="8"/>
      <c r="AS449" s="8"/>
      <c r="AT449" s="8"/>
      <c r="AU449" s="8">
        <v>50933</v>
      </c>
      <c r="AV449" s="8"/>
      <c r="AW449" s="8">
        <f t="shared" si="21"/>
        <v>17005013</v>
      </c>
      <c r="AY449" s="8">
        <f>+'St of Activites - GA Rev'!AI452-'St of Activities - GA Exp'!AW449</f>
        <v>-444261</v>
      </c>
      <c r="BA449" s="8">
        <v>33214384</v>
      </c>
      <c r="BC449" s="8">
        <f t="shared" si="22"/>
        <v>32770123</v>
      </c>
      <c r="BE449" s="8">
        <f>+'St of Net Assets - GA'!AA451-'St of Activities - GA Exp'!BC449</f>
        <v>0</v>
      </c>
    </row>
    <row r="450" spans="1:57">
      <c r="A450" s="12" t="s">
        <v>521</v>
      </c>
      <c r="B450" s="12"/>
      <c r="C450" s="12" t="s">
        <v>45</v>
      </c>
      <c r="D450" s="12"/>
      <c r="E450" s="32">
        <v>48355</v>
      </c>
      <c r="G450" s="8">
        <v>2986091</v>
      </c>
      <c r="H450" s="8"/>
      <c r="I450" s="8">
        <v>1535065</v>
      </c>
      <c r="J450" s="8"/>
      <c r="K450" s="8">
        <v>0</v>
      </c>
      <c r="L450" s="8"/>
      <c r="M450" s="8">
        <v>5833</v>
      </c>
      <c r="N450" s="8"/>
      <c r="O450" s="8">
        <v>174661</v>
      </c>
      <c r="P450" s="8"/>
      <c r="Q450" s="8">
        <v>242427</v>
      </c>
      <c r="R450" s="8"/>
      <c r="S450" s="8">
        <v>21276</v>
      </c>
      <c r="T450" s="8"/>
      <c r="U450" s="8">
        <v>679207</v>
      </c>
      <c r="V450" s="8"/>
      <c r="W450" s="8">
        <v>274999</v>
      </c>
      <c r="X450" s="8"/>
      <c r="Y450" s="8">
        <v>0</v>
      </c>
      <c r="Z450" s="8"/>
      <c r="AA450" s="8">
        <v>839938</v>
      </c>
      <c r="AB450" s="8"/>
      <c r="AC450" s="8">
        <v>137504</v>
      </c>
      <c r="AD450" s="8"/>
      <c r="AE450" s="8">
        <v>1234</v>
      </c>
      <c r="AF450" s="8"/>
      <c r="AG450" s="12" t="s">
        <v>521</v>
      </c>
      <c r="AH450" s="12"/>
      <c r="AI450" s="12" t="s">
        <v>45</v>
      </c>
      <c r="AJ450" s="12"/>
      <c r="AK450" s="8">
        <v>288564</v>
      </c>
      <c r="AL450" s="8"/>
      <c r="AM450" s="8">
        <v>0</v>
      </c>
      <c r="AN450" s="8"/>
      <c r="AO450" s="8">
        <v>225019</v>
      </c>
      <c r="AP450" s="8"/>
      <c r="AQ450" s="8">
        <v>82512</v>
      </c>
      <c r="AR450" s="8"/>
      <c r="AS450" s="8"/>
      <c r="AT450" s="8"/>
      <c r="AU450" s="8">
        <v>0</v>
      </c>
      <c r="AV450" s="8"/>
      <c r="AW450" s="8">
        <f t="shared" si="21"/>
        <v>7494330</v>
      </c>
      <c r="AY450" s="8">
        <f>+'St of Activites - GA Rev'!AI453-'St of Activities - GA Exp'!AW450</f>
        <v>23128</v>
      </c>
      <c r="BA450" s="8">
        <v>11925879</v>
      </c>
      <c r="BC450" s="8">
        <f t="shared" si="22"/>
        <v>11949007</v>
      </c>
      <c r="BE450" s="8">
        <f>+'St of Net Assets - GA'!AA452-'St of Activities - GA Exp'!BC450</f>
        <v>0</v>
      </c>
    </row>
    <row r="451" spans="1:57">
      <c r="A451" s="12" t="s">
        <v>644</v>
      </c>
      <c r="B451" s="12"/>
      <c r="C451" s="12" t="s">
        <v>60</v>
      </c>
      <c r="D451" s="12"/>
      <c r="E451" s="32">
        <v>49684</v>
      </c>
      <c r="G451" s="8">
        <v>4350651</v>
      </c>
      <c r="H451" s="8"/>
      <c r="I451" s="8">
        <v>1023666</v>
      </c>
      <c r="J451" s="8"/>
      <c r="K451" s="8">
        <v>159155</v>
      </c>
      <c r="L451" s="8"/>
      <c r="M451" s="8">
        <v>0</v>
      </c>
      <c r="N451" s="8"/>
      <c r="O451" s="8">
        <v>96144</v>
      </c>
      <c r="P451" s="8"/>
      <c r="Q451" s="8">
        <v>293487</v>
      </c>
      <c r="R451" s="8"/>
      <c r="S451" s="8">
        <v>20542</v>
      </c>
      <c r="T451" s="8"/>
      <c r="U451" s="8">
        <v>582128</v>
      </c>
      <c r="V451" s="8"/>
      <c r="W451" s="8">
        <v>274914</v>
      </c>
      <c r="X451" s="8"/>
      <c r="Y451" s="8">
        <v>0</v>
      </c>
      <c r="Z451" s="8"/>
      <c r="AA451" s="8">
        <v>838682</v>
      </c>
      <c r="AB451" s="8"/>
      <c r="AC451" s="8">
        <v>870153</v>
      </c>
      <c r="AD451" s="8"/>
      <c r="AE451" s="8">
        <v>0</v>
      </c>
      <c r="AF451" s="8"/>
      <c r="AG451" s="12" t="s">
        <v>644</v>
      </c>
      <c r="AH451" s="12"/>
      <c r="AI451" s="12" t="s">
        <v>60</v>
      </c>
      <c r="AJ451" s="12"/>
      <c r="AK451" s="8">
        <v>51728</v>
      </c>
      <c r="AL451" s="8"/>
      <c r="AM451" s="8">
        <v>0</v>
      </c>
      <c r="AN451" s="8"/>
      <c r="AO451" s="8">
        <v>332100</v>
      </c>
      <c r="AP451" s="8"/>
      <c r="AQ451" s="8">
        <v>513170</v>
      </c>
      <c r="AR451" s="8"/>
      <c r="AS451" s="8"/>
      <c r="AT451" s="8"/>
      <c r="AU451" s="8">
        <v>0</v>
      </c>
      <c r="AV451" s="8"/>
      <c r="AW451" s="8">
        <f t="shared" si="21"/>
        <v>9406520</v>
      </c>
      <c r="AY451" s="8">
        <f>+'St of Activites - GA Rev'!AI454-'St of Activities - GA Exp'!AW451</f>
        <v>-300697</v>
      </c>
      <c r="BA451" s="8">
        <v>22203940</v>
      </c>
      <c r="BC451" s="8">
        <f t="shared" si="22"/>
        <v>21903243</v>
      </c>
      <c r="BE451" s="8">
        <f>+'St of Net Assets - GA'!AA453-'St of Activities - GA Exp'!BC451</f>
        <v>0</v>
      </c>
    </row>
    <row r="452" spans="1:57">
      <c r="A452" s="12" t="s">
        <v>237</v>
      </c>
      <c r="B452" s="12"/>
      <c r="C452" s="12" t="s">
        <v>15</v>
      </c>
      <c r="D452" s="12"/>
      <c r="E452" s="32">
        <v>46003</v>
      </c>
      <c r="G452" s="8">
        <v>3412841</v>
      </c>
      <c r="H452" s="8"/>
      <c r="I452" s="8">
        <v>697264</v>
      </c>
      <c r="J452" s="8"/>
      <c r="K452" s="8">
        <v>17112</v>
      </c>
      <c r="L452" s="8"/>
      <c r="M452" s="8">
        <v>0</v>
      </c>
      <c r="N452" s="8"/>
      <c r="O452" s="8">
        <v>239652</v>
      </c>
      <c r="P452" s="8"/>
      <c r="Q452" s="8">
        <v>131594</v>
      </c>
      <c r="R452" s="8"/>
      <c r="S452" s="8">
        <v>19714</v>
      </c>
      <c r="T452" s="8"/>
      <c r="U452" s="8">
        <v>641742</v>
      </c>
      <c r="V452" s="8"/>
      <c r="W452" s="8">
        <v>255338</v>
      </c>
      <c r="X452" s="8"/>
      <c r="Y452" s="8">
        <v>0</v>
      </c>
      <c r="Z452" s="8"/>
      <c r="AA452" s="8">
        <v>742137</v>
      </c>
      <c r="AB452" s="8"/>
      <c r="AC452" s="8">
        <v>180051</v>
      </c>
      <c r="AD452" s="8"/>
      <c r="AE452" s="8">
        <v>0</v>
      </c>
      <c r="AF452" s="8"/>
      <c r="AG452" s="12" t="s">
        <v>237</v>
      </c>
      <c r="AH452" s="12"/>
      <c r="AI452" s="12" t="s">
        <v>15</v>
      </c>
      <c r="AJ452" s="12"/>
      <c r="AK452" s="8">
        <v>141782</v>
      </c>
      <c r="AL452" s="8"/>
      <c r="AM452" s="8">
        <v>500</v>
      </c>
      <c r="AN452" s="8"/>
      <c r="AO452" s="8">
        <v>220583</v>
      </c>
      <c r="AP452" s="8"/>
      <c r="AQ452" s="8">
        <v>7317</v>
      </c>
      <c r="AR452" s="8"/>
      <c r="AS452" s="8"/>
      <c r="AT452" s="8"/>
      <c r="AU452" s="8">
        <v>0</v>
      </c>
      <c r="AV452" s="8"/>
      <c r="AW452" s="8">
        <f t="shared" ref="AW452:AW463" si="23">SUM(G452:AV452)</f>
        <v>6707627</v>
      </c>
      <c r="AY452" s="8">
        <f>+'St of Activites - GA Rev'!AI455-'St of Activities - GA Exp'!AW452</f>
        <v>977301</v>
      </c>
      <c r="BA452" s="8">
        <v>1690840</v>
      </c>
      <c r="BC452" s="8">
        <f t="shared" ref="BC452:BC462" si="24">+AY452+BA452</f>
        <v>2668141</v>
      </c>
      <c r="BE452" s="8">
        <f>+'St of Net Assets - GA'!AA454-'St of Activities - GA Exp'!BC452</f>
        <v>0</v>
      </c>
    </row>
    <row r="453" spans="1:57">
      <c r="A453" s="12" t="s">
        <v>324</v>
      </c>
      <c r="B453" s="12"/>
      <c r="C453" s="12" t="s">
        <v>20</v>
      </c>
      <c r="D453" s="12"/>
      <c r="E453" s="32">
        <v>44750</v>
      </c>
      <c r="G453" s="8">
        <v>34107481</v>
      </c>
      <c r="H453" s="8"/>
      <c r="I453" s="8">
        <v>11332475</v>
      </c>
      <c r="J453" s="8"/>
      <c r="K453" s="8">
        <v>225025</v>
      </c>
      <c r="L453" s="8"/>
      <c r="M453" s="8">
        <v>0</v>
      </c>
      <c r="N453" s="8"/>
      <c r="O453" s="8">
        <v>5495125</v>
      </c>
      <c r="P453" s="8"/>
      <c r="Q453" s="8">
        <v>5714875</v>
      </c>
      <c r="R453" s="8"/>
      <c r="S453" s="8">
        <v>29232</v>
      </c>
      <c r="T453" s="8"/>
      <c r="U453" s="8">
        <v>5995614</v>
      </c>
      <c r="V453" s="8"/>
      <c r="W453" s="8">
        <v>1509745</v>
      </c>
      <c r="X453" s="8"/>
      <c r="Y453" s="8">
        <v>995011</v>
      </c>
      <c r="Z453" s="8"/>
      <c r="AA453" s="8">
        <v>13073322</v>
      </c>
      <c r="AB453" s="8"/>
      <c r="AC453" s="8">
        <v>3989689</v>
      </c>
      <c r="AD453" s="8"/>
      <c r="AE453" s="8">
        <v>1670621</v>
      </c>
      <c r="AF453" s="8"/>
      <c r="AG453" s="12" t="s">
        <v>324</v>
      </c>
      <c r="AH453" s="12"/>
      <c r="AI453" s="12" t="s">
        <v>20</v>
      </c>
      <c r="AJ453" s="12"/>
      <c r="AK453" s="8">
        <v>1518386</v>
      </c>
      <c r="AL453" s="8"/>
      <c r="AM453" s="8">
        <v>1140592</v>
      </c>
      <c r="AN453" s="8"/>
      <c r="AO453" s="8">
        <v>1230898</v>
      </c>
      <c r="AP453" s="8"/>
      <c r="AQ453" s="8">
        <v>1282207</v>
      </c>
      <c r="AR453" s="8"/>
      <c r="AS453" s="8"/>
      <c r="AT453" s="8"/>
      <c r="AU453" s="8">
        <v>0</v>
      </c>
      <c r="AV453" s="8"/>
      <c r="AW453" s="8">
        <f t="shared" si="23"/>
        <v>89310298</v>
      </c>
      <c r="AY453" s="8">
        <f>+'St of Activites - GA Rev'!AI456-'St of Activities - GA Exp'!AW453</f>
        <v>18691485</v>
      </c>
      <c r="BA453" s="8">
        <v>24268024</v>
      </c>
      <c r="BC453" s="8">
        <f t="shared" si="24"/>
        <v>42959509</v>
      </c>
      <c r="BE453" s="8">
        <f>+'St of Net Assets - GA'!AA455-'St of Activities - GA Exp'!BC453</f>
        <v>0</v>
      </c>
    </row>
    <row r="454" spans="1:57" ht="12" customHeight="1">
      <c r="A454" s="12" t="s">
        <v>500</v>
      </c>
      <c r="B454" s="12"/>
      <c r="C454" s="12" t="s">
        <v>44</v>
      </c>
      <c r="D454" s="12"/>
      <c r="E454" s="32">
        <v>44768</v>
      </c>
      <c r="G454" s="8">
        <v>9005906</v>
      </c>
      <c r="H454" s="8"/>
      <c r="I454" s="8">
        <v>2163355</v>
      </c>
      <c r="J454" s="8"/>
      <c r="K454" s="8">
        <v>198017</v>
      </c>
      <c r="L454" s="8"/>
      <c r="M454" s="8">
        <v>204438</v>
      </c>
      <c r="N454" s="8"/>
      <c r="O454" s="8">
        <v>1183240</v>
      </c>
      <c r="P454" s="8"/>
      <c r="Q454" s="8">
        <v>710879</v>
      </c>
      <c r="R454" s="8"/>
      <c r="S454" s="8">
        <v>32284</v>
      </c>
      <c r="T454" s="8"/>
      <c r="U454" s="8">
        <v>1361508</v>
      </c>
      <c r="V454" s="8"/>
      <c r="W454" s="8">
        <v>487783</v>
      </c>
      <c r="X454" s="8"/>
      <c r="Y454" s="8">
        <v>152095</v>
      </c>
      <c r="Z454" s="8"/>
      <c r="AA454" s="8">
        <v>1522805</v>
      </c>
      <c r="AB454" s="8"/>
      <c r="AC454" s="8">
        <v>905772</v>
      </c>
      <c r="AD454" s="8"/>
      <c r="AE454" s="8">
        <v>215455</v>
      </c>
      <c r="AF454" s="8"/>
      <c r="AG454" s="12" t="s">
        <v>500</v>
      </c>
      <c r="AH454" s="12"/>
      <c r="AI454" s="12" t="s">
        <v>44</v>
      </c>
      <c r="AJ454" s="12"/>
      <c r="AK454" s="8">
        <v>587334</v>
      </c>
      <c r="AL454" s="8"/>
      <c r="AM454" s="8">
        <v>84422</v>
      </c>
      <c r="AN454" s="8"/>
      <c r="AO454" s="8">
        <v>358783</v>
      </c>
      <c r="AP454" s="8"/>
      <c r="AQ454" s="8">
        <v>0</v>
      </c>
      <c r="AR454" s="8"/>
      <c r="AS454" s="8"/>
      <c r="AT454" s="8"/>
      <c r="AU454" s="8">
        <v>0</v>
      </c>
      <c r="AV454" s="8"/>
      <c r="AW454" s="8">
        <f t="shared" si="23"/>
        <v>19174076</v>
      </c>
      <c r="AY454" s="8">
        <f>+'St of Activites - GA Rev'!AI457-'St of Activities - GA Exp'!AW454</f>
        <v>1918648</v>
      </c>
      <c r="BA454" s="8">
        <v>8047237</v>
      </c>
      <c r="BC454" s="8">
        <f t="shared" si="24"/>
        <v>9965885</v>
      </c>
      <c r="BE454" s="8">
        <f>+'St of Net Assets - GA'!AA456-'St of Activities - GA Exp'!BC454</f>
        <v>0</v>
      </c>
    </row>
    <row r="455" spans="1:57">
      <c r="A455" s="12" t="s">
        <v>620</v>
      </c>
      <c r="B455" s="12"/>
      <c r="C455" s="12" t="s">
        <v>113</v>
      </c>
      <c r="D455" s="12"/>
      <c r="E455" s="32">
        <v>44776</v>
      </c>
      <c r="G455" s="8">
        <v>8222812</v>
      </c>
      <c r="H455" s="8"/>
      <c r="I455" s="8">
        <v>2067174</v>
      </c>
      <c r="J455" s="8"/>
      <c r="K455" s="8">
        <v>167108</v>
      </c>
      <c r="L455" s="8"/>
      <c r="M455" s="8">
        <v>0</v>
      </c>
      <c r="N455" s="8"/>
      <c r="O455" s="8">
        <v>918062</v>
      </c>
      <c r="P455" s="8"/>
      <c r="Q455" s="8">
        <v>1434826</v>
      </c>
      <c r="R455" s="8"/>
      <c r="S455" s="8">
        <v>34802</v>
      </c>
      <c r="T455" s="8"/>
      <c r="U455" s="8">
        <v>1256797</v>
      </c>
      <c r="V455" s="8"/>
      <c r="W455" s="8">
        <v>721152</v>
      </c>
      <c r="X455" s="8"/>
      <c r="Y455" s="8">
        <v>0</v>
      </c>
      <c r="Z455" s="8"/>
      <c r="AA455" s="8">
        <v>1811145</v>
      </c>
      <c r="AB455" s="8"/>
      <c r="AC455" s="8">
        <v>719911</v>
      </c>
      <c r="AD455" s="8"/>
      <c r="AE455" s="8">
        <v>49407</v>
      </c>
      <c r="AF455" s="8"/>
      <c r="AG455" s="12" t="s">
        <v>620</v>
      </c>
      <c r="AH455" s="12"/>
      <c r="AI455" s="12" t="s">
        <v>113</v>
      </c>
      <c r="AJ455" s="12"/>
      <c r="AK455" s="8">
        <v>0</v>
      </c>
      <c r="AL455" s="8"/>
      <c r="AM455" s="8">
        <v>77370</v>
      </c>
      <c r="AN455" s="8"/>
      <c r="AO455" s="8">
        <v>584238</v>
      </c>
      <c r="AP455" s="8"/>
      <c r="AQ455" s="8">
        <v>62840</v>
      </c>
      <c r="AR455" s="8"/>
      <c r="AS455" s="8"/>
      <c r="AT455" s="8"/>
      <c r="AU455" s="8">
        <v>0</v>
      </c>
      <c r="AV455" s="8"/>
      <c r="AW455" s="8">
        <f t="shared" si="23"/>
        <v>18127644</v>
      </c>
      <c r="AY455" s="8">
        <f>+'St of Activites - GA Rev'!AI458-'St of Activities - GA Exp'!AW455</f>
        <v>4373695</v>
      </c>
      <c r="BA455" s="8">
        <v>2322976</v>
      </c>
      <c r="BC455" s="8">
        <f t="shared" si="24"/>
        <v>6696671</v>
      </c>
      <c r="BE455" s="8">
        <f>+'St of Net Assets - GA'!AA457-'St of Activities - GA Exp'!BC455</f>
        <v>0</v>
      </c>
    </row>
    <row r="456" spans="1:57" s="8" customFormat="1">
      <c r="A456" s="13" t="s">
        <v>325</v>
      </c>
      <c r="B456" s="13"/>
      <c r="C456" s="13" t="s">
        <v>20</v>
      </c>
      <c r="D456" s="13"/>
      <c r="E456" s="13">
        <v>46607</v>
      </c>
      <c r="G456" s="8">
        <v>35612175</v>
      </c>
      <c r="I456" s="8">
        <v>7072159</v>
      </c>
      <c r="K456" s="8">
        <v>717965</v>
      </c>
      <c r="M456" s="8">
        <v>453966</v>
      </c>
      <c r="O456" s="8">
        <v>4348900</v>
      </c>
      <c r="Q456" s="8">
        <v>691593</v>
      </c>
      <c r="S456" s="8">
        <v>56883</v>
      </c>
      <c r="U456" s="8">
        <v>3295078</v>
      </c>
      <c r="W456" s="8">
        <v>1442366</v>
      </c>
      <c r="Y456" s="8">
        <v>989822</v>
      </c>
      <c r="AA456" s="8">
        <v>6725972</v>
      </c>
      <c r="AC456" s="8">
        <v>3459852</v>
      </c>
      <c r="AE456" s="8">
        <v>1016368</v>
      </c>
      <c r="AG456" s="13" t="s">
        <v>325</v>
      </c>
      <c r="AH456" s="13"/>
      <c r="AI456" s="13" t="s">
        <v>20</v>
      </c>
      <c r="AJ456" s="13"/>
      <c r="AK456" s="8">
        <v>0</v>
      </c>
      <c r="AM456" s="8">
        <v>388324</v>
      </c>
      <c r="AO456" s="8">
        <v>2536935</v>
      </c>
      <c r="AQ456" s="8">
        <v>2007570</v>
      </c>
      <c r="AU456" s="8">
        <v>3281</v>
      </c>
      <c r="AW456" s="8">
        <f t="shared" si="23"/>
        <v>70819209</v>
      </c>
      <c r="AY456" s="8">
        <f>+'St of Activites - GA Rev'!AI460-'St of Activities - GA Exp'!AW456</f>
        <v>2872917</v>
      </c>
      <c r="BA456" s="8">
        <v>40709766</v>
      </c>
      <c r="BC456" s="8">
        <f t="shared" si="24"/>
        <v>43582683</v>
      </c>
      <c r="BE456" s="8">
        <f>+'St of Net Assets - GA'!AA459-'St of Activities - GA Exp'!BC456</f>
        <v>0</v>
      </c>
    </row>
    <row r="457" spans="1:57">
      <c r="A457" s="12" t="s">
        <v>905</v>
      </c>
      <c r="B457" s="12"/>
      <c r="C457" s="12" t="s">
        <v>37</v>
      </c>
      <c r="D457" s="12"/>
      <c r="E457" s="32"/>
      <c r="G457" s="8">
        <v>4295182</v>
      </c>
      <c r="H457" s="8"/>
      <c r="I457" s="8">
        <v>482286</v>
      </c>
      <c r="J457" s="8"/>
      <c r="K457" s="8">
        <v>183308</v>
      </c>
      <c r="L457" s="8"/>
      <c r="M457" s="8">
        <v>630969</v>
      </c>
      <c r="N457" s="8"/>
      <c r="O457" s="8">
        <v>90082</v>
      </c>
      <c r="P457" s="8"/>
      <c r="Q457" s="8">
        <v>113226</v>
      </c>
      <c r="R457" s="8"/>
      <c r="S457" s="8">
        <v>22514</v>
      </c>
      <c r="T457" s="8"/>
      <c r="U457" s="8">
        <v>881608</v>
      </c>
      <c r="V457" s="8"/>
      <c r="W457" s="8">
        <v>237227</v>
      </c>
      <c r="X457" s="8"/>
      <c r="Y457" s="8">
        <v>0</v>
      </c>
      <c r="Z457" s="8"/>
      <c r="AA457" s="8">
        <v>329341</v>
      </c>
      <c r="AB457" s="8"/>
      <c r="AC457" s="8">
        <v>617299</v>
      </c>
      <c r="AD457" s="8"/>
      <c r="AE457" s="8">
        <v>8037</v>
      </c>
      <c r="AF457" s="8"/>
      <c r="AG457" s="12" t="s">
        <v>841</v>
      </c>
      <c r="AH457" s="12"/>
      <c r="AI457" s="12" t="s">
        <v>37</v>
      </c>
      <c r="AJ457" s="12"/>
      <c r="AK457" s="8">
        <v>415800</v>
      </c>
      <c r="AL457" s="8"/>
      <c r="AM457" s="8">
        <v>1000</v>
      </c>
      <c r="AN457" s="8"/>
      <c r="AO457" s="8">
        <v>332707</v>
      </c>
      <c r="AP457" s="8"/>
      <c r="AQ457" s="8">
        <v>86086</v>
      </c>
      <c r="AR457" s="8"/>
      <c r="AS457" s="8"/>
      <c r="AT457" s="8"/>
      <c r="AU457" s="8">
        <v>0</v>
      </c>
      <c r="AV457" s="8"/>
      <c r="AW457" s="8">
        <f t="shared" si="23"/>
        <v>8726672</v>
      </c>
      <c r="AY457" s="8">
        <f>+'St of Activites - GA Rev'!AI461-'St of Activities - GA Exp'!AW457</f>
        <v>201318</v>
      </c>
      <c r="BA457" s="8">
        <v>9164234</v>
      </c>
      <c r="BC457" s="8">
        <f t="shared" si="24"/>
        <v>9365552</v>
      </c>
      <c r="BE457" s="8">
        <f>+'St of Net Assets - GA'!AA460-'St of Activities - GA Exp'!BC457</f>
        <v>0</v>
      </c>
    </row>
    <row r="458" spans="1:57" s="35" customFormat="1">
      <c r="A458" s="34" t="s">
        <v>326</v>
      </c>
      <c r="B458" s="34"/>
      <c r="C458" s="34" t="s">
        <v>20</v>
      </c>
      <c r="D458" s="34"/>
      <c r="E458" s="32">
        <v>44792</v>
      </c>
      <c r="G458" s="8">
        <v>23809455</v>
      </c>
      <c r="H458" s="8"/>
      <c r="I458" s="8">
        <v>7449124</v>
      </c>
      <c r="J458" s="8"/>
      <c r="K458" s="8">
        <v>1613487</v>
      </c>
      <c r="L458" s="8"/>
      <c r="M458" s="8">
        <v>1431278</v>
      </c>
      <c r="N458" s="8"/>
      <c r="O458" s="8">
        <v>3767753</v>
      </c>
      <c r="P458" s="8"/>
      <c r="Q458" s="8">
        <v>1522416</v>
      </c>
      <c r="R458" s="8"/>
      <c r="S458" s="8">
        <v>192283</v>
      </c>
      <c r="T458" s="8"/>
      <c r="U458" s="8">
        <v>3619493</v>
      </c>
      <c r="V458" s="8"/>
      <c r="W458" s="8">
        <v>1519194</v>
      </c>
      <c r="X458" s="8"/>
      <c r="Y458" s="8">
        <v>398368</v>
      </c>
      <c r="Z458" s="8"/>
      <c r="AA458" s="8">
        <v>7066363</v>
      </c>
      <c r="AB458" s="8"/>
      <c r="AC458" s="8">
        <v>3942727</v>
      </c>
      <c r="AD458" s="8"/>
      <c r="AE458" s="8">
        <v>1937309</v>
      </c>
      <c r="AG458" s="34" t="s">
        <v>326</v>
      </c>
      <c r="AH458" s="34"/>
      <c r="AI458" s="34" t="s">
        <v>20</v>
      </c>
      <c r="AJ458" s="34"/>
      <c r="AK458" s="8">
        <v>205529</v>
      </c>
      <c r="AL458" s="8"/>
      <c r="AM458" s="8">
        <v>2840330</v>
      </c>
      <c r="AN458" s="8"/>
      <c r="AO458" s="8">
        <v>1019877</v>
      </c>
      <c r="AP458" s="8"/>
      <c r="AQ458" s="8">
        <v>2154877</v>
      </c>
      <c r="AR458" s="8"/>
      <c r="AS458" s="8"/>
      <c r="AT458" s="8"/>
      <c r="AU458" s="8">
        <v>11296527</v>
      </c>
      <c r="AV458" s="8"/>
      <c r="AW458" s="8">
        <f t="shared" si="23"/>
        <v>75786390</v>
      </c>
      <c r="AX458" s="8"/>
      <c r="AY458" s="8">
        <f>+'St of Activites - GA Rev'!AI462-'St of Activities - GA Exp'!AW458</f>
        <v>-4092571</v>
      </c>
      <c r="AZ458" s="8"/>
      <c r="BA458" s="8">
        <v>10239860</v>
      </c>
      <c r="BB458" s="8"/>
      <c r="BC458" s="8">
        <f t="shared" si="24"/>
        <v>6147289</v>
      </c>
      <c r="BD458" s="8"/>
      <c r="BE458" s="8">
        <f>+'St of Net Assets - GA'!AA461-'St of Activities - GA Exp'!BC458</f>
        <v>0</v>
      </c>
    </row>
    <row r="459" spans="1:57" ht="12" hidden="1" customHeight="1">
      <c r="A459" s="12" t="s">
        <v>476</v>
      </c>
      <c r="B459" s="12"/>
      <c r="C459" s="12" t="s">
        <v>471</v>
      </c>
      <c r="D459" s="12"/>
      <c r="E459" s="32">
        <v>47951</v>
      </c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12" t="s">
        <v>476</v>
      </c>
      <c r="AH459" s="12"/>
      <c r="AI459" s="12" t="s">
        <v>471</v>
      </c>
      <c r="AJ459" s="12"/>
      <c r="AK459" s="8"/>
      <c r="AL459" s="8"/>
      <c r="AM459" s="8"/>
      <c r="AN459" s="8"/>
      <c r="AO459" s="8"/>
      <c r="AP459" s="8"/>
      <c r="AQ459" s="8">
        <v>0</v>
      </c>
      <c r="AR459" s="8"/>
      <c r="AS459" s="8"/>
      <c r="AT459" s="8"/>
      <c r="AU459" s="8"/>
      <c r="AV459" s="8"/>
      <c r="AW459" s="8">
        <f t="shared" si="23"/>
        <v>0</v>
      </c>
      <c r="AY459" s="8">
        <f>+'St of Activites - GA Rev'!AI463-'St of Activities - GA Exp'!AW459</f>
        <v>0</v>
      </c>
      <c r="BC459" s="8">
        <f t="shared" si="24"/>
        <v>0</v>
      </c>
      <c r="BE459" s="8">
        <f>+'St of Net Assets - GA'!AA462-'St of Activities - GA Exp'!BC459</f>
        <v>0</v>
      </c>
    </row>
    <row r="460" spans="1:57">
      <c r="A460" s="12" t="s">
        <v>522</v>
      </c>
      <c r="B460" s="12"/>
      <c r="C460" s="12" t="s">
        <v>45</v>
      </c>
      <c r="D460" s="12"/>
      <c r="E460" s="32">
        <v>48363</v>
      </c>
      <c r="G460" s="8">
        <v>5275123</v>
      </c>
      <c r="H460" s="8"/>
      <c r="I460" s="8">
        <v>1371439</v>
      </c>
      <c r="J460" s="8"/>
      <c r="K460" s="8">
        <v>145255</v>
      </c>
      <c r="L460" s="8"/>
      <c r="M460" s="8">
        <v>170281</v>
      </c>
      <c r="N460" s="8"/>
      <c r="O460" s="8">
        <v>256083</v>
      </c>
      <c r="P460" s="8"/>
      <c r="Q460" s="8">
        <v>572549</v>
      </c>
      <c r="R460" s="8"/>
      <c r="S460" s="8">
        <v>50695</v>
      </c>
      <c r="T460" s="8"/>
      <c r="U460" s="8">
        <v>930417</v>
      </c>
      <c r="V460" s="8"/>
      <c r="W460" s="8">
        <v>333769</v>
      </c>
      <c r="X460" s="8"/>
      <c r="Y460" s="8">
        <v>0</v>
      </c>
      <c r="Z460" s="8"/>
      <c r="AA460" s="8">
        <v>991113</v>
      </c>
      <c r="AB460" s="8"/>
      <c r="AC460" s="8">
        <v>874813</v>
      </c>
      <c r="AD460" s="8"/>
      <c r="AE460" s="8">
        <v>100140</v>
      </c>
      <c r="AF460" s="8"/>
      <c r="AG460" s="12" t="s">
        <v>522</v>
      </c>
      <c r="AH460" s="12"/>
      <c r="AI460" s="12" t="s">
        <v>45</v>
      </c>
      <c r="AJ460" s="12"/>
      <c r="AK460" s="8">
        <v>383002</v>
      </c>
      <c r="AL460" s="8"/>
      <c r="AM460" s="8">
        <v>2094</v>
      </c>
      <c r="AN460" s="8"/>
      <c r="AO460" s="8">
        <v>500853</v>
      </c>
      <c r="AP460" s="8"/>
      <c r="AQ460" s="8">
        <v>546418</v>
      </c>
      <c r="AR460" s="8"/>
      <c r="AS460" s="8"/>
      <c r="AT460" s="8"/>
      <c r="AU460" s="8">
        <v>0</v>
      </c>
      <c r="AV460" s="8"/>
      <c r="AW460" s="8">
        <f t="shared" si="23"/>
        <v>12504044</v>
      </c>
      <c r="AY460" s="8">
        <f>+'St of Activites - GA Rev'!AI464-'St of Activities - GA Exp'!AW460</f>
        <v>21045282</v>
      </c>
      <c r="BA460" s="8">
        <v>5391632</v>
      </c>
      <c r="BC460" s="8">
        <f t="shared" si="24"/>
        <v>26436914</v>
      </c>
      <c r="BE460" s="8">
        <f>+'St of Net Assets - GA'!AA463-'St of Activities - GA Exp'!BC460</f>
        <v>0</v>
      </c>
    </row>
    <row r="461" spans="1:57">
      <c r="A461" s="12" t="s">
        <v>601</v>
      </c>
      <c r="B461" s="12"/>
      <c r="C461" s="12" t="s">
        <v>56</v>
      </c>
      <c r="D461" s="12"/>
      <c r="E461" s="32">
        <v>49221</v>
      </c>
      <c r="G461" s="8">
        <v>7492696</v>
      </c>
      <c r="H461" s="8"/>
      <c r="I461" s="8">
        <v>1558682</v>
      </c>
      <c r="J461" s="8"/>
      <c r="K461" s="8">
        <v>115244</v>
      </c>
      <c r="L461" s="8"/>
      <c r="M461" s="8">
        <v>933356</v>
      </c>
      <c r="N461" s="8"/>
      <c r="O461" s="8">
        <v>1700615</v>
      </c>
      <c r="P461" s="8"/>
      <c r="Q461" s="8">
        <v>518365</v>
      </c>
      <c r="R461" s="8"/>
      <c r="S461" s="8">
        <v>30450</v>
      </c>
      <c r="T461" s="8"/>
      <c r="U461" s="8">
        <v>1125589</v>
      </c>
      <c r="V461" s="8"/>
      <c r="W461" s="8">
        <v>387573</v>
      </c>
      <c r="X461" s="8"/>
      <c r="Y461" s="8">
        <v>101078</v>
      </c>
      <c r="Z461" s="8"/>
      <c r="AA461" s="8">
        <v>1428649</v>
      </c>
      <c r="AB461" s="8"/>
      <c r="AC461" s="8">
        <v>1167615</v>
      </c>
      <c r="AD461" s="8"/>
      <c r="AE461" s="8">
        <v>2129033</v>
      </c>
      <c r="AF461" s="8"/>
      <c r="AG461" s="12" t="s">
        <v>601</v>
      </c>
      <c r="AH461" s="12"/>
      <c r="AI461" s="12" t="s">
        <v>56</v>
      </c>
      <c r="AJ461" s="12"/>
      <c r="AK461" s="8">
        <v>647018</v>
      </c>
      <c r="AL461" s="8"/>
      <c r="AM461" s="8">
        <v>12002</v>
      </c>
      <c r="AN461" s="8"/>
      <c r="AO461" s="8">
        <v>542563</v>
      </c>
      <c r="AP461" s="8"/>
      <c r="AQ461" s="8">
        <v>316841</v>
      </c>
      <c r="AR461" s="8"/>
      <c r="AS461" s="8"/>
      <c r="AT461" s="8"/>
      <c r="AU461" s="8">
        <v>0</v>
      </c>
      <c r="AV461" s="8"/>
      <c r="AW461" s="8">
        <f t="shared" si="23"/>
        <v>20207369</v>
      </c>
      <c r="AY461" s="8">
        <f>+'St of Activites - GA Rev'!AI465-'St of Activities - GA Exp'!AW461</f>
        <v>677857</v>
      </c>
      <c r="BA461" s="8">
        <v>29335149</v>
      </c>
      <c r="BC461" s="8">
        <f t="shared" si="24"/>
        <v>30013006</v>
      </c>
      <c r="BE461" s="8">
        <f>+'St of Net Assets - GA'!AA464-'St of Activities - GA Exp'!BC461</f>
        <v>0</v>
      </c>
    </row>
    <row r="462" spans="1:57">
      <c r="A462" s="12" t="s">
        <v>601</v>
      </c>
      <c r="B462" s="12"/>
      <c r="C462" s="12" t="s">
        <v>71</v>
      </c>
      <c r="D462" s="12"/>
      <c r="E462" s="32">
        <v>50583</v>
      </c>
      <c r="G462" s="8">
        <v>6645035</v>
      </c>
      <c r="H462" s="8"/>
      <c r="I462" s="8">
        <v>2412739</v>
      </c>
      <c r="J462" s="8"/>
      <c r="K462" s="8">
        <v>336999</v>
      </c>
      <c r="L462" s="8"/>
      <c r="M462" s="8">
        <v>370738</v>
      </c>
      <c r="N462" s="8"/>
      <c r="O462" s="8">
        <v>841874</v>
      </c>
      <c r="P462" s="8"/>
      <c r="Q462" s="8">
        <v>473387</v>
      </c>
      <c r="R462" s="8"/>
      <c r="S462" s="8">
        <v>40317</v>
      </c>
      <c r="T462" s="8"/>
      <c r="U462" s="8">
        <v>1705231</v>
      </c>
      <c r="V462" s="8"/>
      <c r="W462" s="8">
        <v>407353</v>
      </c>
      <c r="X462" s="8"/>
      <c r="Y462" s="8">
        <v>0</v>
      </c>
      <c r="Z462" s="8"/>
      <c r="AA462" s="8">
        <v>1387261</v>
      </c>
      <c r="AB462" s="8"/>
      <c r="AC462" s="8">
        <v>1110141</v>
      </c>
      <c r="AD462" s="8"/>
      <c r="AE462" s="8">
        <v>176727</v>
      </c>
      <c r="AF462" s="8"/>
      <c r="AG462" s="12" t="s">
        <v>601</v>
      </c>
      <c r="AH462" s="12"/>
      <c r="AI462" s="12" t="s">
        <v>71</v>
      </c>
      <c r="AJ462" s="12"/>
      <c r="AK462" s="8">
        <v>0</v>
      </c>
      <c r="AL462" s="8"/>
      <c r="AM462" s="8">
        <v>746504</v>
      </c>
      <c r="AN462" s="8"/>
      <c r="AO462" s="8">
        <v>492259</v>
      </c>
      <c r="AP462" s="8"/>
      <c r="AQ462" s="8">
        <v>14159</v>
      </c>
      <c r="AR462" s="8"/>
      <c r="AS462" s="8"/>
      <c r="AT462" s="8"/>
      <c r="AU462" s="8">
        <v>0</v>
      </c>
      <c r="AV462" s="8"/>
      <c r="AW462" s="8">
        <f t="shared" si="23"/>
        <v>17160724</v>
      </c>
      <c r="AY462" s="8">
        <f>+'St of Activites - GA Rev'!AI466-'St of Activities - GA Exp'!AW462</f>
        <v>-1020432</v>
      </c>
      <c r="BA462" s="8">
        <v>5411622</v>
      </c>
      <c r="BC462" s="8">
        <f t="shared" si="24"/>
        <v>4391190</v>
      </c>
      <c r="BE462" s="8">
        <f>+'St of Net Assets - GA'!AA465-'St of Activities - GA Exp'!BC462</f>
        <v>0</v>
      </c>
    </row>
    <row r="463" spans="1:57">
      <c r="A463" s="12" t="s">
        <v>268</v>
      </c>
      <c r="B463" s="12"/>
      <c r="C463" s="12" t="s">
        <v>17</v>
      </c>
      <c r="D463" s="12"/>
      <c r="E463" s="32">
        <v>46276</v>
      </c>
      <c r="G463" s="8">
        <v>3344379</v>
      </c>
      <c r="H463" s="8"/>
      <c r="I463" s="8">
        <v>891916</v>
      </c>
      <c r="J463" s="8"/>
      <c r="K463" s="8">
        <v>216493</v>
      </c>
      <c r="L463" s="8"/>
      <c r="M463" s="8">
        <v>12266</v>
      </c>
      <c r="N463" s="8"/>
      <c r="O463" s="8">
        <v>425498</v>
      </c>
      <c r="P463" s="8"/>
      <c r="Q463" s="8">
        <v>254497</v>
      </c>
      <c r="R463" s="8"/>
      <c r="S463" s="8">
        <v>25279</v>
      </c>
      <c r="T463" s="8"/>
      <c r="U463" s="8">
        <v>636439</v>
      </c>
      <c r="V463" s="8"/>
      <c r="W463" s="8">
        <v>271589</v>
      </c>
      <c r="X463" s="8"/>
      <c r="Y463" s="8">
        <v>0</v>
      </c>
      <c r="Z463" s="8"/>
      <c r="AA463" s="8">
        <v>551268</v>
      </c>
      <c r="AB463" s="8"/>
      <c r="AC463" s="8">
        <v>377491</v>
      </c>
      <c r="AD463" s="8"/>
      <c r="AE463" s="8">
        <v>31317</v>
      </c>
      <c r="AF463" s="8"/>
      <c r="AG463" s="12" t="s">
        <v>268</v>
      </c>
      <c r="AH463" s="12"/>
      <c r="AI463" s="12" t="s">
        <v>17</v>
      </c>
      <c r="AJ463" s="12"/>
      <c r="AK463" s="8">
        <v>0</v>
      </c>
      <c r="AL463" s="8"/>
      <c r="AM463" s="8">
        <v>221843</v>
      </c>
      <c r="AN463" s="8"/>
      <c r="AO463" s="8">
        <v>316941</v>
      </c>
      <c r="AP463" s="8"/>
      <c r="AQ463" s="8">
        <v>32733</v>
      </c>
      <c r="AR463" s="8"/>
      <c r="AS463" s="8"/>
      <c r="AT463" s="8"/>
      <c r="AU463" s="8">
        <v>0</v>
      </c>
      <c r="AV463" s="8"/>
      <c r="AW463" s="8">
        <f t="shared" si="23"/>
        <v>7609949</v>
      </c>
      <c r="AY463" s="8">
        <f>+'St of Activites - GA Rev'!AI467-'St of Activities - GA Exp'!AW463</f>
        <v>663856</v>
      </c>
      <c r="BA463" s="8">
        <v>7079646</v>
      </c>
      <c r="BC463" s="8">
        <f>+AY463+BA463</f>
        <v>7743502</v>
      </c>
      <c r="BE463" s="8">
        <f>+'St of Net Assets - GA'!AA466-'St of Activities - GA Exp'!BC463</f>
        <v>0</v>
      </c>
    </row>
    <row r="464" spans="1:57">
      <c r="A464" s="12" t="s">
        <v>268</v>
      </c>
      <c r="B464" s="12"/>
      <c r="C464" s="12" t="s">
        <v>58</v>
      </c>
      <c r="D464" s="12"/>
      <c r="E464" s="32">
        <v>49528</v>
      </c>
      <c r="G464" s="8">
        <v>5391525</v>
      </c>
      <c r="H464" s="8"/>
      <c r="I464" s="8">
        <v>1176585</v>
      </c>
      <c r="J464" s="8"/>
      <c r="K464" s="8">
        <v>0</v>
      </c>
      <c r="L464" s="8"/>
      <c r="M464" s="8">
        <v>3000</v>
      </c>
      <c r="N464" s="8"/>
      <c r="O464" s="8">
        <v>427728</v>
      </c>
      <c r="P464" s="8"/>
      <c r="Q464" s="8">
        <v>327169</v>
      </c>
      <c r="R464" s="8"/>
      <c r="S464" s="8">
        <v>19800</v>
      </c>
      <c r="T464" s="8"/>
      <c r="U464" s="8">
        <v>515078</v>
      </c>
      <c r="V464" s="8"/>
      <c r="W464" s="8">
        <v>203631</v>
      </c>
      <c r="X464" s="8"/>
      <c r="Y464" s="8">
        <v>194633</v>
      </c>
      <c r="Z464" s="8"/>
      <c r="AA464" s="8">
        <v>1220501</v>
      </c>
      <c r="AB464" s="8"/>
      <c r="AC464" s="8">
        <v>857229</v>
      </c>
      <c r="AD464" s="8"/>
      <c r="AE464" s="8">
        <v>59525</v>
      </c>
      <c r="AF464" s="8"/>
      <c r="AG464" s="12" t="s">
        <v>268</v>
      </c>
      <c r="AH464" s="12"/>
      <c r="AI464" s="12" t="s">
        <v>58</v>
      </c>
      <c r="AJ464" s="12"/>
      <c r="AK464" s="8">
        <v>0</v>
      </c>
      <c r="AL464" s="8"/>
      <c r="AM464" s="8">
        <v>438344</v>
      </c>
      <c r="AN464" s="8"/>
      <c r="AO464" s="8">
        <v>388123</v>
      </c>
      <c r="AP464" s="8"/>
      <c r="AQ464" s="8">
        <v>251242</v>
      </c>
      <c r="AR464" s="8"/>
      <c r="AS464" s="8"/>
      <c r="AT464" s="8"/>
      <c r="AU464" s="8">
        <v>0</v>
      </c>
      <c r="AV464" s="8"/>
      <c r="AW464" s="8">
        <f t="shared" ref="AW464:AW469" si="25">SUM(G464:AV464)</f>
        <v>11474113</v>
      </c>
      <c r="AY464" s="8">
        <f>+'St of Activites - GA Rev'!AI468-'St of Activities - GA Exp'!AW464</f>
        <v>643767</v>
      </c>
      <c r="BA464" s="8">
        <v>24721261</v>
      </c>
      <c r="BC464" s="8">
        <f t="shared" ref="BC464:BC469" si="26">+AY464+BA464</f>
        <v>25365028</v>
      </c>
      <c r="BE464" s="8">
        <f>+'St of Net Assets - GA'!AA467-'St of Activities - GA Exp'!BC464</f>
        <v>0</v>
      </c>
    </row>
    <row r="465" spans="1:57">
      <c r="A465" s="12" t="s">
        <v>288</v>
      </c>
      <c r="B465" s="12"/>
      <c r="C465" s="12" t="s">
        <v>115</v>
      </c>
      <c r="D465" s="12"/>
      <c r="E465" s="32">
        <v>46441</v>
      </c>
      <c r="G465" s="8">
        <v>3633454</v>
      </c>
      <c r="H465" s="8"/>
      <c r="I465" s="8">
        <v>1242509</v>
      </c>
      <c r="J465" s="8"/>
      <c r="K465" s="8">
        <v>234165</v>
      </c>
      <c r="L465" s="8"/>
      <c r="M465" s="8">
        <v>18923</v>
      </c>
      <c r="N465" s="8"/>
      <c r="O465" s="8">
        <v>315610</v>
      </c>
      <c r="P465" s="8"/>
      <c r="Q465" s="8">
        <v>214092</v>
      </c>
      <c r="R465" s="8"/>
      <c r="S465" s="8">
        <v>1293006</v>
      </c>
      <c r="T465" s="8"/>
      <c r="U465" s="8">
        <v>681372</v>
      </c>
      <c r="V465" s="8"/>
      <c r="W465" s="8">
        <v>225368</v>
      </c>
      <c r="X465" s="8"/>
      <c r="Y465" s="8">
        <v>49058</v>
      </c>
      <c r="Z465" s="8"/>
      <c r="AA465" s="8">
        <v>1011838</v>
      </c>
      <c r="AB465" s="8"/>
      <c r="AC465" s="8">
        <v>950075</v>
      </c>
      <c r="AD465" s="8"/>
      <c r="AE465" s="8">
        <v>0</v>
      </c>
      <c r="AF465" s="8"/>
      <c r="AG465" s="12" t="s">
        <v>288</v>
      </c>
      <c r="AH465" s="12"/>
      <c r="AI465" s="12" t="s">
        <v>115</v>
      </c>
      <c r="AJ465" s="12"/>
      <c r="AK465" s="8">
        <v>457767</v>
      </c>
      <c r="AL465" s="8"/>
      <c r="AM465" s="8">
        <v>4908</v>
      </c>
      <c r="AN465" s="8"/>
      <c r="AO465" s="8">
        <v>225145</v>
      </c>
      <c r="AP465" s="8"/>
      <c r="AQ465" s="8">
        <v>135039</v>
      </c>
      <c r="AR465" s="8"/>
      <c r="AS465" s="8"/>
      <c r="AT465" s="8"/>
      <c r="AU465" s="8">
        <v>0</v>
      </c>
      <c r="AV465" s="8"/>
      <c r="AW465" s="8">
        <f t="shared" si="25"/>
        <v>10692329</v>
      </c>
      <c r="AY465" s="8">
        <f>+'St of Activites - GA Rev'!AI469-'St of Activities - GA Exp'!AW465</f>
        <v>-678915</v>
      </c>
      <c r="BA465" s="8">
        <v>12182623</v>
      </c>
      <c r="BC465" s="8">
        <f t="shared" si="26"/>
        <v>11503708</v>
      </c>
      <c r="BE465" s="8">
        <f>+'St of Net Assets - GA'!AA468-'St of Activities - GA Exp'!BC465</f>
        <v>0</v>
      </c>
    </row>
    <row r="466" spans="1:57">
      <c r="A466" s="12" t="s">
        <v>288</v>
      </c>
      <c r="B466" s="12"/>
      <c r="C466" s="12" t="s">
        <v>537</v>
      </c>
      <c r="D466" s="12"/>
      <c r="E466" s="32">
        <v>46441</v>
      </c>
      <c r="G466" s="8">
        <v>2676303</v>
      </c>
      <c r="H466" s="8"/>
      <c r="I466" s="8">
        <v>953633</v>
      </c>
      <c r="J466" s="8"/>
      <c r="K466" s="8">
        <v>130405</v>
      </c>
      <c r="L466" s="8"/>
      <c r="M466" s="8">
        <v>5707</v>
      </c>
      <c r="N466" s="8"/>
      <c r="O466" s="8">
        <v>248055</v>
      </c>
      <c r="P466" s="8"/>
      <c r="Q466" s="8">
        <v>270864</v>
      </c>
      <c r="R466" s="8"/>
      <c r="S466" s="8">
        <v>15846</v>
      </c>
      <c r="T466" s="8"/>
      <c r="U466" s="8">
        <v>1172331</v>
      </c>
      <c r="V466" s="8"/>
      <c r="W466" s="8">
        <v>301199</v>
      </c>
      <c r="X466" s="8"/>
      <c r="Y466" s="8">
        <v>0</v>
      </c>
      <c r="Z466" s="8"/>
      <c r="AA466" s="8">
        <v>573209</v>
      </c>
      <c r="AB466" s="8"/>
      <c r="AC466" s="8">
        <v>482517</v>
      </c>
      <c r="AD466" s="8"/>
      <c r="AE466" s="8">
        <v>63793</v>
      </c>
      <c r="AF466" s="8"/>
      <c r="AG466" s="12" t="s">
        <v>288</v>
      </c>
      <c r="AH466" s="12"/>
      <c r="AI466" s="12" t="s">
        <v>115</v>
      </c>
      <c r="AJ466" s="12"/>
      <c r="AK466" s="8">
        <v>382410</v>
      </c>
      <c r="AL466" s="8"/>
      <c r="AM466" s="8">
        <v>1347</v>
      </c>
      <c r="AN466" s="8"/>
      <c r="AO466" s="8">
        <v>129730</v>
      </c>
      <c r="AP466" s="8"/>
      <c r="AQ466" s="8">
        <v>154613</v>
      </c>
      <c r="AR466" s="8"/>
      <c r="AS466" s="8"/>
      <c r="AT466" s="8"/>
      <c r="AU466" s="8">
        <v>0</v>
      </c>
      <c r="AV466" s="8"/>
      <c r="AW466" s="8">
        <f t="shared" si="25"/>
        <v>7561962</v>
      </c>
      <c r="AY466" s="8">
        <f>+'St of Activites - GA Rev'!AI470-'St of Activities - GA Exp'!AW466</f>
        <v>305002</v>
      </c>
      <c r="BA466" s="8">
        <v>7631114</v>
      </c>
      <c r="BC466" s="8">
        <f t="shared" si="26"/>
        <v>7936116</v>
      </c>
      <c r="BE466" s="8">
        <f>+'St of Net Assets - GA'!AA469-'St of Activities - GA Exp'!BC466</f>
        <v>0</v>
      </c>
    </row>
    <row r="467" spans="1:57">
      <c r="A467" s="12" t="s">
        <v>696</v>
      </c>
      <c r="B467" s="12"/>
      <c r="C467" s="12" t="s">
        <v>64</v>
      </c>
      <c r="D467" s="12"/>
      <c r="E467" s="32">
        <v>50237</v>
      </c>
      <c r="G467" s="8">
        <v>2896242</v>
      </c>
      <c r="H467" s="8"/>
      <c r="I467" s="8">
        <v>270768</v>
      </c>
      <c r="J467" s="8"/>
      <c r="K467" s="8">
        <v>0</v>
      </c>
      <c r="L467" s="8"/>
      <c r="M467" s="8">
        <v>0</v>
      </c>
      <c r="N467" s="8"/>
      <c r="O467" s="8">
        <v>513290</v>
      </c>
      <c r="P467" s="8"/>
      <c r="Q467" s="8">
        <v>164425</v>
      </c>
      <c r="R467" s="8"/>
      <c r="S467" s="8">
        <v>59554</v>
      </c>
      <c r="T467" s="8"/>
      <c r="U467" s="8">
        <v>420853</v>
      </c>
      <c r="V467" s="8"/>
      <c r="W467" s="8">
        <v>237730</v>
      </c>
      <c r="X467" s="8"/>
      <c r="Y467" s="8">
        <v>31546</v>
      </c>
      <c r="Z467" s="8"/>
      <c r="AA467" s="8">
        <v>425239</v>
      </c>
      <c r="AB467" s="8"/>
      <c r="AC467" s="8">
        <v>405323</v>
      </c>
      <c r="AD467" s="8"/>
      <c r="AE467" s="8">
        <v>11070</v>
      </c>
      <c r="AF467" s="8"/>
      <c r="AG467" s="12" t="s">
        <v>696</v>
      </c>
      <c r="AH467" s="12"/>
      <c r="AI467" s="12" t="s">
        <v>64</v>
      </c>
      <c r="AJ467" s="12"/>
      <c r="AK467" s="8">
        <v>180118</v>
      </c>
      <c r="AL467" s="8"/>
      <c r="AM467" s="8">
        <v>755</v>
      </c>
      <c r="AN467" s="8"/>
      <c r="AO467" s="8">
        <v>224850</v>
      </c>
      <c r="AP467" s="8"/>
      <c r="AQ467" s="8">
        <v>193320</v>
      </c>
      <c r="AR467" s="8"/>
      <c r="AS467" s="8"/>
      <c r="AT467" s="8"/>
      <c r="AU467" s="8">
        <v>0</v>
      </c>
      <c r="AV467" s="8"/>
      <c r="AW467" s="8">
        <f t="shared" si="25"/>
        <v>6035083</v>
      </c>
      <c r="AY467" s="8">
        <f>+'St of Activites - GA Rev'!AI471-'St of Activities - GA Exp'!AW467</f>
        <v>458453</v>
      </c>
      <c r="BA467" s="8">
        <v>17034189</v>
      </c>
      <c r="BC467" s="8">
        <f t="shared" si="26"/>
        <v>17492642</v>
      </c>
      <c r="BE467" s="8">
        <f>+'St of Net Assets - GA'!AA470-'St of Activities - GA Exp'!BC467</f>
        <v>0</v>
      </c>
    </row>
    <row r="468" spans="1:57" ht="12" customHeight="1">
      <c r="A468" s="12" t="s">
        <v>487</v>
      </c>
      <c r="B468" s="12"/>
      <c r="C468" s="12" t="s">
        <v>42</v>
      </c>
      <c r="D468" s="12"/>
      <c r="E468" s="32">
        <v>48041</v>
      </c>
      <c r="G468" s="8">
        <v>13635359</v>
      </c>
      <c r="H468" s="8"/>
      <c r="I468" s="8">
        <v>3076312</v>
      </c>
      <c r="J468" s="8"/>
      <c r="K468" s="8">
        <v>442878</v>
      </c>
      <c r="L468" s="8"/>
      <c r="M468" s="8">
        <v>2386755</v>
      </c>
      <c r="N468" s="8"/>
      <c r="O468" s="8">
        <v>1987519</v>
      </c>
      <c r="P468" s="8"/>
      <c r="Q468" s="8">
        <v>1565372</v>
      </c>
      <c r="R468" s="8"/>
      <c r="S468" s="8">
        <v>63441</v>
      </c>
      <c r="T468" s="8"/>
      <c r="U468" s="8">
        <v>2928675</v>
      </c>
      <c r="V468" s="8"/>
      <c r="W468" s="8">
        <v>885724</v>
      </c>
      <c r="X468" s="8"/>
      <c r="Y468" s="8">
        <v>152137</v>
      </c>
      <c r="Z468" s="8"/>
      <c r="AA468" s="8">
        <v>2764621</v>
      </c>
      <c r="AB468" s="8"/>
      <c r="AC468" s="8">
        <v>2748987</v>
      </c>
      <c r="AD468" s="8"/>
      <c r="AE468" s="8">
        <v>703327</v>
      </c>
      <c r="AF468" s="8"/>
      <c r="AG468" s="12" t="s">
        <v>487</v>
      </c>
      <c r="AH468" s="12"/>
      <c r="AI468" s="12" t="s">
        <v>42</v>
      </c>
      <c r="AJ468" s="12"/>
      <c r="AK468" s="8">
        <v>0</v>
      </c>
      <c r="AL468" s="8"/>
      <c r="AM468" s="8">
        <v>1513630</v>
      </c>
      <c r="AN468" s="8"/>
      <c r="AO468" s="8">
        <v>1945039</v>
      </c>
      <c r="AP468" s="8"/>
      <c r="AQ468" s="8">
        <v>1015684</v>
      </c>
      <c r="AR468" s="8"/>
      <c r="AS468" s="8"/>
      <c r="AT468" s="8"/>
      <c r="AU468" s="8">
        <f>31142+696643</f>
        <v>727785</v>
      </c>
      <c r="AV468" s="8"/>
      <c r="AW468" s="8">
        <f t="shared" si="25"/>
        <v>38543245</v>
      </c>
      <c r="AY468" s="8">
        <f>+'St of Activites - GA Rev'!AI472-'St of Activities - GA Exp'!AW468</f>
        <v>714485</v>
      </c>
      <c r="BA468" s="8">
        <v>12676622</v>
      </c>
      <c r="BC468" s="8">
        <f t="shared" si="26"/>
        <v>13391107</v>
      </c>
      <c r="BE468" s="8">
        <f>+'St of Net Assets - GA'!AA471-'St of Activities - GA Exp'!BC468</f>
        <v>0</v>
      </c>
    </row>
    <row r="469" spans="1:57" s="8" customFormat="1" ht="12" customHeight="1">
      <c r="A469" s="13" t="s">
        <v>412</v>
      </c>
      <c r="B469" s="13"/>
      <c r="C469" s="13" t="s">
        <v>32</v>
      </c>
      <c r="D469" s="13"/>
      <c r="E469" s="13">
        <v>47381</v>
      </c>
      <c r="G469" s="8">
        <v>16541408</v>
      </c>
      <c r="I469" s="8">
        <v>4056395</v>
      </c>
      <c r="K469" s="8">
        <v>238753</v>
      </c>
      <c r="M469" s="8">
        <v>661079</v>
      </c>
      <c r="O469" s="8">
        <v>1488651</v>
      </c>
      <c r="Q469" s="8">
        <v>1264239</v>
      </c>
      <c r="S469" s="8">
        <v>0</v>
      </c>
      <c r="U469" s="8">
        <f>2907902+50357</f>
        <v>2958259</v>
      </c>
      <c r="W469" s="8">
        <v>781207</v>
      </c>
      <c r="Y469" s="8">
        <v>0</v>
      </c>
      <c r="AA469" s="8">
        <v>3548226</v>
      </c>
      <c r="AC469" s="8">
        <v>1893750</v>
      </c>
      <c r="AE469" s="8">
        <v>68998</v>
      </c>
      <c r="AG469" s="13" t="s">
        <v>412</v>
      </c>
      <c r="AH469" s="13"/>
      <c r="AI469" s="13" t="s">
        <v>32</v>
      </c>
      <c r="AJ469" s="13"/>
      <c r="AK469" s="8">
        <v>0</v>
      </c>
      <c r="AM469" s="8">
        <v>2263871</v>
      </c>
      <c r="AO469" s="8">
        <v>821616</v>
      </c>
      <c r="AQ469" s="8">
        <v>1511084</v>
      </c>
      <c r="AU469" s="8">
        <v>0</v>
      </c>
      <c r="AW469" s="8">
        <f t="shared" si="25"/>
        <v>38097536</v>
      </c>
      <c r="AY469" s="8">
        <f>+'St of Activites - GA Rev'!AI473-'St of Activities - GA Exp'!AW469</f>
        <v>-1198145</v>
      </c>
      <c r="BA469" s="8">
        <v>7211193</v>
      </c>
      <c r="BC469" s="8">
        <f t="shared" si="26"/>
        <v>6013048</v>
      </c>
      <c r="BE469" s="8">
        <f>+'St of Net Assets - GA'!AA472-'St of Activities - GA Exp'!BC469</f>
        <v>0</v>
      </c>
    </row>
    <row r="470" spans="1:57" s="8" customFormat="1">
      <c r="A470" s="13" t="s">
        <v>367</v>
      </c>
      <c r="B470" s="13"/>
      <c r="C470" s="13" t="s">
        <v>27</v>
      </c>
      <c r="D470" s="13"/>
      <c r="E470" s="13">
        <v>44800</v>
      </c>
      <c r="G470" s="8">
        <v>92884468</v>
      </c>
      <c r="I470" s="8">
        <v>24665611</v>
      </c>
      <c r="K470" s="8">
        <v>6229106</v>
      </c>
      <c r="M470" s="8">
        <v>2521547</v>
      </c>
      <c r="O470" s="8">
        <v>8423846</v>
      </c>
      <c r="Q470" s="8">
        <v>14006287</v>
      </c>
      <c r="S470" s="8">
        <v>59840</v>
      </c>
      <c r="U470" s="8">
        <v>15895145</v>
      </c>
      <c r="W470" s="8">
        <v>3326319</v>
      </c>
      <c r="Y470" s="8">
        <v>920806</v>
      </c>
      <c r="AA470" s="8">
        <v>15983374</v>
      </c>
      <c r="AC470" s="8">
        <v>11398807</v>
      </c>
      <c r="AE470" s="8">
        <v>4002153</v>
      </c>
      <c r="AG470" s="13" t="s">
        <v>367</v>
      </c>
      <c r="AH470" s="13"/>
      <c r="AI470" s="13" t="s">
        <v>27</v>
      </c>
      <c r="AJ470" s="13"/>
      <c r="AK470" s="8">
        <v>8084601</v>
      </c>
      <c r="AM470" s="8">
        <v>1316649</v>
      </c>
      <c r="AO470" s="8">
        <v>3897530</v>
      </c>
      <c r="AQ470" s="8">
        <v>5468524</v>
      </c>
      <c r="AU470" s="8">
        <v>0</v>
      </c>
      <c r="AW470" s="8">
        <f t="shared" ref="AW470:AW532" si="27">SUM(G470:AV470)</f>
        <v>219084613</v>
      </c>
      <c r="AY470" s="8">
        <f>+'St of Activites - GA Rev'!AI474-'St of Activities - GA Exp'!AW470</f>
        <v>10614578</v>
      </c>
      <c r="BA470" s="8">
        <v>69347768</v>
      </c>
      <c r="BC470" s="8">
        <f t="shared" ref="BC470:BC527" si="28">+AY470+BA470</f>
        <v>79962346</v>
      </c>
      <c r="BE470" s="8">
        <f>+'St of Net Assets - GA'!AA473-'St of Activities - GA Exp'!BC470</f>
        <v>0</v>
      </c>
    </row>
    <row r="471" spans="1:57" ht="12" hidden="1" customHeight="1">
      <c r="A471" s="12" t="s">
        <v>214</v>
      </c>
      <c r="B471" s="12"/>
      <c r="C471" s="12" t="s">
        <v>10</v>
      </c>
      <c r="D471" s="12"/>
      <c r="E471" s="32">
        <v>45807</v>
      </c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12" t="s">
        <v>214</v>
      </c>
      <c r="AH471" s="12"/>
      <c r="AI471" s="12" t="s">
        <v>10</v>
      </c>
      <c r="AJ471" s="12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>
        <v>0</v>
      </c>
      <c r="AV471" s="8"/>
      <c r="AW471" s="8">
        <f t="shared" si="27"/>
        <v>0</v>
      </c>
      <c r="AY471" s="8">
        <f>+'St of Activites - GA Rev'!AI475-'St of Activities - GA Exp'!AW471</f>
        <v>0</v>
      </c>
      <c r="BC471" s="8">
        <f t="shared" si="28"/>
        <v>0</v>
      </c>
      <c r="BE471" s="8">
        <f>+'St of Net Assets - GA'!AA474-'St of Activities - GA Exp'!BC471</f>
        <v>0</v>
      </c>
    </row>
    <row r="472" spans="1:57" ht="12" customHeight="1">
      <c r="A472" s="12" t="s">
        <v>719</v>
      </c>
      <c r="B472" s="12"/>
      <c r="C472" s="12" t="s">
        <v>69</v>
      </c>
      <c r="D472" s="12"/>
      <c r="E472" s="32">
        <v>50427</v>
      </c>
      <c r="G472" s="8">
        <v>22647567</v>
      </c>
      <c r="H472" s="8"/>
      <c r="I472" s="8">
        <v>3209069</v>
      </c>
      <c r="J472" s="8"/>
      <c r="K472" s="8">
        <v>97847</v>
      </c>
      <c r="L472" s="8"/>
      <c r="M472" s="8">
        <v>321652</v>
      </c>
      <c r="N472" s="8"/>
      <c r="O472" s="8">
        <v>3197775</v>
      </c>
      <c r="P472" s="8"/>
      <c r="Q472" s="8">
        <v>3270018</v>
      </c>
      <c r="R472" s="8"/>
      <c r="S472" s="8">
        <v>154772</v>
      </c>
      <c r="T472" s="8"/>
      <c r="U472" s="8">
        <v>3460405</v>
      </c>
      <c r="V472" s="8"/>
      <c r="W472" s="8">
        <v>1146577</v>
      </c>
      <c r="X472" s="8"/>
      <c r="Y472" s="8">
        <v>184760</v>
      </c>
      <c r="Z472" s="8"/>
      <c r="AA472" s="8">
        <v>4816373</v>
      </c>
      <c r="AB472" s="8"/>
      <c r="AC472" s="8">
        <v>3066648</v>
      </c>
      <c r="AD472" s="8"/>
      <c r="AE472" s="8">
        <v>206225</v>
      </c>
      <c r="AF472" s="8"/>
      <c r="AG472" s="12" t="s">
        <v>719</v>
      </c>
      <c r="AH472" s="12"/>
      <c r="AI472" s="12" t="s">
        <v>69</v>
      </c>
      <c r="AJ472" s="12"/>
      <c r="AK472" s="8">
        <v>0</v>
      </c>
      <c r="AL472" s="8"/>
      <c r="AM472" s="8">
        <v>1378643</v>
      </c>
      <c r="AN472" s="8"/>
      <c r="AO472" s="8">
        <v>1068926</v>
      </c>
      <c r="AP472" s="8"/>
      <c r="AQ472" s="8">
        <v>5233160</v>
      </c>
      <c r="AR472" s="8"/>
      <c r="AS472" s="8"/>
      <c r="AT472" s="8"/>
      <c r="AU472" s="8">
        <v>0</v>
      </c>
      <c r="AV472" s="8"/>
      <c r="AW472" s="8">
        <f t="shared" si="27"/>
        <v>53460417</v>
      </c>
      <c r="AY472" s="8">
        <f>+'St of Activites - GA Rev'!AI476-'St of Activities - GA Exp'!AW472</f>
        <v>-743508</v>
      </c>
      <c r="BA472" s="8">
        <v>-1286567</v>
      </c>
      <c r="BC472" s="8">
        <f t="shared" si="28"/>
        <v>-2030075</v>
      </c>
      <c r="BE472" s="8">
        <f>+'St of Net Assets - GA'!AA475-'St of Activities - GA Exp'!BC472</f>
        <v>0</v>
      </c>
    </row>
    <row r="473" spans="1:57">
      <c r="A473" s="12" t="s">
        <v>899</v>
      </c>
      <c r="B473" s="12"/>
      <c r="C473" s="12" t="s">
        <v>17</v>
      </c>
      <c r="D473" s="12"/>
      <c r="E473" s="32"/>
      <c r="G473" s="8">
        <v>38819278</v>
      </c>
      <c r="H473" s="8"/>
      <c r="I473" s="8">
        <v>10004147</v>
      </c>
      <c r="J473" s="8"/>
      <c r="K473" s="8">
        <v>412139</v>
      </c>
      <c r="L473" s="8"/>
      <c r="M473" s="8">
        <f>263628+1734542</f>
        <v>1998170</v>
      </c>
      <c r="N473" s="8"/>
      <c r="O473" s="8">
        <v>5869183</v>
      </c>
      <c r="P473" s="8"/>
      <c r="Q473" s="8">
        <v>7019596</v>
      </c>
      <c r="R473" s="8"/>
      <c r="S473" s="8">
        <v>205787</v>
      </c>
      <c r="T473" s="8"/>
      <c r="U473" s="8">
        <v>5906938</v>
      </c>
      <c r="V473" s="8"/>
      <c r="W473" s="8">
        <v>1630265</v>
      </c>
      <c r="X473" s="8"/>
      <c r="Y473" s="8">
        <v>356499</v>
      </c>
      <c r="Z473" s="8"/>
      <c r="AA473" s="8">
        <v>8981875</v>
      </c>
      <c r="AB473" s="8"/>
      <c r="AC473" s="8">
        <v>1953952</v>
      </c>
      <c r="AD473" s="8"/>
      <c r="AE473" s="8">
        <v>790228</v>
      </c>
      <c r="AF473" s="8"/>
      <c r="AG473" s="12" t="s">
        <v>815</v>
      </c>
      <c r="AH473" s="12"/>
      <c r="AI473" s="12" t="s">
        <v>17</v>
      </c>
      <c r="AJ473" s="12"/>
      <c r="AK473" s="8">
        <v>0</v>
      </c>
      <c r="AL473" s="8"/>
      <c r="AM473" s="8">
        <v>6326691</v>
      </c>
      <c r="AN473" s="8"/>
      <c r="AO473" s="8">
        <v>953138</v>
      </c>
      <c r="AP473" s="8"/>
      <c r="AQ473" s="8">
        <v>2643336</v>
      </c>
      <c r="AR473" s="8"/>
      <c r="AS473" s="8"/>
      <c r="AT473" s="8"/>
      <c r="AU473" s="8">
        <v>3250259</v>
      </c>
      <c r="AV473" s="8"/>
      <c r="AW473" s="8">
        <f t="shared" si="27"/>
        <v>97121481</v>
      </c>
      <c r="AY473" s="8">
        <f>+'St of Activites - GA Rev'!AI477-'St of Activities - GA Exp'!AW473</f>
        <v>8725360</v>
      </c>
      <c r="BA473" s="8">
        <v>173852111</v>
      </c>
      <c r="BC473" s="8">
        <f t="shared" si="28"/>
        <v>182577471</v>
      </c>
      <c r="BE473" s="8">
        <f>+'St of Net Assets - GA'!AA476-'St of Activities - GA Exp'!BC473</f>
        <v>0</v>
      </c>
    </row>
    <row r="474" spans="1:57">
      <c r="A474" s="12" t="s">
        <v>506</v>
      </c>
      <c r="B474" s="12"/>
      <c r="C474" s="12" t="s">
        <v>118</v>
      </c>
      <c r="D474" s="12"/>
      <c r="E474" s="32">
        <v>48223</v>
      </c>
      <c r="G474" s="8">
        <v>17263221</v>
      </c>
      <c r="H474" s="8"/>
      <c r="I474" s="8">
        <v>4061518</v>
      </c>
      <c r="J474" s="8"/>
      <c r="K474" s="8">
        <v>319731</v>
      </c>
      <c r="L474" s="8"/>
      <c r="M474" s="8">
        <v>2474062</v>
      </c>
      <c r="N474" s="8"/>
      <c r="O474" s="8">
        <v>1615844</v>
      </c>
      <c r="P474" s="8"/>
      <c r="Q474" s="8">
        <v>576205</v>
      </c>
      <c r="R474" s="8"/>
      <c r="S474" s="8">
        <v>53771</v>
      </c>
      <c r="T474" s="8"/>
      <c r="U474" s="8">
        <v>2770042</v>
      </c>
      <c r="V474" s="8"/>
      <c r="W474" s="8">
        <v>695079</v>
      </c>
      <c r="X474" s="8"/>
      <c r="Y474" s="8">
        <v>0</v>
      </c>
      <c r="Z474" s="8"/>
      <c r="AA474" s="8">
        <v>3491374</v>
      </c>
      <c r="AB474" s="8"/>
      <c r="AC474" s="8">
        <v>2146412</v>
      </c>
      <c r="AD474" s="8"/>
      <c r="AE474" s="8">
        <v>133593</v>
      </c>
      <c r="AF474" s="8"/>
      <c r="AG474" s="12" t="s">
        <v>506</v>
      </c>
      <c r="AH474" s="12"/>
      <c r="AI474" s="12" t="s">
        <v>118</v>
      </c>
      <c r="AJ474" s="12"/>
      <c r="AK474" s="8">
        <v>0</v>
      </c>
      <c r="AL474" s="8"/>
      <c r="AM474" s="8">
        <v>2450604</v>
      </c>
      <c r="AN474" s="8"/>
      <c r="AO474" s="8">
        <v>1102427</v>
      </c>
      <c r="AP474" s="8"/>
      <c r="AQ474" s="8">
        <v>717091</v>
      </c>
      <c r="AR474" s="8"/>
      <c r="AS474" s="8"/>
      <c r="AT474" s="8"/>
      <c r="AU474" s="8">
        <v>1008920</v>
      </c>
      <c r="AV474" s="8"/>
      <c r="AW474" s="8">
        <f t="shared" si="27"/>
        <v>40879894</v>
      </c>
      <c r="AY474" s="8">
        <f>+'St of Activites - GA Rev'!AI478-'St of Activities - GA Exp'!AW474</f>
        <v>1354529</v>
      </c>
      <c r="BA474" s="8">
        <v>9372405</v>
      </c>
      <c r="BC474" s="8">
        <f t="shared" si="28"/>
        <v>10726934</v>
      </c>
      <c r="BE474" s="8">
        <f>+'St of Net Assets - GA'!AA477-'St of Activities - GA Exp'!BC474</f>
        <v>0</v>
      </c>
    </row>
    <row r="475" spans="1:57">
      <c r="A475" s="12" t="s">
        <v>506</v>
      </c>
      <c r="B475" s="12"/>
      <c r="C475" s="12" t="s">
        <v>45</v>
      </c>
      <c r="D475" s="12"/>
      <c r="E475" s="32">
        <v>48371</v>
      </c>
      <c r="G475" s="8">
        <v>4926847</v>
      </c>
      <c r="H475" s="8"/>
      <c r="I475" s="8">
        <v>964455</v>
      </c>
      <c r="J475" s="8"/>
      <c r="K475" s="8">
        <v>195733</v>
      </c>
      <c r="L475" s="8"/>
      <c r="M475" s="8">
        <v>74862</v>
      </c>
      <c r="N475" s="8"/>
      <c r="O475" s="8">
        <v>411900</v>
      </c>
      <c r="P475" s="8"/>
      <c r="Q475" s="8">
        <v>517243</v>
      </c>
      <c r="R475" s="8"/>
      <c r="S475" s="8">
        <v>18383</v>
      </c>
      <c r="T475" s="8"/>
      <c r="U475" s="8">
        <v>1111293</v>
      </c>
      <c r="V475" s="8"/>
      <c r="W475" s="8">
        <v>295562</v>
      </c>
      <c r="X475" s="8"/>
      <c r="Y475" s="8">
        <v>4786</v>
      </c>
      <c r="Z475" s="8"/>
      <c r="AA475" s="8">
        <v>952346</v>
      </c>
      <c r="AB475" s="8"/>
      <c r="AC475" s="8">
        <v>570403</v>
      </c>
      <c r="AD475" s="8"/>
      <c r="AE475" s="8">
        <v>24399</v>
      </c>
      <c r="AF475" s="8"/>
      <c r="AG475" s="12" t="s">
        <v>506</v>
      </c>
      <c r="AH475" s="12"/>
      <c r="AI475" s="12" t="s">
        <v>45</v>
      </c>
      <c r="AJ475" s="12"/>
      <c r="AK475" s="8">
        <v>513181</v>
      </c>
      <c r="AL475" s="8"/>
      <c r="AM475" s="8">
        <v>7415</v>
      </c>
      <c r="AN475" s="8"/>
      <c r="AO475" s="8">
        <v>517224</v>
      </c>
      <c r="AP475" s="8"/>
      <c r="AQ475" s="8">
        <v>94299</v>
      </c>
      <c r="AR475" s="8"/>
      <c r="AS475" s="8"/>
      <c r="AT475" s="8"/>
      <c r="AU475" s="8">
        <v>0</v>
      </c>
      <c r="AV475" s="8"/>
      <c r="AW475" s="8">
        <f t="shared" si="27"/>
        <v>11200331</v>
      </c>
      <c r="AY475" s="8">
        <f>+'St of Activites - GA Rev'!AI479-'St of Activities - GA Exp'!AW475</f>
        <v>515399</v>
      </c>
      <c r="BA475" s="8">
        <v>4724856</v>
      </c>
      <c r="BC475" s="8">
        <f t="shared" si="28"/>
        <v>5240255</v>
      </c>
      <c r="BE475" s="8">
        <f>+'St of Net Assets - GA'!AA478-'St of Activities - GA Exp'!BC475</f>
        <v>0</v>
      </c>
    </row>
    <row r="476" spans="1:57">
      <c r="A476" s="12" t="s">
        <v>506</v>
      </c>
      <c r="B476" s="12"/>
      <c r="C476" s="12" t="s">
        <v>63</v>
      </c>
      <c r="D476" s="12"/>
      <c r="E476" s="32">
        <v>50062</v>
      </c>
      <c r="G476" s="8">
        <v>11828079</v>
      </c>
      <c r="H476" s="8"/>
      <c r="I476" s="8">
        <v>3823922</v>
      </c>
      <c r="J476" s="8"/>
      <c r="K476" s="8">
        <v>179432</v>
      </c>
      <c r="L476" s="8"/>
      <c r="M476" s="8">
        <v>2297849</v>
      </c>
      <c r="N476" s="8"/>
      <c r="O476" s="8">
        <v>1403920</v>
      </c>
      <c r="P476" s="8"/>
      <c r="Q476" s="8">
        <v>829434</v>
      </c>
      <c r="R476" s="8"/>
      <c r="S476" s="8">
        <v>88644</v>
      </c>
      <c r="T476" s="8"/>
      <c r="U476" s="8">
        <v>1659407</v>
      </c>
      <c r="V476" s="8"/>
      <c r="W476" s="8">
        <v>731509</v>
      </c>
      <c r="X476" s="8"/>
      <c r="Y476" s="8">
        <v>121359</v>
      </c>
      <c r="Z476" s="8"/>
      <c r="AA476" s="8">
        <v>2221920</v>
      </c>
      <c r="AB476" s="8"/>
      <c r="AC476" s="8">
        <v>1463542</v>
      </c>
      <c r="AD476" s="8"/>
      <c r="AE476" s="8">
        <v>61008</v>
      </c>
      <c r="AF476" s="8"/>
      <c r="AG476" s="12" t="s">
        <v>506</v>
      </c>
      <c r="AH476" s="12"/>
      <c r="AI476" s="12" t="s">
        <v>63</v>
      </c>
      <c r="AJ476" s="12"/>
      <c r="AK476" s="8">
        <v>1054925</v>
      </c>
      <c r="AL476" s="8"/>
      <c r="AM476" s="8">
        <f>8120+27701</f>
        <v>35821</v>
      </c>
      <c r="AN476" s="8"/>
      <c r="AO476" s="8">
        <v>592090</v>
      </c>
      <c r="AP476" s="8"/>
      <c r="AQ476" s="8">
        <v>45388</v>
      </c>
      <c r="AR476" s="8"/>
      <c r="AS476" s="8"/>
      <c r="AT476" s="8"/>
      <c r="AU476" s="8">
        <v>0</v>
      </c>
      <c r="AV476" s="8"/>
      <c r="AW476" s="8">
        <f t="shared" si="27"/>
        <v>28438249</v>
      </c>
      <c r="AY476" s="8">
        <f>+'St of Activites - GA Rev'!AI480-'St of Activities - GA Exp'!AW476</f>
        <v>375628</v>
      </c>
      <c r="BA476" s="8">
        <v>-1465406</v>
      </c>
      <c r="BC476" s="8">
        <f t="shared" si="28"/>
        <v>-1089778</v>
      </c>
      <c r="BE476" s="8">
        <f>+'St of Net Assets - GA'!AA479-'St of Activities - GA Exp'!BC476</f>
        <v>0</v>
      </c>
    </row>
    <row r="477" spans="1:57">
      <c r="A477" s="12" t="s">
        <v>909</v>
      </c>
      <c r="B477" s="12"/>
      <c r="C477" s="12" t="s">
        <v>32</v>
      </c>
      <c r="D477" s="12"/>
      <c r="E477" s="32">
        <v>44719</v>
      </c>
      <c r="G477" s="8">
        <v>5976094</v>
      </c>
      <c r="H477" s="8"/>
      <c r="I477" s="8">
        <v>1241463</v>
      </c>
      <c r="J477" s="8"/>
      <c r="K477" s="8">
        <v>0</v>
      </c>
      <c r="L477" s="8"/>
      <c r="M477" s="8">
        <v>31963</v>
      </c>
      <c r="N477" s="8"/>
      <c r="O477" s="8">
        <v>1058572</v>
      </c>
      <c r="P477" s="8"/>
      <c r="Q477" s="8">
        <v>918074</v>
      </c>
      <c r="R477" s="8"/>
      <c r="S477" s="8">
        <v>0</v>
      </c>
      <c r="T477" s="8"/>
      <c r="U477" s="8">
        <f>19929+1042102</f>
        <v>1062031</v>
      </c>
      <c r="V477" s="8"/>
      <c r="W477" s="8">
        <v>320571</v>
      </c>
      <c r="X477" s="8"/>
      <c r="Y477" s="8">
        <v>0</v>
      </c>
      <c r="Z477" s="8"/>
      <c r="AA477" s="8">
        <v>1247855</v>
      </c>
      <c r="AB477" s="8"/>
      <c r="AC477" s="8">
        <v>444761</v>
      </c>
      <c r="AD477" s="8"/>
      <c r="AE477" s="8">
        <v>136575</v>
      </c>
      <c r="AF477" s="8"/>
      <c r="AG477" s="12" t="s">
        <v>413</v>
      </c>
      <c r="AH477" s="12"/>
      <c r="AI477" s="12" t="s">
        <v>32</v>
      </c>
      <c r="AJ477" s="12"/>
      <c r="AK477" s="8">
        <v>0</v>
      </c>
      <c r="AL477" s="8"/>
      <c r="AM477" s="8">
        <v>1053335</v>
      </c>
      <c r="AN477" s="8"/>
      <c r="AO477" s="8">
        <v>182911</v>
      </c>
      <c r="AP477" s="8"/>
      <c r="AQ477" s="8">
        <v>98795</v>
      </c>
      <c r="AR477" s="8"/>
      <c r="AS477" s="8"/>
      <c r="AT477" s="8"/>
      <c r="AU477" s="8">
        <v>0</v>
      </c>
      <c r="AV477" s="8"/>
      <c r="AW477" s="8">
        <f t="shared" si="27"/>
        <v>13773000</v>
      </c>
      <c r="AY477" s="8">
        <f>+'St of Activites - GA Rev'!AI481-'St of Activities - GA Exp'!AW477</f>
        <v>635534</v>
      </c>
      <c r="BA477" s="8">
        <v>4702648</v>
      </c>
      <c r="BC477" s="8">
        <f t="shared" si="28"/>
        <v>5338182</v>
      </c>
      <c r="BE477" s="8">
        <f>+'St of Net Assets - GA'!AA482-'St of Activities - GA Exp'!BC477</f>
        <v>0</v>
      </c>
    </row>
    <row r="478" spans="1:57">
      <c r="A478" s="12" t="s">
        <v>908</v>
      </c>
      <c r="B478" s="12"/>
      <c r="C478" s="12" t="s">
        <v>15</v>
      </c>
      <c r="D478" s="12"/>
      <c r="E478" s="32">
        <v>45997</v>
      </c>
      <c r="G478" s="8">
        <v>6580573</v>
      </c>
      <c r="H478" s="8"/>
      <c r="I478" s="8">
        <v>1379897</v>
      </c>
      <c r="J478" s="8"/>
      <c r="K478" s="8">
        <v>24830</v>
      </c>
      <c r="L478" s="8"/>
      <c r="M478" s="8">
        <v>0</v>
      </c>
      <c r="N478" s="8"/>
      <c r="O478" s="8">
        <v>646925</v>
      </c>
      <c r="P478" s="8"/>
      <c r="Q478" s="8">
        <v>563401</v>
      </c>
      <c r="R478" s="8"/>
      <c r="S478" s="8">
        <v>27069</v>
      </c>
      <c r="T478" s="8"/>
      <c r="U478" s="8">
        <v>1029200</v>
      </c>
      <c r="V478" s="8"/>
      <c r="W478" s="8">
        <v>469791</v>
      </c>
      <c r="X478" s="8"/>
      <c r="Y478" s="8">
        <v>0</v>
      </c>
      <c r="Z478" s="8"/>
      <c r="AA478" s="8">
        <v>1160516</v>
      </c>
      <c r="AB478" s="8"/>
      <c r="AC478" s="8">
        <v>843645</v>
      </c>
      <c r="AD478" s="8"/>
      <c r="AE478" s="8">
        <v>245523</v>
      </c>
      <c r="AF478" s="8"/>
      <c r="AG478" s="12" t="s">
        <v>238</v>
      </c>
      <c r="AH478" s="12"/>
      <c r="AI478" s="12" t="s">
        <v>15</v>
      </c>
      <c r="AJ478" s="12"/>
      <c r="AK478" s="8">
        <v>446962</v>
      </c>
      <c r="AL478" s="8"/>
      <c r="AM478" s="8">
        <v>230918</v>
      </c>
      <c r="AN478" s="8"/>
      <c r="AO478" s="8">
        <v>624346</v>
      </c>
      <c r="AP478" s="8"/>
      <c r="AQ478" s="8">
        <v>228812</v>
      </c>
      <c r="AR478" s="8"/>
      <c r="AS478" s="8"/>
      <c r="AT478" s="8"/>
      <c r="AU478" s="8">
        <v>0</v>
      </c>
      <c r="AV478" s="8"/>
      <c r="AW478" s="8">
        <f t="shared" si="27"/>
        <v>14502408</v>
      </c>
      <c r="AY478" s="8">
        <f>+'St of Activites - GA Rev'!AI482-'St of Activities - GA Exp'!AW478</f>
        <v>1404273</v>
      </c>
      <c r="BA478" s="8">
        <v>6627731</v>
      </c>
      <c r="BC478" s="8">
        <f t="shared" si="28"/>
        <v>8032004</v>
      </c>
      <c r="BE478" s="8">
        <f>+'St of Net Assets - GA'!AA483-'St of Activities - GA Exp'!BC478</f>
        <v>0</v>
      </c>
    </row>
    <row r="479" spans="1:57" ht="12" hidden="1" customHeight="1">
      <c r="A479" s="12" t="s">
        <v>542</v>
      </c>
      <c r="B479" s="12"/>
      <c r="C479" s="12" t="s">
        <v>540</v>
      </c>
      <c r="D479" s="12"/>
      <c r="E479" s="32">
        <v>48587</v>
      </c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12" t="s">
        <v>542</v>
      </c>
      <c r="AH479" s="12"/>
      <c r="AI479" s="12" t="s">
        <v>540</v>
      </c>
      <c r="AJ479" s="12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>
        <v>0</v>
      </c>
      <c r="AV479" s="8"/>
      <c r="AW479" s="8">
        <f t="shared" si="27"/>
        <v>0</v>
      </c>
      <c r="AY479" s="8">
        <f>+'St of Activites - GA Rev'!AI483-'St of Activities - GA Exp'!AW479</f>
        <v>0</v>
      </c>
      <c r="BC479" s="8">
        <f t="shared" si="28"/>
        <v>0</v>
      </c>
      <c r="BE479" s="8">
        <f>+'St of Net Assets - GA'!AA484-'St of Activities - GA Exp'!BC479</f>
        <v>0</v>
      </c>
    </row>
    <row r="480" spans="1:57" ht="12" hidden="1" customHeight="1">
      <c r="A480" s="12" t="s">
        <v>232</v>
      </c>
      <c r="B480" s="12"/>
      <c r="C480" s="12" t="s">
        <v>14</v>
      </c>
      <c r="D480" s="12"/>
      <c r="E480" s="32">
        <v>44727</v>
      </c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12" t="s">
        <v>232</v>
      </c>
      <c r="AH480" s="12"/>
      <c r="AI480" s="12" t="s">
        <v>14</v>
      </c>
      <c r="AJ480" s="12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>
        <v>0</v>
      </c>
      <c r="AV480" s="8"/>
      <c r="AW480" s="8">
        <f t="shared" si="27"/>
        <v>0</v>
      </c>
      <c r="AY480" s="8">
        <f>+'St of Activites - GA Rev'!AI484-'St of Activities - GA Exp'!AW480</f>
        <v>0</v>
      </c>
      <c r="BC480" s="8">
        <f t="shared" si="28"/>
        <v>0</v>
      </c>
      <c r="BE480" s="8">
        <f>+'St of Net Assets - GA'!AA485-'St of Activities - GA Exp'!BC480</f>
        <v>0</v>
      </c>
    </row>
    <row r="481" spans="1:57">
      <c r="A481" s="12" t="s">
        <v>457</v>
      </c>
      <c r="B481" s="12"/>
      <c r="C481" s="12" t="s">
        <v>39</v>
      </c>
      <c r="D481" s="12"/>
      <c r="E481" s="32">
        <v>44826</v>
      </c>
      <c r="G481" s="8">
        <v>9095019</v>
      </c>
      <c r="H481" s="8"/>
      <c r="I481" s="8">
        <v>3556769</v>
      </c>
      <c r="J481" s="8"/>
      <c r="K481" s="8">
        <v>1079293</v>
      </c>
      <c r="L481" s="8"/>
      <c r="M481" s="8">
        <v>0</v>
      </c>
      <c r="N481" s="8"/>
      <c r="O481" s="8">
        <v>1103112</v>
      </c>
      <c r="P481" s="8"/>
      <c r="Q481" s="8">
        <v>746020</v>
      </c>
      <c r="R481" s="8"/>
      <c r="S481" s="8">
        <v>35878</v>
      </c>
      <c r="T481" s="8"/>
      <c r="U481" s="8">
        <v>1892430</v>
      </c>
      <c r="V481" s="8"/>
      <c r="W481" s="8">
        <v>409495</v>
      </c>
      <c r="X481" s="8"/>
      <c r="Y481" s="8">
        <v>178023</v>
      </c>
      <c r="Z481" s="8"/>
      <c r="AA481" s="8">
        <v>2282366</v>
      </c>
      <c r="AB481" s="8"/>
      <c r="AC481" s="8">
        <v>381637</v>
      </c>
      <c r="AD481" s="8"/>
      <c r="AE481" s="8">
        <v>17553</v>
      </c>
      <c r="AF481" s="8"/>
      <c r="AG481" s="12" t="s">
        <v>457</v>
      </c>
      <c r="AH481" s="12"/>
      <c r="AI481" s="12" t="s">
        <v>39</v>
      </c>
      <c r="AJ481" s="12"/>
      <c r="AK481" s="8">
        <v>890026</v>
      </c>
      <c r="AL481" s="8"/>
      <c r="AM481" s="8">
        <v>452748</v>
      </c>
      <c r="AN481" s="8"/>
      <c r="AO481" s="8">
        <v>630311</v>
      </c>
      <c r="AP481" s="8"/>
      <c r="AQ481" s="8">
        <v>612653</v>
      </c>
      <c r="AR481" s="8"/>
      <c r="AS481" s="8"/>
      <c r="AT481" s="8"/>
      <c r="AU481" s="8">
        <v>0</v>
      </c>
      <c r="AV481" s="8"/>
      <c r="AW481" s="8">
        <f t="shared" si="27"/>
        <v>23363333</v>
      </c>
      <c r="AY481" s="8">
        <f>+'St of Activites - GA Rev'!AI485-'St of Activities - GA Exp'!AW481</f>
        <v>762737</v>
      </c>
      <c r="BA481" s="8">
        <v>50653919</v>
      </c>
      <c r="BC481" s="8">
        <f t="shared" si="28"/>
        <v>51416656</v>
      </c>
      <c r="BE481" s="8">
        <f>+'St of Net Assets - GA'!AA486-'St of Activities - GA Exp'!BC481</f>
        <v>0</v>
      </c>
    </row>
    <row r="482" spans="1:57">
      <c r="A482" s="12" t="s">
        <v>676</v>
      </c>
      <c r="B482" s="12"/>
      <c r="C482" s="12" t="s">
        <v>63</v>
      </c>
      <c r="D482" s="12"/>
      <c r="E482" s="32">
        <v>44834</v>
      </c>
      <c r="G482" s="8">
        <v>24485458</v>
      </c>
      <c r="H482" s="8"/>
      <c r="I482" s="8">
        <v>4473031</v>
      </c>
      <c r="J482" s="8"/>
      <c r="K482" s="8">
        <v>1715572</v>
      </c>
      <c r="L482" s="8"/>
      <c r="M482" s="8">
        <f>14550+299228</f>
        <v>313778</v>
      </c>
      <c r="N482" s="8"/>
      <c r="O482" s="8">
        <v>3127951</v>
      </c>
      <c r="P482" s="8"/>
      <c r="Q482" s="8">
        <v>2552978</v>
      </c>
      <c r="R482" s="8"/>
      <c r="S482" s="8">
        <v>460799</v>
      </c>
      <c r="T482" s="8"/>
      <c r="U482" s="8">
        <v>2775102</v>
      </c>
      <c r="V482" s="8"/>
      <c r="W482" s="8">
        <v>1172084</v>
      </c>
      <c r="X482" s="8"/>
      <c r="Y482" s="8">
        <v>552982</v>
      </c>
      <c r="Z482" s="8"/>
      <c r="AA482" s="8">
        <v>5130426</v>
      </c>
      <c r="AB482" s="8"/>
      <c r="AC482" s="8">
        <v>3117758</v>
      </c>
      <c r="AD482" s="8"/>
      <c r="AE482" s="8">
        <v>843101</v>
      </c>
      <c r="AF482" s="8"/>
      <c r="AG482" s="12" t="s">
        <v>676</v>
      </c>
      <c r="AH482" s="12"/>
      <c r="AI482" s="12" t="s">
        <v>63</v>
      </c>
      <c r="AJ482" s="12"/>
      <c r="AK482" s="8">
        <v>1296565</v>
      </c>
      <c r="AL482" s="8"/>
      <c r="AM482" s="8">
        <v>42965</v>
      </c>
      <c r="AN482" s="8"/>
      <c r="AO482" s="8">
        <v>1236766</v>
      </c>
      <c r="AP482" s="8"/>
      <c r="AQ482" s="8">
        <v>243867</v>
      </c>
      <c r="AR482" s="8"/>
      <c r="AS482" s="8"/>
      <c r="AT482" s="8"/>
      <c r="AU482" s="8">
        <v>427686</v>
      </c>
      <c r="AV482" s="8"/>
      <c r="AW482" s="8">
        <f t="shared" si="27"/>
        <v>53968869</v>
      </c>
      <c r="AY482" s="8">
        <f>+'St of Activites - GA Rev'!AI486-'St of Activities - GA Exp'!AW482</f>
        <v>2403919</v>
      </c>
      <c r="BA482" s="8">
        <v>16364695</v>
      </c>
      <c r="BC482" s="8">
        <f t="shared" si="28"/>
        <v>18768614</v>
      </c>
      <c r="BE482" s="8">
        <f>+'St of Net Assets - GA'!AA487-'St of Activities - GA Exp'!BC482</f>
        <v>0</v>
      </c>
    </row>
    <row r="483" spans="1:57" hidden="1">
      <c r="A483" s="12" t="s">
        <v>705</v>
      </c>
      <c r="B483" s="12"/>
      <c r="C483" s="12" t="s">
        <v>65</v>
      </c>
      <c r="D483" s="12"/>
      <c r="E483" s="32">
        <v>50294</v>
      </c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12" t="s">
        <v>705</v>
      </c>
      <c r="AH483" s="12"/>
      <c r="AI483" s="12" t="s">
        <v>65</v>
      </c>
      <c r="AJ483" s="12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>
        <v>0</v>
      </c>
      <c r="AV483" s="8"/>
      <c r="AW483" s="8">
        <f t="shared" si="27"/>
        <v>0</v>
      </c>
      <c r="AY483" s="8">
        <f>+'St of Activites - GA Rev'!AI487-'St of Activities - GA Exp'!AW483</f>
        <v>0</v>
      </c>
      <c r="BC483" s="8">
        <f t="shared" si="28"/>
        <v>0</v>
      </c>
      <c r="BE483" s="8">
        <f>+'St of Net Assets - GA'!AA488-'St of Activities - GA Exp'!BC483</f>
        <v>0</v>
      </c>
    </row>
    <row r="484" spans="1:57">
      <c r="A484" s="12" t="s">
        <v>602</v>
      </c>
      <c r="B484" s="12"/>
      <c r="C484" s="12" t="s">
        <v>56</v>
      </c>
      <c r="D484" s="12"/>
      <c r="E484" s="32">
        <v>49239</v>
      </c>
      <c r="G484" s="8">
        <v>10623031</v>
      </c>
      <c r="H484" s="8"/>
      <c r="I484" s="8">
        <v>1429639</v>
      </c>
      <c r="J484" s="8"/>
      <c r="K484" s="8">
        <v>85982</v>
      </c>
      <c r="L484" s="8"/>
      <c r="M484" s="8">
        <f>4042+1058644</f>
        <v>1062686</v>
      </c>
      <c r="N484" s="8"/>
      <c r="O484" s="8">
        <v>1179521</v>
      </c>
      <c r="P484" s="8"/>
      <c r="Q484" s="8">
        <v>1189601</v>
      </c>
      <c r="R484" s="8"/>
      <c r="S484" s="8">
        <v>218777</v>
      </c>
      <c r="T484" s="8"/>
      <c r="U484" s="8">
        <v>1568047</v>
      </c>
      <c r="V484" s="8"/>
      <c r="W484" s="8">
        <v>702163</v>
      </c>
      <c r="X484" s="8"/>
      <c r="Y484" s="8">
        <v>145184</v>
      </c>
      <c r="Z484" s="8"/>
      <c r="AA484" s="8">
        <v>1944513</v>
      </c>
      <c r="AB484" s="8"/>
      <c r="AC484" s="8">
        <v>1188700</v>
      </c>
      <c r="AD484" s="8"/>
      <c r="AE484" s="8">
        <v>131267</v>
      </c>
      <c r="AF484" s="8"/>
      <c r="AG484" s="13" t="s">
        <v>602</v>
      </c>
      <c r="AH484" s="13"/>
      <c r="AI484" s="13" t="s">
        <v>56</v>
      </c>
      <c r="AJ484" s="13"/>
      <c r="AK484" s="8">
        <v>762437</v>
      </c>
      <c r="AL484" s="8"/>
      <c r="AM484" s="8">
        <v>168159</v>
      </c>
      <c r="AN484" s="8"/>
      <c r="AO484" s="8">
        <v>474115</v>
      </c>
      <c r="AP484" s="8"/>
      <c r="AQ484" s="8">
        <v>780429</v>
      </c>
      <c r="AR484" s="8"/>
      <c r="AS484" s="8"/>
      <c r="AT484" s="8"/>
      <c r="AU484" s="8">
        <v>0</v>
      </c>
      <c r="AV484" s="8"/>
      <c r="AW484" s="8">
        <f t="shared" si="27"/>
        <v>23654251</v>
      </c>
      <c r="AY484" s="8">
        <f>+'St of Activites - GA Rev'!AI488-'St of Activities - GA Exp'!AW484</f>
        <v>802833</v>
      </c>
      <c r="BA484" s="8">
        <v>371518</v>
      </c>
      <c r="BC484" s="8">
        <f t="shared" si="28"/>
        <v>1174351</v>
      </c>
      <c r="BE484" s="8">
        <f>+'St of Net Assets - GA'!AA489-'St of Activities - GA Exp'!BC484</f>
        <v>0</v>
      </c>
    </row>
    <row r="485" spans="1:57">
      <c r="A485" s="12" t="s">
        <v>327</v>
      </c>
      <c r="B485" s="12"/>
      <c r="C485" s="12" t="s">
        <v>20</v>
      </c>
      <c r="D485" s="12"/>
      <c r="E485" s="32">
        <v>44842</v>
      </c>
      <c r="G485" s="8">
        <v>40385617</v>
      </c>
      <c r="H485" s="8"/>
      <c r="I485" s="8">
        <v>5075166</v>
      </c>
      <c r="J485" s="8"/>
      <c r="K485" s="8">
        <v>331506</v>
      </c>
      <c r="L485" s="8"/>
      <c r="M485" s="8">
        <f>19893+8668</f>
        <v>28561</v>
      </c>
      <c r="N485" s="8"/>
      <c r="O485" s="8">
        <v>3116309</v>
      </c>
      <c r="P485" s="8"/>
      <c r="Q485" s="8">
        <v>3187644</v>
      </c>
      <c r="R485" s="8"/>
      <c r="S485" s="8">
        <v>128482</v>
      </c>
      <c r="T485" s="8"/>
      <c r="U485" s="8">
        <v>3133879</v>
      </c>
      <c r="V485" s="8"/>
      <c r="W485" s="8">
        <v>5145302</v>
      </c>
      <c r="X485" s="8"/>
      <c r="Y485" s="8">
        <v>488678</v>
      </c>
      <c r="Z485" s="8"/>
      <c r="AA485" s="8">
        <v>7326673</v>
      </c>
      <c r="AB485" s="8"/>
      <c r="AC485" s="8">
        <v>3372652</v>
      </c>
      <c r="AD485" s="8"/>
      <c r="AE485" s="8">
        <v>541539</v>
      </c>
      <c r="AF485" s="8"/>
      <c r="AG485" s="12" t="s">
        <v>327</v>
      </c>
      <c r="AH485" s="12"/>
      <c r="AI485" s="12" t="s">
        <v>20</v>
      </c>
      <c r="AJ485" s="12"/>
      <c r="AK485" s="8">
        <v>2012845</v>
      </c>
      <c r="AL485" s="8"/>
      <c r="AM485" s="8">
        <v>590080</v>
      </c>
      <c r="AN485" s="8"/>
      <c r="AO485" s="8">
        <v>648855</v>
      </c>
      <c r="AP485" s="8"/>
      <c r="AQ485" s="8">
        <v>1541080</v>
      </c>
      <c r="AR485" s="8"/>
      <c r="AS485" s="8"/>
      <c r="AT485" s="8"/>
      <c r="AU485" s="8">
        <v>0</v>
      </c>
      <c r="AV485" s="8"/>
      <c r="AW485" s="8">
        <f t="shared" si="27"/>
        <v>77054868</v>
      </c>
      <c r="AY485" s="8">
        <f>+'St of Activites - GA Rev'!AI489-'St of Activities - GA Exp'!AW485</f>
        <v>5848299</v>
      </c>
      <c r="BA485" s="8">
        <v>20527050</v>
      </c>
      <c r="BC485" s="8">
        <f t="shared" si="28"/>
        <v>26375349</v>
      </c>
      <c r="BE485" s="8">
        <f>+'St of Net Assets - GA'!AA490-'St of Activities - GA Exp'!BC485</f>
        <v>0</v>
      </c>
    </row>
    <row r="486" spans="1:57" ht="12" customHeight="1">
      <c r="A486" s="12" t="s">
        <v>523</v>
      </c>
      <c r="B486" s="12"/>
      <c r="C486" s="12" t="s">
        <v>45</v>
      </c>
      <c r="D486" s="12"/>
      <c r="E486" s="32">
        <v>44859</v>
      </c>
      <c r="G486" s="8">
        <v>8893583</v>
      </c>
      <c r="H486" s="8"/>
      <c r="I486" s="8">
        <v>1560576</v>
      </c>
      <c r="J486" s="8"/>
      <c r="K486" s="8">
        <v>505877</v>
      </c>
      <c r="L486" s="8"/>
      <c r="M486" s="8">
        <v>1024285</v>
      </c>
      <c r="N486" s="8"/>
      <c r="O486" s="8">
        <v>669458</v>
      </c>
      <c r="P486" s="8"/>
      <c r="Q486" s="8">
        <v>222907</v>
      </c>
      <c r="R486" s="8"/>
      <c r="S486" s="8">
        <v>88922</v>
      </c>
      <c r="T486" s="8"/>
      <c r="U486" s="8">
        <v>1115347</v>
      </c>
      <c r="V486" s="8"/>
      <c r="W486" s="8">
        <v>433179</v>
      </c>
      <c r="X486" s="8"/>
      <c r="Y486" s="8">
        <v>50140</v>
      </c>
      <c r="Z486" s="8"/>
      <c r="AA486" s="8">
        <v>1750804</v>
      </c>
      <c r="AB486" s="8"/>
      <c r="AC486" s="8">
        <v>328846</v>
      </c>
      <c r="AD486" s="8"/>
      <c r="AE486" s="8">
        <v>18190</v>
      </c>
      <c r="AF486" s="8"/>
      <c r="AG486" s="12" t="s">
        <v>523</v>
      </c>
      <c r="AH486" s="12"/>
      <c r="AI486" s="12" t="s">
        <v>45</v>
      </c>
      <c r="AJ486" s="12"/>
      <c r="AK486" s="8">
        <v>651770</v>
      </c>
      <c r="AL486" s="8"/>
      <c r="AM486" s="8">
        <v>133232</v>
      </c>
      <c r="AN486" s="8"/>
      <c r="AO486" s="8">
        <v>427307</v>
      </c>
      <c r="AP486" s="8"/>
      <c r="AQ486" s="8">
        <v>294099</v>
      </c>
      <c r="AR486" s="8"/>
      <c r="AS486" s="8"/>
      <c r="AT486" s="8"/>
      <c r="AU486" s="8">
        <v>0</v>
      </c>
      <c r="AV486" s="8"/>
      <c r="AW486" s="8">
        <f t="shared" si="27"/>
        <v>18168522</v>
      </c>
      <c r="AY486" s="8">
        <f>+'St of Activites - GA Rev'!AI490-'St of Activities - GA Exp'!AW486</f>
        <v>1877825</v>
      </c>
      <c r="BA486" s="8">
        <v>21130826</v>
      </c>
      <c r="BC486" s="8">
        <f t="shared" si="28"/>
        <v>23008651</v>
      </c>
      <c r="BE486" s="8">
        <f>+'St of Net Assets - GA'!AA491-'St of Activities - GA Exp'!BC486</f>
        <v>0</v>
      </c>
    </row>
    <row r="487" spans="1:57">
      <c r="A487" s="12" t="s">
        <v>738</v>
      </c>
      <c r="B487" s="12"/>
      <c r="C487" s="12" t="s">
        <v>733</v>
      </c>
      <c r="D487" s="12"/>
      <c r="E487" s="32">
        <v>50658</v>
      </c>
      <c r="G487" s="8">
        <v>2121121</v>
      </c>
      <c r="H487" s="8"/>
      <c r="I487" s="8">
        <v>263027</v>
      </c>
      <c r="J487" s="8"/>
      <c r="K487" s="8">
        <v>26951</v>
      </c>
      <c r="L487" s="8"/>
      <c r="M487" s="8">
        <f>5350+339983</f>
        <v>345333</v>
      </c>
      <c r="N487" s="8"/>
      <c r="O487" s="8">
        <v>310465</v>
      </c>
      <c r="P487" s="8"/>
      <c r="Q487" s="8">
        <v>255489</v>
      </c>
      <c r="R487" s="8"/>
      <c r="S487" s="8">
        <v>23294</v>
      </c>
      <c r="T487" s="8"/>
      <c r="U487" s="8">
        <v>360709</v>
      </c>
      <c r="V487" s="8"/>
      <c r="W487" s="8">
        <v>212978</v>
      </c>
      <c r="X487" s="8"/>
      <c r="Y487" s="8">
        <v>9970</v>
      </c>
      <c r="Z487" s="8"/>
      <c r="AA487" s="8">
        <v>298811</v>
      </c>
      <c r="AB487" s="8"/>
      <c r="AC487" s="8">
        <v>182171</v>
      </c>
      <c r="AD487" s="8"/>
      <c r="AE487" s="8">
        <v>25173</v>
      </c>
      <c r="AF487" s="8"/>
      <c r="AG487" s="12" t="s">
        <v>738</v>
      </c>
      <c r="AH487" s="12"/>
      <c r="AI487" s="12" t="s">
        <v>733</v>
      </c>
      <c r="AJ487" s="12"/>
      <c r="AK487" s="8">
        <v>0</v>
      </c>
      <c r="AL487" s="8"/>
      <c r="AM487" s="8">
        <v>188883</v>
      </c>
      <c r="AN487" s="8"/>
      <c r="AO487" s="8">
        <v>221887</v>
      </c>
      <c r="AP487" s="8"/>
      <c r="AQ487" s="8">
        <v>55051</v>
      </c>
      <c r="AR487" s="8"/>
      <c r="AS487" s="8"/>
      <c r="AT487" s="8"/>
      <c r="AU487" s="8">
        <v>750982</v>
      </c>
      <c r="AV487" s="8"/>
      <c r="AW487" s="8">
        <f t="shared" si="27"/>
        <v>5652295</v>
      </c>
      <c r="AY487" s="8">
        <f>+'St of Activites - GA Rev'!AI491-'St of Activities - GA Exp'!AW487</f>
        <v>3242060</v>
      </c>
      <c r="BA487" s="8">
        <v>3108179</v>
      </c>
      <c r="BC487" s="8">
        <f t="shared" si="28"/>
        <v>6350239</v>
      </c>
      <c r="BE487" s="8">
        <f>+'St of Net Assets - GA'!AA492-'St of Activities - GA Exp'!BC487</f>
        <v>0</v>
      </c>
    </row>
    <row r="488" spans="1:57">
      <c r="A488" s="12" t="s">
        <v>391</v>
      </c>
      <c r="B488" s="12"/>
      <c r="C488" s="12" t="s">
        <v>117</v>
      </c>
      <c r="D488" s="12"/>
      <c r="E488" s="32">
        <v>47274</v>
      </c>
      <c r="G488" s="8">
        <v>10509035</v>
      </c>
      <c r="H488" s="8"/>
      <c r="I488" s="8">
        <v>1720995</v>
      </c>
      <c r="J488" s="8"/>
      <c r="K488" s="8">
        <v>0</v>
      </c>
      <c r="L488" s="8"/>
      <c r="M488" s="8">
        <v>0</v>
      </c>
      <c r="N488" s="8"/>
      <c r="O488" s="8">
        <v>2596663</v>
      </c>
      <c r="P488" s="8"/>
      <c r="Q488" s="8">
        <v>1101632</v>
      </c>
      <c r="R488" s="8"/>
      <c r="S488" s="8">
        <v>44698</v>
      </c>
      <c r="T488" s="8"/>
      <c r="U488" s="8">
        <v>1822276</v>
      </c>
      <c r="V488" s="8"/>
      <c r="W488" s="8">
        <v>788610</v>
      </c>
      <c r="X488" s="8"/>
      <c r="Y488" s="8">
        <v>171399</v>
      </c>
      <c r="Z488" s="8"/>
      <c r="AA488" s="8">
        <v>2410088</v>
      </c>
      <c r="AB488" s="8"/>
      <c r="AC488" s="8">
        <v>1744557</v>
      </c>
      <c r="AD488" s="8"/>
      <c r="AE488" s="8">
        <v>107072</v>
      </c>
      <c r="AF488" s="8"/>
      <c r="AG488" s="12" t="s">
        <v>391</v>
      </c>
      <c r="AH488" s="12"/>
      <c r="AI488" s="12" t="s">
        <v>117</v>
      </c>
      <c r="AJ488" s="12"/>
      <c r="AK488" s="8">
        <v>0</v>
      </c>
      <c r="AL488" s="8"/>
      <c r="AM488" s="8">
        <v>679863</v>
      </c>
      <c r="AN488" s="8"/>
      <c r="AO488" s="8">
        <v>1259976</v>
      </c>
      <c r="AP488" s="8"/>
      <c r="AQ488" s="8">
        <v>2134456</v>
      </c>
      <c r="AR488" s="8"/>
      <c r="AS488" s="8"/>
      <c r="AT488" s="8"/>
      <c r="AU488" s="8">
        <v>1717935</v>
      </c>
      <c r="AV488" s="8"/>
      <c r="AW488" s="8">
        <f t="shared" si="27"/>
        <v>28809255</v>
      </c>
      <c r="AY488" s="8">
        <f>+'St of Activites - GA Rev'!AI492-'St of Activities - GA Exp'!AW488</f>
        <v>-272623</v>
      </c>
      <c r="BA488" s="8">
        <v>6214836</v>
      </c>
      <c r="BC488" s="8">
        <f t="shared" si="28"/>
        <v>5942213</v>
      </c>
      <c r="BE488" s="8">
        <f>+'St of Net Assets - GA'!AA493-'St of Activities - GA Exp'!BC488</f>
        <v>0</v>
      </c>
    </row>
    <row r="489" spans="1:57">
      <c r="A489" s="12" t="s">
        <v>377</v>
      </c>
      <c r="B489" s="12"/>
      <c r="C489" s="12" t="s">
        <v>28</v>
      </c>
      <c r="D489" s="12"/>
      <c r="E489" s="32">
        <v>47092</v>
      </c>
      <c r="G489" s="8">
        <v>6174550</v>
      </c>
      <c r="H489" s="8"/>
      <c r="I489" s="8">
        <v>1484646</v>
      </c>
      <c r="J489" s="8"/>
      <c r="K489" s="8">
        <v>0</v>
      </c>
      <c r="L489" s="8"/>
      <c r="M489" s="8">
        <v>0</v>
      </c>
      <c r="N489" s="8"/>
      <c r="O489" s="8">
        <v>581349</v>
      </c>
      <c r="P489" s="8"/>
      <c r="Q489" s="8">
        <v>798371</v>
      </c>
      <c r="R489" s="8"/>
      <c r="S489" s="8">
        <v>7833</v>
      </c>
      <c r="T489" s="8"/>
      <c r="U489" s="8">
        <v>1142478</v>
      </c>
      <c r="V489" s="8"/>
      <c r="W489" s="8">
        <v>495806</v>
      </c>
      <c r="X489" s="8"/>
      <c r="Y489" s="8">
        <v>2435</v>
      </c>
      <c r="Z489" s="8"/>
      <c r="AA489" s="8">
        <v>1161588</v>
      </c>
      <c r="AB489" s="8"/>
      <c r="AC489" s="8">
        <v>747929</v>
      </c>
      <c r="AD489" s="8"/>
      <c r="AE489" s="8">
        <v>54075</v>
      </c>
      <c r="AF489" s="8"/>
      <c r="AG489" s="12" t="s">
        <v>377</v>
      </c>
      <c r="AH489" s="12"/>
      <c r="AI489" s="12" t="s">
        <v>28</v>
      </c>
      <c r="AJ489" s="12"/>
      <c r="AK489" s="8">
        <v>0</v>
      </c>
      <c r="AL489" s="8"/>
      <c r="AM489" s="8">
        <v>671611</v>
      </c>
      <c r="AN489" s="8"/>
      <c r="AO489" s="8">
        <v>563188</v>
      </c>
      <c r="AP489" s="8"/>
      <c r="AQ489" s="8">
        <v>702739</v>
      </c>
      <c r="AR489" s="8"/>
      <c r="AS489" s="8"/>
      <c r="AT489" s="8"/>
      <c r="AU489" s="8">
        <v>0</v>
      </c>
      <c r="AV489" s="8"/>
      <c r="AW489" s="8">
        <f t="shared" si="27"/>
        <v>14588598</v>
      </c>
      <c r="AY489" s="8">
        <f>+'St of Activites - GA Rev'!AI493-'St of Activities - GA Exp'!AW489</f>
        <v>3749259</v>
      </c>
      <c r="BA489" s="8">
        <v>11046992</v>
      </c>
      <c r="BC489" s="8">
        <f t="shared" si="28"/>
        <v>14796251</v>
      </c>
      <c r="BE489" s="8">
        <f>+'St of Net Assets - GA'!AA494-'St of Activities - GA Exp'!BC489</f>
        <v>0</v>
      </c>
    </row>
    <row r="490" spans="1:57">
      <c r="A490" s="12" t="s">
        <v>897</v>
      </c>
      <c r="B490" s="12"/>
      <c r="C490" s="12" t="s">
        <v>49</v>
      </c>
      <c r="D490" s="12"/>
      <c r="E490" s="32">
        <v>48652</v>
      </c>
      <c r="G490" s="8">
        <v>10414904</v>
      </c>
      <c r="H490" s="8"/>
      <c r="I490" s="8">
        <v>2559342</v>
      </c>
      <c r="J490" s="8"/>
      <c r="K490" s="8">
        <v>1965836</v>
      </c>
      <c r="L490" s="8"/>
      <c r="M490" s="8">
        <f>32918+82815</f>
        <v>115733</v>
      </c>
      <c r="N490" s="8"/>
      <c r="O490" s="8">
        <v>967736</v>
      </c>
      <c r="P490" s="8"/>
      <c r="Q490" s="8">
        <v>954732</v>
      </c>
      <c r="R490" s="8"/>
      <c r="S490" s="8">
        <v>23984</v>
      </c>
      <c r="T490" s="8"/>
      <c r="U490" s="8">
        <v>1875316</v>
      </c>
      <c r="V490" s="8"/>
      <c r="W490" s="8">
        <v>715480</v>
      </c>
      <c r="X490" s="8"/>
      <c r="Y490" s="8">
        <v>0</v>
      </c>
      <c r="Z490" s="8"/>
      <c r="AA490" s="8">
        <v>2242375</v>
      </c>
      <c r="AB490" s="8"/>
      <c r="AC490" s="8">
        <v>2693056</v>
      </c>
      <c r="AD490" s="8"/>
      <c r="AE490" s="8">
        <v>82731</v>
      </c>
      <c r="AF490" s="8"/>
      <c r="AG490" s="12" t="s">
        <v>551</v>
      </c>
      <c r="AH490" s="12"/>
      <c r="AI490" s="12" t="s">
        <v>49</v>
      </c>
      <c r="AJ490" s="12"/>
      <c r="AK490" s="8">
        <v>0</v>
      </c>
      <c r="AL490" s="8"/>
      <c r="AM490" s="8">
        <v>1251646</v>
      </c>
      <c r="AN490" s="8"/>
      <c r="AO490" s="8">
        <v>578027</v>
      </c>
      <c r="AP490" s="8"/>
      <c r="AQ490" s="8">
        <v>0</v>
      </c>
      <c r="AR490" s="8"/>
      <c r="AS490" s="8"/>
      <c r="AT490" s="8"/>
      <c r="AU490" s="8">
        <v>0</v>
      </c>
      <c r="AV490" s="8"/>
      <c r="AW490" s="8">
        <f t="shared" si="27"/>
        <v>26440898</v>
      </c>
      <c r="AY490" s="8">
        <f>+'St of Activites - GA Rev'!AI494-'St of Activities - GA Exp'!AW490</f>
        <v>-1157282</v>
      </c>
      <c r="BA490" s="8">
        <v>8286046</v>
      </c>
      <c r="BC490" s="8">
        <f t="shared" si="28"/>
        <v>7128764</v>
      </c>
      <c r="BE490" s="8">
        <f>+'St of Net Assets - GA'!AA495-'St of Activities - GA Exp'!BC490</f>
        <v>0</v>
      </c>
    </row>
    <row r="491" spans="1:57" ht="12" customHeight="1">
      <c r="A491" s="12" t="s">
        <v>414</v>
      </c>
      <c r="B491" s="12"/>
      <c r="C491" s="12" t="s">
        <v>32</v>
      </c>
      <c r="D491" s="12"/>
      <c r="E491" s="32">
        <v>44867</v>
      </c>
      <c r="G491" s="8">
        <v>36183141</v>
      </c>
      <c r="H491" s="8"/>
      <c r="I491" s="8">
        <v>7754586</v>
      </c>
      <c r="J491" s="8"/>
      <c r="K491" s="8">
        <v>2405</v>
      </c>
      <c r="L491" s="8"/>
      <c r="M491" s="8">
        <v>284575</v>
      </c>
      <c r="N491" s="8"/>
      <c r="O491" s="8">
        <v>4490050</v>
      </c>
      <c r="P491" s="8"/>
      <c r="Q491" s="8">
        <v>5212875</v>
      </c>
      <c r="R491" s="8"/>
      <c r="S491" s="8">
        <v>41267</v>
      </c>
      <c r="T491" s="8"/>
      <c r="U491" s="8">
        <v>5027678</v>
      </c>
      <c r="V491" s="8"/>
      <c r="W491" s="8">
        <v>1645935</v>
      </c>
      <c r="X491" s="8"/>
      <c r="Y491" s="8">
        <v>84246</v>
      </c>
      <c r="Z491" s="8"/>
      <c r="AA491" s="8">
        <v>7664935</v>
      </c>
      <c r="AB491" s="8"/>
      <c r="AC491" s="8">
        <v>4176090</v>
      </c>
      <c r="AD491" s="8"/>
      <c r="AE491" s="8">
        <v>1838122</v>
      </c>
      <c r="AF491" s="8"/>
      <c r="AG491" s="12" t="s">
        <v>414</v>
      </c>
      <c r="AH491" s="12"/>
      <c r="AI491" s="12" t="s">
        <v>32</v>
      </c>
      <c r="AJ491" s="12"/>
      <c r="AK491" s="8">
        <v>0</v>
      </c>
      <c r="AL491" s="8"/>
      <c r="AM491" s="8">
        <v>3566667</v>
      </c>
      <c r="AN491" s="8"/>
      <c r="AO491" s="8">
        <v>1683696</v>
      </c>
      <c r="AP491" s="8"/>
      <c r="AQ491" s="8">
        <v>2613047</v>
      </c>
      <c r="AR491" s="8"/>
      <c r="AS491" s="8"/>
      <c r="AT491" s="8"/>
      <c r="AU491" s="8">
        <v>0</v>
      </c>
      <c r="AV491" s="8"/>
      <c r="AW491" s="8">
        <f t="shared" si="27"/>
        <v>82269315</v>
      </c>
      <c r="AY491" s="8">
        <f>+'St of Activites - GA Rev'!AI495-'St of Activities - GA Exp'!AW491</f>
        <v>1215728</v>
      </c>
      <c r="BA491" s="8">
        <v>68238223</v>
      </c>
      <c r="BC491" s="8">
        <f t="shared" si="28"/>
        <v>69453951</v>
      </c>
      <c r="BE491" s="8">
        <f>+'St of Net Assets - GA'!AA496-'St of Activities - GA Exp'!BC491</f>
        <v>0</v>
      </c>
    </row>
    <row r="492" spans="1:57" s="8" customFormat="1">
      <c r="A492" s="13" t="s">
        <v>507</v>
      </c>
      <c r="B492" s="13"/>
      <c r="C492" s="13" t="s">
        <v>118</v>
      </c>
      <c r="D492" s="13"/>
      <c r="E492" s="13">
        <v>44875</v>
      </c>
      <c r="G492" s="8">
        <v>33977991</v>
      </c>
      <c r="I492" s="8">
        <v>7489180</v>
      </c>
      <c r="K492" s="8">
        <v>2384615</v>
      </c>
      <c r="M492" s="8">
        <f>100208+1394321</f>
        <v>1494529</v>
      </c>
      <c r="O492" s="8">
        <v>5540665</v>
      </c>
      <c r="Q492" s="8">
        <v>4550914</v>
      </c>
      <c r="S492" s="8">
        <v>17584</v>
      </c>
      <c r="U492" s="8">
        <v>7507598</v>
      </c>
      <c r="W492" s="8">
        <v>1612354</v>
      </c>
      <c r="Y492" s="8">
        <v>126794</v>
      </c>
      <c r="AA492" s="8">
        <v>9115908</v>
      </c>
      <c r="AC492" s="8">
        <v>5036343</v>
      </c>
      <c r="AE492" s="8">
        <v>1062925</v>
      </c>
      <c r="AG492" s="13" t="s">
        <v>507</v>
      </c>
      <c r="AH492" s="13"/>
      <c r="AI492" s="13" t="s">
        <v>118</v>
      </c>
      <c r="AJ492" s="13"/>
      <c r="AK492" s="8">
        <v>1823741</v>
      </c>
      <c r="AM492" s="8">
        <v>318843</v>
      </c>
      <c r="AO492" s="8">
        <v>2484266</v>
      </c>
      <c r="AQ492" s="8">
        <v>1691993</v>
      </c>
      <c r="AU492" s="8">
        <v>917209</v>
      </c>
      <c r="AW492" s="8">
        <f t="shared" si="27"/>
        <v>87153452</v>
      </c>
      <c r="AY492" s="8">
        <f>+'St of Activites - GA Rev'!AI496-'St of Activities - GA Exp'!AW492</f>
        <v>-117282</v>
      </c>
      <c r="BA492" s="8">
        <v>21921794</v>
      </c>
      <c r="BC492" s="8">
        <f t="shared" si="28"/>
        <v>21804512</v>
      </c>
      <c r="BE492" s="8">
        <f>+'St of Net Assets - GA'!AA497-'St of Activities - GA Exp'!BC492</f>
        <v>0</v>
      </c>
    </row>
    <row r="493" spans="1:57" s="8" customFormat="1">
      <c r="A493" s="13"/>
      <c r="B493" s="13"/>
      <c r="C493" s="13"/>
      <c r="D493" s="13"/>
      <c r="E493" s="13"/>
      <c r="AG493" s="13"/>
      <c r="AH493" s="13"/>
      <c r="AI493" s="13"/>
      <c r="AJ493" s="13"/>
    </row>
    <row r="494" spans="1:57" s="8" customFormat="1">
      <c r="A494" s="13"/>
      <c r="B494" s="13"/>
      <c r="C494" s="13"/>
      <c r="D494" s="13"/>
      <c r="E494" s="13"/>
      <c r="AE494" s="8" t="s">
        <v>819</v>
      </c>
      <c r="AG494" s="13"/>
      <c r="AH494" s="13"/>
      <c r="AI494" s="13"/>
      <c r="AJ494" s="13"/>
      <c r="BC494" s="8" t="s">
        <v>819</v>
      </c>
    </row>
    <row r="495" spans="1:57" s="35" customFormat="1">
      <c r="A495" s="34" t="s">
        <v>477</v>
      </c>
      <c r="B495" s="34"/>
      <c r="C495" s="34" t="s">
        <v>471</v>
      </c>
      <c r="D495" s="34"/>
      <c r="E495" s="34">
        <v>47969</v>
      </c>
      <c r="G495" s="35">
        <v>4764323</v>
      </c>
      <c r="I495" s="35">
        <v>987889</v>
      </c>
      <c r="K495" s="35">
        <v>178767</v>
      </c>
      <c r="M495" s="35">
        <v>0</v>
      </c>
      <c r="O495" s="35">
        <v>279518</v>
      </c>
      <c r="Q495" s="35">
        <v>233968</v>
      </c>
      <c r="S495" s="35">
        <v>54282</v>
      </c>
      <c r="U495" s="35">
        <v>588260</v>
      </c>
      <c r="W495" s="35">
        <v>314836</v>
      </c>
      <c r="Y495" s="35">
        <v>0</v>
      </c>
      <c r="AA495" s="35">
        <v>926530</v>
      </c>
      <c r="AC495" s="35">
        <v>952734</v>
      </c>
      <c r="AE495" s="35">
        <v>69156</v>
      </c>
      <c r="AG495" s="34" t="s">
        <v>477</v>
      </c>
      <c r="AH495" s="34"/>
      <c r="AI495" s="34" t="s">
        <v>471</v>
      </c>
      <c r="AJ495" s="34"/>
      <c r="AK495" s="35">
        <v>416678</v>
      </c>
      <c r="AM495" s="35">
        <v>1875</v>
      </c>
      <c r="AO495" s="35">
        <v>250807</v>
      </c>
      <c r="AQ495" s="35">
        <v>62128</v>
      </c>
      <c r="AU495" s="35">
        <v>0</v>
      </c>
      <c r="AW495" s="35">
        <f t="shared" si="27"/>
        <v>10081751</v>
      </c>
      <c r="AY495" s="35">
        <f>+'St of Activites - GA Rev'!AI499-'St of Activities - GA Exp'!AW495</f>
        <v>-748201</v>
      </c>
      <c r="BA495" s="35">
        <v>15520246</v>
      </c>
      <c r="BC495" s="35">
        <f t="shared" si="28"/>
        <v>14772045</v>
      </c>
      <c r="BE495" s="35">
        <f>+'St of Net Assets - GA'!AA498-'St of Activities - GA Exp'!BC495</f>
        <v>0</v>
      </c>
    </row>
    <row r="496" spans="1:57">
      <c r="A496" s="12" t="s">
        <v>255</v>
      </c>
      <c r="B496" s="12"/>
      <c r="C496" s="12" t="s">
        <v>246</v>
      </c>
      <c r="D496" s="12"/>
      <c r="E496" s="32">
        <v>46151</v>
      </c>
      <c r="G496" s="8">
        <v>14505019</v>
      </c>
      <c r="H496" s="8"/>
      <c r="I496" s="8">
        <v>2752263</v>
      </c>
      <c r="J496" s="8"/>
      <c r="K496" s="8">
        <v>0</v>
      </c>
      <c r="L496" s="8"/>
      <c r="M496" s="8">
        <v>1232110</v>
      </c>
      <c r="N496" s="8"/>
      <c r="O496" s="8">
        <v>1790980</v>
      </c>
      <c r="P496" s="8"/>
      <c r="Q496" s="8">
        <v>2015200</v>
      </c>
      <c r="R496" s="8"/>
      <c r="S496" s="8">
        <v>59448</v>
      </c>
      <c r="T496" s="8"/>
      <c r="U496" s="8">
        <v>2143346</v>
      </c>
      <c r="V496" s="8"/>
      <c r="W496" s="8">
        <v>1159110</v>
      </c>
      <c r="X496" s="8"/>
      <c r="Y496" s="8">
        <v>7691</v>
      </c>
      <c r="Z496" s="8"/>
      <c r="AA496" s="8">
        <v>3555261</v>
      </c>
      <c r="AB496" s="8"/>
      <c r="AC496" s="8">
        <v>2593052</v>
      </c>
      <c r="AD496" s="8"/>
      <c r="AE496" s="8">
        <v>103191</v>
      </c>
      <c r="AF496" s="8"/>
      <c r="AG496" s="12" t="s">
        <v>255</v>
      </c>
      <c r="AH496" s="12"/>
      <c r="AI496" s="12" t="s">
        <v>246</v>
      </c>
      <c r="AJ496" s="12"/>
      <c r="AK496" s="8">
        <v>1122373</v>
      </c>
      <c r="AL496" s="8"/>
      <c r="AM496" s="8">
        <v>0</v>
      </c>
      <c r="AN496" s="8"/>
      <c r="AO496" s="8">
        <f>785993+57933</f>
        <v>843926</v>
      </c>
      <c r="AP496" s="8"/>
      <c r="AQ496" s="8">
        <v>441994</v>
      </c>
      <c r="AR496" s="8"/>
      <c r="AS496" s="8"/>
      <c r="AT496" s="8"/>
      <c r="AU496" s="8">
        <v>0</v>
      </c>
      <c r="AV496" s="8"/>
      <c r="AW496" s="8">
        <f t="shared" si="27"/>
        <v>34324964</v>
      </c>
      <c r="AY496" s="8">
        <f>+'St of Activites - GA Rev'!AI500-'St of Activities - GA Exp'!AW496</f>
        <v>1166968</v>
      </c>
      <c r="BA496" s="8">
        <v>20144220</v>
      </c>
      <c r="BC496" s="8">
        <f t="shared" si="28"/>
        <v>21311188</v>
      </c>
      <c r="BE496" s="8">
        <f>+'St of Net Assets - GA'!AA499-'St of Activities - GA Exp'!BC496</f>
        <v>0</v>
      </c>
    </row>
    <row r="497" spans="1:57">
      <c r="A497" s="12" t="s">
        <v>677</v>
      </c>
      <c r="B497" s="12"/>
      <c r="C497" s="12" t="s">
        <v>63</v>
      </c>
      <c r="D497" s="12"/>
      <c r="E497" s="32">
        <v>44883</v>
      </c>
      <c r="G497" s="8">
        <v>13425994</v>
      </c>
      <c r="H497" s="8"/>
      <c r="I497" s="8">
        <v>2767172</v>
      </c>
      <c r="J497" s="8"/>
      <c r="K497" s="8">
        <v>918552</v>
      </c>
      <c r="L497" s="8"/>
      <c r="M497" s="8">
        <v>103345</v>
      </c>
      <c r="N497" s="8"/>
      <c r="O497" s="8">
        <v>1540659</v>
      </c>
      <c r="P497" s="8"/>
      <c r="Q497" s="8">
        <v>801210</v>
      </c>
      <c r="R497" s="8"/>
      <c r="S497" s="8">
        <v>32928</v>
      </c>
      <c r="T497" s="8"/>
      <c r="U497" s="8">
        <v>2049272</v>
      </c>
      <c r="V497" s="8"/>
      <c r="W497" s="8">
        <v>745266</v>
      </c>
      <c r="X497" s="8"/>
      <c r="Y497" s="8">
        <v>118095</v>
      </c>
      <c r="Z497" s="8"/>
      <c r="AA497" s="8">
        <v>2105974</v>
      </c>
      <c r="AB497" s="8"/>
      <c r="AC497" s="8">
        <v>1541873</v>
      </c>
      <c r="AD497" s="8"/>
      <c r="AE497" s="8">
        <v>271799</v>
      </c>
      <c r="AF497" s="8"/>
      <c r="AG497" s="12" t="s">
        <v>677</v>
      </c>
      <c r="AH497" s="12"/>
      <c r="AI497" s="12" t="s">
        <v>63</v>
      </c>
      <c r="AJ497" s="12"/>
      <c r="AK497" s="8">
        <v>0</v>
      </c>
      <c r="AL497" s="8"/>
      <c r="AM497" s="8">
        <v>628576</v>
      </c>
      <c r="AN497" s="8"/>
      <c r="AO497" s="8">
        <v>966322</v>
      </c>
      <c r="AP497" s="8"/>
      <c r="AQ497" s="8">
        <v>1324665</v>
      </c>
      <c r="AR497" s="8"/>
      <c r="AS497" s="8"/>
      <c r="AT497" s="8"/>
      <c r="AU497" s="8">
        <v>0</v>
      </c>
      <c r="AV497" s="8"/>
      <c r="AW497" s="8">
        <f t="shared" si="27"/>
        <v>29341702</v>
      </c>
      <c r="AY497" s="8">
        <f>+'St of Activites - GA Rev'!AI501-'St of Activities - GA Exp'!AW497</f>
        <v>-581981</v>
      </c>
      <c r="BA497" s="8">
        <v>14878308</v>
      </c>
      <c r="BC497" s="8">
        <f t="shared" si="28"/>
        <v>14296327</v>
      </c>
      <c r="BE497" s="8">
        <f>+'St of Net Assets - GA'!AA500-'St of Activities - GA Exp'!BC497</f>
        <v>0</v>
      </c>
    </row>
    <row r="498" spans="1:57">
      <c r="A498" s="12" t="s">
        <v>590</v>
      </c>
      <c r="B498" s="12"/>
      <c r="C498" s="12" t="s">
        <v>54</v>
      </c>
      <c r="D498" s="12"/>
      <c r="E498" s="32">
        <v>49098</v>
      </c>
      <c r="G498" s="8">
        <v>14793532</v>
      </c>
      <c r="H498" s="8"/>
      <c r="I498" s="8">
        <v>2818539</v>
      </c>
      <c r="J498" s="8"/>
      <c r="K498" s="8">
        <v>894003</v>
      </c>
      <c r="L498" s="8"/>
      <c r="M498" s="8">
        <f>181+260275</f>
        <v>260456</v>
      </c>
      <c r="N498" s="8"/>
      <c r="O498" s="8">
        <v>1005187</v>
      </c>
      <c r="P498" s="8"/>
      <c r="Q498" s="8">
        <v>1535250</v>
      </c>
      <c r="R498" s="8"/>
      <c r="S498" s="8">
        <v>102158</v>
      </c>
      <c r="T498" s="8"/>
      <c r="U498" s="8">
        <v>2809851</v>
      </c>
      <c r="V498" s="8"/>
      <c r="W498" s="8">
        <v>733484</v>
      </c>
      <c r="X498" s="8"/>
      <c r="Y498" s="8">
        <v>174726</v>
      </c>
      <c r="Z498" s="8"/>
      <c r="AA498" s="8">
        <v>2834880</v>
      </c>
      <c r="AB498" s="8"/>
      <c r="AC498" s="8">
        <v>1958299</v>
      </c>
      <c r="AD498" s="8"/>
      <c r="AE498" s="8">
        <v>144627</v>
      </c>
      <c r="AF498" s="8"/>
      <c r="AG498" s="12" t="s">
        <v>590</v>
      </c>
      <c r="AH498" s="12"/>
      <c r="AI498" s="12" t="s">
        <v>54</v>
      </c>
      <c r="AJ498" s="12"/>
      <c r="AK498" s="8">
        <v>1099920</v>
      </c>
      <c r="AL498" s="8"/>
      <c r="AM498" s="8">
        <v>10287</v>
      </c>
      <c r="AN498" s="8"/>
      <c r="AO498" s="8">
        <v>712773</v>
      </c>
      <c r="AP498" s="8"/>
      <c r="AQ498" s="8">
        <v>2065140</v>
      </c>
      <c r="AR498" s="8"/>
      <c r="AS498" s="8"/>
      <c r="AT498" s="8"/>
      <c r="AU498" s="8">
        <v>14441</v>
      </c>
      <c r="AV498" s="8"/>
      <c r="AW498" s="8">
        <f t="shared" si="27"/>
        <v>33967553</v>
      </c>
      <c r="AY498" s="8">
        <f>+'St of Activites - GA Rev'!AI502-'St of Activities - GA Exp'!AW498</f>
        <v>981335</v>
      </c>
      <c r="BA498" s="8">
        <v>84705078</v>
      </c>
      <c r="BC498" s="8">
        <f t="shared" si="28"/>
        <v>85686413</v>
      </c>
      <c r="BE498" s="8">
        <f>+'St of Net Assets - GA'!AA501-'St of Activities - GA Exp'!BC498</f>
        <v>0</v>
      </c>
    </row>
    <row r="499" spans="1:57">
      <c r="A499" s="12" t="s">
        <v>269</v>
      </c>
      <c r="B499" s="12"/>
      <c r="C499" s="12" t="s">
        <v>17</v>
      </c>
      <c r="D499" s="12"/>
      <c r="E499" s="32">
        <v>46243</v>
      </c>
      <c r="G499" s="8">
        <v>13003828</v>
      </c>
      <c r="H499" s="8"/>
      <c r="I499" s="8">
        <v>3220501</v>
      </c>
      <c r="J499" s="8"/>
      <c r="K499" s="8">
        <v>555213</v>
      </c>
      <c r="L499" s="8"/>
      <c r="M499" s="8">
        <v>768850</v>
      </c>
      <c r="N499" s="8"/>
      <c r="O499" s="8">
        <v>1949614</v>
      </c>
      <c r="P499" s="8"/>
      <c r="Q499" s="8">
        <v>1310549</v>
      </c>
      <c r="R499" s="8"/>
      <c r="S499" s="8">
        <v>102638</v>
      </c>
      <c r="T499" s="8"/>
      <c r="U499" s="8">
        <v>3036571</v>
      </c>
      <c r="V499" s="8"/>
      <c r="W499" s="8">
        <v>582043</v>
      </c>
      <c r="X499" s="8"/>
      <c r="Y499" s="8">
        <v>90168</v>
      </c>
      <c r="Z499" s="8"/>
      <c r="AA499" s="8">
        <v>9485917</v>
      </c>
      <c r="AB499" s="8"/>
      <c r="AC499" s="8">
        <v>1564241</v>
      </c>
      <c r="AD499" s="8"/>
      <c r="AE499" s="8">
        <v>145157</v>
      </c>
      <c r="AF499" s="8"/>
      <c r="AG499" s="12" t="s">
        <v>269</v>
      </c>
      <c r="AH499" s="12"/>
      <c r="AI499" s="12" t="s">
        <v>17</v>
      </c>
      <c r="AJ499" s="12"/>
      <c r="AK499" s="8">
        <v>0</v>
      </c>
      <c r="AL499" s="8"/>
      <c r="AM499" s="8">
        <v>1492149</v>
      </c>
      <c r="AN499" s="8"/>
      <c r="AO499" s="8">
        <v>581717</v>
      </c>
      <c r="AP499" s="8"/>
      <c r="AQ499" s="8">
        <v>1199997</v>
      </c>
      <c r="AR499" s="8"/>
      <c r="AS499" s="8"/>
      <c r="AT499" s="8"/>
      <c r="AU499" s="8">
        <v>2576615</v>
      </c>
      <c r="AV499" s="8"/>
      <c r="AW499" s="8">
        <f t="shared" si="27"/>
        <v>41665768</v>
      </c>
      <c r="AY499" s="8">
        <f>+'St of Activites - GA Rev'!AI503-'St of Activities - GA Exp'!AW499</f>
        <v>-8926899</v>
      </c>
      <c r="BA499" s="8">
        <v>79339364</v>
      </c>
      <c r="BC499" s="8">
        <f t="shared" si="28"/>
        <v>70412465</v>
      </c>
      <c r="BE499" s="8">
        <f>+'St of Net Assets - GA'!AA502-'St of Activities - GA Exp'!BC499</f>
        <v>0</v>
      </c>
    </row>
    <row r="500" spans="1:57" ht="12" customHeight="1">
      <c r="A500" s="12" t="s">
        <v>415</v>
      </c>
      <c r="B500" s="12"/>
      <c r="C500" s="12" t="s">
        <v>32</v>
      </c>
      <c r="D500" s="12"/>
      <c r="E500" s="32">
        <v>47399</v>
      </c>
      <c r="G500" s="8">
        <v>9241359</v>
      </c>
      <c r="H500" s="8"/>
      <c r="I500" s="8">
        <v>2161169</v>
      </c>
      <c r="J500" s="8"/>
      <c r="K500" s="8">
        <v>2723</v>
      </c>
      <c r="L500" s="8"/>
      <c r="M500" s="8">
        <v>9706</v>
      </c>
      <c r="N500" s="8"/>
      <c r="O500" s="8">
        <v>1113189</v>
      </c>
      <c r="P500" s="8"/>
      <c r="Q500" s="8">
        <v>1367603</v>
      </c>
      <c r="R500" s="8"/>
      <c r="S500" s="8">
        <v>20397</v>
      </c>
      <c r="T500" s="8"/>
      <c r="U500" s="8">
        <v>1335678</v>
      </c>
      <c r="V500" s="8"/>
      <c r="W500" s="8">
        <v>724211</v>
      </c>
      <c r="X500" s="8"/>
      <c r="Y500" s="8">
        <v>16069</v>
      </c>
      <c r="Z500" s="8"/>
      <c r="AA500" s="8">
        <v>1500681</v>
      </c>
      <c r="AB500" s="8"/>
      <c r="AC500" s="8">
        <v>1249028</v>
      </c>
      <c r="AD500" s="8"/>
      <c r="AE500" s="8">
        <v>415733</v>
      </c>
      <c r="AF500" s="8"/>
      <c r="AG500" s="12" t="s">
        <v>415</v>
      </c>
      <c r="AH500" s="12"/>
      <c r="AI500" s="12" t="s">
        <v>32</v>
      </c>
      <c r="AJ500" s="12"/>
      <c r="AK500" s="8">
        <v>0</v>
      </c>
      <c r="AL500" s="8"/>
      <c r="AM500" s="8">
        <v>720630</v>
      </c>
      <c r="AN500" s="8"/>
      <c r="AO500" s="8">
        <v>401614</v>
      </c>
      <c r="AP500" s="8"/>
      <c r="AQ500" s="8">
        <v>0</v>
      </c>
      <c r="AR500" s="8"/>
      <c r="AS500" s="8"/>
      <c r="AT500" s="8"/>
      <c r="AU500" s="8">
        <v>0</v>
      </c>
      <c r="AV500" s="8"/>
      <c r="AW500" s="8">
        <f>SUM(G500:AV500)</f>
        <v>20279790</v>
      </c>
      <c r="AY500" s="8">
        <f>+'St of Activites - GA Rev'!AI504-'St of Activities - GA Exp'!AW500</f>
        <v>1061448</v>
      </c>
      <c r="BA500" s="8">
        <v>9128464</v>
      </c>
      <c r="BC500" s="8">
        <f>+AY500+BA500</f>
        <v>10189912</v>
      </c>
      <c r="BE500" s="8">
        <f>+'St of Net Assets - GA'!AA503-'St of Activities - GA Exp'!BC500</f>
        <v>0</v>
      </c>
    </row>
    <row r="501" spans="1:57" s="8" customFormat="1">
      <c r="A501" s="8" t="s">
        <v>645</v>
      </c>
      <c r="C501" s="8" t="s">
        <v>60</v>
      </c>
      <c r="G501" s="8">
        <v>10742616</v>
      </c>
      <c r="I501" s="8">
        <v>3346109</v>
      </c>
      <c r="K501" s="8">
        <v>224010</v>
      </c>
      <c r="M501" s="8">
        <v>1801541</v>
      </c>
      <c r="O501" s="8">
        <v>1139822</v>
      </c>
      <c r="Q501" s="8">
        <v>1503322</v>
      </c>
      <c r="S501" s="8">
        <v>40644</v>
      </c>
      <c r="U501" s="8">
        <v>1898490</v>
      </c>
      <c r="W501" s="8">
        <v>730718</v>
      </c>
      <c r="Y501" s="8">
        <v>350</v>
      </c>
      <c r="AA501" s="8">
        <v>2499035</v>
      </c>
      <c r="AC501" s="8">
        <v>716727</v>
      </c>
      <c r="AE501" s="8">
        <v>39824</v>
      </c>
      <c r="AG501" s="8" t="s">
        <v>645</v>
      </c>
      <c r="AI501" s="8" t="s">
        <v>60</v>
      </c>
      <c r="AK501" s="8">
        <v>856416</v>
      </c>
      <c r="AM501" s="8">
        <v>476869</v>
      </c>
      <c r="AO501" s="8">
        <v>702407</v>
      </c>
      <c r="AQ501" s="8">
        <v>488263</v>
      </c>
      <c r="AU501" s="8">
        <v>0</v>
      </c>
      <c r="AW501" s="8">
        <f>SUM(G501:AV501)</f>
        <v>27207163</v>
      </c>
      <c r="AY501" s="8">
        <f>+'St of Activites - GA Rev'!AI506-'St of Activities - GA Exp'!AW501</f>
        <v>885544</v>
      </c>
      <c r="BA501" s="8">
        <v>11667271</v>
      </c>
      <c r="BC501" s="8">
        <f>+AY501+BA501</f>
        <v>12552815</v>
      </c>
      <c r="BE501" s="8">
        <f>+'St of Net Assets - GA'!AA504-'St of Activities - GA Exp'!BC501</f>
        <v>0</v>
      </c>
    </row>
    <row r="502" spans="1:57" ht="12" hidden="1" customHeight="1">
      <c r="A502" s="12" t="s">
        <v>645</v>
      </c>
      <c r="B502" s="12"/>
      <c r="C502" s="12" t="s">
        <v>60</v>
      </c>
      <c r="D502" s="12"/>
      <c r="E502" s="32">
        <v>44891</v>
      </c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12" t="s">
        <v>645</v>
      </c>
      <c r="AH502" s="12"/>
      <c r="AI502" s="12" t="s">
        <v>60</v>
      </c>
      <c r="AJ502" s="12"/>
      <c r="AK502" s="8">
        <v>0</v>
      </c>
      <c r="AL502" s="8"/>
      <c r="AM502" s="8">
        <v>0</v>
      </c>
      <c r="AN502" s="8"/>
      <c r="AO502" s="8">
        <v>0</v>
      </c>
      <c r="AP502" s="8"/>
      <c r="AQ502" s="8">
        <v>0</v>
      </c>
      <c r="AR502" s="8"/>
      <c r="AS502" s="8"/>
      <c r="AT502" s="8"/>
      <c r="AU502" s="8">
        <v>0</v>
      </c>
      <c r="AV502" s="8"/>
      <c r="AW502" s="8">
        <f t="shared" si="27"/>
        <v>0</v>
      </c>
      <c r="AY502" s="8">
        <f>+'St of Activites - GA Rev'!AI505-'St of Activities - GA Exp'!AW502</f>
        <v>0</v>
      </c>
      <c r="BA502" s="8">
        <v>0</v>
      </c>
      <c r="BC502" s="8">
        <f t="shared" si="28"/>
        <v>0</v>
      </c>
      <c r="BE502" s="8" t="e">
        <f>+'St of Net Assets - GA'!#REF!-'St of Activities - GA Exp'!BC502</f>
        <v>#REF!</v>
      </c>
    </row>
    <row r="503" spans="1:57">
      <c r="A503" s="12" t="s">
        <v>549</v>
      </c>
      <c r="B503" s="12"/>
      <c r="C503" s="12" t="s">
        <v>48</v>
      </c>
      <c r="D503" s="12"/>
      <c r="E503" s="32">
        <v>45617</v>
      </c>
      <c r="G503" s="8">
        <v>13886013</v>
      </c>
      <c r="H503" s="8"/>
      <c r="I503" s="8">
        <v>0</v>
      </c>
      <c r="J503" s="8"/>
      <c r="K503" s="8">
        <v>0</v>
      </c>
      <c r="L503" s="8"/>
      <c r="M503" s="8">
        <v>0</v>
      </c>
      <c r="N503" s="8"/>
      <c r="O503" s="8">
        <v>830725</v>
      </c>
      <c r="P503" s="8"/>
      <c r="Q503" s="8">
        <v>1127050</v>
      </c>
      <c r="R503" s="8"/>
      <c r="S503" s="8">
        <v>42210</v>
      </c>
      <c r="T503" s="8"/>
      <c r="U503" s="8">
        <v>1477745</v>
      </c>
      <c r="V503" s="8"/>
      <c r="W503" s="8">
        <v>567642</v>
      </c>
      <c r="X503" s="8"/>
      <c r="Y503" s="8">
        <v>0</v>
      </c>
      <c r="Z503" s="8"/>
      <c r="AA503" s="8">
        <v>1920091</v>
      </c>
      <c r="AB503" s="8"/>
      <c r="AC503" s="8">
        <v>1107159</v>
      </c>
      <c r="AD503" s="8"/>
      <c r="AE503" s="8">
        <v>548072</v>
      </c>
      <c r="AF503" s="8"/>
      <c r="AG503" s="12" t="s">
        <v>549</v>
      </c>
      <c r="AH503" s="12"/>
      <c r="AI503" s="12" t="s">
        <v>48</v>
      </c>
      <c r="AJ503" s="12"/>
      <c r="AK503" s="8">
        <v>0</v>
      </c>
      <c r="AL503" s="8"/>
      <c r="AM503" s="8">
        <v>772431</v>
      </c>
      <c r="AN503" s="8"/>
      <c r="AO503" s="8">
        <f>7068+1212469</f>
        <v>1219537</v>
      </c>
      <c r="AP503" s="8"/>
      <c r="AQ503" s="8">
        <v>958298</v>
      </c>
      <c r="AR503" s="8"/>
      <c r="AS503" s="8"/>
      <c r="AT503" s="8"/>
      <c r="AU503" s="8">
        <v>0</v>
      </c>
      <c r="AV503" s="8"/>
      <c r="AW503" s="8">
        <f t="shared" si="27"/>
        <v>24456973</v>
      </c>
      <c r="AY503" s="8">
        <f>+'St of Activites - GA Rev'!AI507-'St of Activities - GA Exp'!AW503</f>
        <v>546047</v>
      </c>
      <c r="BA503" s="8">
        <v>4099461</v>
      </c>
      <c r="BC503" s="8">
        <f t="shared" si="28"/>
        <v>4645508</v>
      </c>
      <c r="BE503" s="8">
        <f>+'St of Net Assets - GA'!AA505-'St of Activities - GA Exp'!BC503</f>
        <v>0</v>
      </c>
    </row>
    <row r="504" spans="1:57">
      <c r="A504" s="12" t="s">
        <v>508</v>
      </c>
      <c r="B504" s="12"/>
      <c r="C504" s="12" t="s">
        <v>118</v>
      </c>
      <c r="D504" s="12"/>
      <c r="E504" s="32">
        <v>44909</v>
      </c>
      <c r="G504" s="8">
        <v>217439762</v>
      </c>
      <c r="H504" s="8"/>
      <c r="I504" s="8">
        <v>0</v>
      </c>
      <c r="J504" s="8"/>
      <c r="K504" s="8">
        <v>0</v>
      </c>
      <c r="L504" s="8"/>
      <c r="M504" s="8">
        <v>0</v>
      </c>
      <c r="N504" s="8"/>
      <c r="O504" s="8">
        <v>138945601</v>
      </c>
      <c r="P504" s="8"/>
      <c r="Q504" s="8">
        <v>0</v>
      </c>
      <c r="R504" s="8"/>
      <c r="S504" s="8">
        <v>0</v>
      </c>
      <c r="T504" s="8"/>
      <c r="U504" s="8">
        <v>0</v>
      </c>
      <c r="V504" s="8"/>
      <c r="W504" s="8">
        <v>0</v>
      </c>
      <c r="X504" s="8"/>
      <c r="Y504" s="8">
        <v>0</v>
      </c>
      <c r="Z504" s="8"/>
      <c r="AA504" s="8">
        <v>0</v>
      </c>
      <c r="AB504" s="8"/>
      <c r="AC504" s="8">
        <v>0</v>
      </c>
      <c r="AD504" s="8"/>
      <c r="AE504" s="8">
        <v>0</v>
      </c>
      <c r="AF504" s="8"/>
      <c r="AG504" s="12" t="s">
        <v>508</v>
      </c>
      <c r="AH504" s="12"/>
      <c r="AI504" s="12" t="s">
        <v>118</v>
      </c>
      <c r="AJ504" s="12"/>
      <c r="AK504" s="8">
        <v>0</v>
      </c>
      <c r="AL504" s="8"/>
      <c r="AM504" s="8">
        <v>25737290</v>
      </c>
      <c r="AN504" s="8"/>
      <c r="AO504" s="8">
        <v>5247057</v>
      </c>
      <c r="AP504" s="8"/>
      <c r="AQ504" s="8">
        <v>6919481</v>
      </c>
      <c r="AR504" s="8"/>
      <c r="AS504" s="8"/>
      <c r="AT504" s="8"/>
      <c r="AU504" s="8">
        <v>0</v>
      </c>
      <c r="AV504" s="8"/>
      <c r="AW504" s="8">
        <f t="shared" si="27"/>
        <v>394289191</v>
      </c>
      <c r="AY504" s="8">
        <f>+'St of Activites - GA Rev'!AI508-'St of Activities - GA Exp'!AW504</f>
        <v>29820538</v>
      </c>
      <c r="BA504" s="8">
        <v>625832688</v>
      </c>
      <c r="BC504" s="8">
        <f t="shared" si="28"/>
        <v>655653226</v>
      </c>
      <c r="BE504" s="8">
        <f>+'St of Net Assets - GA'!AA506-'St of Activities - GA Exp'!BC504</f>
        <v>0</v>
      </c>
    </row>
    <row r="505" spans="1:57">
      <c r="A505" s="12" t="s">
        <v>458</v>
      </c>
      <c r="B505" s="12"/>
      <c r="C505" s="12" t="s">
        <v>39</v>
      </c>
      <c r="D505" s="12"/>
      <c r="E505" s="32">
        <v>44917</v>
      </c>
      <c r="G505" s="8">
        <v>3014159</v>
      </c>
      <c r="H505" s="8"/>
      <c r="I505" s="8">
        <v>810447</v>
      </c>
      <c r="J505" s="8"/>
      <c r="K505" s="8">
        <v>101326</v>
      </c>
      <c r="L505" s="8"/>
      <c r="M505" s="8">
        <v>134323</v>
      </c>
      <c r="N505" s="8"/>
      <c r="O505" s="8">
        <v>266948</v>
      </c>
      <c r="P505" s="8"/>
      <c r="Q505" s="8">
        <v>299056</v>
      </c>
      <c r="R505" s="8"/>
      <c r="S505" s="8">
        <v>9748</v>
      </c>
      <c r="T505" s="8"/>
      <c r="U505" s="8">
        <v>846213</v>
      </c>
      <c r="V505" s="8"/>
      <c r="W505" s="8">
        <v>322064</v>
      </c>
      <c r="X505" s="8"/>
      <c r="Y505" s="8">
        <v>58580</v>
      </c>
      <c r="Z505" s="8"/>
      <c r="AA505" s="8">
        <v>834560</v>
      </c>
      <c r="AB505" s="8"/>
      <c r="AC505" s="8">
        <v>183808</v>
      </c>
      <c r="AD505" s="8"/>
      <c r="AE505" s="8">
        <v>0</v>
      </c>
      <c r="AF505" s="8"/>
      <c r="AG505" s="12" t="s">
        <v>458</v>
      </c>
      <c r="AH505" s="12"/>
      <c r="AI505" s="12" t="s">
        <v>39</v>
      </c>
      <c r="AJ505" s="12"/>
      <c r="AK505" s="8">
        <v>0</v>
      </c>
      <c r="AL505" s="8"/>
      <c r="AM505" s="8">
        <v>419717</v>
      </c>
      <c r="AN505" s="8"/>
      <c r="AO505" s="8">
        <v>167133</v>
      </c>
      <c r="AP505" s="8"/>
      <c r="AQ505" s="8">
        <v>0</v>
      </c>
      <c r="AR505" s="8"/>
      <c r="AS505" s="8"/>
      <c r="AT505" s="8"/>
      <c r="AU505" s="8">
        <v>0</v>
      </c>
      <c r="AV505" s="8"/>
      <c r="AW505" s="8">
        <f t="shared" si="27"/>
        <v>7468082</v>
      </c>
      <c r="AY505" s="8">
        <f>+'St of Activites - GA Rev'!AI509-'St of Activities - GA Exp'!AW505</f>
        <v>358301</v>
      </c>
      <c r="BA505" s="8">
        <v>5000108</v>
      </c>
      <c r="BC505" s="8">
        <f t="shared" si="28"/>
        <v>5358409</v>
      </c>
      <c r="BE505" s="8">
        <f>+'St of Net Assets - GA'!AA507-'St of Activities - GA Exp'!BC505</f>
        <v>0</v>
      </c>
    </row>
    <row r="506" spans="1:57">
      <c r="A506" s="12" t="s">
        <v>261</v>
      </c>
      <c r="B506" s="12"/>
      <c r="C506" s="12" t="s">
        <v>259</v>
      </c>
      <c r="D506" s="12"/>
      <c r="E506" s="32">
        <v>46201</v>
      </c>
      <c r="G506" s="8">
        <v>4480686</v>
      </c>
      <c r="H506" s="8"/>
      <c r="I506" s="8">
        <v>1131417</v>
      </c>
      <c r="J506" s="8"/>
      <c r="K506" s="8">
        <v>213952</v>
      </c>
      <c r="L506" s="8"/>
      <c r="M506" s="8">
        <v>0</v>
      </c>
      <c r="N506" s="8"/>
      <c r="O506" s="8">
        <v>405323</v>
      </c>
      <c r="P506" s="8"/>
      <c r="Q506" s="8">
        <v>318155</v>
      </c>
      <c r="R506" s="8"/>
      <c r="S506" s="8">
        <v>67964</v>
      </c>
      <c r="T506" s="8"/>
      <c r="U506" s="8">
        <v>807202</v>
      </c>
      <c r="V506" s="8"/>
      <c r="W506" s="8">
        <v>287686</v>
      </c>
      <c r="X506" s="8"/>
      <c r="Y506" s="8">
        <v>1072</v>
      </c>
      <c r="Z506" s="8"/>
      <c r="AA506" s="8">
        <v>1131300</v>
      </c>
      <c r="AB506" s="8"/>
      <c r="AC506" s="8">
        <v>639559</v>
      </c>
      <c r="AD506" s="8"/>
      <c r="AE506" s="8">
        <v>243258</v>
      </c>
      <c r="AF506" s="8"/>
      <c r="AG506" s="12" t="s">
        <v>261</v>
      </c>
      <c r="AH506" s="12"/>
      <c r="AI506" s="12" t="s">
        <v>259</v>
      </c>
      <c r="AJ506" s="12"/>
      <c r="AK506" s="8">
        <v>407046</v>
      </c>
      <c r="AL506" s="8"/>
      <c r="AM506" s="8">
        <v>0</v>
      </c>
      <c r="AN506" s="8"/>
      <c r="AO506" s="8">
        <v>435003</v>
      </c>
      <c r="AP506" s="8"/>
      <c r="AQ506" s="8">
        <v>283709</v>
      </c>
      <c r="AR506" s="8"/>
      <c r="AS506" s="8"/>
      <c r="AT506" s="8"/>
      <c r="AU506" s="8">
        <v>0</v>
      </c>
      <c r="AV506" s="8"/>
      <c r="AW506" s="8">
        <f t="shared" si="27"/>
        <v>10853332</v>
      </c>
      <c r="AY506" s="8">
        <f>+'St of Activites - GA Rev'!AI510-'St of Activities - GA Exp'!AW506</f>
        <v>67121</v>
      </c>
      <c r="BA506" s="8">
        <v>14977839</v>
      </c>
      <c r="BC506" s="8">
        <f t="shared" si="28"/>
        <v>15044960</v>
      </c>
      <c r="BE506" s="8">
        <f>+'St of Net Assets - GA'!AA508-'St of Activities - GA Exp'!BC506</f>
        <v>0</v>
      </c>
    </row>
    <row r="507" spans="1:57">
      <c r="A507" s="12" t="s">
        <v>606</v>
      </c>
      <c r="B507" s="12"/>
      <c r="C507" s="12" t="s">
        <v>57</v>
      </c>
      <c r="D507" s="12"/>
      <c r="E507" s="32">
        <v>91397</v>
      </c>
      <c r="G507" s="8">
        <v>5095164</v>
      </c>
      <c r="H507" s="8"/>
      <c r="I507" s="8">
        <v>797145</v>
      </c>
      <c r="J507" s="8"/>
      <c r="K507" s="8">
        <v>185397</v>
      </c>
      <c r="L507" s="8"/>
      <c r="M507" s="8">
        <v>0</v>
      </c>
      <c r="N507" s="8"/>
      <c r="O507" s="8">
        <v>537373</v>
      </c>
      <c r="P507" s="8"/>
      <c r="Q507" s="8">
        <v>466235</v>
      </c>
      <c r="R507" s="8"/>
      <c r="S507" s="8">
        <v>18139</v>
      </c>
      <c r="T507" s="8"/>
      <c r="U507" s="8">
        <v>1085287</v>
      </c>
      <c r="V507" s="8"/>
      <c r="W507" s="8">
        <v>204579</v>
      </c>
      <c r="X507" s="8"/>
      <c r="Y507" s="8">
        <v>0</v>
      </c>
      <c r="Z507" s="8"/>
      <c r="AA507" s="8">
        <v>847977</v>
      </c>
      <c r="AB507" s="8"/>
      <c r="AC507" s="8">
        <v>536715</v>
      </c>
      <c r="AD507" s="8"/>
      <c r="AE507" s="8">
        <v>27755</v>
      </c>
      <c r="AF507" s="8"/>
      <c r="AG507" s="12" t="s">
        <v>606</v>
      </c>
      <c r="AH507" s="12"/>
      <c r="AI507" s="12" t="s">
        <v>57</v>
      </c>
      <c r="AJ507" s="12"/>
      <c r="AK507" s="8">
        <v>0</v>
      </c>
      <c r="AL507" s="8"/>
      <c r="AM507" s="8">
        <v>462207</v>
      </c>
      <c r="AN507" s="8"/>
      <c r="AO507" s="8">
        <v>398256</v>
      </c>
      <c r="AP507" s="8"/>
      <c r="AQ507" s="8">
        <v>44944</v>
      </c>
      <c r="AR507" s="8"/>
      <c r="AS507" s="8"/>
      <c r="AT507" s="8"/>
      <c r="AU507" s="8">
        <v>0</v>
      </c>
      <c r="AV507" s="8"/>
      <c r="AW507" s="8">
        <f t="shared" si="27"/>
        <v>10707173</v>
      </c>
      <c r="AY507" s="8">
        <f>+'St of Activites - GA Rev'!AI511-'St of Activities - GA Exp'!AW507</f>
        <v>-309051</v>
      </c>
      <c r="BA507" s="8">
        <v>14949442</v>
      </c>
      <c r="BC507" s="8">
        <f t="shared" si="28"/>
        <v>14640391</v>
      </c>
      <c r="BE507" s="8">
        <f>+'St of Net Assets - GA'!AA509-'St of Activities - GA Exp'!BC507</f>
        <v>0</v>
      </c>
    </row>
    <row r="508" spans="1:57">
      <c r="A508" s="12" t="s">
        <v>228</v>
      </c>
      <c r="B508" s="12"/>
      <c r="C508" s="12" t="s">
        <v>13</v>
      </c>
      <c r="D508" s="12"/>
      <c r="E508" s="32">
        <v>45922</v>
      </c>
      <c r="G508" s="8">
        <v>3598837</v>
      </c>
      <c r="H508" s="8"/>
      <c r="I508" s="8">
        <v>1404171</v>
      </c>
      <c r="J508" s="8"/>
      <c r="K508" s="8">
        <v>61821</v>
      </c>
      <c r="L508" s="8"/>
      <c r="M508" s="8">
        <v>782000</v>
      </c>
      <c r="N508" s="8"/>
      <c r="O508" s="8">
        <v>497626</v>
      </c>
      <c r="P508" s="8"/>
      <c r="Q508" s="8">
        <v>419579</v>
      </c>
      <c r="R508" s="8"/>
      <c r="S508" s="8">
        <v>107878</v>
      </c>
      <c r="T508" s="8"/>
      <c r="U508" s="8">
        <v>757060</v>
      </c>
      <c r="V508" s="8"/>
      <c r="W508" s="8">
        <v>174412</v>
      </c>
      <c r="X508" s="8"/>
      <c r="Y508" s="8">
        <v>0</v>
      </c>
      <c r="Z508" s="8"/>
      <c r="AA508" s="8">
        <v>849827</v>
      </c>
      <c r="AB508" s="8"/>
      <c r="AC508" s="8">
        <v>626254</v>
      </c>
      <c r="AD508" s="8"/>
      <c r="AE508" s="8">
        <v>3000</v>
      </c>
      <c r="AF508" s="8"/>
      <c r="AG508" s="12" t="s">
        <v>228</v>
      </c>
      <c r="AH508" s="12"/>
      <c r="AI508" s="12" t="s">
        <v>13</v>
      </c>
      <c r="AJ508" s="12"/>
      <c r="AK508" s="8">
        <v>0</v>
      </c>
      <c r="AL508" s="8"/>
      <c r="AM508" s="8">
        <v>435461</v>
      </c>
      <c r="AN508" s="8"/>
      <c r="AO508" s="8">
        <v>149903</v>
      </c>
      <c r="AP508" s="8"/>
      <c r="AQ508" s="8">
        <v>43932</v>
      </c>
      <c r="AR508" s="8"/>
      <c r="AS508" s="8"/>
      <c r="AT508" s="8"/>
      <c r="AU508" s="8">
        <v>447833</v>
      </c>
      <c r="AV508" s="8"/>
      <c r="AW508" s="8">
        <f t="shared" si="27"/>
        <v>10359594</v>
      </c>
      <c r="AY508" s="8">
        <f>+'St of Activites - GA Rev'!AI512-'St of Activities - GA Exp'!AW508</f>
        <v>-92469</v>
      </c>
      <c r="BA508" s="8">
        <v>13920139</v>
      </c>
      <c r="BC508" s="8">
        <f t="shared" si="28"/>
        <v>13827670</v>
      </c>
      <c r="BE508" s="8">
        <f>+'St of Net Assets - GA'!AA510-'St of Activities - GA Exp'!BC508</f>
        <v>0</v>
      </c>
    </row>
    <row r="509" spans="1:57">
      <c r="A509" s="12" t="s">
        <v>574</v>
      </c>
      <c r="B509" s="12"/>
      <c r="C509" s="12" t="s">
        <v>51</v>
      </c>
      <c r="D509" s="12"/>
      <c r="E509" s="32">
        <v>48876</v>
      </c>
      <c r="G509" s="8">
        <v>11939982</v>
      </c>
      <c r="H509" s="8"/>
      <c r="I509" s="8">
        <v>3642400</v>
      </c>
      <c r="J509" s="8"/>
      <c r="K509" s="8">
        <v>452971</v>
      </c>
      <c r="L509" s="8"/>
      <c r="M509" s="8">
        <v>0</v>
      </c>
      <c r="N509" s="8"/>
      <c r="O509" s="8">
        <v>865995</v>
      </c>
      <c r="P509" s="8"/>
      <c r="Q509" s="8">
        <v>1261247</v>
      </c>
      <c r="R509" s="8"/>
      <c r="S509" s="8">
        <v>778970</v>
      </c>
      <c r="T509" s="8"/>
      <c r="U509" s="8">
        <v>3438940</v>
      </c>
      <c r="V509" s="8"/>
      <c r="W509" s="8">
        <v>485425</v>
      </c>
      <c r="X509" s="8"/>
      <c r="Y509" s="8">
        <v>0</v>
      </c>
      <c r="Z509" s="8"/>
      <c r="AA509" s="8">
        <v>2298619</v>
      </c>
      <c r="AB509" s="8"/>
      <c r="AC509" s="8">
        <v>2172161</v>
      </c>
      <c r="AD509" s="8"/>
      <c r="AE509" s="8">
        <v>381368</v>
      </c>
      <c r="AF509" s="8"/>
      <c r="AG509" s="12" t="s">
        <v>574</v>
      </c>
      <c r="AH509" s="12"/>
      <c r="AI509" s="12" t="s">
        <v>51</v>
      </c>
      <c r="AJ509" s="12"/>
      <c r="AK509" s="8">
        <v>1226478</v>
      </c>
      <c r="AL509" s="8"/>
      <c r="AM509" s="8">
        <v>32783</v>
      </c>
      <c r="AN509" s="8"/>
      <c r="AO509" s="8">
        <v>229871</v>
      </c>
      <c r="AP509" s="8"/>
      <c r="AQ509" s="8">
        <v>857201</v>
      </c>
      <c r="AR509" s="8"/>
      <c r="AS509" s="8"/>
      <c r="AT509" s="8"/>
      <c r="AU509" s="8">
        <v>0</v>
      </c>
      <c r="AV509" s="8"/>
      <c r="AW509" s="8">
        <f t="shared" si="27"/>
        <v>30064411</v>
      </c>
      <c r="AY509" s="8">
        <f>+'St of Activites - GA Rev'!AI513-'St of Activities - GA Exp'!AW509</f>
        <v>-4658744</v>
      </c>
      <c r="BA509" s="8">
        <v>68916062</v>
      </c>
      <c r="BC509" s="8">
        <f t="shared" si="28"/>
        <v>64257318</v>
      </c>
      <c r="BE509" s="8">
        <f>+'St of Net Assets - GA'!AA511-'St of Activities - GA Exp'!BC509</f>
        <v>0</v>
      </c>
    </row>
    <row r="510" spans="1:57" ht="12" hidden="1" customHeight="1">
      <c r="A510" s="12" t="s">
        <v>333</v>
      </c>
      <c r="B510" s="12"/>
      <c r="C510" s="12" t="s">
        <v>21</v>
      </c>
      <c r="D510" s="12"/>
      <c r="E510" s="32">
        <v>46680</v>
      </c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12" t="s">
        <v>333</v>
      </c>
      <c r="AH510" s="12"/>
      <c r="AI510" s="12" t="s">
        <v>21</v>
      </c>
      <c r="AJ510" s="12"/>
      <c r="AK510" s="8"/>
      <c r="AL510" s="8"/>
      <c r="AM510" s="8"/>
      <c r="AN510" s="8"/>
      <c r="AO510" s="8"/>
      <c r="AP510" s="8"/>
      <c r="AQ510" s="8">
        <v>0</v>
      </c>
      <c r="AR510" s="8"/>
      <c r="AS510" s="8"/>
      <c r="AT510" s="8"/>
      <c r="AU510" s="8">
        <v>0</v>
      </c>
      <c r="AV510" s="8"/>
      <c r="AW510" s="8">
        <f t="shared" si="27"/>
        <v>0</v>
      </c>
      <c r="AY510" s="8">
        <f>+'St of Activites - GA Rev'!AI514-'St of Activities - GA Exp'!AW510</f>
        <v>0</v>
      </c>
      <c r="BA510" s="8">
        <v>0</v>
      </c>
      <c r="BC510" s="8">
        <f t="shared" si="28"/>
        <v>0</v>
      </c>
      <c r="BE510" s="8">
        <f>+'St of Net Assets - GA'!AA512-'St of Activities - GA Exp'!BC510</f>
        <v>0</v>
      </c>
    </row>
    <row r="511" spans="1:57">
      <c r="A511" s="12" t="s">
        <v>731</v>
      </c>
      <c r="B511" s="12"/>
      <c r="C511" s="12" t="s">
        <v>71</v>
      </c>
      <c r="D511" s="12"/>
      <c r="E511" s="32">
        <v>50591</v>
      </c>
      <c r="G511" s="8">
        <v>8636470</v>
      </c>
      <c r="H511" s="8"/>
      <c r="I511" s="8">
        <v>1677875</v>
      </c>
      <c r="J511" s="8"/>
      <c r="K511" s="8">
        <v>471924</v>
      </c>
      <c r="L511" s="8"/>
      <c r="M511" s="8">
        <v>107207</v>
      </c>
      <c r="N511" s="8"/>
      <c r="O511" s="8">
        <v>545862</v>
      </c>
      <c r="P511" s="8"/>
      <c r="Q511" s="8">
        <v>828178</v>
      </c>
      <c r="R511" s="8"/>
      <c r="S511" s="8">
        <v>49159</v>
      </c>
      <c r="T511" s="8"/>
      <c r="U511" s="8">
        <v>1367547</v>
      </c>
      <c r="V511" s="8"/>
      <c r="W511" s="8">
        <v>382267</v>
      </c>
      <c r="X511" s="8"/>
      <c r="Y511" s="8">
        <v>24298</v>
      </c>
      <c r="Z511" s="8"/>
      <c r="AA511" s="8">
        <v>1557063</v>
      </c>
      <c r="AB511" s="8"/>
      <c r="AC511" s="8">
        <v>1111687</v>
      </c>
      <c r="AD511" s="8"/>
      <c r="AE511" s="8">
        <v>447017</v>
      </c>
      <c r="AF511" s="8"/>
      <c r="AG511" s="12" t="s">
        <v>731</v>
      </c>
      <c r="AH511" s="12"/>
      <c r="AI511" s="12" t="s">
        <v>71</v>
      </c>
      <c r="AJ511" s="12"/>
      <c r="AK511" s="8">
        <v>775312</v>
      </c>
      <c r="AL511" s="8"/>
      <c r="AM511" s="8">
        <v>199480</v>
      </c>
      <c r="AN511" s="8"/>
      <c r="AO511" s="8">
        <v>714489</v>
      </c>
      <c r="AP511" s="8"/>
      <c r="AQ511" s="8">
        <v>66795</v>
      </c>
      <c r="AR511" s="8"/>
      <c r="AS511" s="8"/>
      <c r="AT511" s="8"/>
      <c r="AU511" s="8">
        <v>0</v>
      </c>
      <c r="AV511" s="8"/>
      <c r="AW511" s="8">
        <f t="shared" si="27"/>
        <v>18962630</v>
      </c>
      <c r="AY511" s="8">
        <f>+'St of Activites - GA Rev'!AI515-'St of Activities - GA Exp'!AW511</f>
        <v>249292</v>
      </c>
      <c r="BA511" s="8">
        <v>3051107</v>
      </c>
      <c r="BC511" s="8">
        <f t="shared" si="28"/>
        <v>3300399</v>
      </c>
      <c r="BE511" s="8">
        <f>+'St of Net Assets - GA'!AA513-'St of Activities - GA Exp'!BC511</f>
        <v>0</v>
      </c>
    </row>
    <row r="512" spans="1:57">
      <c r="A512" s="12" t="s">
        <v>563</v>
      </c>
      <c r="B512" s="12"/>
      <c r="C512" s="12" t="s">
        <v>50</v>
      </c>
      <c r="D512" s="12"/>
      <c r="E512" s="32">
        <v>48694</v>
      </c>
      <c r="G512" s="8">
        <v>18893016</v>
      </c>
      <c r="H512" s="8"/>
      <c r="I512" s="8">
        <v>4961182</v>
      </c>
      <c r="J512" s="8"/>
      <c r="K512" s="8">
        <v>83</v>
      </c>
      <c r="L512" s="8"/>
      <c r="M512" s="8">
        <v>715547</v>
      </c>
      <c r="N512" s="8"/>
      <c r="O512" s="8">
        <v>2040797</v>
      </c>
      <c r="P512" s="8"/>
      <c r="Q512" s="8">
        <v>2567820</v>
      </c>
      <c r="R512" s="8"/>
      <c r="S512" s="8">
        <v>54453</v>
      </c>
      <c r="T512" s="8"/>
      <c r="U512" s="8">
        <v>2750758</v>
      </c>
      <c r="V512" s="8"/>
      <c r="W512" s="8">
        <v>1472368</v>
      </c>
      <c r="X512" s="8"/>
      <c r="Y512" s="8">
        <v>261161</v>
      </c>
      <c r="Z512" s="8"/>
      <c r="AA512" s="8">
        <v>3025115</v>
      </c>
      <c r="AB512" s="8"/>
      <c r="AC512" s="8">
        <v>1589563</v>
      </c>
      <c r="AD512" s="8"/>
      <c r="AE512" s="8">
        <v>1405039</v>
      </c>
      <c r="AF512" s="8"/>
      <c r="AG512" s="12" t="s">
        <v>563</v>
      </c>
      <c r="AH512" s="12"/>
      <c r="AI512" s="12" t="s">
        <v>50</v>
      </c>
      <c r="AJ512" s="12"/>
      <c r="AK512" s="8">
        <v>0</v>
      </c>
      <c r="AL512" s="8"/>
      <c r="AM512" s="8">
        <v>2021177</v>
      </c>
      <c r="AN512" s="8"/>
      <c r="AO512" s="8">
        <v>633568</v>
      </c>
      <c r="AP512" s="8"/>
      <c r="AQ512" s="8">
        <v>2589266</v>
      </c>
      <c r="AR512" s="8"/>
      <c r="AS512" s="8"/>
      <c r="AT512" s="8"/>
      <c r="AU512" s="8">
        <v>0</v>
      </c>
      <c r="AV512" s="8"/>
      <c r="AW512" s="8">
        <f t="shared" si="27"/>
        <v>44980913</v>
      </c>
      <c r="AY512" s="8">
        <f>+'St of Activites - GA Rev'!AI516-'St of Activities - GA Exp'!AW512</f>
        <v>24099846</v>
      </c>
      <c r="BA512" s="8">
        <v>36254942</v>
      </c>
      <c r="BC512" s="8">
        <f t="shared" si="28"/>
        <v>60354788</v>
      </c>
      <c r="BE512" s="8">
        <f>+'St of Net Assets - GA'!AA514-'St of Activities - GA Exp'!BC512</f>
        <v>0</v>
      </c>
    </row>
    <row r="513" spans="1:57">
      <c r="A513" s="12" t="s">
        <v>550</v>
      </c>
      <c r="B513" s="12"/>
      <c r="C513" s="12" t="s">
        <v>48</v>
      </c>
      <c r="D513" s="12"/>
      <c r="E513" s="32">
        <v>44925</v>
      </c>
      <c r="G513" s="8">
        <v>22515657</v>
      </c>
      <c r="H513" s="8"/>
      <c r="I513" s="8">
        <v>5421853</v>
      </c>
      <c r="J513" s="8"/>
      <c r="K513" s="8">
        <v>106983</v>
      </c>
      <c r="L513" s="8"/>
      <c r="M513" s="8">
        <v>2110313</v>
      </c>
      <c r="N513" s="8"/>
      <c r="O513" s="8">
        <v>1945071</v>
      </c>
      <c r="P513" s="8"/>
      <c r="Q513" s="8">
        <v>1206591</v>
      </c>
      <c r="R513" s="8"/>
      <c r="S513" s="8">
        <v>805988</v>
      </c>
      <c r="T513" s="8"/>
      <c r="U513" s="8">
        <v>3384224</v>
      </c>
      <c r="V513" s="8"/>
      <c r="W513" s="8">
        <v>550340</v>
      </c>
      <c r="X513" s="8"/>
      <c r="Y513" s="8">
        <v>663781</v>
      </c>
      <c r="Z513" s="8"/>
      <c r="AA513" s="8">
        <v>3769450</v>
      </c>
      <c r="AB513" s="8"/>
      <c r="AC513" s="8">
        <v>1765263</v>
      </c>
      <c r="AD513" s="8"/>
      <c r="AE513" s="8">
        <v>68068</v>
      </c>
      <c r="AF513" s="8"/>
      <c r="AG513" s="12" t="s">
        <v>550</v>
      </c>
      <c r="AH513" s="12"/>
      <c r="AI513" s="12" t="s">
        <v>48</v>
      </c>
      <c r="AJ513" s="12"/>
      <c r="AK513" s="8">
        <v>0</v>
      </c>
      <c r="AL513" s="8"/>
      <c r="AM513" s="8">
        <v>2674580</v>
      </c>
      <c r="AN513" s="8"/>
      <c r="AO513" s="8">
        <v>304918</v>
      </c>
      <c r="AP513" s="8"/>
      <c r="AQ513" s="8">
        <v>939141</v>
      </c>
      <c r="AR513" s="8"/>
      <c r="AS513" s="8"/>
      <c r="AT513" s="8"/>
      <c r="AU513" s="8">
        <v>608013</v>
      </c>
      <c r="AV513" s="8"/>
      <c r="AW513" s="8">
        <f t="shared" si="27"/>
        <v>48840234</v>
      </c>
      <c r="AY513" s="8">
        <f>+'St of Activites - GA Rev'!AI517-'St of Activities - GA Exp'!AW513</f>
        <v>2995469</v>
      </c>
      <c r="BA513" s="8">
        <v>15121973</v>
      </c>
      <c r="BC513" s="8">
        <f t="shared" si="28"/>
        <v>18117442</v>
      </c>
      <c r="BE513" s="8">
        <f>+'St of Net Assets - GA'!AA515-'St of Activities - GA Exp'!BC513</f>
        <v>0</v>
      </c>
    </row>
    <row r="514" spans="1:57">
      <c r="A514" s="12" t="s">
        <v>706</v>
      </c>
      <c r="B514" s="12"/>
      <c r="C514" s="12" t="s">
        <v>65</v>
      </c>
      <c r="D514" s="12"/>
      <c r="E514" s="32">
        <v>50302</v>
      </c>
      <c r="G514" s="8">
        <v>5642596</v>
      </c>
      <c r="H514" s="8"/>
      <c r="I514" s="8">
        <v>728505</v>
      </c>
      <c r="J514" s="8"/>
      <c r="K514" s="8">
        <v>70812</v>
      </c>
      <c r="L514" s="8"/>
      <c r="M514" s="8">
        <v>1010490</v>
      </c>
      <c r="N514" s="8"/>
      <c r="O514" s="8">
        <v>579792</v>
      </c>
      <c r="P514" s="8"/>
      <c r="Q514" s="8">
        <v>825281</v>
      </c>
      <c r="R514" s="8"/>
      <c r="S514" s="8">
        <v>29552</v>
      </c>
      <c r="T514" s="8"/>
      <c r="U514" s="8">
        <v>968164</v>
      </c>
      <c r="V514" s="8"/>
      <c r="W514" s="8">
        <v>347340</v>
      </c>
      <c r="X514" s="8"/>
      <c r="Y514" s="8">
        <v>0</v>
      </c>
      <c r="Z514" s="8"/>
      <c r="AA514" s="8">
        <v>1051175</v>
      </c>
      <c r="AB514" s="8"/>
      <c r="AC514" s="8">
        <v>932647</v>
      </c>
      <c r="AD514" s="8"/>
      <c r="AE514" s="8">
        <v>46796</v>
      </c>
      <c r="AF514" s="8"/>
      <c r="AG514" s="12" t="s">
        <v>706</v>
      </c>
      <c r="AH514" s="12"/>
      <c r="AI514" s="12" t="s">
        <v>65</v>
      </c>
      <c r="AJ514" s="12"/>
      <c r="AK514" s="8">
        <v>611610</v>
      </c>
      <c r="AL514" s="8"/>
      <c r="AM514" s="8">
        <v>0</v>
      </c>
      <c r="AN514" s="8"/>
      <c r="AO514" s="8">
        <v>446337</v>
      </c>
      <c r="AP514" s="8"/>
      <c r="AQ514" s="8">
        <v>318911</v>
      </c>
      <c r="AR514" s="8"/>
      <c r="AS514" s="8"/>
      <c r="AT514" s="8"/>
      <c r="AU514" s="8">
        <v>0</v>
      </c>
      <c r="AV514" s="8"/>
      <c r="AW514" s="8">
        <f t="shared" si="27"/>
        <v>13610008</v>
      </c>
      <c r="AY514" s="8">
        <f>+'St of Activites - GA Rev'!AI518-'St of Activities - GA Exp'!AW514</f>
        <v>-203037</v>
      </c>
      <c r="BA514" s="8">
        <v>5490455</v>
      </c>
      <c r="BC514" s="8">
        <f t="shared" si="28"/>
        <v>5287418</v>
      </c>
      <c r="BE514" s="8">
        <f>+'St of Net Assets - GA'!AA516-'St of Activities - GA Exp'!BC514</f>
        <v>0</v>
      </c>
    </row>
    <row r="515" spans="1:57">
      <c r="A515" s="12" t="s">
        <v>666</v>
      </c>
      <c r="B515" s="12"/>
      <c r="C515" s="12" t="s">
        <v>62</v>
      </c>
      <c r="D515" s="12"/>
      <c r="E515" s="32">
        <v>49957</v>
      </c>
      <c r="G515" s="8">
        <v>5379706</v>
      </c>
      <c r="H515" s="8"/>
      <c r="I515" s="8">
        <v>1657487</v>
      </c>
      <c r="J515" s="8"/>
      <c r="K515" s="8">
        <v>190251</v>
      </c>
      <c r="L515" s="8"/>
      <c r="M515" s="8">
        <v>291</v>
      </c>
      <c r="N515" s="8"/>
      <c r="O515" s="8">
        <v>631998</v>
      </c>
      <c r="P515" s="8"/>
      <c r="Q515" s="8">
        <v>386015</v>
      </c>
      <c r="R515" s="8"/>
      <c r="S515" s="8">
        <v>16778</v>
      </c>
      <c r="T515" s="8"/>
      <c r="U515" s="8">
        <v>1100097</v>
      </c>
      <c r="V515" s="8"/>
      <c r="W515" s="8">
        <v>350996</v>
      </c>
      <c r="X515" s="8"/>
      <c r="Y515" s="8">
        <v>52399</v>
      </c>
      <c r="Z515" s="8"/>
      <c r="AA515" s="8">
        <v>1187632</v>
      </c>
      <c r="AB515" s="8"/>
      <c r="AC515" s="8">
        <v>946249</v>
      </c>
      <c r="AD515" s="8"/>
      <c r="AE515" s="8">
        <v>45957</v>
      </c>
      <c r="AF515" s="8"/>
      <c r="AG515" s="12" t="s">
        <v>666</v>
      </c>
      <c r="AH515" s="12"/>
      <c r="AI515" s="12" t="s">
        <v>62</v>
      </c>
      <c r="AJ515" s="12"/>
      <c r="AK515" s="8">
        <v>0</v>
      </c>
      <c r="AL515" s="8"/>
      <c r="AM515" s="8">
        <v>576614</v>
      </c>
      <c r="AN515" s="8"/>
      <c r="AO515" s="8">
        <v>676177</v>
      </c>
      <c r="AP515" s="8"/>
      <c r="AQ515" s="8">
        <v>654140</v>
      </c>
      <c r="AR515" s="8"/>
      <c r="AS515" s="8"/>
      <c r="AT515" s="8"/>
      <c r="AU515" s="8">
        <v>0</v>
      </c>
      <c r="AV515" s="8"/>
      <c r="AW515" s="8">
        <f t="shared" si="27"/>
        <v>13852787</v>
      </c>
      <c r="AY515" s="8">
        <f>+'St of Activites - GA Rev'!AI519-'St of Activities - GA Exp'!AW515</f>
        <v>-477396</v>
      </c>
      <c r="BA515" s="8">
        <v>4302391</v>
      </c>
      <c r="BC515" s="8">
        <f t="shared" si="28"/>
        <v>3824995</v>
      </c>
      <c r="BE515" s="8">
        <f>+'St of Net Assets - GA'!AA517-'St of Activities - GA Exp'!BC515</f>
        <v>0</v>
      </c>
    </row>
    <row r="516" spans="1:57" ht="12" hidden="1" customHeight="1">
      <c r="A516" s="12" t="s">
        <v>607</v>
      </c>
      <c r="B516" s="12"/>
      <c r="C516" s="12" t="s">
        <v>57</v>
      </c>
      <c r="D516" s="12"/>
      <c r="E516" s="32">
        <v>49296</v>
      </c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12" t="s">
        <v>607</v>
      </c>
      <c r="AH516" s="12"/>
      <c r="AI516" s="12" t="s">
        <v>57</v>
      </c>
      <c r="AJ516" s="12"/>
      <c r="AK516" s="8"/>
      <c r="AL516" s="8"/>
      <c r="AM516" s="8"/>
      <c r="AN516" s="8"/>
      <c r="AO516" s="8"/>
      <c r="AP516" s="8"/>
      <c r="AQ516" s="8">
        <v>0</v>
      </c>
      <c r="AR516" s="8"/>
      <c r="AS516" s="8"/>
      <c r="AT516" s="8"/>
      <c r="AU516" s="8">
        <v>0</v>
      </c>
      <c r="AV516" s="8"/>
      <c r="AW516" s="8">
        <f t="shared" si="27"/>
        <v>0</v>
      </c>
      <c r="AY516" s="8">
        <f>+'St of Activites - GA Rev'!AI520-'St of Activities - GA Exp'!AW516</f>
        <v>0</v>
      </c>
      <c r="BC516" s="8">
        <f t="shared" si="28"/>
        <v>0</v>
      </c>
      <c r="BE516" s="8">
        <f>+'St of Net Assets - GA'!AA518-'St of Activities - GA Exp'!BC516</f>
        <v>0</v>
      </c>
    </row>
    <row r="517" spans="1:57">
      <c r="A517" s="12" t="s">
        <v>678</v>
      </c>
      <c r="B517" s="12"/>
      <c r="C517" s="12" t="s">
        <v>63</v>
      </c>
      <c r="D517" s="12"/>
      <c r="E517" s="32">
        <v>50070</v>
      </c>
      <c r="G517" s="8">
        <v>19390041</v>
      </c>
      <c r="H517" s="8"/>
      <c r="I517" s="8">
        <v>2977965</v>
      </c>
      <c r="J517" s="8"/>
      <c r="K517" s="8">
        <v>292318</v>
      </c>
      <c r="L517" s="8"/>
      <c r="M517" s="8">
        <v>75275</v>
      </c>
      <c r="N517" s="8"/>
      <c r="O517" s="8">
        <v>3143887</v>
      </c>
      <c r="P517" s="8"/>
      <c r="Q517" s="8">
        <v>1020310</v>
      </c>
      <c r="R517" s="8"/>
      <c r="S517" s="8">
        <v>211097</v>
      </c>
      <c r="T517" s="8"/>
      <c r="U517" s="8">
        <v>3124015</v>
      </c>
      <c r="V517" s="8"/>
      <c r="W517" s="8">
        <v>890809</v>
      </c>
      <c r="X517" s="8"/>
      <c r="Y517" s="8">
        <v>128518</v>
      </c>
      <c r="Z517" s="8"/>
      <c r="AA517" s="8">
        <v>5228770</v>
      </c>
      <c r="AB517" s="8"/>
      <c r="AC517" s="8">
        <v>2609477</v>
      </c>
      <c r="AD517" s="8"/>
      <c r="AE517" s="8">
        <v>849936</v>
      </c>
      <c r="AF517" s="8"/>
      <c r="AG517" s="12" t="s">
        <v>678</v>
      </c>
      <c r="AH517" s="12"/>
      <c r="AI517" s="12" t="s">
        <v>63</v>
      </c>
      <c r="AJ517" s="12"/>
      <c r="AK517" s="8">
        <v>1323671</v>
      </c>
      <c r="AL517" s="8"/>
      <c r="AM517" s="8">
        <v>30219</v>
      </c>
      <c r="AN517" s="8"/>
      <c r="AO517" s="8">
        <v>1233531</v>
      </c>
      <c r="AP517" s="8"/>
      <c r="AQ517" s="8">
        <v>2196339</v>
      </c>
      <c r="AR517" s="8"/>
      <c r="AS517" s="8"/>
      <c r="AT517" s="8"/>
      <c r="AU517" s="8">
        <v>0</v>
      </c>
      <c r="AV517" s="8"/>
      <c r="AW517" s="8">
        <f t="shared" si="27"/>
        <v>44726178</v>
      </c>
      <c r="AY517" s="8">
        <f>+'St of Activites - GA Rev'!AI521-'St of Activities - GA Exp'!AW517</f>
        <v>4101337</v>
      </c>
      <c r="BA517" s="8">
        <v>31320162</v>
      </c>
      <c r="BC517" s="8">
        <f t="shared" si="28"/>
        <v>35421499</v>
      </c>
      <c r="BE517" s="8">
        <f>+'St of Net Assets - GA'!AA519-'St of Activities - GA Exp'!BC517</f>
        <v>0</v>
      </c>
    </row>
    <row r="518" spans="1:57">
      <c r="A518" s="12" t="s">
        <v>239</v>
      </c>
      <c r="B518" s="12"/>
      <c r="C518" s="12" t="s">
        <v>15</v>
      </c>
      <c r="D518" s="12"/>
      <c r="E518" s="32">
        <v>46011</v>
      </c>
      <c r="G518" s="8">
        <v>6653406</v>
      </c>
      <c r="H518" s="8"/>
      <c r="I518" s="8">
        <v>1789282</v>
      </c>
      <c r="J518" s="8"/>
      <c r="K518" s="8">
        <v>314776</v>
      </c>
      <c r="L518" s="8"/>
      <c r="M518" s="8">
        <v>280674</v>
      </c>
      <c r="N518" s="8"/>
      <c r="O518" s="8">
        <v>636239</v>
      </c>
      <c r="P518" s="8"/>
      <c r="Q518" s="8">
        <v>558886</v>
      </c>
      <c r="R518" s="8"/>
      <c r="S518" s="8">
        <v>114517</v>
      </c>
      <c r="T518" s="8"/>
      <c r="U518" s="8">
        <v>889973</v>
      </c>
      <c r="V518" s="8"/>
      <c r="W518" s="8">
        <v>287233</v>
      </c>
      <c r="X518" s="8"/>
      <c r="Y518" s="8">
        <v>0</v>
      </c>
      <c r="Z518" s="8"/>
      <c r="AA518" s="8">
        <v>1308487</v>
      </c>
      <c r="AB518" s="8"/>
      <c r="AC518" s="8">
        <v>748103</v>
      </c>
      <c r="AD518" s="8"/>
      <c r="AE518" s="8">
        <v>18834</v>
      </c>
      <c r="AF518" s="8"/>
      <c r="AG518" s="12" t="s">
        <v>239</v>
      </c>
      <c r="AH518" s="12"/>
      <c r="AI518" s="12" t="s">
        <v>15</v>
      </c>
      <c r="AJ518" s="12"/>
      <c r="AK518" s="8">
        <v>554901</v>
      </c>
      <c r="AL518" s="8"/>
      <c r="AM518" s="8">
        <v>0</v>
      </c>
      <c r="AN518" s="8"/>
      <c r="AO518" s="8">
        <v>313214</v>
      </c>
      <c r="AP518" s="8"/>
      <c r="AQ518" s="8">
        <v>141105</v>
      </c>
      <c r="AR518" s="8"/>
      <c r="AS518" s="8"/>
      <c r="AT518" s="8"/>
      <c r="AU518" s="8">
        <v>0</v>
      </c>
      <c r="AV518" s="8"/>
      <c r="AW518" s="8">
        <f t="shared" si="27"/>
        <v>14609630</v>
      </c>
      <c r="AY518" s="8">
        <f>+'St of Activites - GA Rev'!AI522-'St of Activities - GA Exp'!AW518</f>
        <v>-1170315</v>
      </c>
      <c r="BA518" s="8">
        <v>10877537</v>
      </c>
      <c r="BC518" s="8">
        <f t="shared" si="28"/>
        <v>9707222</v>
      </c>
      <c r="BE518" s="8">
        <f>+'St of Net Assets - GA'!AA520-'St of Activities - GA Exp'!BC518</f>
        <v>0</v>
      </c>
    </row>
    <row r="519" spans="1:57">
      <c r="A519" s="12" t="s">
        <v>625</v>
      </c>
      <c r="B519" s="12"/>
      <c r="C519" s="12" t="s">
        <v>58</v>
      </c>
      <c r="D519" s="12"/>
      <c r="E519" s="32">
        <v>49536</v>
      </c>
      <c r="G519" s="8">
        <v>8297899</v>
      </c>
      <c r="H519" s="8"/>
      <c r="I519" s="8">
        <v>1135853</v>
      </c>
      <c r="J519" s="8"/>
      <c r="K519" s="8">
        <v>2649</v>
      </c>
      <c r="L519" s="8"/>
      <c r="M519" s="8">
        <v>0</v>
      </c>
      <c r="N519" s="8"/>
      <c r="O519" s="8">
        <v>740951</v>
      </c>
      <c r="P519" s="8"/>
      <c r="Q519" s="8">
        <v>843285</v>
      </c>
      <c r="R519" s="8"/>
      <c r="S519" s="8">
        <v>1272249</v>
      </c>
      <c r="T519" s="8"/>
      <c r="U519" s="8">
        <v>1228705</v>
      </c>
      <c r="V519" s="8"/>
      <c r="W519" s="8">
        <v>391573</v>
      </c>
      <c r="X519" s="8"/>
      <c r="Y519" s="8">
        <v>73084</v>
      </c>
      <c r="Z519" s="8"/>
      <c r="AA519" s="8">
        <v>1532119</v>
      </c>
      <c r="AB519" s="8"/>
      <c r="AC519" s="8">
        <v>889561</v>
      </c>
      <c r="AD519" s="8"/>
      <c r="AE519" s="8">
        <v>9000</v>
      </c>
      <c r="AF519" s="8"/>
      <c r="AG519" s="12" t="s">
        <v>625</v>
      </c>
      <c r="AH519" s="12"/>
      <c r="AI519" s="12" t="s">
        <v>58</v>
      </c>
      <c r="AJ519" s="12"/>
      <c r="AK519" s="8">
        <v>809523</v>
      </c>
      <c r="AL519" s="8"/>
      <c r="AM519" s="8">
        <v>0</v>
      </c>
      <c r="AN519" s="8"/>
      <c r="AO519" s="8">
        <v>297439</v>
      </c>
      <c r="AP519" s="8"/>
      <c r="AQ519" s="8">
        <v>192435</v>
      </c>
      <c r="AR519" s="8"/>
      <c r="AS519" s="8"/>
      <c r="AT519" s="8"/>
      <c r="AU519" s="8">
        <v>0</v>
      </c>
      <c r="AV519" s="8"/>
      <c r="AW519" s="8">
        <f t="shared" si="27"/>
        <v>17716325</v>
      </c>
      <c r="AY519" s="8">
        <f>+'St of Activites - GA Rev'!AI523-'St of Activities - GA Exp'!AW519</f>
        <v>841032</v>
      </c>
      <c r="BA519" s="8">
        <v>29445326</v>
      </c>
      <c r="BC519" s="8">
        <f t="shared" si="28"/>
        <v>30286358</v>
      </c>
      <c r="BE519" s="8">
        <f>+'St of Net Assets - GA'!AA521-'St of Activities - GA Exp'!BC519</f>
        <v>0</v>
      </c>
    </row>
    <row r="520" spans="1:57" ht="12" hidden="1" customHeight="1">
      <c r="A520" s="12" t="s">
        <v>289</v>
      </c>
      <c r="B520" s="12"/>
      <c r="C520" s="12" t="s">
        <v>115</v>
      </c>
      <c r="D520" s="12"/>
      <c r="E520" s="32">
        <v>46458</v>
      </c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12" t="s">
        <v>289</v>
      </c>
      <c r="AH520" s="12"/>
      <c r="AI520" s="12" t="s">
        <v>115</v>
      </c>
      <c r="AJ520" s="12"/>
      <c r="AK520" s="8"/>
      <c r="AL520" s="8"/>
      <c r="AM520" s="8"/>
      <c r="AN520" s="8"/>
      <c r="AO520" s="8"/>
      <c r="AP520" s="8"/>
      <c r="AQ520" s="8">
        <v>0</v>
      </c>
      <c r="AR520" s="8"/>
      <c r="AS520" s="8"/>
      <c r="AT520" s="8"/>
      <c r="AU520" s="8">
        <v>0</v>
      </c>
      <c r="AV520" s="8"/>
      <c r="AW520" s="8">
        <f t="shared" si="27"/>
        <v>0</v>
      </c>
      <c r="AY520" s="8">
        <f>+'St of Activites - GA Rev'!AI524-'St of Activities - GA Exp'!AW520</f>
        <v>0</v>
      </c>
      <c r="BC520" s="8">
        <f t="shared" si="28"/>
        <v>0</v>
      </c>
      <c r="BE520" s="8">
        <f>+'St of Net Assets - GA'!AA522-'St of Activities - GA Exp'!BC520</f>
        <v>0</v>
      </c>
    </row>
    <row r="521" spans="1:57">
      <c r="A521" s="12" t="s">
        <v>368</v>
      </c>
      <c r="B521" s="12"/>
      <c r="C521" s="12" t="s">
        <v>27</v>
      </c>
      <c r="D521" s="12"/>
      <c r="E521" s="32">
        <v>44933</v>
      </c>
      <c r="G521" s="8">
        <v>37946719</v>
      </c>
      <c r="H521" s="8"/>
      <c r="I521" s="8">
        <v>8163548</v>
      </c>
      <c r="J521" s="8"/>
      <c r="K521" s="8">
        <v>147154</v>
      </c>
      <c r="L521" s="8"/>
      <c r="M521" s="8">
        <v>0</v>
      </c>
      <c r="N521" s="8"/>
      <c r="O521" s="8">
        <v>1545413</v>
      </c>
      <c r="P521" s="8"/>
      <c r="Q521" s="8">
        <v>4896287</v>
      </c>
      <c r="R521" s="8"/>
      <c r="S521" s="8">
        <v>48876</v>
      </c>
      <c r="T521" s="8"/>
      <c r="U521" s="8">
        <v>4551540</v>
      </c>
      <c r="V521" s="8"/>
      <c r="W521" s="8">
        <v>848746</v>
      </c>
      <c r="X521" s="8"/>
      <c r="Y521" s="8">
        <v>4128557</v>
      </c>
      <c r="Z521" s="8"/>
      <c r="AA521" s="8">
        <v>6291390</v>
      </c>
      <c r="AB521" s="8"/>
      <c r="AC521" s="8">
        <v>1581873</v>
      </c>
      <c r="AD521" s="8"/>
      <c r="AE521" s="8">
        <v>1822996</v>
      </c>
      <c r="AF521" s="8"/>
      <c r="AG521" s="12" t="s">
        <v>368</v>
      </c>
      <c r="AH521" s="12"/>
      <c r="AI521" s="12" t="s">
        <v>27</v>
      </c>
      <c r="AJ521" s="12"/>
      <c r="AK521" s="8">
        <v>1290775</v>
      </c>
      <c r="AL521" s="8"/>
      <c r="AM521" s="8">
        <v>2759582</v>
      </c>
      <c r="AN521" s="8"/>
      <c r="AO521" s="8">
        <v>2770791</v>
      </c>
      <c r="AP521" s="8"/>
      <c r="AQ521" s="8">
        <v>1574266</v>
      </c>
      <c r="AR521" s="8"/>
      <c r="AS521" s="8"/>
      <c r="AT521" s="8"/>
      <c r="AU521" s="8">
        <v>0</v>
      </c>
      <c r="AV521" s="8"/>
      <c r="AW521" s="8">
        <f t="shared" si="27"/>
        <v>80368513</v>
      </c>
      <c r="AY521" s="8">
        <f>+'St of Activites - GA Rev'!AI525-'St of Activities - GA Exp'!AW521</f>
        <v>7020131</v>
      </c>
      <c r="BA521" s="8">
        <v>53231650</v>
      </c>
      <c r="BC521" s="8">
        <f t="shared" si="28"/>
        <v>60251781</v>
      </c>
      <c r="BE521" s="8">
        <f>+'St of Net Assets - GA'!AA523-'St of Activities - GA Exp'!BC521</f>
        <v>0</v>
      </c>
    </row>
    <row r="522" spans="1:57" ht="12" hidden="1" customHeight="1">
      <c r="A522" s="12" t="s">
        <v>749</v>
      </c>
      <c r="B522" s="12"/>
      <c r="C522" s="12" t="s">
        <v>747</v>
      </c>
      <c r="D522" s="12"/>
      <c r="E522" s="32">
        <v>45625</v>
      </c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12" t="s">
        <v>749</v>
      </c>
      <c r="AH522" s="12"/>
      <c r="AI522" s="12" t="s">
        <v>747</v>
      </c>
      <c r="AJ522" s="12"/>
      <c r="AK522" s="8"/>
      <c r="AL522" s="8"/>
      <c r="AM522" s="8"/>
      <c r="AN522" s="8"/>
      <c r="AO522" s="8"/>
      <c r="AP522" s="8"/>
      <c r="AQ522" s="8">
        <v>0</v>
      </c>
      <c r="AR522" s="8"/>
      <c r="AS522" s="8"/>
      <c r="AT522" s="8"/>
      <c r="AU522" s="8">
        <v>0</v>
      </c>
      <c r="AV522" s="8"/>
      <c r="AW522" s="8">
        <f t="shared" si="27"/>
        <v>0</v>
      </c>
      <c r="AY522" s="8">
        <f>+'St of Activites - GA Rev'!AI526-'St of Activities - GA Exp'!AW522</f>
        <v>0</v>
      </c>
      <c r="BA522" s="8">
        <v>0</v>
      </c>
      <c r="BC522" s="8">
        <f t="shared" si="28"/>
        <v>0</v>
      </c>
      <c r="BE522" s="8">
        <f>+'St of Net Assets - GA'!AA524-'St of Activities - GA Exp'!BC522</f>
        <v>0</v>
      </c>
    </row>
    <row r="523" spans="1:57" ht="12" hidden="1" customHeight="1">
      <c r="A523" s="12" t="s">
        <v>431</v>
      </c>
      <c r="B523" s="12"/>
      <c r="C523" s="12" t="s">
        <v>426</v>
      </c>
      <c r="D523" s="12"/>
      <c r="E523" s="32">
        <v>47522</v>
      </c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12" t="s">
        <v>431</v>
      </c>
      <c r="AH523" s="12"/>
      <c r="AI523" s="12" t="s">
        <v>426</v>
      </c>
      <c r="AJ523" s="12"/>
      <c r="AK523" s="8"/>
      <c r="AL523" s="8"/>
      <c r="AM523" s="8"/>
      <c r="AN523" s="8"/>
      <c r="AO523" s="8"/>
      <c r="AP523" s="8"/>
      <c r="AQ523" s="8">
        <v>0</v>
      </c>
      <c r="AR523" s="8"/>
      <c r="AS523" s="8"/>
      <c r="AT523" s="8"/>
      <c r="AU523" s="8">
        <v>0</v>
      </c>
      <c r="AV523" s="8"/>
      <c r="AW523" s="8">
        <f t="shared" si="27"/>
        <v>0</v>
      </c>
      <c r="AY523" s="8">
        <f>+'St of Activites - GA Rev'!AI527-'St of Activities - GA Exp'!AW523</f>
        <v>0</v>
      </c>
      <c r="BA523" s="8">
        <v>0</v>
      </c>
      <c r="BC523" s="8">
        <f t="shared" si="28"/>
        <v>0</v>
      </c>
      <c r="BE523" s="8">
        <f>+'St of Net Assets - GA'!AA525-'St of Activities - GA Exp'!BC523</f>
        <v>0</v>
      </c>
    </row>
    <row r="524" spans="1:57">
      <c r="A524" s="12" t="s">
        <v>262</v>
      </c>
      <c r="B524" s="12"/>
      <c r="C524" s="12" t="s">
        <v>259</v>
      </c>
      <c r="D524" s="12"/>
      <c r="E524" s="32">
        <v>44941</v>
      </c>
      <c r="G524" s="8">
        <v>10611395</v>
      </c>
      <c r="H524" s="8"/>
      <c r="I524" s="8">
        <v>3754366</v>
      </c>
      <c r="J524" s="8"/>
      <c r="K524" s="8">
        <v>222282</v>
      </c>
      <c r="L524" s="8"/>
      <c r="M524" s="8">
        <v>76730</v>
      </c>
      <c r="N524" s="8"/>
      <c r="O524" s="8">
        <v>1192245</v>
      </c>
      <c r="P524" s="8"/>
      <c r="Q524" s="8">
        <v>543835</v>
      </c>
      <c r="R524" s="8"/>
      <c r="S524" s="8">
        <v>25650</v>
      </c>
      <c r="T524" s="8"/>
      <c r="U524" s="8">
        <v>1771425</v>
      </c>
      <c r="V524" s="8"/>
      <c r="W524" s="8">
        <v>240831</v>
      </c>
      <c r="X524" s="8"/>
      <c r="Y524" s="8">
        <v>283149</v>
      </c>
      <c r="Z524" s="8"/>
      <c r="AA524" s="8">
        <v>1836882</v>
      </c>
      <c r="AB524" s="8"/>
      <c r="AC524" s="8">
        <v>705097</v>
      </c>
      <c r="AD524" s="8"/>
      <c r="AE524" s="8">
        <v>175168</v>
      </c>
      <c r="AF524" s="8"/>
      <c r="AG524" s="12" t="s">
        <v>262</v>
      </c>
      <c r="AH524" s="12"/>
      <c r="AI524" s="12" t="s">
        <v>259</v>
      </c>
      <c r="AJ524" s="12"/>
      <c r="AK524" s="8">
        <v>901888</v>
      </c>
      <c r="AL524" s="8"/>
      <c r="AM524" s="8">
        <v>100560</v>
      </c>
      <c r="AN524" s="8"/>
      <c r="AO524" s="8">
        <v>736984</v>
      </c>
      <c r="AP524" s="8"/>
      <c r="AQ524" s="8">
        <v>52978</v>
      </c>
      <c r="AR524" s="8"/>
      <c r="AS524" s="8"/>
      <c r="AT524" s="8"/>
      <c r="AU524" s="8">
        <v>0</v>
      </c>
      <c r="AV524" s="8"/>
      <c r="AW524" s="8">
        <f t="shared" si="27"/>
        <v>23231465</v>
      </c>
      <c r="AY524" s="8">
        <f>+'St of Activites - GA Rev'!AI528-'St of Activities - GA Exp'!AW524</f>
        <v>-16380</v>
      </c>
      <c r="BA524" s="8">
        <v>7366812</v>
      </c>
      <c r="BC524" s="8">
        <f t="shared" si="28"/>
        <v>7350432</v>
      </c>
      <c r="BE524" s="8">
        <f>+'St of Net Assets - GA'!AA526-'St of Activities - GA Exp'!BC524</f>
        <v>0</v>
      </c>
    </row>
    <row r="525" spans="1:57" ht="12" hidden="1" customHeight="1">
      <c r="A525" s="12" t="s">
        <v>637</v>
      </c>
      <c r="B525" s="12"/>
      <c r="C525" s="12" t="s">
        <v>59</v>
      </c>
      <c r="D525" s="12"/>
      <c r="E525" s="32">
        <v>49643</v>
      </c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12" t="s">
        <v>637</v>
      </c>
      <c r="AH525" s="12"/>
      <c r="AI525" s="12" t="s">
        <v>59</v>
      </c>
      <c r="AJ525" s="12"/>
      <c r="AK525" s="8"/>
      <c r="AL525" s="8"/>
      <c r="AM525" s="8"/>
      <c r="AN525" s="8"/>
      <c r="AO525" s="8"/>
      <c r="AP525" s="8"/>
      <c r="AQ525" s="8">
        <v>0</v>
      </c>
      <c r="AR525" s="8"/>
      <c r="AS525" s="8"/>
      <c r="AT525" s="8"/>
      <c r="AU525" s="8">
        <v>0</v>
      </c>
      <c r="AV525" s="8"/>
      <c r="AW525" s="8">
        <f t="shared" si="27"/>
        <v>0</v>
      </c>
      <c r="AY525" s="8">
        <f>+'St of Activites - GA Rev'!AI529-'St of Activities - GA Exp'!AW525</f>
        <v>0</v>
      </c>
      <c r="BA525" s="8">
        <v>0</v>
      </c>
      <c r="BC525" s="8">
        <f t="shared" si="28"/>
        <v>0</v>
      </c>
      <c r="BE525" s="8">
        <f>+'St of Net Assets - GA'!AA527-'St of Activities - GA Exp'!BC525</f>
        <v>0</v>
      </c>
    </row>
    <row r="526" spans="1:57">
      <c r="A526" s="12" t="s">
        <v>564</v>
      </c>
      <c r="B526" s="12"/>
      <c r="C526" s="12" t="s">
        <v>50</v>
      </c>
      <c r="D526" s="12"/>
      <c r="E526" s="32">
        <v>48744</v>
      </c>
      <c r="G526" s="8">
        <v>7860930</v>
      </c>
      <c r="H526" s="8"/>
      <c r="I526" s="8">
        <v>1339236</v>
      </c>
      <c r="J526" s="8"/>
      <c r="K526" s="8">
        <v>369097</v>
      </c>
      <c r="L526" s="8"/>
      <c r="M526" s="8">
        <v>378228</v>
      </c>
      <c r="N526" s="8"/>
      <c r="O526" s="8">
        <v>987627</v>
      </c>
      <c r="P526" s="8"/>
      <c r="Q526" s="8">
        <v>1238037</v>
      </c>
      <c r="R526" s="8"/>
      <c r="S526" s="8">
        <v>23613</v>
      </c>
      <c r="T526" s="8"/>
      <c r="U526" s="8">
        <v>1339118</v>
      </c>
      <c r="V526" s="8"/>
      <c r="W526" s="8">
        <v>286681</v>
      </c>
      <c r="X526" s="8"/>
      <c r="Y526" s="8">
        <v>16179</v>
      </c>
      <c r="Z526" s="8"/>
      <c r="AA526" s="8">
        <v>1622318</v>
      </c>
      <c r="AB526" s="8"/>
      <c r="AC526" s="8">
        <v>865603</v>
      </c>
      <c r="AD526" s="8"/>
      <c r="AE526" s="8">
        <v>422583</v>
      </c>
      <c r="AF526" s="8"/>
      <c r="AG526" s="12" t="s">
        <v>564</v>
      </c>
      <c r="AH526" s="12"/>
      <c r="AI526" s="12" t="s">
        <v>50</v>
      </c>
      <c r="AJ526" s="12"/>
      <c r="AK526" s="8">
        <v>717334</v>
      </c>
      <c r="AL526" s="8"/>
      <c r="AM526" s="8">
        <v>0</v>
      </c>
      <c r="AN526" s="8"/>
      <c r="AO526" s="8">
        <v>684341</v>
      </c>
      <c r="AP526" s="8"/>
      <c r="AQ526" s="8">
        <v>55744</v>
      </c>
      <c r="AR526" s="8"/>
      <c r="AS526" s="8"/>
      <c r="AT526" s="8"/>
      <c r="AU526" s="8">
        <v>80573</v>
      </c>
      <c r="AV526" s="8"/>
      <c r="AW526" s="8">
        <f t="shared" si="27"/>
        <v>18287242</v>
      </c>
      <c r="AY526" s="8">
        <f>+'St of Activites - GA Rev'!AI530-'St of Activities - GA Exp'!AW526</f>
        <v>1246365</v>
      </c>
      <c r="BA526" s="8">
        <v>9709022</v>
      </c>
      <c r="BC526" s="8">
        <f t="shared" si="28"/>
        <v>10955387</v>
      </c>
      <c r="BE526" s="8">
        <f>+'St of Net Assets - GA'!AA528-'St of Activities - GA Exp'!BC526</f>
        <v>0</v>
      </c>
    </row>
    <row r="527" spans="1:57">
      <c r="A527" s="12" t="s">
        <v>424</v>
      </c>
      <c r="B527" s="12"/>
      <c r="C527" s="12" t="s">
        <v>33</v>
      </c>
      <c r="D527" s="12"/>
      <c r="E527" s="32">
        <v>47464</v>
      </c>
      <c r="G527" s="8">
        <v>4542298</v>
      </c>
      <c r="H527" s="8"/>
      <c r="I527" s="8">
        <v>779516</v>
      </c>
      <c r="J527" s="8"/>
      <c r="K527" s="8">
        <v>172166</v>
      </c>
      <c r="L527" s="8"/>
      <c r="M527" s="8">
        <v>0</v>
      </c>
      <c r="N527" s="8"/>
      <c r="O527" s="8">
        <v>341834</v>
      </c>
      <c r="P527" s="8"/>
      <c r="Q527" s="8">
        <v>305645</v>
      </c>
      <c r="R527" s="8"/>
      <c r="S527" s="8">
        <v>79888</v>
      </c>
      <c r="T527" s="8"/>
      <c r="U527" s="8">
        <v>726383</v>
      </c>
      <c r="V527" s="8"/>
      <c r="W527" s="8">
        <v>379915</v>
      </c>
      <c r="X527" s="8"/>
      <c r="Y527" s="8">
        <v>0</v>
      </c>
      <c r="Z527" s="8"/>
      <c r="AA527" s="8">
        <v>1137473</v>
      </c>
      <c r="AB527" s="8"/>
      <c r="AC527" s="8">
        <v>521253</v>
      </c>
      <c r="AD527" s="8"/>
      <c r="AE527" s="8">
        <v>25909</v>
      </c>
      <c r="AF527" s="8"/>
      <c r="AG527" s="12" t="s">
        <v>424</v>
      </c>
      <c r="AH527" s="12"/>
      <c r="AI527" s="12" t="s">
        <v>33</v>
      </c>
      <c r="AJ527" s="12"/>
      <c r="AK527" s="8">
        <v>0</v>
      </c>
      <c r="AL527" s="8"/>
      <c r="AM527" s="8">
        <v>276232</v>
      </c>
      <c r="AN527" s="8"/>
      <c r="AO527" s="8">
        <v>442533</v>
      </c>
      <c r="AP527" s="8"/>
      <c r="AQ527" s="8">
        <v>457888</v>
      </c>
      <c r="AR527" s="8"/>
      <c r="AS527" s="8"/>
      <c r="AT527" s="8"/>
      <c r="AU527" s="8">
        <v>0</v>
      </c>
      <c r="AV527" s="8"/>
      <c r="AW527" s="8">
        <f t="shared" si="27"/>
        <v>10188933</v>
      </c>
      <c r="AY527" s="8">
        <f>+'St of Activites - GA Rev'!AI531-'St of Activities - GA Exp'!AW527</f>
        <v>1886459</v>
      </c>
      <c r="BA527" s="8">
        <v>11594152</v>
      </c>
      <c r="BC527" s="8">
        <f t="shared" si="28"/>
        <v>13480611</v>
      </c>
      <c r="BE527" s="8">
        <f>+'St of Net Assets - GA'!AA529-'St of Activities - GA Exp'!BC527</f>
        <v>0</v>
      </c>
    </row>
    <row r="528" spans="1:57" ht="12" customHeight="1">
      <c r="A528" s="12" t="s">
        <v>711</v>
      </c>
      <c r="B528" s="12"/>
      <c r="C528" s="12" t="s">
        <v>67</v>
      </c>
      <c r="D528" s="12"/>
      <c r="E528" s="32">
        <v>44966</v>
      </c>
      <c r="G528" s="8">
        <v>11080802</v>
      </c>
      <c r="H528" s="8"/>
      <c r="I528" s="8">
        <v>2439264</v>
      </c>
      <c r="J528" s="8"/>
      <c r="K528" s="8">
        <v>148621</v>
      </c>
      <c r="L528" s="8"/>
      <c r="M528" s="8">
        <v>0</v>
      </c>
      <c r="N528" s="8"/>
      <c r="O528" s="8">
        <v>822916</v>
      </c>
      <c r="P528" s="8"/>
      <c r="Q528" s="8">
        <v>1163109</v>
      </c>
      <c r="R528" s="8"/>
      <c r="S528" s="8">
        <v>48349</v>
      </c>
      <c r="T528" s="8"/>
      <c r="U528" s="8">
        <v>1604193</v>
      </c>
      <c r="V528" s="8"/>
      <c r="W528" s="8">
        <v>616960</v>
      </c>
      <c r="X528" s="8"/>
      <c r="Y528" s="8">
        <v>0</v>
      </c>
      <c r="Z528" s="8"/>
      <c r="AA528" s="8">
        <v>1730399</v>
      </c>
      <c r="AB528" s="8"/>
      <c r="AC528" s="8">
        <v>418592</v>
      </c>
      <c r="AD528" s="8"/>
      <c r="AE528" s="8">
        <v>300865</v>
      </c>
      <c r="AF528" s="8"/>
      <c r="AG528" s="12" t="s">
        <v>711</v>
      </c>
      <c r="AH528" s="12"/>
      <c r="AI528" s="12" t="s">
        <v>67</v>
      </c>
      <c r="AJ528" s="12"/>
      <c r="AK528" s="8">
        <v>0</v>
      </c>
      <c r="AL528" s="8"/>
      <c r="AM528" s="8">
        <v>1001133</v>
      </c>
      <c r="AN528" s="8"/>
      <c r="AO528" s="8">
        <v>628094</v>
      </c>
      <c r="AP528" s="8"/>
      <c r="AQ528" s="8">
        <v>1262405</v>
      </c>
      <c r="AR528" s="8"/>
      <c r="AS528" s="8"/>
      <c r="AT528" s="8"/>
      <c r="AU528" s="8">
        <v>0</v>
      </c>
      <c r="AV528" s="8"/>
      <c r="AW528" s="8">
        <f t="shared" si="27"/>
        <v>23265702</v>
      </c>
      <c r="AY528" s="8">
        <f>+'St of Activites - GA Rev'!AI532-'St of Activities - GA Exp'!AW528</f>
        <v>104724</v>
      </c>
      <c r="BA528" s="8">
        <v>24786898</v>
      </c>
      <c r="BC528" s="8">
        <f>+AY528+BA528</f>
        <v>24891622</v>
      </c>
      <c r="BE528" s="8">
        <f>+'St of Net Assets - GA'!AA530-'St of Activities - GA Exp'!BC528</f>
        <v>0</v>
      </c>
    </row>
    <row r="529" spans="1:57">
      <c r="A529" s="12" t="s">
        <v>565</v>
      </c>
      <c r="B529" s="12"/>
      <c r="C529" s="12" t="s">
        <v>50</v>
      </c>
      <c r="D529" s="12"/>
      <c r="E529" s="32">
        <v>44958</v>
      </c>
      <c r="G529" s="8">
        <v>17039496</v>
      </c>
      <c r="H529" s="8"/>
      <c r="I529" s="8">
        <v>3034996</v>
      </c>
      <c r="J529" s="8"/>
      <c r="K529" s="8">
        <v>354079</v>
      </c>
      <c r="L529" s="8"/>
      <c r="M529" s="8">
        <v>2220027</v>
      </c>
      <c r="N529" s="8"/>
      <c r="O529" s="8">
        <v>1918595</v>
      </c>
      <c r="P529" s="8"/>
      <c r="Q529" s="8">
        <v>2016335</v>
      </c>
      <c r="R529" s="8"/>
      <c r="S529" s="8">
        <v>33985</v>
      </c>
      <c r="T529" s="8"/>
      <c r="U529" s="8">
        <v>2158771</v>
      </c>
      <c r="V529" s="8"/>
      <c r="W529" s="8">
        <v>969903</v>
      </c>
      <c r="X529" s="8"/>
      <c r="Y529" s="8">
        <v>0</v>
      </c>
      <c r="Z529" s="8"/>
      <c r="AA529" s="8">
        <v>3426603</v>
      </c>
      <c r="AB529" s="8"/>
      <c r="AC529" s="8">
        <v>1330428</v>
      </c>
      <c r="AD529" s="8"/>
      <c r="AE529" s="8">
        <v>514061</v>
      </c>
      <c r="AF529" s="8"/>
      <c r="AG529" s="12" t="s">
        <v>565</v>
      </c>
      <c r="AH529" s="12"/>
      <c r="AI529" s="12" t="s">
        <v>50</v>
      </c>
      <c r="AJ529" s="12"/>
      <c r="AK529" s="8">
        <v>0</v>
      </c>
      <c r="AL529" s="8"/>
      <c r="AM529" s="8">
        <v>1340845</v>
      </c>
      <c r="AN529" s="8"/>
      <c r="AO529" s="8">
        <v>527892</v>
      </c>
      <c r="AP529" s="8"/>
      <c r="AQ529" s="8">
        <v>11280</v>
      </c>
      <c r="AR529" s="8"/>
      <c r="AS529" s="8"/>
      <c r="AT529" s="8"/>
      <c r="AU529" s="8">
        <v>0</v>
      </c>
      <c r="AV529" s="8"/>
      <c r="AW529" s="8">
        <f t="shared" si="27"/>
        <v>36897296</v>
      </c>
      <c r="AY529" s="8">
        <f>+'St of Activites - GA Rev'!AI533-'St of Activities - GA Exp'!AW529</f>
        <v>2416806</v>
      </c>
      <c r="BA529" s="8">
        <v>16715482</v>
      </c>
      <c r="BC529" s="8">
        <f>+AY529+BA529</f>
        <v>19132288</v>
      </c>
      <c r="BE529" s="8">
        <f>+'St of Net Assets - GA'!AA531-'St of Activities - GA Exp'!BC529</f>
        <v>0</v>
      </c>
    </row>
    <row r="530" spans="1:57" ht="12" hidden="1" customHeight="1">
      <c r="A530" s="12" t="s">
        <v>425</v>
      </c>
      <c r="B530" s="12"/>
      <c r="C530" s="12" t="s">
        <v>33</v>
      </c>
      <c r="D530" s="12"/>
      <c r="E530" s="32">
        <v>47472</v>
      </c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12" t="s">
        <v>425</v>
      </c>
      <c r="AH530" s="12"/>
      <c r="AI530" s="12" t="s">
        <v>33</v>
      </c>
      <c r="AJ530" s="12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>
        <f t="shared" si="27"/>
        <v>0</v>
      </c>
      <c r="AY530" s="8">
        <f>+'St of Activites - GA Rev'!AI534-'St of Activities - GA Exp'!AW530</f>
        <v>0</v>
      </c>
      <c r="BC530" s="8">
        <f>+AY530+BA530</f>
        <v>0</v>
      </c>
      <c r="BE530" s="8">
        <f>+'St of Net Assets - GA'!AA532-'St of Activities - GA Exp'!BC530</f>
        <v>0</v>
      </c>
    </row>
    <row r="531" spans="1:57">
      <c r="A531" s="12" t="s">
        <v>346</v>
      </c>
      <c r="B531" s="12"/>
      <c r="C531" s="12" t="s">
        <v>24</v>
      </c>
      <c r="D531" s="12"/>
      <c r="E531" s="32">
        <v>46821</v>
      </c>
      <c r="G531" s="8">
        <v>10557492</v>
      </c>
      <c r="H531" s="8"/>
      <c r="I531" s="8">
        <v>2116262</v>
      </c>
      <c r="J531" s="8"/>
      <c r="K531" s="8">
        <v>219677</v>
      </c>
      <c r="L531" s="8"/>
      <c r="M531" s="8">
        <v>1287110</v>
      </c>
      <c r="N531" s="8"/>
      <c r="O531" s="8">
        <v>1403401</v>
      </c>
      <c r="P531" s="8"/>
      <c r="Q531" s="8">
        <v>2543759</v>
      </c>
      <c r="R531" s="8"/>
      <c r="S531" s="8">
        <v>218242</v>
      </c>
      <c r="T531" s="8"/>
      <c r="U531" s="8">
        <v>1310045</v>
      </c>
      <c r="V531" s="8"/>
      <c r="W531" s="8">
        <v>548668</v>
      </c>
      <c r="X531" s="8"/>
      <c r="Y531" s="8">
        <v>157550</v>
      </c>
      <c r="Z531" s="8"/>
      <c r="AA531" s="8">
        <v>3095116</v>
      </c>
      <c r="AB531" s="8"/>
      <c r="AC531" s="8">
        <v>1280383</v>
      </c>
      <c r="AD531" s="8"/>
      <c r="AE531" s="8">
        <v>51587</v>
      </c>
      <c r="AF531" s="8"/>
      <c r="AG531" s="12" t="s">
        <v>346</v>
      </c>
      <c r="AH531" s="12"/>
      <c r="AI531" s="12" t="s">
        <v>24</v>
      </c>
      <c r="AJ531" s="12"/>
      <c r="AK531" s="8">
        <v>690395</v>
      </c>
      <c r="AL531" s="8"/>
      <c r="AM531" s="8">
        <v>15956</v>
      </c>
      <c r="AN531" s="8"/>
      <c r="AO531" s="8">
        <v>715594</v>
      </c>
      <c r="AP531" s="8"/>
      <c r="AQ531" s="8">
        <v>182255</v>
      </c>
      <c r="AR531" s="8"/>
      <c r="AS531" s="8"/>
      <c r="AT531" s="8"/>
      <c r="AU531" s="8">
        <v>3559773</v>
      </c>
      <c r="AV531" s="8"/>
      <c r="AW531" s="8">
        <f t="shared" si="27"/>
        <v>29953265</v>
      </c>
      <c r="AY531" s="8">
        <f>+'St of Activites - GA Rev'!AI535-'St of Activities - GA Exp'!AW531</f>
        <v>3876753</v>
      </c>
      <c r="BA531" s="8">
        <v>13864010</v>
      </c>
      <c r="BC531" s="8">
        <f>+AY531+BA531</f>
        <v>17740763</v>
      </c>
      <c r="BE531" s="8">
        <f>+'St of Net Assets - GA'!AA533-'St of Activities - GA Exp'!BC531</f>
        <v>0</v>
      </c>
    </row>
    <row r="532" spans="1:57">
      <c r="A532" s="12" t="s">
        <v>712</v>
      </c>
      <c r="B532" s="12"/>
      <c r="C532" s="12" t="s">
        <v>68</v>
      </c>
      <c r="D532" s="12"/>
      <c r="E532" s="32">
        <v>50393</v>
      </c>
      <c r="G532" s="8">
        <v>6155780</v>
      </c>
      <c r="H532" s="8"/>
      <c r="I532" s="8">
        <v>2531758</v>
      </c>
      <c r="J532" s="8"/>
      <c r="K532" s="8">
        <v>263466</v>
      </c>
      <c r="L532" s="8"/>
      <c r="M532" s="8">
        <v>1115466</v>
      </c>
      <c r="N532" s="8"/>
      <c r="O532" s="8">
        <v>1667726</v>
      </c>
      <c r="P532" s="8"/>
      <c r="Q532" s="8">
        <v>1530258</v>
      </c>
      <c r="R532" s="8"/>
      <c r="S532" s="8">
        <v>347853</v>
      </c>
      <c r="T532" s="8"/>
      <c r="U532" s="8">
        <v>2296787</v>
      </c>
      <c r="V532" s="8"/>
      <c r="W532" s="8">
        <v>324266</v>
      </c>
      <c r="X532" s="8"/>
      <c r="Y532" s="8">
        <v>0</v>
      </c>
      <c r="Z532" s="8"/>
      <c r="AA532" s="8">
        <v>2313452</v>
      </c>
      <c r="AB532" s="8"/>
      <c r="AC532" s="8">
        <v>1988844</v>
      </c>
      <c r="AD532" s="8"/>
      <c r="AE532" s="8">
        <v>844654</v>
      </c>
      <c r="AF532" s="8"/>
      <c r="AG532" s="12" t="s">
        <v>712</v>
      </c>
      <c r="AH532" s="12"/>
      <c r="AI532" s="12" t="s">
        <v>68</v>
      </c>
      <c r="AJ532" s="12"/>
      <c r="AK532" s="8">
        <v>1034629</v>
      </c>
      <c r="AL532" s="8"/>
      <c r="AM532" s="8">
        <v>102615</v>
      </c>
      <c r="AN532" s="8"/>
      <c r="AO532" s="8">
        <v>333771</v>
      </c>
      <c r="AP532" s="8"/>
      <c r="AQ532" s="8">
        <v>349935</v>
      </c>
      <c r="AR532" s="8"/>
      <c r="AS532" s="8"/>
      <c r="AT532" s="8"/>
      <c r="AU532" s="8">
        <v>0</v>
      </c>
      <c r="AV532" s="8"/>
      <c r="AW532" s="8">
        <f t="shared" si="27"/>
        <v>23201260</v>
      </c>
      <c r="AY532" s="8">
        <f>+'St of Activites - GA Rev'!AI536-'St of Activities - GA Exp'!AW532</f>
        <v>3969523</v>
      </c>
      <c r="BA532" s="8">
        <v>70495210</v>
      </c>
      <c r="BC532" s="8">
        <f>+AY532+BA532</f>
        <v>74464733</v>
      </c>
      <c r="BE532" s="8">
        <f>+'St of Net Assets - GA'!AA534-'St of Activities - GA Exp'!BC532</f>
        <v>0</v>
      </c>
    </row>
    <row r="533" spans="1:57">
      <c r="A533" s="12" t="s">
        <v>536</v>
      </c>
      <c r="B533" s="12"/>
      <c r="C533" s="12" t="s">
        <v>47</v>
      </c>
      <c r="D533" s="12"/>
      <c r="E533" s="32">
        <v>44974</v>
      </c>
      <c r="G533" s="8">
        <v>16743288</v>
      </c>
      <c r="H533" s="8"/>
      <c r="I533" s="8">
        <v>2705051</v>
      </c>
      <c r="J533" s="8"/>
      <c r="K533" s="8">
        <v>1781570</v>
      </c>
      <c r="L533" s="8"/>
      <c r="M533" s="8">
        <f>39558+960409</f>
        <v>999967</v>
      </c>
      <c r="N533" s="8"/>
      <c r="O533" s="8">
        <v>2378968</v>
      </c>
      <c r="P533" s="8"/>
      <c r="Q533" s="8">
        <v>1261355</v>
      </c>
      <c r="R533" s="8"/>
      <c r="S533" s="8">
        <v>155857</v>
      </c>
      <c r="T533" s="8"/>
      <c r="U533" s="8">
        <v>3340690</v>
      </c>
      <c r="V533" s="8"/>
      <c r="W533" s="8">
        <v>746079</v>
      </c>
      <c r="X533" s="8"/>
      <c r="Y533" s="8">
        <v>0</v>
      </c>
      <c r="Z533" s="8"/>
      <c r="AA533" s="8">
        <v>6426629</v>
      </c>
      <c r="AB533" s="8"/>
      <c r="AC533" s="8">
        <v>1604402</v>
      </c>
      <c r="AD533" s="8"/>
      <c r="AE533" s="8">
        <v>972258</v>
      </c>
      <c r="AF533" s="8"/>
      <c r="AG533" s="12" t="s">
        <v>536</v>
      </c>
      <c r="AH533" s="12"/>
      <c r="AI533" s="12" t="s">
        <v>47</v>
      </c>
      <c r="AJ533" s="12"/>
      <c r="AK533" s="8">
        <v>1447428</v>
      </c>
      <c r="AL533" s="8"/>
      <c r="AM533" s="8">
        <v>374598</v>
      </c>
      <c r="AN533" s="8"/>
      <c r="AO533" s="8">
        <f>26073+129913+100390+1033970</f>
        <v>1290346</v>
      </c>
      <c r="AP533" s="8"/>
      <c r="AQ533" s="8">
        <v>1526080</v>
      </c>
      <c r="AR533" s="8"/>
      <c r="AS533" s="8"/>
      <c r="AT533" s="8"/>
      <c r="AU533" s="8">
        <v>0</v>
      </c>
      <c r="AV533" s="8"/>
      <c r="AW533" s="8">
        <f t="shared" ref="AW533:AW551" si="29">SUM(G533:AV533)</f>
        <v>43754566</v>
      </c>
      <c r="AY533" s="8">
        <f>+'St of Activites - GA Rev'!AI537-'St of Activities - GA Exp'!AW533</f>
        <v>-517094</v>
      </c>
      <c r="BA533" s="8">
        <v>22104072</v>
      </c>
      <c r="BC533" s="8">
        <f t="shared" ref="BC533:BC551" si="30">+AY533+BA533</f>
        <v>21586978</v>
      </c>
      <c r="BE533" s="8">
        <f>+'St of Net Assets - GA'!AA535-'St of Activities - GA Exp'!BC533</f>
        <v>0</v>
      </c>
    </row>
    <row r="534" spans="1:57">
      <c r="A534" s="12" t="s">
        <v>697</v>
      </c>
      <c r="B534" s="12"/>
      <c r="C534" s="12" t="s">
        <v>64</v>
      </c>
      <c r="D534" s="12"/>
      <c r="E534" s="32">
        <v>44990</v>
      </c>
      <c r="G534" s="8">
        <v>27341398</v>
      </c>
      <c r="H534" s="8"/>
      <c r="I534" s="8">
        <v>8925459</v>
      </c>
      <c r="J534" s="8"/>
      <c r="K534" s="8">
        <v>531936</v>
      </c>
      <c r="L534" s="8"/>
      <c r="M534" s="8">
        <v>3822942</v>
      </c>
      <c r="N534" s="8"/>
      <c r="O534" s="8">
        <v>3621461</v>
      </c>
      <c r="P534" s="8"/>
      <c r="Q534" s="8">
        <v>4659951</v>
      </c>
      <c r="R534" s="8"/>
      <c r="S534" s="8">
        <v>41635</v>
      </c>
      <c r="T534" s="8"/>
      <c r="U534" s="8">
        <v>4339922</v>
      </c>
      <c r="V534" s="8"/>
      <c r="W534" s="8">
        <v>1081406</v>
      </c>
      <c r="X534" s="8"/>
      <c r="Y534" s="8">
        <v>743997</v>
      </c>
      <c r="Z534" s="8"/>
      <c r="AA534" s="8">
        <v>7446381</v>
      </c>
      <c r="AB534" s="8"/>
      <c r="AC534" s="8">
        <v>2879189</v>
      </c>
      <c r="AD534" s="8"/>
      <c r="AE534" s="8">
        <v>1358103</v>
      </c>
      <c r="AF534" s="8"/>
      <c r="AG534" s="12" t="s">
        <v>697</v>
      </c>
      <c r="AH534" s="12"/>
      <c r="AI534" s="12" t="s">
        <v>64</v>
      </c>
      <c r="AJ534" s="12"/>
      <c r="AK534" s="8">
        <v>2467273</v>
      </c>
      <c r="AL534" s="8"/>
      <c r="AM534" s="8">
        <v>622034</v>
      </c>
      <c r="AN534" s="8"/>
      <c r="AO534" s="8">
        <v>1139238</v>
      </c>
      <c r="AP534" s="8"/>
      <c r="AQ534" s="8">
        <v>1731744</v>
      </c>
      <c r="AR534" s="8"/>
      <c r="AS534" s="8"/>
      <c r="AT534" s="8"/>
      <c r="AU534" s="8">
        <v>0</v>
      </c>
      <c r="AV534" s="8"/>
      <c r="AW534" s="8">
        <f t="shared" si="29"/>
        <v>72754069</v>
      </c>
      <c r="AY534" s="8">
        <f>+'St of Activites - GA Rev'!AI538-'St of Activities - GA Exp'!AW534</f>
        <v>5220651</v>
      </c>
      <c r="BA534" s="8">
        <v>161445855</v>
      </c>
      <c r="BC534" s="8">
        <f t="shared" si="30"/>
        <v>166666506</v>
      </c>
      <c r="BE534" s="8">
        <f>+'St of Net Assets - GA'!AA537-'St of Activities - GA Exp'!BC534</f>
        <v>0</v>
      </c>
    </row>
    <row r="535" spans="1:57" ht="12" customHeight="1">
      <c r="A535" s="12" t="s">
        <v>725</v>
      </c>
      <c r="B535" s="12"/>
      <c r="C535" s="12" t="s">
        <v>70</v>
      </c>
      <c r="D535" s="12"/>
      <c r="E535" s="32">
        <v>50500</v>
      </c>
      <c r="G535" s="8">
        <v>11436367</v>
      </c>
      <c r="H535" s="8"/>
      <c r="I535" s="8">
        <v>2135194</v>
      </c>
      <c r="J535" s="8"/>
      <c r="K535" s="8">
        <v>116567</v>
      </c>
      <c r="L535" s="8"/>
      <c r="M535" s="8">
        <v>53783</v>
      </c>
      <c r="N535" s="8"/>
      <c r="O535" s="8">
        <v>811048</v>
      </c>
      <c r="P535" s="8"/>
      <c r="Q535" s="8">
        <v>862773</v>
      </c>
      <c r="R535" s="8"/>
      <c r="S535" s="8">
        <v>41490</v>
      </c>
      <c r="T535" s="8"/>
      <c r="U535" s="8">
        <v>1835155</v>
      </c>
      <c r="V535" s="8"/>
      <c r="W535" s="8">
        <v>626482</v>
      </c>
      <c r="X535" s="8"/>
      <c r="Y535" s="8">
        <v>5049</v>
      </c>
      <c r="Z535" s="8"/>
      <c r="AA535" s="8">
        <v>1889283</v>
      </c>
      <c r="AB535" s="8"/>
      <c r="AC535" s="8">
        <v>1794772</v>
      </c>
      <c r="AD535" s="8"/>
      <c r="AE535" s="8">
        <v>8752</v>
      </c>
      <c r="AF535" s="8"/>
      <c r="AG535" s="12" t="s">
        <v>725</v>
      </c>
      <c r="AH535" s="12"/>
      <c r="AI535" s="12" t="s">
        <v>70</v>
      </c>
      <c r="AJ535" s="12"/>
      <c r="AK535" s="8">
        <v>0</v>
      </c>
      <c r="AL535" s="8"/>
      <c r="AM535" s="8">
        <v>19445</v>
      </c>
      <c r="AN535" s="8"/>
      <c r="AO535" s="8">
        <v>572166</v>
      </c>
      <c r="AP535" s="8"/>
      <c r="AQ535" s="8">
        <v>0</v>
      </c>
      <c r="AR535" s="8"/>
      <c r="AS535" s="8"/>
      <c r="AT535" s="8"/>
      <c r="AU535" s="8">
        <v>0</v>
      </c>
      <c r="AV535" s="8"/>
      <c r="AW535" s="8">
        <f t="shared" si="29"/>
        <v>22208326</v>
      </c>
      <c r="AY535" s="8">
        <f>+'St of Activites - GA Rev'!AI539-'St of Activities - GA Exp'!AW535</f>
        <v>293979</v>
      </c>
      <c r="BA535" s="8">
        <v>4128147</v>
      </c>
      <c r="BC535" s="8">
        <f t="shared" si="30"/>
        <v>4422126</v>
      </c>
      <c r="BE535" s="8">
        <f>+'St of Net Assets - GA'!AA538-'St of Activities - GA Exp'!BC535</f>
        <v>0</v>
      </c>
    </row>
    <row r="536" spans="1:57">
      <c r="A536" s="12" t="s">
        <v>328</v>
      </c>
      <c r="B536" s="12"/>
      <c r="C536" s="12" t="s">
        <v>20</v>
      </c>
      <c r="D536" s="12"/>
      <c r="E536" s="32">
        <v>45005</v>
      </c>
      <c r="G536" s="8">
        <v>16873117</v>
      </c>
      <c r="H536" s="8"/>
      <c r="I536" s="8">
        <v>3777742</v>
      </c>
      <c r="J536" s="8"/>
      <c r="K536" s="8">
        <v>239810</v>
      </c>
      <c r="L536" s="8"/>
      <c r="M536" s="8">
        <v>0</v>
      </c>
      <c r="N536" s="8"/>
      <c r="O536" s="8">
        <v>1331276</v>
      </c>
      <c r="P536" s="8"/>
      <c r="Q536" s="8">
        <v>1695997</v>
      </c>
      <c r="R536" s="8"/>
      <c r="S536" s="8">
        <v>92409</v>
      </c>
      <c r="T536" s="8"/>
      <c r="U536" s="8">
        <v>4590045</v>
      </c>
      <c r="V536" s="8"/>
      <c r="W536" s="8">
        <v>1024830</v>
      </c>
      <c r="X536" s="8"/>
      <c r="Y536" s="8">
        <v>1168007</v>
      </c>
      <c r="Z536" s="8"/>
      <c r="AA536" s="8">
        <v>4103368</v>
      </c>
      <c r="AB536" s="8"/>
      <c r="AC536" s="8">
        <v>1254800</v>
      </c>
      <c r="AD536" s="8"/>
      <c r="AE536" s="8">
        <v>424420</v>
      </c>
      <c r="AF536" s="8"/>
      <c r="AG536" s="12" t="s">
        <v>328</v>
      </c>
      <c r="AH536" s="12"/>
      <c r="AI536" s="12" t="s">
        <v>20</v>
      </c>
      <c r="AJ536" s="12"/>
      <c r="AK536" s="8">
        <v>957921</v>
      </c>
      <c r="AL536" s="8"/>
      <c r="AM536" s="8">
        <v>341447</v>
      </c>
      <c r="AN536" s="8"/>
      <c r="AO536" s="8">
        <v>427799</v>
      </c>
      <c r="AP536" s="8"/>
      <c r="AQ536" s="8">
        <v>1073682</v>
      </c>
      <c r="AR536" s="8"/>
      <c r="AS536" s="8"/>
      <c r="AT536" s="8"/>
      <c r="AU536" s="8">
        <v>0</v>
      </c>
      <c r="AV536" s="8"/>
      <c r="AW536" s="8">
        <f t="shared" si="29"/>
        <v>39376670</v>
      </c>
      <c r="AY536" s="8">
        <f>+'St of Activites - GA Rev'!AI540-'St of Activities - GA Exp'!AW536</f>
        <v>1071061</v>
      </c>
      <c r="BA536" s="8">
        <v>10670052</v>
      </c>
      <c r="BC536" s="8">
        <f t="shared" si="30"/>
        <v>11741113</v>
      </c>
      <c r="BE536" s="8">
        <f>+'St of Net Assets - GA'!AA539-'St of Activities - GA Exp'!BC536</f>
        <v>0</v>
      </c>
    </row>
    <row r="537" spans="1:57" ht="12" customHeight="1">
      <c r="A537" s="12" t="s">
        <v>355</v>
      </c>
      <c r="B537" s="12"/>
      <c r="C537" s="12" t="s">
        <v>26</v>
      </c>
      <c r="D537" s="12"/>
      <c r="E537" s="32">
        <v>45013</v>
      </c>
      <c r="G537" s="8">
        <v>9732685</v>
      </c>
      <c r="H537" s="8"/>
      <c r="I537" s="8">
        <v>2449617</v>
      </c>
      <c r="J537" s="8"/>
      <c r="K537" s="8">
        <v>91433</v>
      </c>
      <c r="L537" s="8"/>
      <c r="M537" s="8">
        <v>22830</v>
      </c>
      <c r="N537" s="8"/>
      <c r="O537" s="8">
        <v>877751</v>
      </c>
      <c r="P537" s="8"/>
      <c r="Q537" s="8">
        <v>1117309</v>
      </c>
      <c r="R537" s="8"/>
      <c r="S537" s="8">
        <v>25995</v>
      </c>
      <c r="T537" s="8"/>
      <c r="U537" s="8">
        <v>1687357</v>
      </c>
      <c r="V537" s="8"/>
      <c r="W537" s="8">
        <v>567205</v>
      </c>
      <c r="X537" s="8"/>
      <c r="Y537" s="8">
        <v>0</v>
      </c>
      <c r="Z537" s="8"/>
      <c r="AA537" s="8">
        <v>1691181</v>
      </c>
      <c r="AB537" s="8"/>
      <c r="AC537" s="8">
        <v>711666</v>
      </c>
      <c r="AD537" s="8"/>
      <c r="AE537" s="8">
        <v>75326</v>
      </c>
      <c r="AF537" s="8"/>
      <c r="AG537" s="12" t="s">
        <v>355</v>
      </c>
      <c r="AH537" s="12"/>
      <c r="AI537" s="12" t="s">
        <v>26</v>
      </c>
      <c r="AJ537" s="12"/>
      <c r="AK537" s="8">
        <v>828110</v>
      </c>
      <c r="AL537" s="8"/>
      <c r="AM537" s="8">
        <v>0</v>
      </c>
      <c r="AN537" s="8"/>
      <c r="AO537" s="8">
        <v>605991</v>
      </c>
      <c r="AP537" s="8"/>
      <c r="AQ537" s="8">
        <v>1049481</v>
      </c>
      <c r="AR537" s="8"/>
      <c r="AS537" s="8"/>
      <c r="AT537" s="8"/>
      <c r="AU537" s="8">
        <v>0</v>
      </c>
      <c r="AV537" s="8"/>
      <c r="AW537" s="8">
        <f t="shared" si="29"/>
        <v>21533937</v>
      </c>
      <c r="AY537" s="8">
        <f>+'St of Activites - GA Rev'!AI541-'St of Activities - GA Exp'!AW537</f>
        <v>9437450</v>
      </c>
      <c r="BA537" s="8">
        <v>46937096</v>
      </c>
      <c r="BC537" s="8">
        <f t="shared" si="30"/>
        <v>56374546</v>
      </c>
      <c r="BE537" s="8">
        <f>+'St of Net Assets - GA'!AA540-'St of Activities - GA Exp'!BC537</f>
        <v>0</v>
      </c>
    </row>
    <row r="538" spans="1:57" ht="12" customHeight="1">
      <c r="A538" s="12" t="s">
        <v>509</v>
      </c>
      <c r="B538" s="12"/>
      <c r="C538" s="12" t="s">
        <v>118</v>
      </c>
      <c r="D538" s="12"/>
      <c r="E538" s="32">
        <v>48231</v>
      </c>
      <c r="G538" s="8">
        <v>30452351</v>
      </c>
      <c r="H538" s="8"/>
      <c r="I538" s="8">
        <v>8899468</v>
      </c>
      <c r="J538" s="8"/>
      <c r="K538" s="8">
        <v>2564050</v>
      </c>
      <c r="L538" s="8"/>
      <c r="M538" s="8">
        <f>284343+3218317</f>
        <v>3502660</v>
      </c>
      <c r="N538" s="8"/>
      <c r="O538" s="8">
        <v>3718573</v>
      </c>
      <c r="P538" s="8"/>
      <c r="Q538" s="8">
        <v>3956958</v>
      </c>
      <c r="R538" s="8"/>
      <c r="S538" s="8">
        <v>93442</v>
      </c>
      <c r="T538" s="8"/>
      <c r="U538" s="8">
        <v>5221820</v>
      </c>
      <c r="V538" s="8"/>
      <c r="W538" s="8">
        <v>1450459</v>
      </c>
      <c r="X538" s="8"/>
      <c r="Y538" s="8">
        <v>620198</v>
      </c>
      <c r="Z538" s="8"/>
      <c r="AA538" s="8">
        <v>9718643</v>
      </c>
      <c r="AB538" s="8"/>
      <c r="AC538" s="8">
        <v>3625413</v>
      </c>
      <c r="AD538" s="8"/>
      <c r="AE538" s="8">
        <v>1857702</v>
      </c>
      <c r="AF538" s="8"/>
      <c r="AG538" s="12" t="s">
        <v>509</v>
      </c>
      <c r="AH538" s="12"/>
      <c r="AI538" s="12" t="s">
        <v>118</v>
      </c>
      <c r="AJ538" s="12"/>
      <c r="AK538" s="8">
        <v>2250090</v>
      </c>
      <c r="AL538" s="8"/>
      <c r="AM538" s="8">
        <v>221131</v>
      </c>
      <c r="AN538" s="8"/>
      <c r="AO538" s="8">
        <v>1241543</v>
      </c>
      <c r="AP538" s="8"/>
      <c r="AQ538" s="8">
        <v>150672</v>
      </c>
      <c r="AR538" s="8"/>
      <c r="AS538" s="8"/>
      <c r="AT538" s="8"/>
      <c r="AU538" s="8">
        <v>1059176</v>
      </c>
      <c r="AV538" s="8"/>
      <c r="AW538" s="8">
        <f t="shared" si="29"/>
        <v>80604349</v>
      </c>
      <c r="AY538" s="8">
        <f>+'St of Activites - GA Rev'!AI542-'St of Activities - GA Exp'!AW538</f>
        <v>-2923492</v>
      </c>
      <c r="BA538" s="8">
        <v>59696301</v>
      </c>
      <c r="BC538" s="8">
        <f t="shared" si="30"/>
        <v>56772809</v>
      </c>
      <c r="BE538" s="8">
        <f>+'St of Net Assets - GA'!AA541-'St of Activities - GA Exp'!BC538</f>
        <v>0</v>
      </c>
    </row>
    <row r="539" spans="1:57" s="35" customFormat="1" ht="12" customHeight="1">
      <c r="A539" s="34" t="s">
        <v>638</v>
      </c>
      <c r="B539" s="34"/>
      <c r="C539" s="34" t="s">
        <v>59</v>
      </c>
      <c r="D539" s="34"/>
      <c r="E539" s="32">
        <v>49650</v>
      </c>
      <c r="G539" s="8">
        <v>6965393</v>
      </c>
      <c r="H539" s="8"/>
      <c r="I539" s="8">
        <v>1800874</v>
      </c>
      <c r="J539" s="8"/>
      <c r="K539" s="8">
        <v>123095</v>
      </c>
      <c r="L539" s="8"/>
      <c r="M539" s="8">
        <v>138117</v>
      </c>
      <c r="N539" s="8"/>
      <c r="O539" s="8">
        <v>832813</v>
      </c>
      <c r="P539" s="8"/>
      <c r="Q539" s="8">
        <v>844002</v>
      </c>
      <c r="R539" s="8"/>
      <c r="S539" s="8">
        <v>91870</v>
      </c>
      <c r="T539" s="8"/>
      <c r="U539" s="8">
        <v>1101477</v>
      </c>
      <c r="V539" s="8"/>
      <c r="W539" s="8">
        <v>299352</v>
      </c>
      <c r="X539" s="8"/>
      <c r="Y539" s="8">
        <v>0</v>
      </c>
      <c r="Z539" s="8"/>
      <c r="AA539" s="8">
        <v>1769886</v>
      </c>
      <c r="AB539" s="8"/>
      <c r="AC539" s="8">
        <v>853964</v>
      </c>
      <c r="AD539" s="8"/>
      <c r="AE539" s="8">
        <v>0</v>
      </c>
      <c r="AG539" s="34" t="s">
        <v>638</v>
      </c>
      <c r="AH539" s="34"/>
      <c r="AI539" s="34" t="s">
        <v>59</v>
      </c>
      <c r="AJ539" s="34"/>
      <c r="AK539" s="8">
        <v>834139</v>
      </c>
      <c r="AL539" s="8"/>
      <c r="AM539" s="8">
        <v>0</v>
      </c>
      <c r="AN539" s="8"/>
      <c r="AO539" s="8">
        <v>380710</v>
      </c>
      <c r="AP539" s="8"/>
      <c r="AQ539" s="8">
        <v>94597</v>
      </c>
      <c r="AR539" s="8"/>
      <c r="AS539" s="8"/>
      <c r="AT539" s="8"/>
      <c r="AU539" s="8">
        <v>0</v>
      </c>
      <c r="AV539" s="8"/>
      <c r="AW539" s="8">
        <f t="shared" si="29"/>
        <v>16130289</v>
      </c>
      <c r="AX539" s="8"/>
      <c r="AY539" s="8">
        <f>+'St of Activites - GA Rev'!AI543-'St of Activities - GA Exp'!AW539</f>
        <v>-325186</v>
      </c>
      <c r="AZ539" s="8"/>
      <c r="BA539" s="8">
        <v>28834033</v>
      </c>
      <c r="BB539" s="8"/>
      <c r="BC539" s="8">
        <f t="shared" si="30"/>
        <v>28508847</v>
      </c>
      <c r="BD539" s="8"/>
      <c r="BE539" s="8">
        <f>+'St of Net Assets - GA'!AA542-'St of Activities - GA Exp'!BC539</f>
        <v>0</v>
      </c>
    </row>
    <row r="540" spans="1:57" ht="12" customHeight="1">
      <c r="A540" s="12" t="s">
        <v>603</v>
      </c>
      <c r="B540" s="12"/>
      <c r="C540" s="12" t="s">
        <v>56</v>
      </c>
      <c r="D540" s="12"/>
      <c r="E540" s="32">
        <v>49247</v>
      </c>
      <c r="G540" s="8">
        <v>5625029</v>
      </c>
      <c r="H540" s="8"/>
      <c r="I540" s="8">
        <v>1547395</v>
      </c>
      <c r="J540" s="8"/>
      <c r="K540" s="8">
        <v>46880</v>
      </c>
      <c r="L540" s="8"/>
      <c r="M540" s="8">
        <v>30765</v>
      </c>
      <c r="N540" s="8"/>
      <c r="O540" s="8">
        <v>402614</v>
      </c>
      <c r="P540" s="8"/>
      <c r="Q540" s="8">
        <v>467245</v>
      </c>
      <c r="R540" s="8"/>
      <c r="S540" s="8">
        <v>29211</v>
      </c>
      <c r="T540" s="8"/>
      <c r="U540" s="8">
        <v>911963</v>
      </c>
      <c r="V540" s="8"/>
      <c r="W540" s="8">
        <v>331055</v>
      </c>
      <c r="X540" s="8"/>
      <c r="Y540" s="8">
        <v>36470</v>
      </c>
      <c r="Z540" s="8"/>
      <c r="AA540" s="8">
        <v>1204545</v>
      </c>
      <c r="AB540" s="8"/>
      <c r="AC540" s="8">
        <v>1048639</v>
      </c>
      <c r="AD540" s="8"/>
      <c r="AE540" s="8">
        <v>16628</v>
      </c>
      <c r="AF540" s="8"/>
      <c r="AG540" s="12" t="s">
        <v>603</v>
      </c>
      <c r="AH540" s="12"/>
      <c r="AI540" s="12" t="s">
        <v>56</v>
      </c>
      <c r="AJ540" s="12"/>
      <c r="AK540" s="8">
        <v>389379</v>
      </c>
      <c r="AL540" s="8"/>
      <c r="AM540" s="8">
        <v>1861</v>
      </c>
      <c r="AN540" s="8"/>
      <c r="AO540" s="8">
        <v>378463</v>
      </c>
      <c r="AP540" s="8"/>
      <c r="AQ540" s="8">
        <v>449238</v>
      </c>
      <c r="AR540" s="8"/>
      <c r="AS540" s="8"/>
      <c r="AT540" s="8"/>
      <c r="AU540" s="8">
        <v>88888</v>
      </c>
      <c r="AV540" s="8"/>
      <c r="AW540" s="8">
        <f t="shared" si="29"/>
        <v>13006268</v>
      </c>
      <c r="AY540" s="8">
        <f>+'St of Activites - GA Rev'!AI544-'St of Activities - GA Exp'!AW540</f>
        <v>-387418</v>
      </c>
      <c r="BA540" s="8">
        <v>11913809</v>
      </c>
      <c r="BC540" s="8">
        <f t="shared" si="30"/>
        <v>11526391</v>
      </c>
      <c r="BE540" s="8">
        <f>+'St of Net Assets - GA'!AA543-'St of Activities - GA Exp'!BC540</f>
        <v>0</v>
      </c>
    </row>
    <row r="541" spans="1:57" ht="12" customHeight="1">
      <c r="A541" s="12" t="s">
        <v>378</v>
      </c>
      <c r="B541" s="12"/>
      <c r="C541" s="12" t="s">
        <v>28</v>
      </c>
      <c r="D541" s="12"/>
      <c r="E541" s="32">
        <v>45641</v>
      </c>
      <c r="G541" s="8">
        <v>7944978</v>
      </c>
      <c r="H541" s="8"/>
      <c r="I541" s="8">
        <v>1888638</v>
      </c>
      <c r="J541" s="8"/>
      <c r="K541" s="8">
        <v>288285</v>
      </c>
      <c r="L541" s="8"/>
      <c r="M541" s="8">
        <v>640123</v>
      </c>
      <c r="N541" s="8"/>
      <c r="O541" s="8">
        <v>630937</v>
      </c>
      <c r="P541" s="8"/>
      <c r="Q541" s="8">
        <v>727901</v>
      </c>
      <c r="R541" s="8"/>
      <c r="S541" s="8">
        <v>37337</v>
      </c>
      <c r="T541" s="8"/>
      <c r="U541" s="8">
        <v>1276735</v>
      </c>
      <c r="V541" s="8"/>
      <c r="W541" s="8">
        <v>424790</v>
      </c>
      <c r="X541" s="8"/>
      <c r="Y541" s="8">
        <v>69547</v>
      </c>
      <c r="Z541" s="8"/>
      <c r="AA541" s="8">
        <v>1433902</v>
      </c>
      <c r="AB541" s="8"/>
      <c r="AC541" s="8">
        <v>749466</v>
      </c>
      <c r="AD541" s="8"/>
      <c r="AE541" s="8">
        <v>91118</v>
      </c>
      <c r="AF541" s="8"/>
      <c r="AG541" s="12" t="s">
        <v>378</v>
      </c>
      <c r="AH541" s="12"/>
      <c r="AI541" s="12" t="s">
        <v>28</v>
      </c>
      <c r="AJ541" s="12"/>
      <c r="AK541" s="8">
        <v>796486</v>
      </c>
      <c r="AL541" s="8"/>
      <c r="AM541" s="8">
        <v>0</v>
      </c>
      <c r="AN541" s="8"/>
      <c r="AO541" s="8">
        <v>588896</v>
      </c>
      <c r="AP541" s="8"/>
      <c r="AQ541" s="8">
        <v>1228489</v>
      </c>
      <c r="AR541" s="8"/>
      <c r="AS541" s="8"/>
      <c r="AT541" s="8"/>
      <c r="AU541" s="8">
        <v>0</v>
      </c>
      <c r="AV541" s="8"/>
      <c r="AW541" s="8">
        <f t="shared" si="29"/>
        <v>18817628</v>
      </c>
      <c r="AY541" s="8">
        <f>+'St of Activites - GA Rev'!AI545-'St of Activities - GA Exp'!AW541</f>
        <v>1659152</v>
      </c>
      <c r="BA541" s="8">
        <v>32442194</v>
      </c>
      <c r="BC541" s="8">
        <f t="shared" si="30"/>
        <v>34101346</v>
      </c>
      <c r="BE541" s="8">
        <f>+'St of Net Assets - GA'!AA544-'St of Activities - GA Exp'!BC541</f>
        <v>0</v>
      </c>
    </row>
    <row r="542" spans="1:57">
      <c r="A542" s="12" t="s">
        <v>593</v>
      </c>
      <c r="B542" s="12"/>
      <c r="C542" s="12" t="s">
        <v>55</v>
      </c>
      <c r="D542" s="12"/>
      <c r="E542" s="32">
        <v>49148</v>
      </c>
      <c r="G542" s="8">
        <v>8909961</v>
      </c>
      <c r="H542" s="8"/>
      <c r="I542" s="8">
        <v>1728850</v>
      </c>
      <c r="J542" s="8"/>
      <c r="K542" s="8">
        <v>188445</v>
      </c>
      <c r="L542" s="8"/>
      <c r="M542" s="8">
        <v>177390</v>
      </c>
      <c r="N542" s="8"/>
      <c r="O542" s="8">
        <v>988693</v>
      </c>
      <c r="P542" s="8"/>
      <c r="Q542" s="8">
        <v>1485412</v>
      </c>
      <c r="R542" s="8"/>
      <c r="S542" s="8">
        <v>50312</v>
      </c>
      <c r="T542" s="8"/>
      <c r="U542" s="8">
        <v>1241848</v>
      </c>
      <c r="V542" s="8"/>
      <c r="W542" s="8">
        <v>517107</v>
      </c>
      <c r="X542" s="8"/>
      <c r="Y542" s="8">
        <v>0</v>
      </c>
      <c r="Z542" s="8"/>
      <c r="AA542" s="8">
        <v>1937073</v>
      </c>
      <c r="AB542" s="8"/>
      <c r="AC542" s="8">
        <v>1142324</v>
      </c>
      <c r="AD542" s="8"/>
      <c r="AE542" s="8">
        <v>3899</v>
      </c>
      <c r="AF542" s="8"/>
      <c r="AG542" s="12" t="s">
        <v>593</v>
      </c>
      <c r="AH542" s="12"/>
      <c r="AI542" s="12" t="s">
        <v>55</v>
      </c>
      <c r="AJ542" s="12"/>
      <c r="AK542" s="8">
        <v>912593</v>
      </c>
      <c r="AL542" s="8"/>
      <c r="AM542" s="8">
        <v>66187</v>
      </c>
      <c r="AN542" s="8"/>
      <c r="AO542" s="8">
        <v>533305</v>
      </c>
      <c r="AP542" s="8"/>
      <c r="AQ542" s="8">
        <v>447098</v>
      </c>
      <c r="AR542" s="8"/>
      <c r="AS542" s="8"/>
      <c r="AT542" s="8"/>
      <c r="AU542" s="8">
        <v>0</v>
      </c>
      <c r="AV542" s="8"/>
      <c r="AW542" s="8">
        <f t="shared" si="29"/>
        <v>20330497</v>
      </c>
      <c r="AY542" s="8">
        <f>+'St of Activites - GA Rev'!AI546-'St of Activities - GA Exp'!AW542</f>
        <v>-1611369</v>
      </c>
      <c r="BA542" s="8">
        <v>41350139</v>
      </c>
      <c r="BC542" s="8">
        <f t="shared" si="30"/>
        <v>39738770</v>
      </c>
      <c r="BE542" s="8">
        <f>+'St of Net Assets - GA'!AA545-'St of Activities - GA Exp'!BC542</f>
        <v>0</v>
      </c>
    </row>
    <row r="543" spans="1:57" ht="12" hidden="1" customHeight="1">
      <c r="A543" s="12" t="s">
        <v>720</v>
      </c>
      <c r="B543" s="12"/>
      <c r="C543" s="12" t="s">
        <v>69</v>
      </c>
      <c r="D543" s="12"/>
      <c r="E543" s="32">
        <v>50468</v>
      </c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12" t="s">
        <v>720</v>
      </c>
      <c r="AH543" s="12"/>
      <c r="AI543" s="12" t="s">
        <v>69</v>
      </c>
      <c r="AJ543" s="12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>
        <f t="shared" si="29"/>
        <v>0</v>
      </c>
      <c r="AY543" s="8">
        <f>+'St of Activites - GA Rev'!AI547-'St of Activities - GA Exp'!AW543</f>
        <v>0</v>
      </c>
      <c r="BC543" s="8">
        <f t="shared" si="30"/>
        <v>0</v>
      </c>
      <c r="BE543" s="8">
        <f>+'St of Net Assets - GA'!AA546-'St of Activities - GA Exp'!BC543</f>
        <v>0</v>
      </c>
    </row>
    <row r="544" spans="1:57" ht="12" hidden="1" customHeight="1">
      <c r="A544" s="12" t="s">
        <v>585</v>
      </c>
      <c r="B544" s="12"/>
      <c r="C544" s="12" t="s">
        <v>583</v>
      </c>
      <c r="D544" s="12"/>
      <c r="E544" s="32">
        <v>49031</v>
      </c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12" t="s">
        <v>585</v>
      </c>
      <c r="AH544" s="12"/>
      <c r="AI544" s="12" t="s">
        <v>583</v>
      </c>
      <c r="AJ544" s="12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>
        <f t="shared" si="29"/>
        <v>0</v>
      </c>
      <c r="AY544" s="8">
        <f>+'St of Activites - GA Rev'!AI548-'St of Activities - GA Exp'!AW544</f>
        <v>0</v>
      </c>
      <c r="BC544" s="8">
        <f t="shared" si="30"/>
        <v>0</v>
      </c>
      <c r="BE544" s="8">
        <f>+'St of Net Assets - GA'!AA547-'St of Activities - GA Exp'!BC544</f>
        <v>0</v>
      </c>
    </row>
    <row r="545" spans="1:57" hidden="1">
      <c r="A545" s="12" t="s">
        <v>233</v>
      </c>
      <c r="B545" s="12"/>
      <c r="C545" s="12" t="s">
        <v>14</v>
      </c>
      <c r="D545" s="12"/>
      <c r="E545" s="32">
        <v>45971</v>
      </c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12" t="s">
        <v>233</v>
      </c>
      <c r="AH545" s="12"/>
      <c r="AI545" s="12" t="s">
        <v>14</v>
      </c>
      <c r="AJ545" s="12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>
        <f t="shared" si="29"/>
        <v>0</v>
      </c>
      <c r="AY545" s="8">
        <f>+'St of Activites - GA Rev'!AI549-'St of Activities - GA Exp'!AW545</f>
        <v>0</v>
      </c>
      <c r="BC545" s="8">
        <f t="shared" si="30"/>
        <v>0</v>
      </c>
      <c r="BE545" s="8">
        <f>+'St of Net Assets - GA'!AA548-'St of Activities - GA Exp'!BC545</f>
        <v>0</v>
      </c>
    </row>
    <row r="546" spans="1:57">
      <c r="A546" s="12" t="s">
        <v>698</v>
      </c>
      <c r="B546" s="12"/>
      <c r="C546" s="12" t="s">
        <v>64</v>
      </c>
      <c r="D546" s="12"/>
      <c r="E546" s="32">
        <v>50252</v>
      </c>
      <c r="G546" s="8">
        <v>4568716</v>
      </c>
      <c r="H546" s="8"/>
      <c r="I546" s="8">
        <v>1086281</v>
      </c>
      <c r="J546" s="8"/>
      <c r="K546" s="8">
        <v>0</v>
      </c>
      <c r="L546" s="8"/>
      <c r="M546" s="8">
        <v>390412</v>
      </c>
      <c r="N546" s="8"/>
      <c r="O546" s="8">
        <v>396105</v>
      </c>
      <c r="P546" s="8"/>
      <c r="Q546" s="8">
        <v>230491</v>
      </c>
      <c r="R546" s="8"/>
      <c r="S546" s="8">
        <v>20256</v>
      </c>
      <c r="T546" s="8"/>
      <c r="U546" s="8">
        <v>794634</v>
      </c>
      <c r="V546" s="8"/>
      <c r="W546" s="8">
        <v>303217</v>
      </c>
      <c r="X546" s="8"/>
      <c r="Y546" s="8">
        <v>10675</v>
      </c>
      <c r="Z546" s="8"/>
      <c r="AA546" s="8">
        <v>1315985</v>
      </c>
      <c r="AB546" s="8"/>
      <c r="AC546" s="8">
        <v>436344</v>
      </c>
      <c r="AD546" s="8"/>
      <c r="AE546" s="8">
        <v>9000</v>
      </c>
      <c r="AF546" s="8"/>
      <c r="AG546" s="12" t="s">
        <v>698</v>
      </c>
      <c r="AH546" s="12"/>
      <c r="AI546" s="12" t="s">
        <v>64</v>
      </c>
      <c r="AJ546" s="12"/>
      <c r="AK546" s="8">
        <v>352264</v>
      </c>
      <c r="AL546" s="8"/>
      <c r="AM546" s="8">
        <v>359</v>
      </c>
      <c r="AN546" s="8"/>
      <c r="AO546" s="8">
        <v>418658</v>
      </c>
      <c r="AP546" s="8"/>
      <c r="AQ546" s="8">
        <v>128645</v>
      </c>
      <c r="AR546" s="8"/>
      <c r="AS546" s="8"/>
      <c r="AT546" s="8"/>
      <c r="AU546" s="8">
        <v>0</v>
      </c>
      <c r="AV546" s="8"/>
      <c r="AW546" s="8">
        <f t="shared" si="29"/>
        <v>10462042</v>
      </c>
      <c r="AY546" s="8">
        <f>+'St of Activites - GA Rev'!AI550-'St of Activities - GA Exp'!AW546</f>
        <v>-471343</v>
      </c>
      <c r="BA546" s="8">
        <v>3651334</v>
      </c>
      <c r="BC546" s="8">
        <f t="shared" si="30"/>
        <v>3179991</v>
      </c>
      <c r="BE546" s="8">
        <f>+'St of Net Assets - GA'!AA549-'St of Activities - GA Exp'!BC546</f>
        <v>0</v>
      </c>
    </row>
    <row r="547" spans="1:57">
      <c r="A547" s="12" t="s">
        <v>501</v>
      </c>
      <c r="B547" s="12"/>
      <c r="C547" s="12" t="s">
        <v>44</v>
      </c>
      <c r="D547" s="12"/>
      <c r="E547" s="32">
        <v>45658</v>
      </c>
      <c r="G547" s="8">
        <v>6917214</v>
      </c>
      <c r="H547" s="8"/>
      <c r="I547" s="8">
        <v>1297588</v>
      </c>
      <c r="J547" s="8"/>
      <c r="K547" s="8">
        <v>100201</v>
      </c>
      <c r="L547" s="8"/>
      <c r="M547" s="8">
        <v>0</v>
      </c>
      <c r="N547" s="8"/>
      <c r="O547" s="8">
        <v>467344</v>
      </c>
      <c r="P547" s="8"/>
      <c r="Q547" s="8">
        <v>750977</v>
      </c>
      <c r="R547" s="8"/>
      <c r="S547" s="8">
        <v>37176</v>
      </c>
      <c r="T547" s="8"/>
      <c r="U547" s="8">
        <v>1237752</v>
      </c>
      <c r="V547" s="8"/>
      <c r="W547" s="8">
        <v>469515</v>
      </c>
      <c r="X547" s="8"/>
      <c r="Y547" s="8">
        <v>0</v>
      </c>
      <c r="Z547" s="8"/>
      <c r="AA547" s="8">
        <v>1068555</v>
      </c>
      <c r="AB547" s="8"/>
      <c r="AC547" s="8">
        <v>910356</v>
      </c>
      <c r="AD547" s="8"/>
      <c r="AE547" s="8">
        <v>140531</v>
      </c>
      <c r="AF547" s="8"/>
      <c r="AG547" s="12" t="s">
        <v>501</v>
      </c>
      <c r="AH547" s="12"/>
      <c r="AI547" s="12" t="s">
        <v>44</v>
      </c>
      <c r="AJ547" s="12"/>
      <c r="AK547" s="8">
        <v>0</v>
      </c>
      <c r="AL547" s="8"/>
      <c r="AM547" s="8">
        <v>632208</v>
      </c>
      <c r="AN547" s="8"/>
      <c r="AO547" s="8">
        <v>458148</v>
      </c>
      <c r="AP547" s="8"/>
      <c r="AQ547" s="8">
        <v>2628</v>
      </c>
      <c r="AR547" s="8"/>
      <c r="AS547" s="8"/>
      <c r="AT547" s="8"/>
      <c r="AU547" s="8">
        <v>0</v>
      </c>
      <c r="AV547" s="8"/>
      <c r="AW547" s="8">
        <f t="shared" si="29"/>
        <v>14490193</v>
      </c>
      <c r="AY547" s="8">
        <f>+'St of Activites - GA Rev'!AI551-'St of Activities - GA Exp'!AW547</f>
        <v>-187872</v>
      </c>
      <c r="BA547" s="8">
        <v>8258097</v>
      </c>
      <c r="BC547" s="8">
        <f t="shared" si="30"/>
        <v>8070225</v>
      </c>
      <c r="BE547" s="8">
        <f>+'St of Net Assets - GA'!AA550-'St of Activities - GA Exp'!BC547</f>
        <v>0</v>
      </c>
    </row>
    <row r="548" spans="1:57">
      <c r="A548" s="12" t="s">
        <v>454</v>
      </c>
      <c r="B548" s="12"/>
      <c r="C548" s="12" t="s">
        <v>38</v>
      </c>
      <c r="D548" s="12"/>
      <c r="E548" s="32">
        <v>45021</v>
      </c>
      <c r="G548" s="8">
        <v>7214575</v>
      </c>
      <c r="H548" s="8"/>
      <c r="I548" s="8">
        <v>2469910</v>
      </c>
      <c r="J548" s="8"/>
      <c r="K548" s="8">
        <v>158041</v>
      </c>
      <c r="L548" s="8"/>
      <c r="M548" s="8">
        <v>0</v>
      </c>
      <c r="N548" s="8"/>
      <c r="O548" s="8">
        <v>887794</v>
      </c>
      <c r="P548" s="8"/>
      <c r="Q548" s="8">
        <v>1142368</v>
      </c>
      <c r="R548" s="8"/>
      <c r="S548" s="8">
        <v>104165</v>
      </c>
      <c r="T548" s="8"/>
      <c r="U548" s="8">
        <v>1271549</v>
      </c>
      <c r="V548" s="8"/>
      <c r="W548" s="8">
        <v>566672</v>
      </c>
      <c r="X548" s="8"/>
      <c r="Y548" s="8">
        <v>0</v>
      </c>
      <c r="Z548" s="8"/>
      <c r="AA548" s="8">
        <v>1098345</v>
      </c>
      <c r="AB548" s="8"/>
      <c r="AC548" s="8">
        <v>1010169</v>
      </c>
      <c r="AD548" s="8"/>
      <c r="AE548" s="8">
        <v>97067</v>
      </c>
      <c r="AF548" s="8"/>
      <c r="AG548" s="12" t="s">
        <v>454</v>
      </c>
      <c r="AH548" s="12"/>
      <c r="AI548" s="12" t="s">
        <v>38</v>
      </c>
      <c r="AJ548" s="12"/>
      <c r="AK548" s="8">
        <v>795321</v>
      </c>
      <c r="AL548" s="8"/>
      <c r="AM548" s="8">
        <v>167867</v>
      </c>
      <c r="AN548" s="8"/>
      <c r="AO548" s="8">
        <v>370992</v>
      </c>
      <c r="AP548" s="8"/>
      <c r="AQ548" s="8">
        <v>147307</v>
      </c>
      <c r="AR548" s="8"/>
      <c r="AS548" s="8"/>
      <c r="AT548" s="8"/>
      <c r="AU548" s="8">
        <v>0</v>
      </c>
      <c r="AV548" s="8"/>
      <c r="AW548" s="8">
        <f t="shared" si="29"/>
        <v>17502142</v>
      </c>
      <c r="AY548" s="8">
        <f>+'St of Activites - GA Rev'!AI552-'St of Activities - GA Exp'!AW548</f>
        <v>-241231</v>
      </c>
      <c r="BA548" s="8">
        <v>39135620</v>
      </c>
      <c r="BC548" s="8">
        <f t="shared" si="30"/>
        <v>38894389</v>
      </c>
      <c r="BE548" s="8">
        <f>+'St of Net Assets - GA'!AA551-'St of Activities - GA Exp'!BC548</f>
        <v>0</v>
      </c>
    </row>
    <row r="549" spans="1:57" ht="12" customHeight="1">
      <c r="A549" s="12" t="s">
        <v>290</v>
      </c>
      <c r="B549" s="12"/>
      <c r="C549" s="12" t="s">
        <v>115</v>
      </c>
      <c r="D549" s="12"/>
      <c r="E549" s="32">
        <v>45039</v>
      </c>
      <c r="G549" s="8">
        <v>3743307</v>
      </c>
      <c r="H549" s="8"/>
      <c r="I549" s="8">
        <v>869057</v>
      </c>
      <c r="J549" s="8"/>
      <c r="K549" s="8">
        <v>155174</v>
      </c>
      <c r="L549" s="8"/>
      <c r="M549" s="8">
        <v>0</v>
      </c>
      <c r="N549" s="8"/>
      <c r="O549" s="8">
        <v>389304</v>
      </c>
      <c r="P549" s="8"/>
      <c r="Q549" s="8">
        <v>298566</v>
      </c>
      <c r="R549" s="8"/>
      <c r="S549" s="8">
        <v>7815</v>
      </c>
      <c r="T549" s="8"/>
      <c r="U549" s="8">
        <v>659094</v>
      </c>
      <c r="V549" s="8"/>
      <c r="W549" s="8">
        <v>253632</v>
      </c>
      <c r="X549" s="8"/>
      <c r="Y549" s="8">
        <v>0</v>
      </c>
      <c r="Z549" s="8"/>
      <c r="AA549" s="8">
        <v>830428</v>
      </c>
      <c r="AB549" s="8"/>
      <c r="AC549" s="8">
        <v>30906</v>
      </c>
      <c r="AD549" s="8"/>
      <c r="AE549" s="8">
        <v>3573</v>
      </c>
      <c r="AF549" s="8"/>
      <c r="AG549" s="12" t="s">
        <v>290</v>
      </c>
      <c r="AH549" s="12"/>
      <c r="AI549" s="12" t="s">
        <v>115</v>
      </c>
      <c r="AJ549" s="12"/>
      <c r="AK549" s="8">
        <v>0</v>
      </c>
      <c r="AL549" s="8"/>
      <c r="AM549" s="8">
        <v>324649</v>
      </c>
      <c r="AN549" s="8"/>
      <c r="AO549" s="8">
        <v>209897</v>
      </c>
      <c r="AP549" s="8"/>
      <c r="AQ549" s="8">
        <v>92122</v>
      </c>
      <c r="AR549" s="8"/>
      <c r="AS549" s="8"/>
      <c r="AT549" s="8"/>
      <c r="AU549" s="8">
        <v>23295</v>
      </c>
      <c r="AV549" s="8"/>
      <c r="AW549" s="8">
        <f t="shared" si="29"/>
        <v>7890819</v>
      </c>
      <c r="AY549" s="8">
        <f>+'St of Activites - GA Rev'!AI553-'St of Activities - GA Exp'!AW549</f>
        <v>1241179</v>
      </c>
      <c r="BA549" s="8">
        <v>6410438</v>
      </c>
      <c r="BC549" s="8">
        <f t="shared" si="30"/>
        <v>7651617</v>
      </c>
      <c r="BE549" s="8">
        <f>+'St of Net Assets - GA'!AA552-'St of Activities - GA Exp'!BC549</f>
        <v>0</v>
      </c>
    </row>
    <row r="550" spans="1:57">
      <c r="A550" s="12" t="s">
        <v>524</v>
      </c>
      <c r="B550" s="12"/>
      <c r="C550" s="12" t="s">
        <v>45</v>
      </c>
      <c r="D550" s="12"/>
      <c r="E550" s="32">
        <v>48389</v>
      </c>
      <c r="G550" s="8">
        <v>10412517</v>
      </c>
      <c r="H550" s="8"/>
      <c r="I550" s="8">
        <v>2027162</v>
      </c>
      <c r="J550" s="8"/>
      <c r="K550" s="8">
        <v>388325</v>
      </c>
      <c r="L550" s="8"/>
      <c r="M550" s="8">
        <v>102161</v>
      </c>
      <c r="N550" s="8"/>
      <c r="O550" s="8">
        <v>1032824</v>
      </c>
      <c r="P550" s="8"/>
      <c r="Q550" s="8">
        <v>1152950</v>
      </c>
      <c r="R550" s="8"/>
      <c r="S550" s="8">
        <v>32908</v>
      </c>
      <c r="T550" s="8"/>
      <c r="U550" s="8">
        <v>1468602</v>
      </c>
      <c r="V550" s="8"/>
      <c r="W550" s="8">
        <v>453297</v>
      </c>
      <c r="X550" s="8"/>
      <c r="Y550" s="8">
        <v>0</v>
      </c>
      <c r="Z550" s="8"/>
      <c r="AA550" s="8">
        <v>2087104</v>
      </c>
      <c r="AB550" s="8"/>
      <c r="AC550" s="8">
        <v>1227349</v>
      </c>
      <c r="AD550" s="8"/>
      <c r="AE550" s="8">
        <v>265937</v>
      </c>
      <c r="AF550" s="8"/>
      <c r="AG550" s="12" t="s">
        <v>524</v>
      </c>
      <c r="AH550" s="12"/>
      <c r="AI550" s="12" t="s">
        <v>45</v>
      </c>
      <c r="AJ550" s="12"/>
      <c r="AK550" s="8">
        <v>881004</v>
      </c>
      <c r="AL550" s="8"/>
      <c r="AM550" s="8">
        <v>46488</v>
      </c>
      <c r="AN550" s="8"/>
      <c r="AO550" s="8">
        <v>699491</v>
      </c>
      <c r="AP550" s="8"/>
      <c r="AQ550" s="8">
        <v>352219</v>
      </c>
      <c r="AR550" s="8"/>
      <c r="AS550" s="8"/>
      <c r="AT550" s="8"/>
      <c r="AU550" s="8">
        <v>0</v>
      </c>
      <c r="AV550" s="8"/>
      <c r="AW550" s="8">
        <f t="shared" si="29"/>
        <v>22630338</v>
      </c>
      <c r="AY550" s="8">
        <f>+'St of Activites - GA Rev'!AI554-'St of Activities - GA Exp'!AW550</f>
        <v>-1322844</v>
      </c>
      <c r="BA550" s="8">
        <v>43141655</v>
      </c>
      <c r="BC550" s="8">
        <f t="shared" si="30"/>
        <v>41818811</v>
      </c>
      <c r="BE550" s="8">
        <f>+'St of Net Assets - GA'!AA553-'St of Activities - GA Exp'!BC550</f>
        <v>0</v>
      </c>
    </row>
    <row r="551" spans="1:57">
      <c r="A551" s="12" t="s">
        <v>276</v>
      </c>
      <c r="B551" s="12"/>
      <c r="C551" s="12" t="s">
        <v>116</v>
      </c>
      <c r="D551" s="12"/>
      <c r="E551" s="32">
        <v>46359</v>
      </c>
      <c r="G551" s="8">
        <v>36375989</v>
      </c>
      <c r="H551" s="8"/>
      <c r="I551" s="8">
        <v>10812400</v>
      </c>
      <c r="J551" s="8"/>
      <c r="K551" s="8">
        <v>133377</v>
      </c>
      <c r="L551" s="8"/>
      <c r="M551" s="8">
        <v>0</v>
      </c>
      <c r="N551" s="8"/>
      <c r="O551" s="8">
        <v>4825311</v>
      </c>
      <c r="P551" s="8"/>
      <c r="Q551" s="8">
        <v>2750007</v>
      </c>
      <c r="R551" s="8"/>
      <c r="S551" s="8">
        <v>0</v>
      </c>
      <c r="T551" s="8"/>
      <c r="U551" s="8">
        <f>62285+5561195</f>
        <v>5623480</v>
      </c>
      <c r="V551" s="8"/>
      <c r="W551" s="8">
        <v>1631819</v>
      </c>
      <c r="X551" s="8"/>
      <c r="Y551" s="8">
        <v>49022</v>
      </c>
      <c r="Z551" s="8"/>
      <c r="AA551" s="8">
        <v>6514769</v>
      </c>
      <c r="AB551" s="8"/>
      <c r="AC551" s="8">
        <v>7128515</v>
      </c>
      <c r="AD551" s="8"/>
      <c r="AE551" s="8">
        <v>1153581</v>
      </c>
      <c r="AF551" s="8"/>
      <c r="AG551" s="12" t="s">
        <v>276</v>
      </c>
      <c r="AH551" s="12"/>
      <c r="AI551" s="12" t="s">
        <v>116</v>
      </c>
      <c r="AJ551" s="12"/>
      <c r="AK551" s="8">
        <v>0</v>
      </c>
      <c r="AL551" s="8"/>
      <c r="AM551" s="8">
        <v>2544614</v>
      </c>
      <c r="AN551" s="8"/>
      <c r="AO551" s="8">
        <v>1227456</v>
      </c>
      <c r="AP551" s="8"/>
      <c r="AQ551" s="8">
        <v>916282</v>
      </c>
      <c r="AR551" s="8"/>
      <c r="AS551" s="8"/>
      <c r="AT551" s="8"/>
      <c r="AU551" s="8">
        <v>0</v>
      </c>
      <c r="AV551" s="8"/>
      <c r="AW551" s="8">
        <f t="shared" si="29"/>
        <v>81686622</v>
      </c>
      <c r="AY551" s="8">
        <f>+'St of Activites - GA Rev'!AI555-'St of Activities - GA Exp'!AW551</f>
        <v>1597632</v>
      </c>
      <c r="BA551" s="8">
        <v>13951273</v>
      </c>
      <c r="BC551" s="8">
        <f t="shared" si="30"/>
        <v>15548905</v>
      </c>
      <c r="BE551" s="8">
        <f>+'St of Net Assets - GA'!AA554-'St of Activities - GA Exp'!BC551</f>
        <v>0</v>
      </c>
    </row>
    <row r="552" spans="1:57" s="8" customFormat="1">
      <c r="A552" s="13" t="s">
        <v>387</v>
      </c>
      <c r="B552" s="13"/>
      <c r="C552" s="13" t="s">
        <v>30</v>
      </c>
      <c r="D552" s="13"/>
      <c r="E552" s="13">
        <v>47225</v>
      </c>
      <c r="G552" s="8">
        <v>10540611</v>
      </c>
      <c r="I552" s="8">
        <v>2528956</v>
      </c>
      <c r="K552" s="8">
        <v>201165</v>
      </c>
      <c r="M552" s="8">
        <v>411484</v>
      </c>
      <c r="O552" s="8">
        <v>2143840</v>
      </c>
      <c r="Q552" s="8">
        <v>830321</v>
      </c>
      <c r="S552" s="8">
        <v>60464</v>
      </c>
      <c r="U552" s="8">
        <v>1770671</v>
      </c>
      <c r="W552" s="8">
        <v>636471</v>
      </c>
      <c r="Y552" s="8">
        <v>201183</v>
      </c>
      <c r="AA552" s="8">
        <v>2715582</v>
      </c>
      <c r="AC552" s="8">
        <v>1914042</v>
      </c>
      <c r="AE552" s="8">
        <v>85407</v>
      </c>
      <c r="AG552" s="13" t="s">
        <v>387</v>
      </c>
      <c r="AH552" s="13"/>
      <c r="AI552" s="13" t="s">
        <v>30</v>
      </c>
      <c r="AJ552" s="13"/>
      <c r="AK552" s="8">
        <v>0</v>
      </c>
      <c r="AM552" s="8">
        <v>479862</v>
      </c>
      <c r="AO552" s="8">
        <v>838562</v>
      </c>
      <c r="AQ552" s="8">
        <v>620617</v>
      </c>
      <c r="AU552" s="8">
        <v>0</v>
      </c>
      <c r="AW552" s="8">
        <f>SUM(G552:AV552)</f>
        <v>25979238</v>
      </c>
      <c r="AY552" s="8">
        <f>+'St of Activites - GA Rev'!AI556-'St of Activities - GA Exp'!AW552</f>
        <v>2029169</v>
      </c>
      <c r="BA552" s="8">
        <v>6389586</v>
      </c>
      <c r="BC552" s="8">
        <f>+AY552+BA552</f>
        <v>8418755</v>
      </c>
      <c r="BE552" s="8">
        <f>+'St of Net Assets - GA'!AA557-'St of Activities - GA Exp'!BC552</f>
        <v>0</v>
      </c>
    </row>
    <row r="553" spans="1:57">
      <c r="A553" s="12" t="s">
        <v>447</v>
      </c>
      <c r="B553" s="12"/>
      <c r="C553" s="12" t="s">
        <v>36</v>
      </c>
      <c r="D553" s="12"/>
      <c r="E553" s="32">
        <v>47696</v>
      </c>
      <c r="G553" s="8">
        <v>10913964</v>
      </c>
      <c r="H553" s="8"/>
      <c r="I553" s="8">
        <v>3025822</v>
      </c>
      <c r="J553" s="8"/>
      <c r="K553" s="8">
        <v>289759</v>
      </c>
      <c r="L553" s="8"/>
      <c r="M553" s="8">
        <v>0</v>
      </c>
      <c r="N553" s="8"/>
      <c r="O553" s="8">
        <v>845625</v>
      </c>
      <c r="P553" s="8"/>
      <c r="Q553" s="8">
        <v>504676</v>
      </c>
      <c r="R553" s="8"/>
      <c r="S553" s="8">
        <v>78180</v>
      </c>
      <c r="T553" s="8"/>
      <c r="U553" s="8">
        <v>1985516</v>
      </c>
      <c r="V553" s="8"/>
      <c r="W553" s="8">
        <v>534052</v>
      </c>
      <c r="X553" s="8"/>
      <c r="Y553" s="8">
        <v>12199</v>
      </c>
      <c r="Z553" s="8"/>
      <c r="AA553" s="8">
        <v>2063130</v>
      </c>
      <c r="AB553" s="8"/>
      <c r="AC553" s="8">
        <v>1625424</v>
      </c>
      <c r="AD553" s="8"/>
      <c r="AE553" s="8">
        <v>87074</v>
      </c>
      <c r="AF553" s="8"/>
      <c r="AG553" s="12" t="s">
        <v>447</v>
      </c>
      <c r="AH553" s="12"/>
      <c r="AI553" s="12" t="s">
        <v>36</v>
      </c>
      <c r="AJ553" s="12"/>
      <c r="AK553" s="8">
        <v>1009409</v>
      </c>
      <c r="AL553" s="8"/>
      <c r="AM553" s="8">
        <v>48626</v>
      </c>
      <c r="AN553" s="8"/>
      <c r="AO553" s="8">
        <v>565638</v>
      </c>
      <c r="AP553" s="8"/>
      <c r="AQ553" s="8">
        <v>795969</v>
      </c>
      <c r="AR553" s="8"/>
      <c r="AS553" s="8"/>
      <c r="AT553" s="8"/>
      <c r="AU553" s="8">
        <v>0</v>
      </c>
      <c r="AV553" s="8"/>
      <c r="AW553" s="8">
        <f t="shared" ref="AW553:AW584" si="31">SUM(G553:AV553)</f>
        <v>24385063</v>
      </c>
      <c r="AY553" s="8">
        <f>+'St of Activites - GA Rev'!AI557-'St of Activities - GA Exp'!AW553</f>
        <v>71321</v>
      </c>
      <c r="BA553" s="8">
        <v>18768724</v>
      </c>
      <c r="BC553" s="8">
        <f t="shared" ref="BC553:BC584" si="32">+AY553+BA553</f>
        <v>18840045</v>
      </c>
      <c r="BE553" s="8">
        <f>+'St of Net Assets - GA'!AA558-'St of Activities - GA Exp'!BC553</f>
        <v>0</v>
      </c>
    </row>
    <row r="554" spans="1:57">
      <c r="A554" s="12" t="s">
        <v>263</v>
      </c>
      <c r="B554" s="12"/>
      <c r="C554" s="12" t="s">
        <v>259</v>
      </c>
      <c r="D554" s="12"/>
      <c r="E554" s="32">
        <v>46219</v>
      </c>
      <c r="G554" s="8">
        <v>4613898</v>
      </c>
      <c r="H554" s="8"/>
      <c r="I554" s="8">
        <v>1749311</v>
      </c>
      <c r="J554" s="8"/>
      <c r="K554" s="8">
        <v>183818</v>
      </c>
      <c r="L554" s="8"/>
      <c r="M554" s="8">
        <v>368215</v>
      </c>
      <c r="N554" s="8"/>
      <c r="O554" s="8">
        <v>551709</v>
      </c>
      <c r="P554" s="8"/>
      <c r="Q554" s="8">
        <v>744459</v>
      </c>
      <c r="R554" s="8"/>
      <c r="S554" s="8">
        <v>55440</v>
      </c>
      <c r="T554" s="8"/>
      <c r="U554" s="8">
        <v>748413</v>
      </c>
      <c r="V554" s="8"/>
      <c r="W554" s="8">
        <v>363265</v>
      </c>
      <c r="X554" s="8"/>
      <c r="Y554" s="8">
        <v>18014</v>
      </c>
      <c r="Z554" s="8"/>
      <c r="AA554" s="8">
        <v>994081</v>
      </c>
      <c r="AB554" s="8"/>
      <c r="AC554" s="8">
        <v>718849</v>
      </c>
      <c r="AD554" s="8"/>
      <c r="AE554" s="8">
        <v>222150</v>
      </c>
      <c r="AF554" s="8"/>
      <c r="AG554" s="12" t="s">
        <v>263</v>
      </c>
      <c r="AH554" s="12"/>
      <c r="AI554" s="12" t="s">
        <v>259</v>
      </c>
      <c r="AJ554" s="12"/>
      <c r="AK554" s="8">
        <v>554207</v>
      </c>
      <c r="AL554" s="8"/>
      <c r="AM554" s="8">
        <v>313941</v>
      </c>
      <c r="AN554" s="8"/>
      <c r="AO554" s="8">
        <v>564555</v>
      </c>
      <c r="AP554" s="8"/>
      <c r="AQ554" s="8">
        <v>35336</v>
      </c>
      <c r="AR554" s="8"/>
      <c r="AS554" s="8"/>
      <c r="AT554" s="8"/>
      <c r="AU554" s="8">
        <v>0</v>
      </c>
      <c r="AV554" s="8"/>
      <c r="AW554" s="8">
        <f t="shared" si="31"/>
        <v>12799661</v>
      </c>
      <c r="AY554" s="8">
        <f>+'St of Activites - GA Rev'!AI558-'St of Activities - GA Exp'!AW554</f>
        <v>-46386</v>
      </c>
      <c r="BA554" s="8">
        <v>7081672</v>
      </c>
      <c r="BC554" s="8">
        <f t="shared" si="32"/>
        <v>7035286</v>
      </c>
      <c r="BE554" s="8">
        <f>+'St of Net Assets - GA'!AA559-'St of Activities - GA Exp'!BC554</f>
        <v>0</v>
      </c>
    </row>
    <row r="555" spans="1:57">
      <c r="A555" s="12" t="s">
        <v>575</v>
      </c>
      <c r="B555" s="12"/>
      <c r="C555" s="12" t="s">
        <v>51</v>
      </c>
      <c r="D555" s="12"/>
      <c r="E555" s="32">
        <v>48884</v>
      </c>
      <c r="G555" s="8">
        <v>7461255</v>
      </c>
      <c r="H555" s="8"/>
      <c r="I555" s="8">
        <v>2291035</v>
      </c>
      <c r="J555" s="8"/>
      <c r="K555" s="8">
        <v>296748</v>
      </c>
      <c r="L555" s="8"/>
      <c r="M555" s="8">
        <v>0</v>
      </c>
      <c r="N555" s="8"/>
      <c r="O555" s="8">
        <v>294198</v>
      </c>
      <c r="P555" s="8"/>
      <c r="Q555" s="8">
        <v>1142656</v>
      </c>
      <c r="R555" s="8"/>
      <c r="S555" s="8">
        <v>18004</v>
      </c>
      <c r="T555" s="8"/>
      <c r="U555" s="8">
        <v>1512624</v>
      </c>
      <c r="V555" s="8"/>
      <c r="W555" s="8">
        <v>399665</v>
      </c>
      <c r="X555" s="8"/>
      <c r="Y555" s="8">
        <v>0</v>
      </c>
      <c r="Z555" s="8"/>
      <c r="AA555" s="8">
        <v>2010489</v>
      </c>
      <c r="AB555" s="8"/>
      <c r="AC555" s="8">
        <v>985398</v>
      </c>
      <c r="AD555" s="8"/>
      <c r="AE555" s="8">
        <v>86734</v>
      </c>
      <c r="AF555" s="8"/>
      <c r="AG555" s="12" t="s">
        <v>575</v>
      </c>
      <c r="AH555" s="12"/>
      <c r="AI555" s="12" t="s">
        <v>51</v>
      </c>
      <c r="AJ555" s="12"/>
      <c r="AK555" s="8">
        <v>721067</v>
      </c>
      <c r="AL555" s="8"/>
      <c r="AM555" s="8">
        <v>7095</v>
      </c>
      <c r="AN555" s="8"/>
      <c r="AO555" s="8">
        <v>301010</v>
      </c>
      <c r="AP555" s="8"/>
      <c r="AQ555" s="8">
        <v>1093379</v>
      </c>
      <c r="AR555" s="8"/>
      <c r="AS555" s="8"/>
      <c r="AT555" s="8"/>
      <c r="AU555" s="8">
        <v>0</v>
      </c>
      <c r="AV555" s="8"/>
      <c r="AW555" s="8">
        <f t="shared" si="31"/>
        <v>18621357</v>
      </c>
      <c r="AY555" s="8">
        <f>+'St of Activites - GA Rev'!AI559-'St of Activities - GA Exp'!AW555</f>
        <v>-3261618</v>
      </c>
      <c r="BA555" s="8">
        <v>21140763</v>
      </c>
      <c r="BC555" s="8">
        <f t="shared" si="32"/>
        <v>17879145</v>
      </c>
      <c r="BE555" s="8">
        <f>+'St of Net Assets - GA'!AA560-'St of Activities - GA Exp'!BC555</f>
        <v>0</v>
      </c>
    </row>
    <row r="556" spans="1:57">
      <c r="A556" s="12" t="s">
        <v>244</v>
      </c>
      <c r="B556" s="12"/>
      <c r="C556" s="12" t="s">
        <v>77</v>
      </c>
      <c r="D556" s="12"/>
      <c r="E556" s="32">
        <v>46060</v>
      </c>
      <c r="G556" s="8">
        <v>14208369</v>
      </c>
      <c r="H556" s="8"/>
      <c r="I556" s="8">
        <v>3382298</v>
      </c>
      <c r="J556" s="8"/>
      <c r="K556" s="8">
        <v>297494</v>
      </c>
      <c r="L556" s="8"/>
      <c r="M556" s="8">
        <v>203039</v>
      </c>
      <c r="N556" s="8"/>
      <c r="O556" s="8">
        <v>986900</v>
      </c>
      <c r="P556" s="8"/>
      <c r="Q556" s="8">
        <v>998888</v>
      </c>
      <c r="R556" s="8"/>
      <c r="S556" s="8">
        <v>17970</v>
      </c>
      <c r="T556" s="8"/>
      <c r="U556" s="8">
        <v>2104497</v>
      </c>
      <c r="V556" s="8"/>
      <c r="W556" s="8">
        <v>584051</v>
      </c>
      <c r="X556" s="8"/>
      <c r="Y556" s="8">
        <v>0</v>
      </c>
      <c r="Z556" s="8"/>
      <c r="AA556" s="8">
        <v>2959634</v>
      </c>
      <c r="AB556" s="8"/>
      <c r="AC556" s="8">
        <v>2246022</v>
      </c>
      <c r="AD556" s="8"/>
      <c r="AE556" s="8">
        <v>274331</v>
      </c>
      <c r="AF556" s="8"/>
      <c r="AG556" s="13" t="s">
        <v>244</v>
      </c>
      <c r="AH556" s="13"/>
      <c r="AI556" s="13" t="s">
        <v>77</v>
      </c>
      <c r="AJ556" s="13"/>
      <c r="AK556" s="8">
        <v>0</v>
      </c>
      <c r="AL556" s="8"/>
      <c r="AM556" s="8">
        <v>3565</v>
      </c>
      <c r="AN556" s="8"/>
      <c r="AO556" s="8">
        <v>714507</v>
      </c>
      <c r="AP556" s="8"/>
      <c r="AQ556" s="8">
        <v>294509</v>
      </c>
      <c r="AR556" s="8"/>
      <c r="AS556" s="8"/>
      <c r="AT556" s="8"/>
      <c r="AU556" s="8">
        <v>0</v>
      </c>
      <c r="AV556" s="8"/>
      <c r="AW556" s="8">
        <f t="shared" si="31"/>
        <v>29276074</v>
      </c>
      <c r="AY556" s="8">
        <f>+'St of Activites - GA Rev'!AI560-'St of Activities - GA Exp'!AW556</f>
        <v>-801141</v>
      </c>
      <c r="BA556" s="8">
        <v>50379483</v>
      </c>
      <c r="BC556" s="8">
        <f t="shared" si="32"/>
        <v>49578342</v>
      </c>
      <c r="BE556" s="8">
        <f>+'St of Net Assets - GA'!AA561-'St of Activities - GA Exp'!BC556</f>
        <v>0</v>
      </c>
    </row>
    <row r="557" spans="1:57">
      <c r="A557" s="12" t="s">
        <v>594</v>
      </c>
      <c r="B557" s="12"/>
      <c r="C557" s="12" t="s">
        <v>55</v>
      </c>
      <c r="D557" s="12"/>
      <c r="E557" s="32">
        <v>49155</v>
      </c>
      <c r="G557" s="8">
        <v>3658662</v>
      </c>
      <c r="H557" s="8"/>
      <c r="I557" s="8">
        <v>1344376</v>
      </c>
      <c r="J557" s="8"/>
      <c r="K557" s="8">
        <v>0</v>
      </c>
      <c r="L557" s="8"/>
      <c r="M557" s="8">
        <v>644040</v>
      </c>
      <c r="N557" s="8"/>
      <c r="O557" s="8">
        <v>342447</v>
      </c>
      <c r="P557" s="8"/>
      <c r="Q557" s="8">
        <v>558410</v>
      </c>
      <c r="R557" s="8"/>
      <c r="S557" s="8">
        <v>17246</v>
      </c>
      <c r="T557" s="8"/>
      <c r="U557" s="8">
        <v>791262</v>
      </c>
      <c r="V557" s="8"/>
      <c r="W557" s="8">
        <v>250939</v>
      </c>
      <c r="X557" s="8"/>
      <c r="Y557" s="8">
        <v>0</v>
      </c>
      <c r="Z557" s="8"/>
      <c r="AA557" s="8">
        <v>1015067</v>
      </c>
      <c r="AB557" s="8"/>
      <c r="AC557" s="8">
        <v>735215</v>
      </c>
      <c r="AD557" s="8"/>
      <c r="AE557" s="8">
        <v>102476</v>
      </c>
      <c r="AF557" s="8"/>
      <c r="AG557" s="12" t="s">
        <v>594</v>
      </c>
      <c r="AH557" s="12"/>
      <c r="AI557" s="12" t="s">
        <v>55</v>
      </c>
      <c r="AJ557" s="12"/>
      <c r="AK557" s="8">
        <v>0</v>
      </c>
      <c r="AL557" s="8"/>
      <c r="AM557" s="8">
        <v>376052</v>
      </c>
      <c r="AN557" s="8"/>
      <c r="AO557" s="8">
        <v>177161</v>
      </c>
      <c r="AP557" s="8"/>
      <c r="AQ557" s="8">
        <v>41940</v>
      </c>
      <c r="AR557" s="8"/>
      <c r="AS557" s="8"/>
      <c r="AT557" s="8"/>
      <c r="AU557" s="8">
        <v>83367</v>
      </c>
      <c r="AV557" s="8"/>
      <c r="AW557" s="8">
        <f t="shared" si="31"/>
        <v>10138660</v>
      </c>
      <c r="AY557" s="8">
        <f>+'St of Activites - GA Rev'!AI561-'St of Activities - GA Exp'!AW557</f>
        <v>-1278913</v>
      </c>
      <c r="BA557" s="8">
        <v>25574707</v>
      </c>
      <c r="BC557" s="8">
        <f t="shared" si="32"/>
        <v>24295794</v>
      </c>
      <c r="BE557" s="8">
        <f>+'St of Net Assets - GA'!AA562-'St of Activities - GA Exp'!BC557</f>
        <v>0</v>
      </c>
    </row>
    <row r="558" spans="1:57">
      <c r="A558" s="12" t="s">
        <v>452</v>
      </c>
      <c r="B558" s="12"/>
      <c r="C558" s="12" t="s">
        <v>37</v>
      </c>
      <c r="D558" s="12"/>
      <c r="E558" s="32">
        <v>47746</v>
      </c>
      <c r="G558" s="8">
        <v>5380386</v>
      </c>
      <c r="H558" s="8"/>
      <c r="I558" s="8">
        <v>1601918</v>
      </c>
      <c r="J558" s="8"/>
      <c r="K558" s="8">
        <v>148072</v>
      </c>
      <c r="L558" s="8"/>
      <c r="M558" s="8">
        <f>330+170788</f>
        <v>171118</v>
      </c>
      <c r="N558" s="8"/>
      <c r="O558" s="8">
        <v>194488</v>
      </c>
      <c r="P558" s="8"/>
      <c r="Q558" s="8">
        <v>623549</v>
      </c>
      <c r="R558" s="8"/>
      <c r="S558" s="8">
        <v>111661</v>
      </c>
      <c r="T558" s="8"/>
      <c r="U558" s="8">
        <v>788601</v>
      </c>
      <c r="V558" s="8"/>
      <c r="W558" s="8">
        <v>473033</v>
      </c>
      <c r="X558" s="8"/>
      <c r="Y558" s="8">
        <v>41753</v>
      </c>
      <c r="Z558" s="8"/>
      <c r="AA558" s="8">
        <v>1194907</v>
      </c>
      <c r="AB558" s="8"/>
      <c r="AC558" s="8">
        <v>767764</v>
      </c>
      <c r="AD558" s="8"/>
      <c r="AE558" s="8">
        <v>23252</v>
      </c>
      <c r="AF558" s="8"/>
      <c r="AG558" s="12" t="s">
        <v>452</v>
      </c>
      <c r="AH558" s="12"/>
      <c r="AI558" s="12" t="s">
        <v>37</v>
      </c>
      <c r="AJ558" s="12"/>
      <c r="AK558" s="8">
        <v>520776</v>
      </c>
      <c r="AL558" s="8"/>
      <c r="AM558" s="8">
        <v>138476</v>
      </c>
      <c r="AN558" s="8"/>
      <c r="AO558" s="8">
        <v>458396</v>
      </c>
      <c r="AP558" s="8"/>
      <c r="AQ558" s="8">
        <v>195776</v>
      </c>
      <c r="AR558" s="8"/>
      <c r="AS558" s="8"/>
      <c r="AT558" s="8"/>
      <c r="AU558" s="8">
        <v>0</v>
      </c>
      <c r="AV558" s="8"/>
      <c r="AW558" s="8">
        <f t="shared" si="31"/>
        <v>12833926</v>
      </c>
      <c r="AY558" s="8">
        <f>+'St of Activites - GA Rev'!AI562-'St of Activities - GA Exp'!AW558</f>
        <v>-41822</v>
      </c>
      <c r="BA558" s="8">
        <v>15731810</v>
      </c>
      <c r="BC558" s="8">
        <f t="shared" si="32"/>
        <v>15689988</v>
      </c>
      <c r="BE558" s="8">
        <f>+'St of Net Assets - GA'!AA563-'St of Activities - GA Exp'!BC558</f>
        <v>0</v>
      </c>
    </row>
    <row r="559" spans="1:57">
      <c r="A559" s="12" t="s">
        <v>452</v>
      </c>
      <c r="B559" s="12"/>
      <c r="C559" s="12" t="s">
        <v>45</v>
      </c>
      <c r="D559" s="12"/>
      <c r="E559" s="32">
        <v>48397</v>
      </c>
      <c r="G559" s="8">
        <v>3082120</v>
      </c>
      <c r="H559" s="8"/>
      <c r="I559" s="8">
        <v>697863</v>
      </c>
      <c r="J559" s="8"/>
      <c r="K559" s="8">
        <v>114802</v>
      </c>
      <c r="L559" s="8"/>
      <c r="M559" s="8">
        <v>7246</v>
      </c>
      <c r="N559" s="8"/>
      <c r="O559" s="8">
        <v>317742</v>
      </c>
      <c r="P559" s="8"/>
      <c r="Q559" s="8">
        <v>384191</v>
      </c>
      <c r="R559" s="8"/>
      <c r="S559" s="8">
        <v>27307</v>
      </c>
      <c r="T559" s="8"/>
      <c r="U559" s="8">
        <v>674811</v>
      </c>
      <c r="V559" s="8"/>
      <c r="W559" s="8">
        <v>268553</v>
      </c>
      <c r="X559" s="8"/>
      <c r="Y559" s="8">
        <v>26577</v>
      </c>
      <c r="Z559" s="8"/>
      <c r="AA559" s="8">
        <v>552431</v>
      </c>
      <c r="AB559" s="8"/>
      <c r="AC559" s="8">
        <v>429658</v>
      </c>
      <c r="AD559" s="8"/>
      <c r="AE559" s="8">
        <v>19926</v>
      </c>
      <c r="AF559" s="8"/>
      <c r="AG559" s="12" t="s">
        <v>452</v>
      </c>
      <c r="AH559" s="12"/>
      <c r="AI559" s="12" t="s">
        <v>45</v>
      </c>
      <c r="AJ559" s="12"/>
      <c r="AK559" s="8">
        <v>225560</v>
      </c>
      <c r="AL559" s="8"/>
      <c r="AM559" s="8">
        <v>2838</v>
      </c>
      <c r="AN559" s="8"/>
      <c r="AO559" s="8">
        <v>379791</v>
      </c>
      <c r="AP559" s="8"/>
      <c r="AQ559" s="8">
        <v>0</v>
      </c>
      <c r="AR559" s="8"/>
      <c r="AS559" s="8"/>
      <c r="AT559" s="8"/>
      <c r="AU559" s="8">
        <v>0</v>
      </c>
      <c r="AV559" s="8"/>
      <c r="AW559" s="8">
        <f t="shared" si="31"/>
        <v>7211416</v>
      </c>
      <c r="AY559" s="8">
        <f>+'St of Activites - GA Rev'!AI563-'St of Activities - GA Exp'!AW559</f>
        <v>-627</v>
      </c>
      <c r="BA559" s="8">
        <v>3680381</v>
      </c>
      <c r="BC559" s="8">
        <f t="shared" si="32"/>
        <v>3679754</v>
      </c>
      <c r="BE559" s="8">
        <f>+'St of Net Assets - GA'!AA564-'St of Activities - GA Exp'!BC559</f>
        <v>0</v>
      </c>
    </row>
    <row r="560" spans="1:57">
      <c r="A560" s="12" t="s">
        <v>369</v>
      </c>
      <c r="B560" s="12"/>
      <c r="C560" s="12" t="s">
        <v>27</v>
      </c>
      <c r="D560" s="12"/>
      <c r="E560" s="32">
        <v>45047</v>
      </c>
      <c r="G560" s="8">
        <v>65214351</v>
      </c>
      <c r="H560" s="8"/>
      <c r="I560" s="8">
        <v>19601737</v>
      </c>
      <c r="J560" s="8"/>
      <c r="K560" s="8">
        <v>678722</v>
      </c>
      <c r="L560" s="8"/>
      <c r="M560" s="8">
        <v>3482504</v>
      </c>
      <c r="N560" s="8"/>
      <c r="O560" s="8">
        <v>10363670</v>
      </c>
      <c r="P560" s="8"/>
      <c r="Q560" s="8">
        <v>4603913</v>
      </c>
      <c r="R560" s="8"/>
      <c r="S560" s="8">
        <v>10033797</v>
      </c>
      <c r="T560" s="8"/>
      <c r="U560" s="8">
        <v>1536818</v>
      </c>
      <c r="V560" s="8"/>
      <c r="W560" s="8">
        <v>2417545</v>
      </c>
      <c r="X560" s="8"/>
      <c r="Y560" s="8">
        <v>1000857</v>
      </c>
      <c r="Z560" s="8"/>
      <c r="AA560" s="8">
        <v>13857342</v>
      </c>
      <c r="AB560" s="8"/>
      <c r="AC560" s="8">
        <v>7401674</v>
      </c>
      <c r="AD560" s="8"/>
      <c r="AE560" s="8">
        <v>2459665</v>
      </c>
      <c r="AF560" s="8"/>
      <c r="AG560" s="12" t="s">
        <v>369</v>
      </c>
      <c r="AH560" s="12"/>
      <c r="AI560" s="12" t="s">
        <v>27</v>
      </c>
      <c r="AJ560" s="12"/>
      <c r="AK560" s="8">
        <v>32467</v>
      </c>
      <c r="AL560" s="8"/>
      <c r="AM560" s="8">
        <v>873719</v>
      </c>
      <c r="AN560" s="8"/>
      <c r="AO560" s="8">
        <v>2845872</v>
      </c>
      <c r="AP560" s="8"/>
      <c r="AQ560" s="8">
        <v>5780535</v>
      </c>
      <c r="AR560" s="8"/>
      <c r="AS560" s="8"/>
      <c r="AT560" s="8"/>
      <c r="AU560" s="8">
        <v>0</v>
      </c>
      <c r="AV560" s="8"/>
      <c r="AW560" s="8">
        <f t="shared" si="31"/>
        <v>152185188</v>
      </c>
      <c r="AY560" s="8">
        <f>+'St of Activites - GA Rev'!AI564-'St of Activities - GA Exp'!AW560</f>
        <v>3292704</v>
      </c>
      <c r="BA560" s="8">
        <v>67656347</v>
      </c>
      <c r="BC560" s="8">
        <f t="shared" si="32"/>
        <v>70949051</v>
      </c>
      <c r="BE560" s="8">
        <f>+'St of Net Assets - GA'!AA565-'St of Activities - GA Exp'!BC560</f>
        <v>0</v>
      </c>
    </row>
    <row r="561" spans="1:57" ht="12" customHeight="1">
      <c r="A561" s="12" t="s">
        <v>591</v>
      </c>
      <c r="B561" s="12"/>
      <c r="C561" s="12" t="s">
        <v>54</v>
      </c>
      <c r="D561" s="12"/>
      <c r="E561" s="32">
        <v>49106</v>
      </c>
      <c r="G561" s="8">
        <v>7968570</v>
      </c>
      <c r="H561" s="8"/>
      <c r="I561" s="8">
        <v>1367326</v>
      </c>
      <c r="J561" s="8"/>
      <c r="K561" s="8">
        <v>32249</v>
      </c>
      <c r="L561" s="8"/>
      <c r="M561" s="8">
        <v>499</v>
      </c>
      <c r="N561" s="8"/>
      <c r="O561" s="8">
        <v>478308</v>
      </c>
      <c r="P561" s="8"/>
      <c r="Q561" s="8">
        <v>1168693</v>
      </c>
      <c r="R561" s="8"/>
      <c r="S561" s="8">
        <v>221746</v>
      </c>
      <c r="T561" s="8"/>
      <c r="U561" s="8">
        <v>1386536</v>
      </c>
      <c r="V561" s="8"/>
      <c r="W561" s="8">
        <v>444779</v>
      </c>
      <c r="X561" s="8"/>
      <c r="Y561" s="8">
        <v>74827</v>
      </c>
      <c r="Z561" s="8"/>
      <c r="AA561" s="8">
        <v>1130510</v>
      </c>
      <c r="AB561" s="8"/>
      <c r="AC561" s="8">
        <v>1110225</v>
      </c>
      <c r="AD561" s="8"/>
      <c r="AE561" s="8">
        <v>52530</v>
      </c>
      <c r="AF561" s="8"/>
      <c r="AG561" s="12" t="s">
        <v>591</v>
      </c>
      <c r="AH561" s="12"/>
      <c r="AI561" s="12" t="s">
        <v>54</v>
      </c>
      <c r="AJ561" s="12"/>
      <c r="AK561" s="8">
        <v>593187</v>
      </c>
      <c r="AL561" s="8"/>
      <c r="AM561" s="8">
        <v>0</v>
      </c>
      <c r="AN561" s="8"/>
      <c r="AO561" s="8">
        <v>418393</v>
      </c>
      <c r="AP561" s="8"/>
      <c r="AQ561" s="8">
        <v>336472</v>
      </c>
      <c r="AR561" s="8"/>
      <c r="AS561" s="8"/>
      <c r="AT561" s="8"/>
      <c r="AU561" s="8">
        <v>0</v>
      </c>
      <c r="AV561" s="8"/>
      <c r="AW561" s="8">
        <f t="shared" si="31"/>
        <v>16784850</v>
      </c>
      <c r="AY561" s="8">
        <f>+'St of Activites - GA Rev'!AI565-'St of Activities - GA Exp'!AW561</f>
        <v>-879086</v>
      </c>
      <c r="BA561" s="8">
        <v>7516259</v>
      </c>
      <c r="BC561" s="8">
        <f t="shared" si="32"/>
        <v>6637173</v>
      </c>
      <c r="BE561" s="8">
        <f>+'St of Net Assets - GA'!AA566-'St of Activities - GA Exp'!BC561</f>
        <v>0</v>
      </c>
    </row>
    <row r="562" spans="1:57">
      <c r="A562" s="12" t="s">
        <v>329</v>
      </c>
      <c r="B562" s="12"/>
      <c r="C562" s="12" t="s">
        <v>20</v>
      </c>
      <c r="D562" s="12"/>
      <c r="E562" s="32">
        <v>45062</v>
      </c>
      <c r="G562" s="8">
        <v>20976991</v>
      </c>
      <c r="H562" s="8"/>
      <c r="I562" s="8">
        <v>3966107</v>
      </c>
      <c r="J562" s="8"/>
      <c r="K562" s="8">
        <v>426626</v>
      </c>
      <c r="L562" s="8"/>
      <c r="M562" s="8">
        <f>36757+1207397</f>
        <v>1244154</v>
      </c>
      <c r="N562" s="8"/>
      <c r="O562" s="8">
        <v>3212792</v>
      </c>
      <c r="P562" s="8"/>
      <c r="Q562" s="8">
        <v>3042408</v>
      </c>
      <c r="R562" s="8"/>
      <c r="S562" s="8">
        <v>27009</v>
      </c>
      <c r="T562" s="8"/>
      <c r="U562" s="8">
        <v>2927678</v>
      </c>
      <c r="V562" s="8"/>
      <c r="W562" s="8">
        <v>1189276</v>
      </c>
      <c r="X562" s="8"/>
      <c r="Y562" s="8">
        <v>436519</v>
      </c>
      <c r="Z562" s="8"/>
      <c r="AA562" s="8">
        <v>4420612</v>
      </c>
      <c r="AB562" s="8"/>
      <c r="AC562" s="8">
        <v>3956627</v>
      </c>
      <c r="AD562" s="8"/>
      <c r="AE562" s="8">
        <v>120267</v>
      </c>
      <c r="AF562" s="8"/>
      <c r="AG562" s="12" t="s">
        <v>329</v>
      </c>
      <c r="AH562" s="12"/>
      <c r="AI562" s="12" t="s">
        <v>20</v>
      </c>
      <c r="AJ562" s="12"/>
      <c r="AK562" s="8">
        <v>1131429</v>
      </c>
      <c r="AL562" s="8"/>
      <c r="AM562" s="8">
        <v>309547</v>
      </c>
      <c r="AN562" s="8"/>
      <c r="AO562" s="8">
        <v>1544991</v>
      </c>
      <c r="AP562" s="8"/>
      <c r="AQ562" s="8">
        <v>1104594</v>
      </c>
      <c r="AR562" s="8"/>
      <c r="AS562" s="8"/>
      <c r="AT562" s="8"/>
      <c r="AU562" s="8">
        <f>457258</f>
        <v>457258</v>
      </c>
      <c r="AV562" s="8"/>
      <c r="AW562" s="8">
        <f t="shared" si="31"/>
        <v>50494885</v>
      </c>
      <c r="AY562" s="8">
        <f>+'St of Activites - GA Rev'!AI566-'St of Activities - GA Exp'!AW562</f>
        <v>10229838</v>
      </c>
      <c r="BA562" s="8">
        <v>29166993</v>
      </c>
      <c r="BC562" s="8">
        <f t="shared" si="32"/>
        <v>39396831</v>
      </c>
      <c r="BE562" s="8">
        <f>+'St of Net Assets - GA'!AA567-'St of Activities - GA Exp'!BC562</f>
        <v>0</v>
      </c>
    </row>
    <row r="563" spans="1:57">
      <c r="A563" s="12" t="s">
        <v>639</v>
      </c>
      <c r="B563" s="12"/>
      <c r="C563" s="12" t="s">
        <v>59</v>
      </c>
      <c r="D563" s="12"/>
      <c r="E563" s="32">
        <v>49668</v>
      </c>
      <c r="G563" s="8">
        <v>6580073</v>
      </c>
      <c r="H563" s="8"/>
      <c r="I563" s="8">
        <v>1253578</v>
      </c>
      <c r="J563" s="8"/>
      <c r="K563" s="8">
        <v>10000</v>
      </c>
      <c r="L563" s="8"/>
      <c r="M563" s="8">
        <v>61966</v>
      </c>
      <c r="N563" s="8"/>
      <c r="O563" s="8">
        <v>623155</v>
      </c>
      <c r="P563" s="8"/>
      <c r="Q563" s="8">
        <v>701729</v>
      </c>
      <c r="R563" s="8"/>
      <c r="S563" s="8">
        <v>64329</v>
      </c>
      <c r="T563" s="8"/>
      <c r="U563" s="8">
        <v>872736</v>
      </c>
      <c r="V563" s="8"/>
      <c r="W563" s="8">
        <v>371395</v>
      </c>
      <c r="X563" s="8"/>
      <c r="Y563" s="8">
        <v>0</v>
      </c>
      <c r="Z563" s="8"/>
      <c r="AA563" s="8">
        <v>1093147</v>
      </c>
      <c r="AB563" s="8"/>
      <c r="AC563" s="8">
        <v>522559</v>
      </c>
      <c r="AD563" s="8"/>
      <c r="AE563" s="8">
        <v>113258</v>
      </c>
      <c r="AF563" s="8"/>
      <c r="AG563" s="12" t="s">
        <v>639</v>
      </c>
      <c r="AH563" s="12"/>
      <c r="AI563" s="12" t="s">
        <v>59</v>
      </c>
      <c r="AJ563" s="12"/>
      <c r="AK563" s="8">
        <v>586368</v>
      </c>
      <c r="AL563" s="8"/>
      <c r="AM563" s="8">
        <v>0</v>
      </c>
      <c r="AN563" s="8"/>
      <c r="AO563" s="8">
        <v>512372</v>
      </c>
      <c r="AP563" s="8"/>
      <c r="AQ563" s="8">
        <v>431037</v>
      </c>
      <c r="AR563" s="8"/>
      <c r="AS563" s="8"/>
      <c r="AT563" s="8"/>
      <c r="AU563" s="8">
        <v>43500</v>
      </c>
      <c r="AV563" s="8"/>
      <c r="AW563" s="8">
        <f t="shared" si="31"/>
        <v>13841202</v>
      </c>
      <c r="AY563" s="8">
        <f>+'St of Activites - GA Rev'!AI567-'St of Activities - GA Exp'!AW563</f>
        <v>2726474</v>
      </c>
      <c r="BA563" s="8">
        <v>31150154</v>
      </c>
      <c r="BC563" s="8">
        <f t="shared" si="32"/>
        <v>33876628</v>
      </c>
      <c r="BE563" s="8">
        <f>+'St of Net Assets - GA'!AA568-'St of Activities - GA Exp'!BC563</f>
        <v>0</v>
      </c>
    </row>
    <row r="564" spans="1:57">
      <c r="A564" s="12" t="s">
        <v>370</v>
      </c>
      <c r="B564" s="12"/>
      <c r="C564" s="12" t="s">
        <v>27</v>
      </c>
      <c r="D564" s="12"/>
      <c r="E564" s="32">
        <v>45070</v>
      </c>
      <c r="G564" s="8">
        <v>13331643</v>
      </c>
      <c r="H564" s="8"/>
      <c r="I564" s="8">
        <v>6138787</v>
      </c>
      <c r="J564" s="8"/>
      <c r="K564" s="8">
        <v>749503</v>
      </c>
      <c r="L564" s="8"/>
      <c r="M564" s="8">
        <v>609241</v>
      </c>
      <c r="N564" s="8"/>
      <c r="O564" s="8">
        <v>1368493</v>
      </c>
      <c r="P564" s="8"/>
      <c r="Q564" s="8">
        <v>1495445</v>
      </c>
      <c r="R564" s="8"/>
      <c r="S564" s="8">
        <v>666932</v>
      </c>
      <c r="T564" s="8"/>
      <c r="U564" s="8">
        <v>2356732</v>
      </c>
      <c r="V564" s="8"/>
      <c r="W564" s="8">
        <v>0</v>
      </c>
      <c r="X564" s="8"/>
      <c r="Y564" s="8">
        <v>0</v>
      </c>
      <c r="Z564" s="8"/>
      <c r="AA564" s="8">
        <f>218668+2448403</f>
        <v>2667071</v>
      </c>
      <c r="AB564" s="8"/>
      <c r="AC564" s="8">
        <f>1358063</f>
        <v>1358063</v>
      </c>
      <c r="AD564" s="8"/>
      <c r="AE564" s="8">
        <v>565000</v>
      </c>
      <c r="AF564" s="8"/>
      <c r="AG564" s="12" t="s">
        <v>370</v>
      </c>
      <c r="AH564" s="12"/>
      <c r="AI564" s="12" t="s">
        <v>27</v>
      </c>
      <c r="AJ564" s="12"/>
      <c r="AK564" s="8">
        <v>0</v>
      </c>
      <c r="AL564" s="8"/>
      <c r="AM564" s="8">
        <v>107440</v>
      </c>
      <c r="AN564" s="8"/>
      <c r="AO564" s="8">
        <v>629980</v>
      </c>
      <c r="AP564" s="8"/>
      <c r="AQ564" s="8">
        <v>49447</v>
      </c>
      <c r="AR564" s="8"/>
      <c r="AS564" s="8"/>
      <c r="AT564" s="8"/>
      <c r="AU564" s="8">
        <v>0</v>
      </c>
      <c r="AV564" s="8"/>
      <c r="AW564" s="8">
        <f t="shared" si="31"/>
        <v>32093777</v>
      </c>
      <c r="AY564" s="8">
        <f>+'St of Activites - GA Rev'!AI568-'St of Activities - GA Exp'!AW564</f>
        <v>-1176308</v>
      </c>
      <c r="BA564" s="8">
        <v>23106904</v>
      </c>
      <c r="BC564" s="8">
        <f t="shared" si="32"/>
        <v>21930596</v>
      </c>
      <c r="BE564" s="8">
        <f>+'St of Net Assets - GA'!AA569-'St of Activities - GA Exp'!BC564</f>
        <v>0</v>
      </c>
    </row>
    <row r="565" spans="1:57" ht="12" hidden="1" customHeight="1">
      <c r="A565" s="12" t="s">
        <v>873</v>
      </c>
      <c r="B565" s="12"/>
      <c r="C565" s="12" t="s">
        <v>41</v>
      </c>
      <c r="D565" s="12"/>
      <c r="E565" s="32">
        <v>45088</v>
      </c>
      <c r="G565" s="8">
        <v>0</v>
      </c>
      <c r="H565" s="8"/>
      <c r="I565" s="8">
        <v>0</v>
      </c>
      <c r="J565" s="8"/>
      <c r="K565" s="8">
        <v>0</v>
      </c>
      <c r="L565" s="8"/>
      <c r="M565" s="8">
        <v>0</v>
      </c>
      <c r="N565" s="8"/>
      <c r="O565" s="8">
        <v>0</v>
      </c>
      <c r="P565" s="8"/>
      <c r="Q565" s="8">
        <v>0</v>
      </c>
      <c r="R565" s="8"/>
      <c r="S565" s="8">
        <v>0</v>
      </c>
      <c r="T565" s="8"/>
      <c r="U565" s="8">
        <v>0</v>
      </c>
      <c r="V565" s="8"/>
      <c r="W565" s="8">
        <v>0</v>
      </c>
      <c r="X565" s="8"/>
      <c r="Y565" s="8">
        <v>0</v>
      </c>
      <c r="Z565" s="8"/>
      <c r="AA565" s="8">
        <v>0</v>
      </c>
      <c r="AB565" s="8"/>
      <c r="AC565" s="8">
        <v>0</v>
      </c>
      <c r="AD565" s="8"/>
      <c r="AE565" s="8">
        <v>0</v>
      </c>
      <c r="AF565" s="8"/>
      <c r="AG565" s="12" t="s">
        <v>468</v>
      </c>
      <c r="AH565" s="12"/>
      <c r="AI565" s="12" t="s">
        <v>41</v>
      </c>
      <c r="AJ565" s="12"/>
      <c r="AK565" s="8">
        <v>0</v>
      </c>
      <c r="AL565" s="8"/>
      <c r="AM565" s="8">
        <v>0</v>
      </c>
      <c r="AN565" s="8"/>
      <c r="AO565" s="8">
        <v>0</v>
      </c>
      <c r="AP565" s="8"/>
      <c r="AQ565" s="8">
        <v>0</v>
      </c>
      <c r="AR565" s="8"/>
      <c r="AS565" s="8"/>
      <c r="AT565" s="8"/>
      <c r="AU565" s="8">
        <v>0</v>
      </c>
      <c r="AV565" s="8"/>
      <c r="AW565" s="8">
        <f t="shared" si="31"/>
        <v>0</v>
      </c>
      <c r="AY565" s="8">
        <f>+'St of Activites - GA Rev'!AI569-'St of Activities - GA Exp'!AW565</f>
        <v>0</v>
      </c>
      <c r="BC565" s="8">
        <f t="shared" si="32"/>
        <v>0</v>
      </c>
      <c r="BE565" s="8">
        <f>+'St of Net Assets - GA'!AA570-'St of Activities - GA Exp'!BC565</f>
        <v>0</v>
      </c>
    </row>
    <row r="566" spans="1:57">
      <c r="A566" s="12" t="s">
        <v>453</v>
      </c>
      <c r="B566" s="12"/>
      <c r="C566" s="12" t="s">
        <v>37</v>
      </c>
      <c r="D566" s="12"/>
      <c r="E566" s="32">
        <v>45096</v>
      </c>
      <c r="G566" s="8">
        <v>7973476</v>
      </c>
      <c r="H566" s="8"/>
      <c r="I566" s="8">
        <v>1676017</v>
      </c>
      <c r="J566" s="8"/>
      <c r="K566" s="8">
        <v>269596</v>
      </c>
      <c r="L566" s="8"/>
      <c r="M566" s="8">
        <v>1889201</v>
      </c>
      <c r="N566" s="8"/>
      <c r="O566" s="8">
        <v>873486</v>
      </c>
      <c r="P566" s="8"/>
      <c r="Q566" s="8">
        <v>633996</v>
      </c>
      <c r="R566" s="8"/>
      <c r="S566" s="8">
        <v>359150</v>
      </c>
      <c r="T566" s="8"/>
      <c r="U566" s="8">
        <v>1862750</v>
      </c>
      <c r="V566" s="8"/>
      <c r="W566" s="8">
        <v>397612</v>
      </c>
      <c r="X566" s="8"/>
      <c r="Y566" s="8">
        <v>49853</v>
      </c>
      <c r="Z566" s="8"/>
      <c r="AA566" s="8">
        <v>1273390</v>
      </c>
      <c r="AB566" s="8"/>
      <c r="AC566" s="8">
        <v>1011435</v>
      </c>
      <c r="AD566" s="8"/>
      <c r="AE566" s="8">
        <v>5542</v>
      </c>
      <c r="AF566" s="8"/>
      <c r="AG566" s="12" t="s">
        <v>453</v>
      </c>
      <c r="AH566" s="12"/>
      <c r="AI566" s="12" t="s">
        <v>37</v>
      </c>
      <c r="AJ566" s="12"/>
      <c r="AK566" s="8">
        <v>824624</v>
      </c>
      <c r="AL566" s="8"/>
      <c r="AM566" s="8">
        <v>46802</v>
      </c>
      <c r="AN566" s="8"/>
      <c r="AO566" s="8">
        <v>696597</v>
      </c>
      <c r="AP566" s="8"/>
      <c r="AQ566" s="8">
        <v>188885</v>
      </c>
      <c r="AR566" s="8"/>
      <c r="AS566" s="8"/>
      <c r="AT566" s="8"/>
      <c r="AU566" s="8">
        <v>105844</v>
      </c>
      <c r="AV566" s="8"/>
      <c r="AW566" s="8">
        <f t="shared" si="31"/>
        <v>20138256</v>
      </c>
      <c r="AY566" s="8">
        <f>+'St of Activites - GA Rev'!AI570-'St of Activities - GA Exp'!AW566</f>
        <v>822669</v>
      </c>
      <c r="BA566" s="8">
        <v>5738005</v>
      </c>
      <c r="BC566" s="8">
        <f t="shared" si="32"/>
        <v>6560674</v>
      </c>
      <c r="BE566" s="8">
        <f>+'St of Net Assets - GA'!AA571-'St of Activities - GA Exp'!BC566</f>
        <v>0</v>
      </c>
    </row>
    <row r="567" spans="1:57">
      <c r="A567" s="12" t="s">
        <v>277</v>
      </c>
      <c r="B567" s="12"/>
      <c r="C567" s="12" t="s">
        <v>116</v>
      </c>
      <c r="D567" s="12"/>
      <c r="E567" s="32">
        <v>46367</v>
      </c>
      <c r="G567" s="8">
        <v>4492612</v>
      </c>
      <c r="H567" s="8"/>
      <c r="I567" s="8">
        <v>1134212</v>
      </c>
      <c r="J567" s="8"/>
      <c r="K567" s="8">
        <v>84054</v>
      </c>
      <c r="L567" s="8"/>
      <c r="M567" s="8">
        <v>3499</v>
      </c>
      <c r="N567" s="8"/>
      <c r="O567" s="8">
        <v>380147</v>
      </c>
      <c r="P567" s="8"/>
      <c r="Q567" s="8">
        <v>519020</v>
      </c>
      <c r="R567" s="8"/>
      <c r="S567" s="8">
        <v>27982</v>
      </c>
      <c r="T567" s="8"/>
      <c r="U567" s="8">
        <v>737264</v>
      </c>
      <c r="V567" s="8"/>
      <c r="W567" s="8">
        <v>318474</v>
      </c>
      <c r="X567" s="8"/>
      <c r="Y567" s="8">
        <v>0</v>
      </c>
      <c r="Z567" s="8"/>
      <c r="AA567" s="8">
        <v>1748398</v>
      </c>
      <c r="AB567" s="8"/>
      <c r="AC567" s="8">
        <v>581267</v>
      </c>
      <c r="AD567" s="8"/>
      <c r="AE567" s="8">
        <v>8847</v>
      </c>
      <c r="AF567" s="8"/>
      <c r="AG567" s="12" t="s">
        <v>277</v>
      </c>
      <c r="AH567" s="12"/>
      <c r="AI567" s="12" t="s">
        <v>116</v>
      </c>
      <c r="AJ567" s="12"/>
      <c r="AK567" s="8">
        <v>491378</v>
      </c>
      <c r="AL567" s="8"/>
      <c r="AM567" s="8">
        <v>15956</v>
      </c>
      <c r="AN567" s="8"/>
      <c r="AO567" s="8">
        <v>263324</v>
      </c>
      <c r="AP567" s="8"/>
      <c r="AQ567" s="8">
        <v>167204</v>
      </c>
      <c r="AR567" s="8"/>
      <c r="AS567" s="8"/>
      <c r="AT567" s="8"/>
      <c r="AU567" s="8">
        <v>0</v>
      </c>
      <c r="AV567" s="8"/>
      <c r="AW567" s="8">
        <f t="shared" si="31"/>
        <v>10973638</v>
      </c>
      <c r="AY567" s="8">
        <f>+'St of Activites - GA Rev'!AI571-'St of Activities - GA Exp'!AW567</f>
        <v>-665283</v>
      </c>
      <c r="BA567" s="8">
        <v>10123996</v>
      </c>
      <c r="BC567" s="8">
        <f t="shared" si="32"/>
        <v>9458713</v>
      </c>
      <c r="BE567" s="8">
        <f>+'St of Net Assets - GA'!AA572-'St of Activities - GA Exp'!BC567</f>
        <v>0</v>
      </c>
    </row>
    <row r="568" spans="1:57">
      <c r="A568" s="12" t="s">
        <v>469</v>
      </c>
      <c r="B568" s="12"/>
      <c r="C568" s="12" t="s">
        <v>41</v>
      </c>
      <c r="D568" s="12"/>
      <c r="E568" s="32">
        <v>45104</v>
      </c>
      <c r="G568" s="8">
        <v>37272668</v>
      </c>
      <c r="H568" s="8"/>
      <c r="I568" s="8">
        <v>13845939</v>
      </c>
      <c r="J568" s="8"/>
      <c r="K568" s="8">
        <v>1303010</v>
      </c>
      <c r="L568" s="8"/>
      <c r="M568" s="8">
        <v>355384</v>
      </c>
      <c r="N568" s="8"/>
      <c r="O568" s="8">
        <v>5416093</v>
      </c>
      <c r="P568" s="8"/>
      <c r="Q568" s="8">
        <v>4229805</v>
      </c>
      <c r="R568" s="8"/>
      <c r="S568" s="8">
        <v>326078</v>
      </c>
      <c r="T568" s="8"/>
      <c r="U568" s="8">
        <v>5234292</v>
      </c>
      <c r="V568" s="8"/>
      <c r="W568" s="8">
        <v>1761711</v>
      </c>
      <c r="X568" s="8"/>
      <c r="Y568" s="8">
        <v>401144</v>
      </c>
      <c r="Z568" s="8"/>
      <c r="AA568" s="8">
        <v>8503241</v>
      </c>
      <c r="AB568" s="8"/>
      <c r="AC568" s="8">
        <v>6526877</v>
      </c>
      <c r="AD568" s="8"/>
      <c r="AE568" s="8">
        <v>1326078</v>
      </c>
      <c r="AF568" s="8"/>
      <c r="AG568" s="12" t="s">
        <v>469</v>
      </c>
      <c r="AH568" s="12"/>
      <c r="AI568" s="12" t="s">
        <v>41</v>
      </c>
      <c r="AJ568" s="12"/>
      <c r="AK568" s="8">
        <v>2398580</v>
      </c>
      <c r="AL568" s="8"/>
      <c r="AM568" s="8">
        <v>1085569</v>
      </c>
      <c r="AN568" s="8"/>
      <c r="AO568" s="8">
        <v>1970616</v>
      </c>
      <c r="AP568" s="8"/>
      <c r="AQ568" s="8">
        <v>66650</v>
      </c>
      <c r="AR568" s="8"/>
      <c r="AS568" s="8"/>
      <c r="AT568" s="8"/>
      <c r="AU568" s="8">
        <v>0</v>
      </c>
      <c r="AV568" s="8"/>
      <c r="AW568" s="8">
        <f t="shared" si="31"/>
        <v>92023735</v>
      </c>
      <c r="AY568" s="8">
        <f>+'St of Activites - GA Rev'!AI572-'St of Activities - GA Exp'!AW568</f>
        <v>1956869</v>
      </c>
      <c r="BA568" s="8">
        <v>27670378</v>
      </c>
      <c r="BC568" s="8">
        <f t="shared" si="32"/>
        <v>29627247</v>
      </c>
      <c r="BE568" s="8">
        <f>+'St of Net Assets - GA'!AA573-'St of Activities - GA Exp'!BC568</f>
        <v>0</v>
      </c>
    </row>
    <row r="569" spans="1:57">
      <c r="A569" s="12" t="s">
        <v>281</v>
      </c>
      <c r="B569" s="12"/>
      <c r="C569" s="12" t="s">
        <v>18</v>
      </c>
      <c r="D569" s="12"/>
      <c r="E569" s="32">
        <v>45112</v>
      </c>
      <c r="G569" s="8">
        <v>12897458</v>
      </c>
      <c r="H569" s="8"/>
      <c r="I569" s="8">
        <v>2966731</v>
      </c>
      <c r="J569" s="8"/>
      <c r="K569" s="8">
        <v>254437</v>
      </c>
      <c r="L569" s="8"/>
      <c r="M569" s="8">
        <v>986851</v>
      </c>
      <c r="N569" s="8"/>
      <c r="O569" s="8">
        <v>1143684</v>
      </c>
      <c r="P569" s="8"/>
      <c r="Q569" s="8">
        <v>1646290</v>
      </c>
      <c r="R569" s="8"/>
      <c r="S569" s="8">
        <v>150718</v>
      </c>
      <c r="T569" s="8"/>
      <c r="U569" s="8">
        <v>1746307</v>
      </c>
      <c r="V569" s="8"/>
      <c r="W569" s="8">
        <v>736640</v>
      </c>
      <c r="X569" s="8"/>
      <c r="Y569" s="8">
        <v>431113</v>
      </c>
      <c r="Z569" s="8"/>
      <c r="AA569" s="8">
        <v>1901844</v>
      </c>
      <c r="AB569" s="8"/>
      <c r="AC569" s="8">
        <v>1369149</v>
      </c>
      <c r="AD569" s="8"/>
      <c r="AE569" s="8">
        <v>268437</v>
      </c>
      <c r="AF569" s="8"/>
      <c r="AG569" s="12" t="s">
        <v>281</v>
      </c>
      <c r="AH569" s="12"/>
      <c r="AI569" s="12" t="s">
        <v>18</v>
      </c>
      <c r="AJ569" s="12"/>
      <c r="AK569" s="8">
        <v>0</v>
      </c>
      <c r="AL569" s="8"/>
      <c r="AM569" s="8">
        <v>1333756</v>
      </c>
      <c r="AN569" s="8"/>
      <c r="AO569" s="8">
        <v>586763</v>
      </c>
      <c r="AP569" s="8"/>
      <c r="AQ569" s="8">
        <v>414690</v>
      </c>
      <c r="AR569" s="8"/>
      <c r="AS569" s="8"/>
      <c r="AT569" s="8"/>
      <c r="AU569" s="8">
        <v>0</v>
      </c>
      <c r="AV569" s="8"/>
      <c r="AW569" s="8">
        <f t="shared" si="31"/>
        <v>28834868</v>
      </c>
      <c r="AY569" s="8">
        <f>+'St of Activites - GA Rev'!AI573-'St of Activities - GA Exp'!AW569</f>
        <v>963443</v>
      </c>
      <c r="BA569" s="8">
        <v>16805100</v>
      </c>
      <c r="BC569" s="8">
        <f t="shared" si="32"/>
        <v>17768543</v>
      </c>
      <c r="BE569" s="8">
        <f>+'St of Net Assets - GA'!AA574-'St of Activities - GA Exp'!BC569</f>
        <v>0</v>
      </c>
    </row>
    <row r="570" spans="1:57">
      <c r="A570" s="12" t="s">
        <v>604</v>
      </c>
      <c r="B570" s="12"/>
      <c r="C570" s="12" t="s">
        <v>56</v>
      </c>
      <c r="D570" s="12"/>
      <c r="E570" s="32">
        <v>45666</v>
      </c>
      <c r="G570" s="8">
        <v>4305944</v>
      </c>
      <c r="H570" s="8"/>
      <c r="I570" s="8">
        <v>1544087</v>
      </c>
      <c r="J570" s="8"/>
      <c r="K570" s="8">
        <v>181469</v>
      </c>
      <c r="L570" s="8"/>
      <c r="M570" s="8">
        <f>1300+38979</f>
        <v>40279</v>
      </c>
      <c r="N570" s="8"/>
      <c r="O570" s="8">
        <v>507818</v>
      </c>
      <c r="P570" s="8"/>
      <c r="Q570" s="8">
        <v>442859</v>
      </c>
      <c r="R570" s="8"/>
      <c r="S570" s="8">
        <v>46807</v>
      </c>
      <c r="T570" s="8"/>
      <c r="U570" s="8">
        <v>657865</v>
      </c>
      <c r="V570" s="8"/>
      <c r="W570" s="8">
        <v>227837</v>
      </c>
      <c r="X570" s="8"/>
      <c r="Y570" s="8">
        <v>13102</v>
      </c>
      <c r="Z570" s="8"/>
      <c r="AA570" s="8">
        <v>907517</v>
      </c>
      <c r="AB570" s="8"/>
      <c r="AC570" s="8">
        <v>375856</v>
      </c>
      <c r="AD570" s="8"/>
      <c r="AE570" s="8">
        <v>25997</v>
      </c>
      <c r="AF570" s="8"/>
      <c r="AG570" s="12" t="s">
        <v>604</v>
      </c>
      <c r="AH570" s="12"/>
      <c r="AI570" s="12" t="s">
        <v>56</v>
      </c>
      <c r="AJ570" s="12"/>
      <c r="AK570" s="8">
        <v>385235</v>
      </c>
      <c r="AL570" s="8"/>
      <c r="AM570" s="8">
        <v>0</v>
      </c>
      <c r="AN570" s="8"/>
      <c r="AO570" s="8">
        <v>239831</v>
      </c>
      <c r="AP570" s="8"/>
      <c r="AQ570" s="8">
        <v>42955</v>
      </c>
      <c r="AR570" s="8"/>
      <c r="AS570" s="8"/>
      <c r="AT570" s="8"/>
      <c r="AU570" s="8">
        <v>0</v>
      </c>
      <c r="AV570" s="8"/>
      <c r="AW570" s="8">
        <f t="shared" si="31"/>
        <v>9945458</v>
      </c>
      <c r="AY570" s="8">
        <f>+'St of Activites - GA Rev'!AI574-'St of Activities - GA Exp'!AW570</f>
        <v>-129855</v>
      </c>
      <c r="BA570" s="8">
        <v>21684295</v>
      </c>
      <c r="BC570" s="8">
        <f t="shared" si="32"/>
        <v>21554440</v>
      </c>
      <c r="BE570" s="8">
        <f>+'St of Net Assets - GA'!AA575-'St of Activities - GA Exp'!BC570</f>
        <v>0</v>
      </c>
    </row>
    <row r="571" spans="1:57">
      <c r="A571" s="12" t="s">
        <v>416</v>
      </c>
      <c r="B571" s="12"/>
      <c r="C571" s="12" t="s">
        <v>32</v>
      </c>
      <c r="D571" s="12"/>
      <c r="E571" s="32">
        <v>44081</v>
      </c>
      <c r="G571" s="8">
        <v>17580755</v>
      </c>
      <c r="H571" s="8"/>
      <c r="I571" s="8">
        <v>6110217</v>
      </c>
      <c r="J571" s="8"/>
      <c r="K571" s="8">
        <v>392247</v>
      </c>
      <c r="L571" s="8"/>
      <c r="M571" s="8">
        <v>573079</v>
      </c>
      <c r="N571" s="8"/>
      <c r="O571" s="8">
        <v>2273625</v>
      </c>
      <c r="P571" s="8"/>
      <c r="Q571" s="8">
        <v>3676388</v>
      </c>
      <c r="R571" s="8"/>
      <c r="S571" s="8">
        <v>61569</v>
      </c>
      <c r="T571" s="8"/>
      <c r="U571" s="8">
        <v>3682126</v>
      </c>
      <c r="V571" s="8"/>
      <c r="W571" s="8">
        <v>794532</v>
      </c>
      <c r="X571" s="8"/>
      <c r="Y571" s="8">
        <v>233831</v>
      </c>
      <c r="Z571" s="8"/>
      <c r="AA571" s="8">
        <v>4424158</v>
      </c>
      <c r="AB571" s="8"/>
      <c r="AC571" s="8">
        <v>2315294</v>
      </c>
      <c r="AD571" s="8"/>
      <c r="AE571" s="8">
        <v>1025746</v>
      </c>
      <c r="AF571" s="8"/>
      <c r="AG571" s="12" t="s">
        <v>416</v>
      </c>
      <c r="AH571" s="12"/>
      <c r="AI571" s="12" t="s">
        <v>32</v>
      </c>
      <c r="AJ571" s="12"/>
      <c r="AK571" s="8">
        <v>0</v>
      </c>
      <c r="AL571" s="8"/>
      <c r="AM571" s="8">
        <v>1706533</v>
      </c>
      <c r="AN571" s="8"/>
      <c r="AO571" s="8">
        <v>881138</v>
      </c>
      <c r="AP571" s="8"/>
      <c r="AQ571" s="8">
        <v>240930</v>
      </c>
      <c r="AR571" s="8"/>
      <c r="AS571" s="8"/>
      <c r="AT571" s="8"/>
      <c r="AU571" s="8">
        <v>0</v>
      </c>
      <c r="AV571" s="8"/>
      <c r="AW571" s="8">
        <f t="shared" si="31"/>
        <v>45972168</v>
      </c>
      <c r="AY571" s="8">
        <f>+'St of Activites - GA Rev'!AI575-'St of Activities - GA Exp'!AW571</f>
        <v>-768509</v>
      </c>
      <c r="BA571" s="8">
        <v>11376648</v>
      </c>
      <c r="BC571" s="8">
        <f t="shared" si="32"/>
        <v>10608139</v>
      </c>
      <c r="BE571" s="8">
        <f>+'St of Net Assets - GA'!AA576-'St of Activities - GA Exp'!BC571</f>
        <v>0</v>
      </c>
    </row>
    <row r="572" spans="1:57">
      <c r="A572" s="12" t="s">
        <v>726</v>
      </c>
      <c r="B572" s="12"/>
      <c r="C572" s="12" t="s">
        <v>70</v>
      </c>
      <c r="D572" s="12"/>
      <c r="E572" s="32">
        <v>50518</v>
      </c>
      <c r="G572" s="8">
        <v>2946764</v>
      </c>
      <c r="H572" s="8"/>
      <c r="I572" s="8">
        <v>437593</v>
      </c>
      <c r="J572" s="8"/>
      <c r="K572" s="8">
        <v>156149</v>
      </c>
      <c r="L572" s="8"/>
      <c r="M572" s="8">
        <v>0</v>
      </c>
      <c r="N572" s="8"/>
      <c r="O572" s="8">
        <v>198605</v>
      </c>
      <c r="P572" s="8"/>
      <c r="Q572" s="8">
        <v>487447</v>
      </c>
      <c r="R572" s="8"/>
      <c r="S572" s="8">
        <v>11829</v>
      </c>
      <c r="T572" s="8"/>
      <c r="U572" s="8">
        <v>451685</v>
      </c>
      <c r="V572" s="8"/>
      <c r="W572" s="8">
        <v>529078</v>
      </c>
      <c r="X572" s="8"/>
      <c r="Y572" s="8">
        <v>0</v>
      </c>
      <c r="Z572" s="8"/>
      <c r="AA572" s="8">
        <v>571822</v>
      </c>
      <c r="AB572" s="8"/>
      <c r="AC572" s="8">
        <v>400068</v>
      </c>
      <c r="AD572" s="8"/>
      <c r="AE572" s="8">
        <v>42095</v>
      </c>
      <c r="AF572" s="8"/>
      <c r="AG572" s="12" t="s">
        <v>726</v>
      </c>
      <c r="AH572" s="12"/>
      <c r="AI572" s="12" t="s">
        <v>70</v>
      </c>
      <c r="AJ572" s="12"/>
      <c r="AK572" s="8">
        <v>227493</v>
      </c>
      <c r="AL572" s="8"/>
      <c r="AM572" s="8">
        <v>26585</v>
      </c>
      <c r="AN572" s="8"/>
      <c r="AO572" s="8">
        <v>321072</v>
      </c>
      <c r="AP572" s="8"/>
      <c r="AQ572" s="8">
        <v>293601</v>
      </c>
      <c r="AR572" s="8"/>
      <c r="AS572" s="8"/>
      <c r="AT572" s="8"/>
      <c r="AU572" s="8">
        <v>0</v>
      </c>
      <c r="AV572" s="8"/>
      <c r="AW572" s="8">
        <f t="shared" si="31"/>
        <v>7101886</v>
      </c>
      <c r="AY572" s="8">
        <f>+'St of Activites - GA Rev'!AI576-'St of Activities - GA Exp'!AW572</f>
        <v>1055916</v>
      </c>
      <c r="BA572" s="8">
        <v>4586773</v>
      </c>
      <c r="BC572" s="8">
        <f t="shared" si="32"/>
        <v>5642689</v>
      </c>
      <c r="BE572" s="8">
        <f>+'St of Net Assets - GA'!AA577-'St of Activities - GA Exp'!BC572</f>
        <v>0</v>
      </c>
    </row>
    <row r="573" spans="1:57">
      <c r="A573" s="12" t="s">
        <v>630</v>
      </c>
      <c r="B573" s="12"/>
      <c r="C573" s="12" t="s">
        <v>79</v>
      </c>
      <c r="D573" s="12"/>
      <c r="E573" s="32">
        <v>49577</v>
      </c>
      <c r="G573" s="8">
        <v>5004550</v>
      </c>
      <c r="H573" s="8"/>
      <c r="I573" s="8">
        <v>866483</v>
      </c>
      <c r="J573" s="8"/>
      <c r="K573" s="8">
        <v>5544</v>
      </c>
      <c r="L573" s="8"/>
      <c r="M573" s="8">
        <v>0</v>
      </c>
      <c r="N573" s="8"/>
      <c r="O573" s="8">
        <v>648691</v>
      </c>
      <c r="P573" s="8"/>
      <c r="Q573" s="8">
        <v>195162</v>
      </c>
      <c r="R573" s="8"/>
      <c r="S573" s="8">
        <v>61179</v>
      </c>
      <c r="T573" s="8"/>
      <c r="U573" s="8">
        <v>876067</v>
      </c>
      <c r="V573" s="8"/>
      <c r="W573" s="8">
        <v>306669</v>
      </c>
      <c r="X573" s="8"/>
      <c r="Y573" s="8">
        <v>0</v>
      </c>
      <c r="Z573" s="8"/>
      <c r="AA573" s="8">
        <v>843845</v>
      </c>
      <c r="AB573" s="8"/>
      <c r="AC573" s="8">
        <v>494599</v>
      </c>
      <c r="AD573" s="8"/>
      <c r="AE573" s="8">
        <v>2967</v>
      </c>
      <c r="AF573" s="8"/>
      <c r="AG573" s="12" t="s">
        <v>630</v>
      </c>
      <c r="AH573" s="12"/>
      <c r="AI573" s="12" t="s">
        <v>79</v>
      </c>
      <c r="AJ573" s="12"/>
      <c r="AK573" s="8">
        <v>377615</v>
      </c>
      <c r="AL573" s="8"/>
      <c r="AM573" s="8">
        <v>74017</v>
      </c>
      <c r="AN573" s="8"/>
      <c r="AO573" s="8">
        <v>404116</v>
      </c>
      <c r="AP573" s="8"/>
      <c r="AQ573" s="8">
        <v>35198</v>
      </c>
      <c r="AR573" s="8"/>
      <c r="AS573" s="8"/>
      <c r="AT573" s="8"/>
      <c r="AU573" s="8">
        <v>0</v>
      </c>
      <c r="AV573" s="8"/>
      <c r="AW573" s="8">
        <f t="shared" si="31"/>
        <v>10196702</v>
      </c>
      <c r="AY573" s="8">
        <f>+'St of Activites - GA Rev'!AI577-'St of Activities - GA Exp'!AW573</f>
        <v>147046</v>
      </c>
      <c r="BA573" s="8">
        <v>5418796</v>
      </c>
      <c r="BC573" s="8">
        <f t="shared" si="32"/>
        <v>5565842</v>
      </c>
      <c r="BE573" s="8">
        <f>+'St of Net Assets - GA'!AA578-'St of Activities - GA Exp'!BC573</f>
        <v>0</v>
      </c>
    </row>
    <row r="574" spans="1:57">
      <c r="A574" s="12" t="s">
        <v>679</v>
      </c>
      <c r="B574" s="12"/>
      <c r="C574" s="12" t="s">
        <v>63</v>
      </c>
      <c r="D574" s="12"/>
      <c r="E574" s="32">
        <v>49973</v>
      </c>
      <c r="G574" s="8">
        <v>9794206</v>
      </c>
      <c r="H574" s="8"/>
      <c r="I574" s="8">
        <v>3076043</v>
      </c>
      <c r="J574" s="8"/>
      <c r="K574" s="8">
        <v>303912</v>
      </c>
      <c r="L574" s="8"/>
      <c r="M574" s="8">
        <v>365074</v>
      </c>
      <c r="N574" s="8"/>
      <c r="O574" s="8">
        <v>1142452</v>
      </c>
      <c r="P574" s="8"/>
      <c r="Q574" s="8">
        <v>555328</v>
      </c>
      <c r="R574" s="8"/>
      <c r="S574" s="8">
        <v>25652</v>
      </c>
      <c r="T574" s="8"/>
      <c r="U574" s="8">
        <v>2199476</v>
      </c>
      <c r="V574" s="8"/>
      <c r="W574" s="8">
        <v>570384</v>
      </c>
      <c r="X574" s="8"/>
      <c r="Y574" s="8">
        <v>6855</v>
      </c>
      <c r="Z574" s="8"/>
      <c r="AA574" s="8">
        <v>1658390</v>
      </c>
      <c r="AB574" s="8"/>
      <c r="AC574" s="8">
        <v>1435242</v>
      </c>
      <c r="AD574" s="8"/>
      <c r="AE574" s="8">
        <v>142546</v>
      </c>
      <c r="AF574" s="8"/>
      <c r="AG574" s="12" t="s">
        <v>679</v>
      </c>
      <c r="AH574" s="12"/>
      <c r="AI574" s="12" t="s">
        <v>63</v>
      </c>
      <c r="AJ574" s="12"/>
      <c r="AK574" s="8">
        <v>644464</v>
      </c>
      <c r="AL574" s="8"/>
      <c r="AM574" s="8">
        <v>16632</v>
      </c>
      <c r="AN574" s="8"/>
      <c r="AO574" s="8">
        <v>553273</v>
      </c>
      <c r="AP574" s="8"/>
      <c r="AQ574" s="8">
        <v>284304</v>
      </c>
      <c r="AR574" s="8"/>
      <c r="AS574" s="8"/>
      <c r="AT574" s="8"/>
      <c r="AU574" s="8">
        <v>0</v>
      </c>
      <c r="AV574" s="8"/>
      <c r="AW574" s="8">
        <f t="shared" si="31"/>
        <v>22774233</v>
      </c>
      <c r="AY574" s="8">
        <f>+'St of Activites - GA Rev'!AI578-'St of Activities - GA Exp'!AW574</f>
        <v>2858349</v>
      </c>
      <c r="BA574" s="8">
        <v>7295225</v>
      </c>
      <c r="BC574" s="8">
        <f t="shared" si="32"/>
        <v>10153574</v>
      </c>
      <c r="BE574" s="8">
        <f>+'St of Net Assets - GA'!AA579-'St of Activities - GA Exp'!BC574</f>
        <v>0</v>
      </c>
    </row>
    <row r="575" spans="1:57">
      <c r="A575" s="12" t="s">
        <v>874</v>
      </c>
      <c r="B575" s="12"/>
      <c r="C575" s="12" t="s">
        <v>71</v>
      </c>
      <c r="D575" s="12"/>
      <c r="E575" s="32">
        <v>45138</v>
      </c>
      <c r="G575" s="8">
        <v>17051208</v>
      </c>
      <c r="H575" s="8"/>
      <c r="I575" s="8">
        <v>4523154</v>
      </c>
      <c r="J575" s="8"/>
      <c r="K575" s="8">
        <v>374145</v>
      </c>
      <c r="L575" s="8"/>
      <c r="M575" s="8">
        <v>2667110</v>
      </c>
      <c r="N575" s="8"/>
      <c r="O575" s="8">
        <v>1762673</v>
      </c>
      <c r="P575" s="8"/>
      <c r="Q575" s="8">
        <v>2202877</v>
      </c>
      <c r="R575" s="8"/>
      <c r="S575" s="8">
        <v>55695</v>
      </c>
      <c r="T575" s="8"/>
      <c r="U575" s="8">
        <v>3030300</v>
      </c>
      <c r="V575" s="8"/>
      <c r="W575" s="8">
        <v>948171</v>
      </c>
      <c r="X575" s="8"/>
      <c r="Y575" s="8">
        <v>209879</v>
      </c>
      <c r="Z575" s="8"/>
      <c r="AA575" s="8">
        <v>4672635</v>
      </c>
      <c r="AB575" s="8"/>
      <c r="AC575" s="8">
        <v>1711747</v>
      </c>
      <c r="AD575" s="8"/>
      <c r="AE575" s="8">
        <v>366892</v>
      </c>
      <c r="AF575" s="8"/>
      <c r="AG575" s="12" t="s">
        <v>874</v>
      </c>
      <c r="AH575" s="12"/>
      <c r="AI575" s="12" t="s">
        <v>71</v>
      </c>
      <c r="AJ575" s="12"/>
      <c r="AK575" s="8">
        <v>0</v>
      </c>
      <c r="AL575" s="8"/>
      <c r="AM575" s="8">
        <v>382247</v>
      </c>
      <c r="AN575" s="8"/>
      <c r="AO575" s="8">
        <v>827511</v>
      </c>
      <c r="AP575" s="8"/>
      <c r="AQ575" s="8">
        <v>1569611</v>
      </c>
      <c r="AR575" s="8"/>
      <c r="AS575" s="8"/>
      <c r="AT575" s="8"/>
      <c r="AU575" s="8">
        <v>90356</v>
      </c>
      <c r="AV575" s="8"/>
      <c r="AW575" s="8">
        <f t="shared" si="31"/>
        <v>42446211</v>
      </c>
      <c r="AY575" s="8">
        <f>+'St of Activites - GA Rev'!AI579-'St of Activities - GA Exp'!AW575</f>
        <v>7253003</v>
      </c>
      <c r="BA575" s="8">
        <v>29404439</v>
      </c>
      <c r="BC575" s="8">
        <f t="shared" si="32"/>
        <v>36657442</v>
      </c>
      <c r="BE575" s="8">
        <f>+'St of Net Assets - GA'!AA580-'St of Activities - GA Exp'!BC575</f>
        <v>0</v>
      </c>
    </row>
    <row r="576" spans="1:57" ht="12" customHeight="1">
      <c r="A576" s="12" t="s">
        <v>371</v>
      </c>
      <c r="B576" s="12"/>
      <c r="C576" s="12" t="s">
        <v>27</v>
      </c>
      <c r="D576" s="12"/>
      <c r="E576" s="32">
        <v>46524</v>
      </c>
      <c r="G576" s="8">
        <v>59562061</v>
      </c>
      <c r="H576" s="8"/>
      <c r="I576" s="8">
        <v>11073947</v>
      </c>
      <c r="J576" s="8"/>
      <c r="K576" s="8">
        <v>420970</v>
      </c>
      <c r="L576" s="8"/>
      <c r="M576" s="8">
        <v>2898</v>
      </c>
      <c r="N576" s="8"/>
      <c r="O576" s="8">
        <v>5560392</v>
      </c>
      <c r="P576" s="8"/>
      <c r="Q576" s="8">
        <v>7902971</v>
      </c>
      <c r="R576" s="8"/>
      <c r="S576" s="8">
        <v>61322</v>
      </c>
      <c r="T576" s="8"/>
      <c r="U576" s="8">
        <v>8932842</v>
      </c>
      <c r="V576" s="8"/>
      <c r="W576" s="8">
        <v>0</v>
      </c>
      <c r="X576" s="8"/>
      <c r="Y576" s="8">
        <v>2822867</v>
      </c>
      <c r="Z576" s="8"/>
      <c r="AA576" s="8">
        <v>13520635</v>
      </c>
      <c r="AB576" s="8"/>
      <c r="AC576" s="8">
        <v>4108950</v>
      </c>
      <c r="AD576" s="8"/>
      <c r="AE576" s="8">
        <v>2794929</v>
      </c>
      <c r="AF576" s="8"/>
      <c r="AG576" s="12" t="s">
        <v>371</v>
      </c>
      <c r="AH576" s="12"/>
      <c r="AI576" s="12" t="s">
        <v>27</v>
      </c>
      <c r="AJ576" s="12"/>
      <c r="AK576" s="8">
        <v>3367182</v>
      </c>
      <c r="AL576" s="8"/>
      <c r="AM576" s="8">
        <v>1619136</v>
      </c>
      <c r="AN576" s="8"/>
      <c r="AO576" s="8">
        <v>2492442</v>
      </c>
      <c r="AP576" s="8"/>
      <c r="AQ576" s="8">
        <v>2713715</v>
      </c>
      <c r="AR576" s="8"/>
      <c r="AS576" s="8"/>
      <c r="AT576" s="8"/>
      <c r="AU576" s="8">
        <v>0</v>
      </c>
      <c r="AV576" s="8"/>
      <c r="AW576" s="8">
        <f t="shared" si="31"/>
        <v>126957259</v>
      </c>
      <c r="AY576" s="8">
        <f>+'St of Activites - GA Rev'!AI580-'St of Activities - GA Exp'!AW576</f>
        <v>-2919421</v>
      </c>
      <c r="BA576" s="8">
        <v>80187309</v>
      </c>
      <c r="BC576" s="8">
        <f t="shared" si="32"/>
        <v>77267888</v>
      </c>
      <c r="BE576" s="8">
        <f>+'St of Net Assets - GA'!AA581-'St of Activities - GA Exp'!BC576</f>
        <v>0</v>
      </c>
    </row>
    <row r="577" spans="1:57" s="8" customFormat="1">
      <c r="A577" s="13" t="s">
        <v>299</v>
      </c>
      <c r="B577" s="13"/>
      <c r="C577" s="13" t="s">
        <v>114</v>
      </c>
      <c r="D577" s="13"/>
      <c r="E577" s="13">
        <v>45146</v>
      </c>
      <c r="G577" s="8">
        <v>4456883</v>
      </c>
      <c r="I577" s="8">
        <v>1238371</v>
      </c>
      <c r="K577" s="8">
        <v>3639</v>
      </c>
      <c r="M577" s="8">
        <v>533371</v>
      </c>
      <c r="O577" s="8">
        <v>862942</v>
      </c>
      <c r="Q577" s="8">
        <v>304155</v>
      </c>
      <c r="S577" s="8">
        <v>7953</v>
      </c>
      <c r="U577" s="8">
        <v>648841</v>
      </c>
      <c r="W577" s="8">
        <v>327042</v>
      </c>
      <c r="Y577" s="8">
        <v>58338</v>
      </c>
      <c r="AA577" s="8">
        <v>733140</v>
      </c>
      <c r="AC577" s="8">
        <v>736618</v>
      </c>
      <c r="AE577" s="8">
        <v>39785</v>
      </c>
      <c r="AG577" s="13" t="s">
        <v>299</v>
      </c>
      <c r="AH577" s="13"/>
      <c r="AI577" s="13" t="s">
        <v>114</v>
      </c>
      <c r="AJ577" s="13"/>
      <c r="AK577" s="8">
        <v>526982</v>
      </c>
      <c r="AM577" s="8">
        <v>2375</v>
      </c>
      <c r="AO577" s="8">
        <v>364874</v>
      </c>
      <c r="AQ577" s="8">
        <v>281556</v>
      </c>
      <c r="AU577" s="8">
        <v>0</v>
      </c>
      <c r="AW577" s="8">
        <f t="shared" si="31"/>
        <v>11126865</v>
      </c>
      <c r="AY577" s="8">
        <f>+'St of Activites - GA Rev'!AI581-'St of Activities - GA Exp'!AW577</f>
        <v>-169854</v>
      </c>
      <c r="BA577" s="8">
        <v>4741569</v>
      </c>
      <c r="BC577" s="8">
        <f t="shared" si="32"/>
        <v>4571715</v>
      </c>
      <c r="BE577" s="8">
        <f>+'St of Net Assets - GA'!AA582-'St of Activities - GA Exp'!BC577</f>
        <v>0</v>
      </c>
    </row>
    <row r="578" spans="1:57" s="8" customFormat="1">
      <c r="A578" s="13"/>
      <c r="B578" s="13"/>
      <c r="C578" s="13"/>
      <c r="D578" s="13"/>
      <c r="E578" s="13"/>
      <c r="AG578" s="13"/>
      <c r="AH578" s="13"/>
      <c r="AI578" s="13"/>
      <c r="AJ578" s="13"/>
    </row>
    <row r="579" spans="1:57" s="8" customFormat="1">
      <c r="A579" s="13"/>
      <c r="B579" s="13"/>
      <c r="C579" s="13"/>
      <c r="D579" s="13"/>
      <c r="E579" s="13"/>
      <c r="AE579" s="8" t="s">
        <v>819</v>
      </c>
      <c r="AG579" s="13"/>
      <c r="AH579" s="13"/>
      <c r="AI579" s="13"/>
      <c r="AJ579" s="13"/>
    </row>
    <row r="580" spans="1:57" ht="12" customHeight="1">
      <c r="A580" s="12" t="s">
        <v>417</v>
      </c>
      <c r="B580" s="12"/>
      <c r="C580" s="12" t="s">
        <v>32</v>
      </c>
      <c r="D580" s="12"/>
      <c r="E580" s="32">
        <v>45153</v>
      </c>
      <c r="G580" s="8">
        <v>10886919</v>
      </c>
      <c r="H580" s="8"/>
      <c r="I580" s="8">
        <v>1998489</v>
      </c>
      <c r="J580" s="8"/>
      <c r="K580" s="8">
        <v>111943</v>
      </c>
      <c r="L580" s="8"/>
      <c r="M580" s="8">
        <v>16479</v>
      </c>
      <c r="N580" s="8"/>
      <c r="O580" s="8">
        <v>1636804</v>
      </c>
      <c r="P580" s="8"/>
      <c r="Q580" s="8">
        <v>1202372</v>
      </c>
      <c r="R580" s="8"/>
      <c r="S580" s="8">
        <v>222778</v>
      </c>
      <c r="T580" s="8"/>
      <c r="U580" s="8">
        <v>1424808</v>
      </c>
      <c r="V580" s="8"/>
      <c r="W580" s="8">
        <v>905075</v>
      </c>
      <c r="X580" s="8"/>
      <c r="Y580" s="8">
        <v>1670</v>
      </c>
      <c r="Z580" s="8"/>
      <c r="AA580" s="8">
        <v>2171954</v>
      </c>
      <c r="AB580" s="8"/>
      <c r="AC580" s="8">
        <v>519320</v>
      </c>
      <c r="AD580" s="8"/>
      <c r="AE580" s="8">
        <v>201132</v>
      </c>
      <c r="AF580" s="8"/>
      <c r="AG580" s="12" t="s">
        <v>417</v>
      </c>
      <c r="AH580" s="12"/>
      <c r="AI580" s="12" t="s">
        <v>32</v>
      </c>
      <c r="AJ580" s="12"/>
      <c r="AK580" s="8">
        <v>0</v>
      </c>
      <c r="AL580" s="8"/>
      <c r="AM580" s="8">
        <v>793004</v>
      </c>
      <c r="AN580" s="8"/>
      <c r="AO580" s="8">
        <v>722184</v>
      </c>
      <c r="AP580" s="8"/>
      <c r="AQ580" s="8">
        <v>1122571</v>
      </c>
      <c r="AR580" s="8"/>
      <c r="AS580" s="8"/>
      <c r="AT580" s="8"/>
      <c r="AU580" s="8">
        <v>0</v>
      </c>
      <c r="AV580" s="8"/>
      <c r="AW580" s="8">
        <f t="shared" si="31"/>
        <v>23937502</v>
      </c>
      <c r="AY580" s="8">
        <f>+'St of Activites - GA Rev'!AI584-'St of Activities - GA Exp'!AW580</f>
        <v>2814385</v>
      </c>
      <c r="BA580" s="8">
        <v>9265940</v>
      </c>
      <c r="BC580" s="8">
        <f t="shared" si="32"/>
        <v>12080325</v>
      </c>
      <c r="BE580" s="8">
        <f>+'St of Net Assets - GA'!AA583-'St of Activities - GA Exp'!BC580</f>
        <v>0</v>
      </c>
    </row>
    <row r="581" spans="1:57">
      <c r="A581" s="12" t="s">
        <v>392</v>
      </c>
      <c r="B581" s="12"/>
      <c r="C581" s="12" t="s">
        <v>117</v>
      </c>
      <c r="D581" s="12"/>
      <c r="E581" s="32">
        <v>45674</v>
      </c>
      <c r="G581" s="8">
        <v>3524857</v>
      </c>
      <c r="H581" s="8"/>
      <c r="I581" s="8">
        <v>651499</v>
      </c>
      <c r="J581" s="8"/>
      <c r="K581" s="8">
        <v>0</v>
      </c>
      <c r="L581" s="8"/>
      <c r="M581" s="8">
        <v>190468</v>
      </c>
      <c r="N581" s="8"/>
      <c r="O581" s="8">
        <v>565936</v>
      </c>
      <c r="P581" s="8"/>
      <c r="Q581" s="8">
        <v>395239</v>
      </c>
      <c r="R581" s="8"/>
      <c r="S581" s="8">
        <v>36736</v>
      </c>
      <c r="T581" s="8"/>
      <c r="U581" s="8">
        <v>769420</v>
      </c>
      <c r="V581" s="8"/>
      <c r="W581" s="8">
        <v>338971</v>
      </c>
      <c r="X581" s="8"/>
      <c r="Y581" s="8">
        <v>2802</v>
      </c>
      <c r="Z581" s="8"/>
      <c r="AA581" s="8">
        <v>626791</v>
      </c>
      <c r="AB581" s="8"/>
      <c r="AC581" s="8">
        <v>299451</v>
      </c>
      <c r="AD581" s="8"/>
      <c r="AE581" s="8">
        <v>29648</v>
      </c>
      <c r="AF581" s="8"/>
      <c r="AG581" s="12" t="s">
        <v>392</v>
      </c>
      <c r="AH581" s="12"/>
      <c r="AI581" s="12" t="s">
        <v>117</v>
      </c>
      <c r="AJ581" s="12"/>
      <c r="AK581" s="8">
        <v>152769</v>
      </c>
      <c r="AL581" s="8"/>
      <c r="AM581" s="8">
        <f>31000+39120</f>
        <v>70120</v>
      </c>
      <c r="AN581" s="8"/>
      <c r="AO581" s="8">
        <v>299730</v>
      </c>
      <c r="AP581" s="8"/>
      <c r="AQ581" s="8">
        <v>177100</v>
      </c>
      <c r="AR581" s="8"/>
      <c r="AS581" s="8"/>
      <c r="AT581" s="8"/>
      <c r="AU581" s="8">
        <v>0</v>
      </c>
      <c r="AV581" s="8"/>
      <c r="AW581" s="8">
        <f t="shared" si="31"/>
        <v>8131537</v>
      </c>
      <c r="AY581" s="8">
        <f>+'St of Activites - GA Rev'!AI585-'St of Activities - GA Exp'!AW581</f>
        <v>105971</v>
      </c>
      <c r="BA581" s="8">
        <v>5464618</v>
      </c>
      <c r="BC581" s="8">
        <f t="shared" si="32"/>
        <v>5570589</v>
      </c>
      <c r="BE581" s="8">
        <f>+'St of Net Assets - GA'!AA584-'St of Activities - GA Exp'!BC581</f>
        <v>0</v>
      </c>
    </row>
    <row r="582" spans="1:57">
      <c r="A582" s="12" t="s">
        <v>525</v>
      </c>
      <c r="B582" s="12"/>
      <c r="C582" s="12" t="s">
        <v>45</v>
      </c>
      <c r="D582" s="12"/>
      <c r="E582" s="32">
        <v>45161</v>
      </c>
      <c r="G582" s="8">
        <v>64787013</v>
      </c>
      <c r="H582" s="8"/>
      <c r="I582" s="8">
        <v>15339489</v>
      </c>
      <c r="J582" s="8"/>
      <c r="K582" s="8">
        <v>3601535</v>
      </c>
      <c r="L582" s="8"/>
      <c r="M582" s="8">
        <v>311475</v>
      </c>
      <c r="N582" s="8"/>
      <c r="O582" s="8">
        <v>8333543</v>
      </c>
      <c r="P582" s="8"/>
      <c r="Q582" s="8">
        <v>10500838</v>
      </c>
      <c r="R582" s="8"/>
      <c r="S582" s="8">
        <v>452766</v>
      </c>
      <c r="T582" s="8"/>
      <c r="U582" s="8">
        <v>9098691</v>
      </c>
      <c r="V582" s="8"/>
      <c r="W582" s="8">
        <v>1447253</v>
      </c>
      <c r="X582" s="8"/>
      <c r="Y582" s="8">
        <v>1003668</v>
      </c>
      <c r="Z582" s="8"/>
      <c r="AA582" s="8">
        <v>14579091</v>
      </c>
      <c r="AB582" s="8"/>
      <c r="AC582" s="8">
        <v>6529085</v>
      </c>
      <c r="AD582" s="8"/>
      <c r="AE582" s="8">
        <v>1130972</v>
      </c>
      <c r="AF582" s="8"/>
      <c r="AG582" s="12" t="s">
        <v>525</v>
      </c>
      <c r="AH582" s="12"/>
      <c r="AI582" s="12" t="s">
        <v>45</v>
      </c>
      <c r="AJ582" s="12"/>
      <c r="AK582" s="8">
        <v>3781652</v>
      </c>
      <c r="AL582" s="8"/>
      <c r="AM582" s="8">
        <v>2352412</v>
      </c>
      <c r="AN582" s="8"/>
      <c r="AO582" s="8">
        <v>1926796</v>
      </c>
      <c r="AP582" s="8"/>
      <c r="AQ582" s="8">
        <v>1366424</v>
      </c>
      <c r="AR582" s="8"/>
      <c r="AS582" s="8"/>
      <c r="AT582" s="8"/>
      <c r="AU582" s="8">
        <v>0</v>
      </c>
      <c r="AV582" s="8"/>
      <c r="AW582" s="8">
        <f t="shared" si="31"/>
        <v>146542703</v>
      </c>
      <c r="AY582" s="8">
        <f>+'St of Activites - GA Rev'!AI586-'St of Activities - GA Exp'!AW582</f>
        <v>-13298003</v>
      </c>
      <c r="BA582" s="8">
        <v>147281763</v>
      </c>
      <c r="BC582" s="8">
        <f t="shared" si="32"/>
        <v>133983760</v>
      </c>
      <c r="BE582" s="8">
        <f>+'St of Net Assets - GA'!AA585-'St of Activities - GA Exp'!BC582</f>
        <v>0</v>
      </c>
    </row>
    <row r="583" spans="1:57">
      <c r="A583" s="12" t="s">
        <v>626</v>
      </c>
      <c r="B583" s="12"/>
      <c r="C583" s="12" t="s">
        <v>58</v>
      </c>
      <c r="D583" s="12"/>
      <c r="E583" s="32">
        <v>49544</v>
      </c>
      <c r="G583" s="8">
        <v>7023476</v>
      </c>
      <c r="H583" s="8"/>
      <c r="I583" s="8">
        <v>1000628</v>
      </c>
      <c r="J583" s="8"/>
      <c r="K583" s="8">
        <v>8636</v>
      </c>
      <c r="L583" s="8"/>
      <c r="M583" s="8">
        <v>398540</v>
      </c>
      <c r="N583" s="8"/>
      <c r="O583" s="8">
        <v>405054</v>
      </c>
      <c r="P583" s="8"/>
      <c r="Q583" s="8">
        <v>422229</v>
      </c>
      <c r="R583" s="8"/>
      <c r="S583" s="8">
        <v>154784</v>
      </c>
      <c r="T583" s="8"/>
      <c r="U583" s="8">
        <v>707507</v>
      </c>
      <c r="V583" s="8"/>
      <c r="W583" s="8">
        <v>452977</v>
      </c>
      <c r="X583" s="8"/>
      <c r="Y583" s="8">
        <v>0</v>
      </c>
      <c r="Z583" s="8"/>
      <c r="AA583" s="8">
        <v>1499921</v>
      </c>
      <c r="AB583" s="8"/>
      <c r="AC583" s="8">
        <v>927716</v>
      </c>
      <c r="AD583" s="8"/>
      <c r="AE583" s="8">
        <v>219434</v>
      </c>
      <c r="AF583" s="8"/>
      <c r="AG583" s="12" t="s">
        <v>626</v>
      </c>
      <c r="AH583" s="12"/>
      <c r="AI583" s="12" t="s">
        <v>58</v>
      </c>
      <c r="AJ583" s="12"/>
      <c r="AK583" s="8">
        <v>0</v>
      </c>
      <c r="AL583" s="8"/>
      <c r="AM583" s="8">
        <v>562114</v>
      </c>
      <c r="AN583" s="8"/>
      <c r="AO583" s="8">
        <v>453911</v>
      </c>
      <c r="AP583" s="8"/>
      <c r="AQ583" s="8">
        <v>364505</v>
      </c>
      <c r="AR583" s="8"/>
      <c r="AS583" s="8"/>
      <c r="AT583" s="8"/>
      <c r="AU583" s="8">
        <v>0</v>
      </c>
      <c r="AV583" s="8"/>
      <c r="AW583" s="8">
        <f t="shared" si="31"/>
        <v>14601432</v>
      </c>
      <c r="AY583" s="8">
        <f>+'St of Activites - GA Rev'!AI587-'St of Activities - GA Exp'!AW583</f>
        <v>-575508</v>
      </c>
      <c r="BA583" s="8">
        <v>16493162</v>
      </c>
      <c r="BC583" s="8">
        <f t="shared" si="32"/>
        <v>15917654</v>
      </c>
      <c r="BE583" s="8">
        <f>+'St of Net Assets - GA'!AA586-'St of Activities - GA Exp'!BC583</f>
        <v>0</v>
      </c>
    </row>
    <row r="584" spans="1:57">
      <c r="A584" s="12" t="s">
        <v>576</v>
      </c>
      <c r="B584" s="12"/>
      <c r="C584" s="12" t="s">
        <v>51</v>
      </c>
      <c r="D584" s="12"/>
      <c r="E584" s="32">
        <v>45179</v>
      </c>
      <c r="G584" s="8">
        <v>15013524</v>
      </c>
      <c r="H584" s="8"/>
      <c r="I584" s="8">
        <v>6226632</v>
      </c>
      <c r="J584" s="8"/>
      <c r="K584" s="8">
        <v>284682</v>
      </c>
      <c r="L584" s="8"/>
      <c r="M584" s="8">
        <v>732751</v>
      </c>
      <c r="N584" s="8"/>
      <c r="O584" s="8">
        <v>2332284</v>
      </c>
      <c r="P584" s="8"/>
      <c r="Q584" s="8">
        <v>3833560</v>
      </c>
      <c r="R584" s="8"/>
      <c r="S584" s="8">
        <v>142769</v>
      </c>
      <c r="T584" s="8"/>
      <c r="U584" s="8">
        <v>2460002</v>
      </c>
      <c r="V584" s="8"/>
      <c r="W584" s="8">
        <v>727148</v>
      </c>
      <c r="X584" s="8"/>
      <c r="Y584" s="8">
        <v>0</v>
      </c>
      <c r="Z584" s="8"/>
      <c r="AA584" s="8">
        <v>3503638</v>
      </c>
      <c r="AB584" s="8"/>
      <c r="AC584" s="8">
        <v>1207366</v>
      </c>
      <c r="AD584" s="8"/>
      <c r="AE584" s="8">
        <v>533940</v>
      </c>
      <c r="AF584" s="8"/>
      <c r="AG584" s="12" t="s">
        <v>576</v>
      </c>
      <c r="AH584" s="12"/>
      <c r="AI584" s="12" t="s">
        <v>51</v>
      </c>
      <c r="AJ584" s="12"/>
      <c r="AK584" s="8">
        <v>1917483</v>
      </c>
      <c r="AL584" s="8"/>
      <c r="AM584" s="8">
        <v>394076</v>
      </c>
      <c r="AN584" s="8"/>
      <c r="AO584" s="8">
        <v>515231</v>
      </c>
      <c r="AP584" s="8"/>
      <c r="AQ584" s="8">
        <v>1562317</v>
      </c>
      <c r="AR584" s="8"/>
      <c r="AS584" s="8"/>
      <c r="AT584" s="8"/>
      <c r="AU584" s="8">
        <v>0</v>
      </c>
      <c r="AV584" s="8"/>
      <c r="AW584" s="8">
        <f t="shared" si="31"/>
        <v>41387403</v>
      </c>
      <c r="AY584" s="8">
        <f>+'St of Activites - GA Rev'!AI588-'St of Activities - GA Exp'!AW584</f>
        <v>-430584</v>
      </c>
      <c r="BA584" s="8">
        <v>64885613</v>
      </c>
      <c r="BC584" s="8">
        <f t="shared" si="32"/>
        <v>64455029</v>
      </c>
      <c r="BE584" s="8">
        <f>+'St of Net Assets - GA'!AA587-'St of Activities - GA Exp'!BC584</f>
        <v>0</v>
      </c>
    </row>
    <row r="585" spans="1:57">
      <c r="A585" s="12"/>
      <c r="B585" s="12"/>
      <c r="C585" s="12"/>
      <c r="D585" s="12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 t="s">
        <v>819</v>
      </c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</row>
    <row r="586" spans="1:57"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</row>
    <row r="587" spans="1:57"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</row>
    <row r="588" spans="1:57">
      <c r="A588" s="94" t="s">
        <v>876</v>
      </c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</row>
    <row r="589" spans="1:57">
      <c r="A589" s="10" t="s">
        <v>877</v>
      </c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</row>
    <row r="590" spans="1:57">
      <c r="A590" s="10" t="s">
        <v>806</v>
      </c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</row>
    <row r="591" spans="1:57">
      <c r="A591" s="8" t="s">
        <v>783</v>
      </c>
      <c r="B591" s="8"/>
      <c r="C591" s="8"/>
      <c r="D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</row>
    <row r="592" spans="1:57">
      <c r="A592" s="94" t="s">
        <v>878</v>
      </c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</row>
    <row r="593" spans="7:48"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</row>
    <row r="594" spans="7:48"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</row>
    <row r="595" spans="7:48"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</row>
    <row r="596" spans="7:48"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</row>
    <row r="597" spans="7:48"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</row>
    <row r="598" spans="7:48"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</row>
    <row r="599" spans="7:48"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</row>
    <row r="600" spans="7:48"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</row>
    <row r="601" spans="7:48"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</row>
    <row r="602" spans="7:48"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</row>
    <row r="603" spans="7:48"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</row>
    <row r="604" spans="7:48"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</row>
    <row r="605" spans="7:48"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</row>
    <row r="606" spans="7:48"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</row>
    <row r="607" spans="7:48"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</row>
    <row r="608" spans="7:48"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</row>
    <row r="609" spans="7:48"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</row>
    <row r="610" spans="7:48"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</row>
    <row r="611" spans="7:48"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</row>
    <row r="612" spans="7:48"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</row>
    <row r="613" spans="7:48"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</row>
    <row r="614" spans="7:48"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</row>
    <row r="615" spans="7:48"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</row>
    <row r="616" spans="7:48"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</row>
    <row r="617" spans="7:48"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</row>
    <row r="618" spans="7:48"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</row>
    <row r="619" spans="7:48"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</row>
    <row r="620" spans="7:48"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</row>
    <row r="621" spans="7:48"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</row>
    <row r="622" spans="7:48"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</row>
    <row r="623" spans="7:48"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</row>
    <row r="624" spans="7:48"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</row>
    <row r="625" spans="7:48"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</row>
    <row r="626" spans="7:48"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</row>
    <row r="627" spans="7:48"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</row>
    <row r="628" spans="7:48"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</row>
    <row r="629" spans="7:48"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</row>
    <row r="630" spans="7:48"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</row>
    <row r="631" spans="7:48"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</row>
    <row r="632" spans="7:48"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</row>
    <row r="633" spans="7:48"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</row>
    <row r="634" spans="7:48"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</row>
    <row r="635" spans="7:48"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</row>
    <row r="636" spans="7:48"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</row>
    <row r="637" spans="7:48"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</row>
    <row r="638" spans="7:48"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</row>
    <row r="639" spans="7:48"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</row>
    <row r="640" spans="7:48"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</row>
    <row r="641" spans="7:48"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</row>
    <row r="642" spans="7:48"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</row>
    <row r="643" spans="7:48"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</row>
    <row r="644" spans="7:48"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</row>
    <row r="645" spans="7:48"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</row>
    <row r="646" spans="7:48"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</row>
    <row r="647" spans="7:48"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</row>
    <row r="648" spans="7:48"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</row>
    <row r="649" spans="7:48"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</row>
    <row r="650" spans="7:48"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</row>
    <row r="651" spans="7:48"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</row>
    <row r="652" spans="7:48"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</row>
    <row r="653" spans="7:48"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</row>
    <row r="654" spans="7:48"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</row>
    <row r="655" spans="7:48"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</row>
    <row r="656" spans="7:48"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</row>
    <row r="657" spans="7:48"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</row>
    <row r="658" spans="7:48"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</row>
    <row r="659" spans="7:48"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</row>
    <row r="660" spans="7:48"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</row>
    <row r="661" spans="7:48"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</row>
    <row r="662" spans="7:48"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</row>
    <row r="663" spans="7:48"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</row>
    <row r="664" spans="7:48"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</row>
    <row r="665" spans="7:48"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</row>
    <row r="666" spans="7:48"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</row>
    <row r="667" spans="7:48"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</row>
    <row r="668" spans="7:48"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</row>
    <row r="669" spans="7:48"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</row>
    <row r="670" spans="7:48"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</row>
    <row r="671" spans="7:48"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</row>
    <row r="672" spans="7:48"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</row>
    <row r="673" spans="7:48"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</row>
    <row r="674" spans="7:48"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</row>
    <row r="675" spans="7:48"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</row>
    <row r="676" spans="7:48"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</row>
    <row r="677" spans="7:48"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</row>
    <row r="678" spans="7:48"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</row>
    <row r="679" spans="7:48"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</row>
    <row r="680" spans="7:48"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</row>
    <row r="681" spans="7:48"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</row>
    <row r="682" spans="7:48"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</row>
    <row r="683" spans="7:48"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</row>
    <row r="684" spans="7:48"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</row>
    <row r="685" spans="7:48"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</row>
    <row r="686" spans="7:48"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</row>
    <row r="687" spans="7:48"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</row>
    <row r="688" spans="7:48"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</row>
    <row r="689" spans="7:48"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</row>
    <row r="690" spans="7:48"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</row>
    <row r="691" spans="7:48"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</row>
    <row r="692" spans="7:48"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</row>
    <row r="693" spans="7:48"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</row>
    <row r="694" spans="7:48"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</row>
    <row r="695" spans="7:48"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</row>
    <row r="696" spans="7:48"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</row>
    <row r="697" spans="7:48"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</row>
    <row r="698" spans="7:48"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</row>
    <row r="699" spans="7:48"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</row>
    <row r="700" spans="7:48"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</row>
    <row r="701" spans="7:48"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</row>
    <row r="702" spans="7:48"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</row>
    <row r="703" spans="7:48"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</row>
    <row r="704" spans="7:48"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</row>
    <row r="705" spans="7:48"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</row>
    <row r="706" spans="7:48"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</row>
    <row r="707" spans="7:48"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</row>
    <row r="708" spans="7:48"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</row>
    <row r="709" spans="7:48"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</row>
    <row r="710" spans="7:48"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</row>
    <row r="711" spans="7:48"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</row>
    <row r="712" spans="7:48"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</row>
    <row r="713" spans="7:48"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</row>
    <row r="714" spans="7:48"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</row>
    <row r="715" spans="7:48"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</row>
    <row r="716" spans="7:48"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</row>
    <row r="717" spans="7:48"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</row>
    <row r="718" spans="7:48"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</row>
    <row r="719" spans="7:48"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</row>
    <row r="720" spans="7:48"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</row>
    <row r="721" spans="7:48"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</row>
    <row r="722" spans="7:48"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</row>
    <row r="723" spans="7:48"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</row>
    <row r="724" spans="7:48"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</row>
    <row r="725" spans="7:48"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</row>
    <row r="726" spans="7:48"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</row>
    <row r="727" spans="7:48"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</row>
    <row r="728" spans="7:48"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</row>
    <row r="729" spans="7:48"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</row>
    <row r="730" spans="7:48"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</row>
    <row r="731" spans="7:48"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</row>
    <row r="732" spans="7:48"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</row>
    <row r="733" spans="7:48"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</row>
    <row r="734" spans="7:48"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</row>
    <row r="735" spans="7:48"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</row>
    <row r="736" spans="7:48"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</row>
    <row r="737" spans="7:48"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</row>
    <row r="738" spans="7:48"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</row>
    <row r="739" spans="7:48"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</row>
    <row r="740" spans="7:48"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</row>
    <row r="741" spans="7:48"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</row>
    <row r="742" spans="7:48"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</row>
    <row r="743" spans="7:48"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</row>
    <row r="744" spans="7:48"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</row>
    <row r="745" spans="7:48"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</row>
    <row r="746" spans="7:48"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</row>
    <row r="747" spans="7:48"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</row>
    <row r="748" spans="7:48"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</row>
    <row r="749" spans="7:48"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</row>
    <row r="750" spans="7:48"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</row>
    <row r="751" spans="7:48"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</row>
    <row r="752" spans="7:48"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</row>
    <row r="753" spans="7:48"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</row>
    <row r="754" spans="7:48"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</row>
    <row r="755" spans="7:48"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</row>
    <row r="756" spans="7:48"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</row>
    <row r="757" spans="7:48"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</row>
    <row r="758" spans="7:48"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</row>
    <row r="759" spans="7:48"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</row>
    <row r="760" spans="7:48"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</row>
    <row r="761" spans="7:48"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</row>
    <row r="762" spans="7:48"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</row>
    <row r="763" spans="7:48"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</row>
    <row r="764" spans="7:48"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</row>
    <row r="765" spans="7:48"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</row>
    <row r="766" spans="7:48"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</row>
    <row r="767" spans="7:48"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</row>
    <row r="768" spans="7:48"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</row>
    <row r="769" spans="7:48"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</row>
    <row r="770" spans="7:48"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</row>
    <row r="771" spans="7:48"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</row>
    <row r="772" spans="7:48"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</row>
    <row r="773" spans="7:48"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</row>
    <row r="774" spans="7:48"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</row>
    <row r="775" spans="7:48"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</row>
    <row r="776" spans="7:48"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</row>
    <row r="777" spans="7:48"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</row>
    <row r="778" spans="7:48"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</row>
    <row r="779" spans="7:48"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</row>
    <row r="780" spans="7:48"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</row>
    <row r="781" spans="7:48"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</row>
    <row r="782" spans="7:48"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</row>
    <row r="783" spans="7:48"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</row>
    <row r="784" spans="7:48"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</row>
    <row r="785" spans="7:48"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</row>
    <row r="786" spans="7:48"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</row>
    <row r="787" spans="7:48"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</row>
    <row r="788" spans="7:48"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</row>
    <row r="789" spans="7:48"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</row>
    <row r="790" spans="7:48"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</row>
    <row r="791" spans="7:48"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</row>
    <row r="792" spans="7:48"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</row>
    <row r="793" spans="7:48"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</row>
    <row r="794" spans="7:48"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</row>
    <row r="795" spans="7:48"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</row>
    <row r="796" spans="7:48"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</row>
    <row r="797" spans="7:48"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</row>
    <row r="798" spans="7:48"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</row>
    <row r="799" spans="7:48"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</row>
    <row r="800" spans="7:48"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</row>
    <row r="801" spans="7:48"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</row>
    <row r="802" spans="7:48"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</row>
    <row r="803" spans="7:48"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</row>
    <row r="804" spans="7:48"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</row>
    <row r="805" spans="7:48"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</row>
    <row r="806" spans="7:48"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</row>
    <row r="807" spans="7:48"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</row>
    <row r="808" spans="7:48"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</row>
    <row r="809" spans="7:48"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</row>
    <row r="810" spans="7:48"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</row>
    <row r="811" spans="7:48"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</row>
    <row r="812" spans="7:48"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</row>
    <row r="813" spans="7:48"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</row>
    <row r="814" spans="7:48"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</row>
    <row r="815" spans="7:48"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</row>
    <row r="816" spans="7:48"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</row>
    <row r="817" spans="7:48"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</row>
    <row r="818" spans="7:48"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</row>
    <row r="819" spans="7:48"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</row>
    <row r="820" spans="7:48"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</row>
    <row r="821" spans="7:48"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</row>
    <row r="822" spans="7:48"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</row>
    <row r="823" spans="7:48"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</row>
    <row r="824" spans="7:48"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</row>
    <row r="825" spans="7:48"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</row>
    <row r="826" spans="7:48"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</row>
    <row r="827" spans="7:48"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</row>
    <row r="828" spans="7:48"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</row>
    <row r="829" spans="7:48"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</row>
    <row r="830" spans="7:48"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</row>
    <row r="831" spans="7:48"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</row>
    <row r="832" spans="7:48"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</row>
    <row r="833" spans="7:48"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</row>
    <row r="834" spans="7:48"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</row>
    <row r="835" spans="7:48"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</row>
    <row r="836" spans="7:48"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</row>
    <row r="837" spans="7:48"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</row>
    <row r="838" spans="7:48"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</row>
    <row r="839" spans="7:48"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</row>
    <row r="840" spans="7:48"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</row>
    <row r="841" spans="7:48"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</row>
    <row r="842" spans="7:48"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</row>
    <row r="843" spans="7:48"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</row>
    <row r="844" spans="7:48"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</row>
    <row r="845" spans="7:48"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</row>
    <row r="846" spans="7:48"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</row>
    <row r="847" spans="7:48"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</row>
    <row r="848" spans="7:48"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</row>
    <row r="849" spans="7:48"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</row>
    <row r="850" spans="7:48"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</row>
    <row r="851" spans="7:48"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</row>
    <row r="852" spans="7:48"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</row>
    <row r="853" spans="7:48"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</row>
    <row r="854" spans="7:48"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</row>
    <row r="855" spans="7:48"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</row>
    <row r="856" spans="7:48"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</row>
    <row r="857" spans="7:48"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</row>
    <row r="858" spans="7:48"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</row>
    <row r="859" spans="7:48"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</row>
    <row r="860" spans="7:48"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</row>
    <row r="861" spans="7:48"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</row>
    <row r="862" spans="7:48"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</row>
    <row r="863" spans="7:48"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</row>
    <row r="864" spans="7:48"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</row>
    <row r="865" spans="7:48"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</row>
    <row r="866" spans="7:48"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</row>
    <row r="867" spans="7:48"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</row>
    <row r="868" spans="7:48"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</row>
    <row r="869" spans="7:48"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</row>
    <row r="870" spans="7:48"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</row>
    <row r="871" spans="7:48"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</row>
    <row r="872" spans="7:48"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</row>
    <row r="873" spans="7:48"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</row>
    <row r="874" spans="7:48"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</row>
    <row r="875" spans="7:48"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</row>
    <row r="876" spans="7:48"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</row>
    <row r="877" spans="7:48"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</row>
    <row r="878" spans="7:48"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</row>
    <row r="879" spans="7:48"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</row>
    <row r="880" spans="7:48"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</row>
    <row r="881" spans="7:48"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</row>
    <row r="882" spans="7:48"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</row>
    <row r="883" spans="7:48"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</row>
    <row r="884" spans="7:48"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</row>
    <row r="885" spans="7:48"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</row>
    <row r="886" spans="7:48"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</row>
    <row r="887" spans="7:48"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</row>
    <row r="888" spans="7:48"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</row>
    <row r="889" spans="7:48"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</row>
    <row r="890" spans="7:48"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</row>
    <row r="891" spans="7:48"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</row>
    <row r="892" spans="7:48"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</row>
    <row r="893" spans="7:48"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</row>
    <row r="894" spans="7:48"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</row>
    <row r="895" spans="7:48"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</row>
    <row r="896" spans="7:48"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</row>
    <row r="897" spans="7:48"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</row>
    <row r="898" spans="7:48"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</row>
    <row r="899" spans="7:48"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</row>
    <row r="900" spans="7:48"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</row>
    <row r="901" spans="7:48"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</row>
    <row r="902" spans="7:48"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</row>
    <row r="903" spans="7:48"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</row>
    <row r="904" spans="7:48"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</row>
    <row r="905" spans="7:48"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</row>
    <row r="906" spans="7:48"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</row>
    <row r="907" spans="7:48"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</row>
    <row r="908" spans="7:48"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</row>
    <row r="909" spans="7:48"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</row>
    <row r="910" spans="7:48"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</row>
    <row r="911" spans="7:48"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</row>
    <row r="912" spans="7:48"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</row>
    <row r="913" spans="7:48"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</row>
    <row r="914" spans="7:48"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</row>
    <row r="915" spans="7:48"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</row>
    <row r="916" spans="7:48"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</row>
    <row r="917" spans="7:48"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</row>
    <row r="918" spans="7:48"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</row>
    <row r="919" spans="7:48"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</row>
    <row r="920" spans="7:48"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</row>
    <row r="921" spans="7:48"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</row>
    <row r="922" spans="7:48"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</row>
    <row r="923" spans="7:48"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</row>
    <row r="924" spans="7:48"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</row>
    <row r="925" spans="7:48"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</row>
    <row r="926" spans="7:48"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</row>
    <row r="927" spans="7:48"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</row>
    <row r="928" spans="7:48"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</row>
    <row r="929" spans="7:48"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</row>
    <row r="930" spans="7:48"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</row>
    <row r="931" spans="7:48"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</row>
    <row r="932" spans="7:48"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</row>
    <row r="933" spans="7:48"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</row>
    <row r="934" spans="7:48"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</row>
    <row r="935" spans="7:48"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</row>
    <row r="936" spans="7:48"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</row>
    <row r="937" spans="7:48"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</row>
    <row r="938" spans="7:48"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</row>
    <row r="939" spans="7:48"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</row>
    <row r="940" spans="7:48"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</row>
    <row r="941" spans="7:48"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</row>
    <row r="942" spans="7:48"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</row>
    <row r="943" spans="7:48"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</row>
    <row r="944" spans="7:48"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</row>
    <row r="945" spans="7:48"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</row>
    <row r="946" spans="7:48"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</row>
    <row r="947" spans="7:48"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</row>
    <row r="948" spans="7:48"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</row>
    <row r="949" spans="7:48"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</row>
    <row r="950" spans="7:48"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</row>
    <row r="951" spans="7:48"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</row>
    <row r="952" spans="7:48"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</row>
    <row r="953" spans="7:48"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</row>
    <row r="954" spans="7:48"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</row>
    <row r="955" spans="7:48"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</row>
    <row r="956" spans="7:48"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</row>
    <row r="957" spans="7:48"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</row>
    <row r="958" spans="7:48"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</row>
    <row r="959" spans="7:48"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</row>
    <row r="960" spans="7:48"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</row>
    <row r="961" spans="7:48"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</row>
    <row r="962" spans="7:48"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</row>
    <row r="963" spans="7:48"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</row>
    <row r="964" spans="7:48"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</row>
    <row r="965" spans="7:48"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</row>
    <row r="966" spans="7:48"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</row>
    <row r="967" spans="7:48"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</row>
    <row r="968" spans="7:48"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</row>
    <row r="969" spans="7:48"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</row>
    <row r="970" spans="7:48"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</row>
    <row r="971" spans="7:48"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</row>
    <row r="972" spans="7:48"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</row>
    <row r="973" spans="7:48"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</row>
    <row r="974" spans="7:48"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</row>
    <row r="975" spans="7:48"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</row>
    <row r="976" spans="7:48"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</row>
  </sheetData>
  <mergeCells count="4">
    <mergeCell ref="A1:L1"/>
    <mergeCell ref="A588:K588"/>
    <mergeCell ref="A592:O592"/>
    <mergeCell ref="AG1:AR1"/>
  </mergeCells>
  <phoneticPr fontId="3" type="noConversion"/>
  <pageMargins left="0.75" right="0.75" top="0.5" bottom="0.75" header="0" footer="0.25"/>
  <pageSetup scale="74" firstPageNumber="38" fitToWidth="4" fitToHeight="18" pageOrder="overThenDown" orientation="portrait" useFirstPageNumber="1" r:id="rId1"/>
  <headerFooter alignWithMargins="0">
    <oddFooter>&amp;C&amp;"Times New Roman,Regular"&amp;12&amp;P</oddFooter>
  </headerFooter>
  <colBreaks count="3" manualBreakCount="3">
    <brk id="17" max="577" man="1"/>
    <brk id="32" max="577" man="1"/>
    <brk id="48" max="5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AH600"/>
  <sheetViews>
    <sheetView view="pageBreakPreview" zoomScale="140" zoomScaleNormal="170" zoomScaleSheetLayoutView="140" workbookViewId="0">
      <pane xSplit="5" ySplit="9" topLeftCell="U515" activePane="bottomRight" state="frozen"/>
      <selection sqref="A1:IV65536"/>
      <selection pane="topRight" sqref="A1:IV65536"/>
      <selection pane="bottomLeft" sqref="A1:IV65536"/>
      <selection pane="bottomRight" activeCell="AF520" sqref="AF520"/>
    </sheetView>
  </sheetViews>
  <sheetFormatPr defaultColWidth="9.109375" defaultRowHeight="12"/>
  <cols>
    <col min="1" max="1" width="28.6640625" style="10" customWidth="1"/>
    <col min="2" max="2" width="1.6640625" style="10" customWidth="1"/>
    <col min="3" max="3" width="11.6640625" style="10" customWidth="1"/>
    <col min="4" max="4" width="1.6640625" style="10" hidden="1" customWidth="1"/>
    <col min="5" max="5" width="11.6640625" style="30" hidden="1" customWidth="1"/>
    <col min="6" max="6" width="1.6640625" style="10" customWidth="1"/>
    <col min="7" max="7" width="11.6640625" style="8" customWidth="1"/>
    <col min="8" max="8" width="1.6640625" style="8" customWidth="1"/>
    <col min="9" max="9" width="11.6640625" style="8" customWidth="1"/>
    <col min="10" max="10" width="1.6640625" style="8" customWidth="1"/>
    <col min="11" max="11" width="11.6640625" style="8" customWidth="1"/>
    <col min="12" max="12" width="1.6640625" style="8" customWidth="1"/>
    <col min="13" max="13" width="12.109375" style="8" customWidth="1"/>
    <col min="14" max="14" width="1.6640625" style="8" customWidth="1"/>
    <col min="15" max="15" width="11.6640625" style="8" customWidth="1"/>
    <col min="16" max="16" width="1.6640625" style="8" customWidth="1"/>
    <col min="17" max="17" width="11.6640625" style="8" customWidth="1"/>
    <col min="18" max="18" width="1.6640625" style="8" customWidth="1"/>
    <col min="19" max="19" width="11.6640625" style="8" customWidth="1"/>
    <col min="20" max="20" width="1.6640625" style="8" customWidth="1"/>
    <col min="21" max="21" width="11.6640625" style="8" customWidth="1"/>
    <col min="22" max="22" width="1.6640625" style="8" customWidth="1"/>
    <col min="23" max="23" width="11.6640625" style="8" customWidth="1"/>
    <col min="24" max="24" width="1.6640625" style="8" customWidth="1"/>
    <col min="25" max="25" width="11.6640625" style="8" customWidth="1"/>
    <col min="26" max="26" width="1.6640625" style="8" customWidth="1"/>
    <col min="27" max="27" width="11.6640625" style="8" customWidth="1"/>
    <col min="28" max="28" width="1.6640625" style="10" customWidth="1"/>
    <col min="29" max="29" width="11.6640625" style="8" customWidth="1"/>
    <col min="30" max="30" width="1.6640625" style="10" customWidth="1"/>
    <col min="31" max="16384" width="9.109375" style="10"/>
  </cols>
  <sheetData>
    <row r="1" spans="1:29">
      <c r="A1" s="73" t="s">
        <v>121</v>
      </c>
      <c r="B1" s="73"/>
      <c r="C1" s="73"/>
      <c r="D1" s="73"/>
      <c r="E1" s="57"/>
      <c r="F1" s="73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73"/>
    </row>
    <row r="2" spans="1:29">
      <c r="A2" s="73" t="s">
        <v>911</v>
      </c>
      <c r="B2" s="73"/>
      <c r="C2" s="73"/>
      <c r="D2" s="73"/>
      <c r="E2" s="57"/>
      <c r="F2" s="73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73"/>
    </row>
    <row r="3" spans="1:29">
      <c r="A3" s="73"/>
      <c r="B3" s="73"/>
      <c r="C3" s="73"/>
      <c r="D3" s="73"/>
      <c r="E3" s="57"/>
      <c r="F3" s="73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73"/>
    </row>
    <row r="4" spans="1:29">
      <c r="A4" s="36" t="s">
        <v>177</v>
      </c>
      <c r="B4" s="36"/>
      <c r="C4" s="36"/>
      <c r="D4" s="36"/>
      <c r="E4" s="64"/>
      <c r="F4" s="4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AB4" s="74"/>
    </row>
    <row r="5" spans="1:29" s="8" customFormat="1">
      <c r="A5" s="22"/>
      <c r="E5" s="30"/>
    </row>
    <row r="6" spans="1:29" s="15" customFormat="1">
      <c r="A6" s="27" t="s">
        <v>819</v>
      </c>
      <c r="B6" s="11"/>
      <c r="C6" s="11"/>
      <c r="D6" s="11"/>
      <c r="E6" s="31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</row>
    <row r="7" spans="1:29">
      <c r="A7" s="36"/>
      <c r="B7" s="36"/>
      <c r="C7" s="36"/>
      <c r="D7" s="36"/>
      <c r="E7" s="64"/>
      <c r="F7" s="4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V7" s="5"/>
      <c r="W7" s="5" t="s">
        <v>823</v>
      </c>
      <c r="X7" s="5"/>
      <c r="Y7" s="5" t="s">
        <v>132</v>
      </c>
      <c r="Z7" s="5"/>
      <c r="AA7" s="5"/>
      <c r="AB7" s="74"/>
      <c r="AC7" s="16" t="s">
        <v>141</v>
      </c>
    </row>
    <row r="8" spans="1:29">
      <c r="A8" s="4"/>
      <c r="B8" s="4"/>
      <c r="C8" s="4"/>
      <c r="D8" s="4"/>
      <c r="E8" s="60"/>
      <c r="F8" s="4"/>
      <c r="G8" s="5" t="s">
        <v>90</v>
      </c>
      <c r="H8" s="5"/>
      <c r="I8" s="5" t="s">
        <v>105</v>
      </c>
      <c r="J8" s="5"/>
      <c r="K8" s="5" t="s">
        <v>83</v>
      </c>
      <c r="L8" s="5"/>
      <c r="M8" s="5" t="s">
        <v>3</v>
      </c>
      <c r="N8" s="5"/>
      <c r="O8" s="5"/>
      <c r="P8" s="5"/>
      <c r="Q8" s="5" t="s">
        <v>91</v>
      </c>
      <c r="R8" s="5"/>
      <c r="S8" s="5" t="s">
        <v>3</v>
      </c>
      <c r="T8" s="5"/>
      <c r="U8" s="5" t="s">
        <v>89</v>
      </c>
      <c r="V8" s="5"/>
      <c r="W8" s="5" t="s">
        <v>794</v>
      </c>
      <c r="X8" s="5"/>
      <c r="Y8" s="5" t="s">
        <v>822</v>
      </c>
      <c r="Z8" s="5"/>
      <c r="AA8" s="5" t="s">
        <v>3</v>
      </c>
      <c r="AB8" s="74"/>
      <c r="AC8" s="16" t="s">
        <v>142</v>
      </c>
    </row>
    <row r="9" spans="1:29" s="74" customFormat="1">
      <c r="A9" s="75" t="s">
        <v>208</v>
      </c>
      <c r="B9" s="20"/>
      <c r="C9" s="75" t="s">
        <v>4</v>
      </c>
      <c r="D9" s="20"/>
      <c r="E9" s="61" t="s">
        <v>207</v>
      </c>
      <c r="F9" s="4"/>
      <c r="G9" s="1" t="s">
        <v>93</v>
      </c>
      <c r="H9" s="5"/>
      <c r="I9" s="1" t="s">
        <v>88</v>
      </c>
      <c r="J9" s="5"/>
      <c r="K9" s="1" t="s">
        <v>88</v>
      </c>
      <c r="L9" s="5"/>
      <c r="M9" s="1" t="s">
        <v>88</v>
      </c>
      <c r="N9" s="5"/>
      <c r="O9" s="1" t="s">
        <v>94</v>
      </c>
      <c r="P9" s="5"/>
      <c r="Q9" s="1" t="s">
        <v>8</v>
      </c>
      <c r="R9" s="5"/>
      <c r="S9" s="1" t="s">
        <v>94</v>
      </c>
      <c r="T9" s="5"/>
      <c r="U9" s="1" t="s">
        <v>95</v>
      </c>
      <c r="V9" s="5"/>
      <c r="W9" s="1" t="s">
        <v>95</v>
      </c>
      <c r="X9" s="5"/>
      <c r="Y9" s="1" t="s">
        <v>95</v>
      </c>
      <c r="Z9" s="5"/>
      <c r="AA9" s="1" t="s">
        <v>95</v>
      </c>
      <c r="AC9" s="1" t="s">
        <v>143</v>
      </c>
    </row>
    <row r="10" spans="1:29">
      <c r="A10" s="12"/>
      <c r="B10" s="12"/>
      <c r="C10" s="12"/>
      <c r="D10" s="12"/>
      <c r="E10" s="32"/>
      <c r="F10" s="4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74"/>
    </row>
    <row r="11" spans="1:29" s="35" customFormat="1">
      <c r="A11" s="34" t="s">
        <v>784</v>
      </c>
      <c r="B11" s="34"/>
      <c r="C11" s="34" t="s">
        <v>44</v>
      </c>
      <c r="D11" s="34"/>
      <c r="E11" s="32">
        <v>45195</v>
      </c>
      <c r="F11" s="70"/>
      <c r="G11" s="35">
        <v>5015386</v>
      </c>
      <c r="I11" s="35">
        <v>138276</v>
      </c>
      <c r="K11" s="42">
        <f>+M11-I11-G11</f>
        <v>12403594</v>
      </c>
      <c r="M11" s="35">
        <v>17557256</v>
      </c>
      <c r="O11" s="42">
        <f>+S11-Q11</f>
        <v>5167275</v>
      </c>
      <c r="Q11" s="35">
        <v>10546407</v>
      </c>
      <c r="S11" s="35">
        <v>15713682</v>
      </c>
      <c r="U11" s="35">
        <f>327785+1537836+138276</f>
        <v>2003897</v>
      </c>
      <c r="W11" s="35">
        <v>0</v>
      </c>
      <c r="Y11" s="35">
        <v>-160323</v>
      </c>
      <c r="AA11" s="71">
        <f>+Y11+W11++U11</f>
        <v>1843574</v>
      </c>
      <c r="AC11" s="35">
        <f>+G11+I11+K11-O11-Q11-Y11-W11-U11</f>
        <v>0</v>
      </c>
    </row>
    <row r="12" spans="1:29" s="8" customFormat="1">
      <c r="A12" s="13" t="s">
        <v>209</v>
      </c>
      <c r="B12" s="13"/>
      <c r="C12" s="13" t="s">
        <v>210</v>
      </c>
      <c r="D12" s="13"/>
      <c r="E12" s="13">
        <v>61903</v>
      </c>
      <c r="F12" s="11"/>
      <c r="G12" s="8">
        <f>7088106</f>
        <v>7088106</v>
      </c>
      <c r="I12" s="8">
        <v>0</v>
      </c>
      <c r="K12" s="3">
        <f>+M12-I12-G12</f>
        <v>7897948</v>
      </c>
      <c r="M12" s="8">
        <v>14986054</v>
      </c>
      <c r="O12" s="3">
        <f>+S12-Q12</f>
        <v>3780327</v>
      </c>
      <c r="Q12" s="8">
        <v>7078525</v>
      </c>
      <c r="S12" s="8">
        <v>10858852</v>
      </c>
      <c r="U12" s="8">
        <f>322437+376470+12981</f>
        <v>711888</v>
      </c>
      <c r="W12" s="8">
        <v>0</v>
      </c>
      <c r="Y12" s="8">
        <v>3415314</v>
      </c>
      <c r="AA12" s="14">
        <f>+Y12+W12++U12</f>
        <v>4127202</v>
      </c>
      <c r="AC12" s="8">
        <f>+G12+I12+K12-O12-Q12-Y12-W12-U12</f>
        <v>0</v>
      </c>
    </row>
    <row r="13" spans="1:29">
      <c r="A13" s="12" t="s">
        <v>621</v>
      </c>
      <c r="B13" s="12"/>
      <c r="C13" s="12" t="s">
        <v>58</v>
      </c>
      <c r="D13" s="12"/>
      <c r="E13" s="32">
        <v>49494</v>
      </c>
      <c r="G13" s="8">
        <v>1828314</v>
      </c>
      <c r="I13" s="8">
        <v>0</v>
      </c>
      <c r="K13" s="3">
        <f t="shared" ref="K13:K76" si="0">+M13-I13-G13</f>
        <v>3012196</v>
      </c>
      <c r="M13" s="8">
        <v>4840510</v>
      </c>
      <c r="O13" s="3">
        <f t="shared" ref="O13:O76" si="1">+S13-Q13</f>
        <v>1082763</v>
      </c>
      <c r="Q13" s="8">
        <v>1927978</v>
      </c>
      <c r="S13" s="8">
        <v>3010741</v>
      </c>
      <c r="U13" s="8">
        <f>24997+164002+320697+76111</f>
        <v>585807</v>
      </c>
      <c r="W13" s="8">
        <v>0</v>
      </c>
      <c r="Y13" s="8">
        <v>1243962</v>
      </c>
      <c r="AA13" s="14">
        <f t="shared" ref="AA13:AA76" si="2">+Y13+W13++U13</f>
        <v>1829769</v>
      </c>
      <c r="AB13" s="8"/>
      <c r="AC13" s="8">
        <f t="shared" ref="AC13:AC76" si="3">+G13+I13+K13-O13-Q13-Y13-W13-U13</f>
        <v>0</v>
      </c>
    </row>
    <row r="14" spans="1:29">
      <c r="A14" s="12" t="s">
        <v>667</v>
      </c>
      <c r="B14" s="12"/>
      <c r="C14" s="12" t="s">
        <v>63</v>
      </c>
      <c r="D14" s="12"/>
      <c r="E14" s="32">
        <v>43489</v>
      </c>
      <c r="G14" s="8">
        <f>40777013+1642784+8086280</f>
        <v>50506077</v>
      </c>
      <c r="I14" s="8">
        <v>0</v>
      </c>
      <c r="K14" s="3">
        <f t="shared" si="0"/>
        <v>118701264</v>
      </c>
      <c r="M14" s="8">
        <v>169207341</v>
      </c>
      <c r="O14" s="3">
        <f t="shared" si="1"/>
        <v>22865130</v>
      </c>
      <c r="Q14" s="8">
        <v>109668020</v>
      </c>
      <c r="S14" s="8">
        <v>132533150</v>
      </c>
      <c r="U14" s="8">
        <f>297446+432336+7863551</f>
        <v>8593333</v>
      </c>
      <c r="W14" s="8">
        <v>0</v>
      </c>
      <c r="Y14" s="8">
        <v>28080858</v>
      </c>
      <c r="AA14" s="14">
        <f t="shared" si="2"/>
        <v>36674191</v>
      </c>
      <c r="AB14" s="8"/>
      <c r="AC14" s="8">
        <f t="shared" si="3"/>
        <v>0</v>
      </c>
    </row>
    <row r="15" spans="1:29" hidden="1">
      <c r="A15" s="12" t="s">
        <v>225</v>
      </c>
      <c r="B15" s="12"/>
      <c r="C15" s="12" t="s">
        <v>13</v>
      </c>
      <c r="D15" s="12"/>
      <c r="E15" s="32">
        <v>45906</v>
      </c>
      <c r="K15" s="3">
        <f t="shared" si="0"/>
        <v>0</v>
      </c>
      <c r="O15" s="3">
        <f t="shared" si="1"/>
        <v>0</v>
      </c>
      <c r="AA15" s="14">
        <f t="shared" si="2"/>
        <v>0</v>
      </c>
      <c r="AB15" s="8"/>
      <c r="AC15" s="8">
        <f t="shared" si="3"/>
        <v>0</v>
      </c>
    </row>
    <row r="16" spans="1:29">
      <c r="A16" s="12" t="s">
        <v>653</v>
      </c>
      <c r="B16" s="12"/>
      <c r="C16" s="12" t="s">
        <v>62</v>
      </c>
      <c r="D16" s="12"/>
      <c r="E16" s="32">
        <v>43497</v>
      </c>
      <c r="G16" s="8">
        <v>3572348</v>
      </c>
      <c r="I16" s="8">
        <v>0</v>
      </c>
      <c r="K16" s="3">
        <f t="shared" si="0"/>
        <v>8570948</v>
      </c>
      <c r="M16" s="8">
        <v>12143296</v>
      </c>
      <c r="O16" s="3">
        <f t="shared" si="1"/>
        <v>3657074</v>
      </c>
      <c r="Q16" s="8">
        <v>7882465</v>
      </c>
      <c r="S16" s="8">
        <v>11539539</v>
      </c>
      <c r="U16" s="8">
        <f>274952+416967+157327+24468</f>
        <v>873714</v>
      </c>
      <c r="W16" s="8">
        <v>0</v>
      </c>
      <c r="Y16" s="8">
        <v>-269957</v>
      </c>
      <c r="AA16" s="14">
        <f t="shared" si="2"/>
        <v>603757</v>
      </c>
      <c r="AB16" s="8"/>
      <c r="AC16" s="8">
        <f t="shared" si="3"/>
        <v>0</v>
      </c>
    </row>
    <row r="17" spans="1:29">
      <c r="A17" s="12" t="s">
        <v>347</v>
      </c>
      <c r="B17" s="12"/>
      <c r="C17" s="12" t="s">
        <v>25</v>
      </c>
      <c r="D17" s="12"/>
      <c r="E17" s="32">
        <v>46847</v>
      </c>
      <c r="G17" s="8">
        <v>1160792</v>
      </c>
      <c r="I17" s="8">
        <v>0</v>
      </c>
      <c r="K17" s="3">
        <f t="shared" si="0"/>
        <v>2790864</v>
      </c>
      <c r="M17" s="8">
        <v>3951656</v>
      </c>
      <c r="O17" s="3">
        <f t="shared" si="1"/>
        <v>1722033</v>
      </c>
      <c r="Q17" s="8">
        <v>2407708</v>
      </c>
      <c r="S17" s="8">
        <v>4129741</v>
      </c>
      <c r="U17" s="8">
        <f>16968+336002</f>
        <v>352970</v>
      </c>
      <c r="W17" s="8">
        <v>0</v>
      </c>
      <c r="Y17" s="8">
        <v>-531055</v>
      </c>
      <c r="AA17" s="14">
        <f t="shared" si="2"/>
        <v>-178085</v>
      </c>
      <c r="AB17" s="8"/>
      <c r="AC17" s="8">
        <f t="shared" si="3"/>
        <v>0</v>
      </c>
    </row>
    <row r="18" spans="1:29">
      <c r="A18" s="12" t="s">
        <v>646</v>
      </c>
      <c r="B18" s="12"/>
      <c r="C18" s="12" t="s">
        <v>61</v>
      </c>
      <c r="D18" s="12"/>
      <c r="E18" s="32">
        <v>49759</v>
      </c>
      <c r="G18" s="8">
        <v>3781581</v>
      </c>
      <c r="I18" s="8">
        <v>0</v>
      </c>
      <c r="K18" s="3">
        <f t="shared" si="0"/>
        <v>3616220</v>
      </c>
      <c r="M18" s="8">
        <v>7397801</v>
      </c>
      <c r="O18" s="3">
        <f t="shared" si="1"/>
        <v>1072459</v>
      </c>
      <c r="Q18" s="8">
        <v>3045492</v>
      </c>
      <c r="S18" s="8">
        <v>4117951</v>
      </c>
      <c r="U18" s="8">
        <f>101046+135328+62039</f>
        <v>298413</v>
      </c>
      <c r="W18" s="8">
        <v>0</v>
      </c>
      <c r="Y18" s="8">
        <v>2981437</v>
      </c>
      <c r="AA18" s="14">
        <f t="shared" si="2"/>
        <v>3279850</v>
      </c>
      <c r="AB18" s="8"/>
      <c r="AC18" s="8">
        <f t="shared" si="3"/>
        <v>0</v>
      </c>
    </row>
    <row r="19" spans="1:29">
      <c r="A19" s="12" t="s">
        <v>502</v>
      </c>
      <c r="B19" s="12"/>
      <c r="C19" s="12" t="s">
        <v>118</v>
      </c>
      <c r="D19" s="12"/>
      <c r="E19" s="32">
        <v>48207</v>
      </c>
      <c r="G19" s="8">
        <v>1758703</v>
      </c>
      <c r="I19" s="8">
        <v>0</v>
      </c>
      <c r="K19" s="3">
        <f t="shared" si="0"/>
        <v>22084105</v>
      </c>
      <c r="M19" s="8">
        <v>23842808</v>
      </c>
      <c r="O19" s="3">
        <f t="shared" si="1"/>
        <v>4166311</v>
      </c>
      <c r="Q19" s="8">
        <f>976707+19445029</f>
        <v>20421736</v>
      </c>
      <c r="S19" s="8">
        <v>24588047</v>
      </c>
      <c r="U19" s="8">
        <f>236162+57024+122348+1120700+34698</f>
        <v>1570932</v>
      </c>
      <c r="W19" s="8">
        <v>0</v>
      </c>
      <c r="Y19" s="8">
        <v>-2316171</v>
      </c>
      <c r="AA19" s="14">
        <f t="shared" si="2"/>
        <v>-745239</v>
      </c>
      <c r="AB19" s="8"/>
      <c r="AC19" s="8">
        <f t="shared" si="3"/>
        <v>0</v>
      </c>
    </row>
    <row r="20" spans="1:29">
      <c r="A20" s="12" t="s">
        <v>418</v>
      </c>
      <c r="B20" s="12"/>
      <c r="C20" s="12" t="s">
        <v>33</v>
      </c>
      <c r="D20" s="12"/>
      <c r="E20" s="32">
        <v>47415</v>
      </c>
      <c r="G20" s="8">
        <v>2639168</v>
      </c>
      <c r="I20" s="8">
        <v>0</v>
      </c>
      <c r="K20" s="3">
        <f t="shared" si="0"/>
        <v>2450092</v>
      </c>
      <c r="M20" s="8">
        <v>5089260</v>
      </c>
      <c r="O20" s="3">
        <f t="shared" si="1"/>
        <v>686825</v>
      </c>
      <c r="Q20" s="8">
        <v>2021287</v>
      </c>
      <c r="S20" s="8">
        <v>2708112</v>
      </c>
      <c r="U20" s="8">
        <f>92301+962+14898+7443+24159</f>
        <v>139763</v>
      </c>
      <c r="W20" s="8">
        <v>0</v>
      </c>
      <c r="Y20" s="8">
        <v>2241385</v>
      </c>
      <c r="AA20" s="14">
        <f t="shared" si="2"/>
        <v>2381148</v>
      </c>
      <c r="AB20" s="8"/>
      <c r="AC20" s="8">
        <f t="shared" si="3"/>
        <v>0</v>
      </c>
    </row>
    <row r="21" spans="1:29" hidden="1">
      <c r="A21" s="12" t="s">
        <v>828</v>
      </c>
      <c r="B21" s="12"/>
      <c r="C21" s="12" t="s">
        <v>21</v>
      </c>
      <c r="D21" s="12"/>
      <c r="E21" s="32">
        <v>46631</v>
      </c>
      <c r="K21" s="3">
        <f t="shared" si="0"/>
        <v>0</v>
      </c>
      <c r="O21" s="3">
        <f t="shared" si="1"/>
        <v>0</v>
      </c>
      <c r="AA21" s="14">
        <f t="shared" si="2"/>
        <v>0</v>
      </c>
      <c r="AB21" s="8"/>
      <c r="AC21" s="8">
        <f t="shared" si="3"/>
        <v>0</v>
      </c>
    </row>
    <row r="22" spans="1:29">
      <c r="A22" s="12" t="s">
        <v>372</v>
      </c>
      <c r="B22" s="12"/>
      <c r="C22" s="12" t="s">
        <v>28</v>
      </c>
      <c r="D22" s="12"/>
      <c r="E22" s="32">
        <v>47043</v>
      </c>
      <c r="G22" s="8">
        <v>3694291</v>
      </c>
      <c r="I22" s="8">
        <v>0</v>
      </c>
      <c r="K22" s="3">
        <f t="shared" si="0"/>
        <v>6412113</v>
      </c>
      <c r="M22" s="8">
        <v>10106404</v>
      </c>
      <c r="O22" s="3">
        <f t="shared" si="1"/>
        <v>1305311</v>
      </c>
      <c r="Q22" s="8">
        <v>5797700</v>
      </c>
      <c r="S22" s="8">
        <v>7103011</v>
      </c>
      <c r="U22" s="8">
        <f>24717+50684</f>
        <v>75401</v>
      </c>
      <c r="W22" s="8">
        <v>0</v>
      </c>
      <c r="Y22" s="8">
        <v>2927992</v>
      </c>
      <c r="AA22" s="14">
        <f t="shared" si="2"/>
        <v>3003393</v>
      </c>
      <c r="AB22" s="8"/>
      <c r="AC22" s="8">
        <f t="shared" si="3"/>
        <v>0</v>
      </c>
    </row>
    <row r="23" spans="1:29">
      <c r="A23" s="12" t="s">
        <v>419</v>
      </c>
      <c r="B23" s="12"/>
      <c r="C23" s="12" t="s">
        <v>33</v>
      </c>
      <c r="D23" s="12"/>
      <c r="E23" s="32">
        <v>47423</v>
      </c>
      <c r="G23" s="8">
        <v>3147371</v>
      </c>
      <c r="I23" s="8">
        <v>0</v>
      </c>
      <c r="K23" s="3">
        <f t="shared" si="0"/>
        <v>1894722</v>
      </c>
      <c r="M23" s="8">
        <v>5042093</v>
      </c>
      <c r="O23" s="3">
        <f t="shared" si="1"/>
        <v>618419</v>
      </c>
      <c r="Q23" s="8">
        <v>1242276</v>
      </c>
      <c r="S23" s="8">
        <v>1860695</v>
      </c>
      <c r="U23" s="8">
        <f>49000+226702+13415+87451</f>
        <v>376568</v>
      </c>
      <c r="W23" s="8">
        <v>0</v>
      </c>
      <c r="Y23" s="8">
        <v>2804830</v>
      </c>
      <c r="AA23" s="14">
        <f t="shared" si="2"/>
        <v>3181398</v>
      </c>
      <c r="AB23" s="8"/>
      <c r="AC23" s="8">
        <f t="shared" si="3"/>
        <v>0</v>
      </c>
    </row>
    <row r="24" spans="1:29">
      <c r="A24" s="12" t="s">
        <v>215</v>
      </c>
      <c r="B24" s="12"/>
      <c r="C24" s="12" t="s">
        <v>11</v>
      </c>
      <c r="D24" s="12"/>
      <c r="E24" s="32">
        <v>43505</v>
      </c>
      <c r="G24" s="8">
        <v>8019772</v>
      </c>
      <c r="I24" s="8">
        <v>0</v>
      </c>
      <c r="K24" s="3">
        <f t="shared" si="0"/>
        <v>16407781</v>
      </c>
      <c r="M24" s="8">
        <v>24427553</v>
      </c>
      <c r="O24" s="3">
        <f t="shared" si="1"/>
        <v>3012308</v>
      </c>
      <c r="Q24" s="8">
        <v>13659138</v>
      </c>
      <c r="S24" s="8">
        <v>16671446</v>
      </c>
      <c r="U24" s="8">
        <v>168343</v>
      </c>
      <c r="W24" s="8">
        <v>0</v>
      </c>
      <c r="Y24" s="8">
        <v>7587764</v>
      </c>
      <c r="AA24" s="14">
        <f t="shared" si="2"/>
        <v>7756107</v>
      </c>
      <c r="AB24" s="8"/>
      <c r="AC24" s="8">
        <f t="shared" si="3"/>
        <v>0</v>
      </c>
    </row>
    <row r="25" spans="1:29" hidden="1">
      <c r="A25" s="13" t="s">
        <v>768</v>
      </c>
      <c r="B25" s="13"/>
      <c r="C25" s="13" t="s">
        <v>12</v>
      </c>
      <c r="D25" s="13"/>
      <c r="E25" s="32">
        <v>43513</v>
      </c>
      <c r="K25" s="3">
        <f t="shared" si="0"/>
        <v>0</v>
      </c>
      <c r="O25" s="3">
        <f t="shared" si="1"/>
        <v>0</v>
      </c>
      <c r="AA25" s="14">
        <f t="shared" si="2"/>
        <v>0</v>
      </c>
      <c r="AB25" s="8"/>
      <c r="AC25" s="8">
        <f t="shared" si="3"/>
        <v>0</v>
      </c>
    </row>
    <row r="26" spans="1:29">
      <c r="A26" s="12" t="s">
        <v>226</v>
      </c>
      <c r="B26" s="12"/>
      <c r="C26" s="12" t="s">
        <v>13</v>
      </c>
      <c r="D26" s="12"/>
      <c r="E26" s="32">
        <v>43521</v>
      </c>
      <c r="G26" s="8">
        <v>6126868</v>
      </c>
      <c r="I26" s="8">
        <v>0</v>
      </c>
      <c r="K26" s="3">
        <f t="shared" si="0"/>
        <v>18076506</v>
      </c>
      <c r="M26" s="8">
        <v>24203374</v>
      </c>
      <c r="O26" s="3">
        <f t="shared" si="1"/>
        <v>2516460</v>
      </c>
      <c r="Q26" s="8">
        <v>17563203</v>
      </c>
      <c r="S26" s="8">
        <v>20079663</v>
      </c>
      <c r="U26" s="8">
        <f>334065+10928+14478</f>
        <v>359471</v>
      </c>
      <c r="W26" s="8">
        <v>0</v>
      </c>
      <c r="Y26" s="8">
        <v>3764240</v>
      </c>
      <c r="AA26" s="14">
        <f t="shared" si="2"/>
        <v>4123711</v>
      </c>
      <c r="AB26" s="8"/>
      <c r="AC26" s="8">
        <f t="shared" si="3"/>
        <v>0</v>
      </c>
    </row>
    <row r="27" spans="1:29">
      <c r="A27" s="12" t="s">
        <v>595</v>
      </c>
      <c r="B27" s="12"/>
      <c r="C27" s="12" t="s">
        <v>56</v>
      </c>
      <c r="D27" s="12"/>
      <c r="E27" s="32">
        <v>49171</v>
      </c>
      <c r="G27" s="8">
        <v>3416727</v>
      </c>
      <c r="I27" s="8">
        <v>0</v>
      </c>
      <c r="K27" s="3">
        <f t="shared" si="0"/>
        <v>21787685</v>
      </c>
      <c r="M27" s="8">
        <v>25204412</v>
      </c>
      <c r="O27" s="3">
        <f t="shared" si="1"/>
        <v>3147058</v>
      </c>
      <c r="Q27" s="8">
        <v>19951501</v>
      </c>
      <c r="S27" s="8">
        <v>23098559</v>
      </c>
      <c r="U27" s="8">
        <f>400631+508516+822628</f>
        <v>1731775</v>
      </c>
      <c r="W27" s="8">
        <v>0</v>
      </c>
      <c r="Y27" s="8">
        <v>374078</v>
      </c>
      <c r="AA27" s="14">
        <f t="shared" si="2"/>
        <v>2105853</v>
      </c>
      <c r="AB27" s="8"/>
      <c r="AC27" s="8">
        <f t="shared" si="3"/>
        <v>0</v>
      </c>
    </row>
    <row r="28" spans="1:29">
      <c r="A28" s="12" t="s">
        <v>514</v>
      </c>
      <c r="B28" s="12"/>
      <c r="C28" s="12" t="s">
        <v>45</v>
      </c>
      <c r="D28" s="12"/>
      <c r="E28" s="32">
        <v>48298</v>
      </c>
      <c r="G28" s="8">
        <v>3929559</v>
      </c>
      <c r="I28" s="8">
        <v>0</v>
      </c>
      <c r="K28" s="3">
        <f t="shared" si="0"/>
        <v>20034418</v>
      </c>
      <c r="M28" s="8">
        <v>23963977</v>
      </c>
      <c r="O28" s="3">
        <f t="shared" si="1"/>
        <v>5561839</v>
      </c>
      <c r="Q28" s="8">
        <f>2290276+17414227</f>
        <v>19704503</v>
      </c>
      <c r="S28" s="8">
        <v>25266342</v>
      </c>
      <c r="U28" s="8">
        <f>601443+32873+134377</f>
        <v>768693</v>
      </c>
      <c r="W28" s="8">
        <v>0</v>
      </c>
      <c r="Y28" s="8">
        <v>-2071058</v>
      </c>
      <c r="AA28" s="14">
        <f t="shared" si="2"/>
        <v>-1302365</v>
      </c>
      <c r="AB28" s="8"/>
      <c r="AC28" s="8">
        <f t="shared" si="3"/>
        <v>0</v>
      </c>
    </row>
    <row r="29" spans="1:29">
      <c r="A29" s="12" t="s">
        <v>489</v>
      </c>
      <c r="B29" s="12"/>
      <c r="C29" s="12" t="s">
        <v>44</v>
      </c>
      <c r="D29" s="12"/>
      <c r="E29" s="32">
        <v>48124</v>
      </c>
      <c r="G29" s="8">
        <v>13748751</v>
      </c>
      <c r="I29" s="8">
        <v>0</v>
      </c>
      <c r="K29" s="3">
        <f t="shared" si="0"/>
        <v>29583435</v>
      </c>
      <c r="M29" s="8">
        <v>43332186</v>
      </c>
      <c r="O29" s="3">
        <f t="shared" si="1"/>
        <v>4437085</v>
      </c>
      <c r="Q29" s="8">
        <v>26934854</v>
      </c>
      <c r="S29" s="8">
        <v>31371939</v>
      </c>
      <c r="U29" s="8">
        <f>26276+25568+1379353+2401700+113990</f>
        <v>3946887</v>
      </c>
      <c r="W29" s="8">
        <v>0</v>
      </c>
      <c r="Y29" s="8">
        <v>8013360</v>
      </c>
      <c r="AA29" s="14">
        <f t="shared" si="2"/>
        <v>11960247</v>
      </c>
      <c r="AB29" s="8"/>
      <c r="AC29" s="8">
        <f t="shared" si="3"/>
        <v>0</v>
      </c>
    </row>
    <row r="30" spans="1:29">
      <c r="A30" s="12" t="s">
        <v>490</v>
      </c>
      <c r="B30" s="12"/>
      <c r="C30" s="12" t="s">
        <v>44</v>
      </c>
      <c r="D30" s="12"/>
      <c r="E30" s="32">
        <v>48116</v>
      </c>
      <c r="G30" s="8">
        <v>6038635</v>
      </c>
      <c r="I30" s="8">
        <v>0</v>
      </c>
      <c r="K30" s="3">
        <f t="shared" si="0"/>
        <v>20299994</v>
      </c>
      <c r="M30" s="8">
        <v>26338629</v>
      </c>
      <c r="O30" s="3">
        <f t="shared" si="1"/>
        <v>3223348</v>
      </c>
      <c r="Q30" s="8">
        <v>17921309</v>
      </c>
      <c r="S30" s="8">
        <v>21144657</v>
      </c>
      <c r="U30" s="8">
        <f>2111228+345486</f>
        <v>2456714</v>
      </c>
      <c r="W30" s="8">
        <v>0</v>
      </c>
      <c r="Y30" s="8">
        <v>2737258</v>
      </c>
      <c r="AA30" s="14">
        <f t="shared" si="2"/>
        <v>5193972</v>
      </c>
      <c r="AB30" s="8"/>
      <c r="AC30" s="8">
        <f t="shared" si="3"/>
        <v>0</v>
      </c>
    </row>
    <row r="31" spans="1:29">
      <c r="A31" s="12" t="s">
        <v>334</v>
      </c>
      <c r="B31" s="12"/>
      <c r="C31" s="12" t="s">
        <v>22</v>
      </c>
      <c r="D31" s="12"/>
      <c r="E31" s="32">
        <v>46706</v>
      </c>
      <c r="G31" s="8">
        <v>2458842</v>
      </c>
      <c r="I31" s="8">
        <v>0</v>
      </c>
      <c r="K31" s="3">
        <f t="shared" si="0"/>
        <v>2772688</v>
      </c>
      <c r="M31" s="8">
        <v>5231530</v>
      </c>
      <c r="O31" s="3">
        <f t="shared" si="1"/>
        <v>941307</v>
      </c>
      <c r="Q31" s="8">
        <v>2233880</v>
      </c>
      <c r="S31" s="8">
        <v>3175187</v>
      </c>
      <c r="U31" s="8">
        <f>69866+25237+6866+275000+666</f>
        <v>377635</v>
      </c>
      <c r="W31" s="8">
        <v>0</v>
      </c>
      <c r="Y31" s="8">
        <v>1678708</v>
      </c>
      <c r="AA31" s="14">
        <f t="shared" si="2"/>
        <v>2056343</v>
      </c>
      <c r="AB31" s="8"/>
      <c r="AC31" s="8">
        <f t="shared" si="3"/>
        <v>0</v>
      </c>
    </row>
    <row r="32" spans="1:29">
      <c r="A32" s="12" t="s">
        <v>668</v>
      </c>
      <c r="B32" s="12"/>
      <c r="C32" s="12" t="s">
        <v>63</v>
      </c>
      <c r="D32" s="12"/>
      <c r="E32" s="32">
        <v>43539</v>
      </c>
      <c r="G32" s="8">
        <v>9915539</v>
      </c>
      <c r="I32" s="8">
        <v>894626</v>
      </c>
      <c r="K32" s="3">
        <f t="shared" si="0"/>
        <v>13426326</v>
      </c>
      <c r="M32" s="8">
        <v>24236491</v>
      </c>
      <c r="O32" s="3">
        <f t="shared" si="1"/>
        <v>16421683</v>
      </c>
      <c r="Q32" s="8">
        <v>1235919</v>
      </c>
      <c r="S32" s="8">
        <v>17657602</v>
      </c>
      <c r="U32" s="8">
        <f>539906+20077+1303347+894626</f>
        <v>2757956</v>
      </c>
      <c r="W32" s="8">
        <v>0</v>
      </c>
      <c r="Y32" s="8">
        <v>3820933</v>
      </c>
      <c r="AA32" s="14">
        <f t="shared" si="2"/>
        <v>6578889</v>
      </c>
      <c r="AB32" s="8"/>
      <c r="AC32" s="8">
        <f t="shared" si="3"/>
        <v>0</v>
      </c>
    </row>
    <row r="33" spans="1:29">
      <c r="A33" s="12" t="s">
        <v>831</v>
      </c>
      <c r="B33" s="12"/>
      <c r="C33" s="12" t="s">
        <v>15</v>
      </c>
      <c r="D33" s="12"/>
      <c r="E33" s="32"/>
      <c r="G33" s="8">
        <v>2401644</v>
      </c>
      <c r="I33" s="8">
        <v>8128</v>
      </c>
      <c r="K33" s="3">
        <f t="shared" si="0"/>
        <v>2269454</v>
      </c>
      <c r="M33" s="8">
        <v>4679226</v>
      </c>
      <c r="O33" s="3">
        <f t="shared" si="1"/>
        <v>917072</v>
      </c>
      <c r="Q33" s="8">
        <v>1997862</v>
      </c>
      <c r="S33" s="8">
        <v>2914934</v>
      </c>
      <c r="U33" s="8">
        <f>225299+238596</f>
        <v>463895</v>
      </c>
      <c r="W33" s="8">
        <v>0</v>
      </c>
      <c r="Y33" s="8">
        <v>1300397</v>
      </c>
      <c r="AA33" s="14">
        <f t="shared" si="2"/>
        <v>1764292</v>
      </c>
      <c r="AB33" s="8"/>
      <c r="AC33" s="8">
        <f t="shared" si="3"/>
        <v>0</v>
      </c>
    </row>
    <row r="34" spans="1:29" hidden="1">
      <c r="A34" s="12" t="s">
        <v>270</v>
      </c>
      <c r="B34" s="12"/>
      <c r="C34" s="12" t="s">
        <v>116</v>
      </c>
      <c r="D34" s="12"/>
      <c r="E34" s="32">
        <v>46300</v>
      </c>
      <c r="K34" s="3">
        <f t="shared" si="0"/>
        <v>0</v>
      </c>
      <c r="O34" s="3">
        <f t="shared" si="1"/>
        <v>0</v>
      </c>
      <c r="AA34" s="14">
        <f t="shared" si="2"/>
        <v>0</v>
      </c>
      <c r="AB34" s="8"/>
      <c r="AC34" s="8">
        <f t="shared" si="3"/>
        <v>0</v>
      </c>
    </row>
    <row r="35" spans="1:29" hidden="1">
      <c r="A35" s="12" t="s">
        <v>211</v>
      </c>
      <c r="B35" s="12"/>
      <c r="C35" s="12" t="s">
        <v>10</v>
      </c>
      <c r="D35" s="12"/>
      <c r="E35" s="32">
        <v>45765</v>
      </c>
      <c r="K35" s="3">
        <f t="shared" si="0"/>
        <v>0</v>
      </c>
      <c r="O35" s="3">
        <f t="shared" si="1"/>
        <v>0</v>
      </c>
      <c r="AA35" s="14">
        <f t="shared" si="2"/>
        <v>0</v>
      </c>
      <c r="AB35" s="8"/>
      <c r="AC35" s="8">
        <f t="shared" si="3"/>
        <v>0</v>
      </c>
    </row>
    <row r="36" spans="1:29">
      <c r="A36" s="12" t="s">
        <v>300</v>
      </c>
      <c r="B36" s="12"/>
      <c r="C36" s="12" t="s">
        <v>20</v>
      </c>
      <c r="D36" s="12"/>
      <c r="E36" s="32">
        <v>43547</v>
      </c>
      <c r="G36" s="8">
        <v>5623556</v>
      </c>
      <c r="I36" s="8">
        <v>0</v>
      </c>
      <c r="K36" s="3">
        <f t="shared" si="0"/>
        <v>20427963</v>
      </c>
      <c r="M36" s="8">
        <v>26051519</v>
      </c>
      <c r="O36" s="3">
        <f t="shared" si="1"/>
        <v>3245377</v>
      </c>
      <c r="Q36" s="8">
        <v>17990114</v>
      </c>
      <c r="S36" s="8">
        <v>21235491</v>
      </c>
      <c r="U36" s="8">
        <f>2252692+39911+465+363782</f>
        <v>2656850</v>
      </c>
      <c r="W36" s="8">
        <v>0</v>
      </c>
      <c r="Y36" s="8">
        <v>2159178</v>
      </c>
      <c r="AA36" s="14">
        <f t="shared" si="2"/>
        <v>4816028</v>
      </c>
      <c r="AB36" s="8"/>
      <c r="AC36" s="8">
        <f t="shared" si="3"/>
        <v>0</v>
      </c>
    </row>
    <row r="37" spans="1:29">
      <c r="A37" s="12" t="s">
        <v>301</v>
      </c>
      <c r="B37" s="12"/>
      <c r="C37" s="12" t="s">
        <v>20</v>
      </c>
      <c r="D37" s="12"/>
      <c r="E37" s="32">
        <v>43554</v>
      </c>
      <c r="G37" s="8">
        <f>10537460+134873</f>
        <v>10672333</v>
      </c>
      <c r="I37" s="8">
        <v>0</v>
      </c>
      <c r="K37" s="3">
        <f t="shared" si="0"/>
        <v>29000918</v>
      </c>
      <c r="M37" s="8">
        <v>39673251</v>
      </c>
      <c r="O37" s="3">
        <f t="shared" si="1"/>
        <v>2870481</v>
      </c>
      <c r="Q37" s="8">
        <v>22690787</v>
      </c>
      <c r="S37" s="8">
        <v>25561268</v>
      </c>
      <c r="U37" s="8">
        <f>159905+4820863+134873</f>
        <v>5115641</v>
      </c>
      <c r="W37" s="8">
        <v>0</v>
      </c>
      <c r="Y37" s="8">
        <v>8996342</v>
      </c>
      <c r="AA37" s="14">
        <f t="shared" si="2"/>
        <v>14111983</v>
      </c>
      <c r="AB37" s="8"/>
      <c r="AC37" s="8">
        <f t="shared" si="3"/>
        <v>0</v>
      </c>
    </row>
    <row r="38" spans="1:29">
      <c r="A38" s="12" t="s">
        <v>282</v>
      </c>
      <c r="B38" s="12"/>
      <c r="C38" s="12" t="s">
        <v>115</v>
      </c>
      <c r="D38" s="12"/>
      <c r="E38" s="32">
        <v>46425</v>
      </c>
      <c r="G38" s="8">
        <v>56822</v>
      </c>
      <c r="I38" s="8">
        <v>0</v>
      </c>
      <c r="K38" s="3">
        <f t="shared" si="0"/>
        <v>6661422</v>
      </c>
      <c r="M38" s="8">
        <v>6718244</v>
      </c>
      <c r="O38" s="3">
        <f t="shared" si="1"/>
        <v>1887058</v>
      </c>
      <c r="Q38" s="8">
        <v>6427833</v>
      </c>
      <c r="S38" s="8">
        <v>8314891</v>
      </c>
      <c r="U38" s="8">
        <f>9635+178989</f>
        <v>188624</v>
      </c>
      <c r="W38" s="8">
        <v>0</v>
      </c>
      <c r="Y38" s="8">
        <v>-1785271</v>
      </c>
      <c r="AA38" s="14">
        <f t="shared" si="2"/>
        <v>-1596647</v>
      </c>
      <c r="AB38" s="8"/>
      <c r="AC38" s="8">
        <f t="shared" si="3"/>
        <v>0</v>
      </c>
    </row>
    <row r="39" spans="1:29">
      <c r="A39" s="12" t="s">
        <v>388</v>
      </c>
      <c r="B39" s="12"/>
      <c r="C39" s="12" t="s">
        <v>117</v>
      </c>
      <c r="D39" s="12"/>
      <c r="E39" s="32">
        <v>47241</v>
      </c>
      <c r="G39" s="8">
        <v>34184915</v>
      </c>
      <c r="I39" s="8">
        <v>0</v>
      </c>
      <c r="K39" s="3">
        <f t="shared" si="0"/>
        <v>45068996</v>
      </c>
      <c r="M39" s="8">
        <v>79253911</v>
      </c>
      <c r="O39" s="3">
        <f t="shared" si="1"/>
        <v>7836041</v>
      </c>
      <c r="Q39" s="8">
        <v>39617067</v>
      </c>
      <c r="S39" s="8">
        <v>47453108</v>
      </c>
      <c r="U39" s="8">
        <f>533055+13447+2426963</f>
        <v>2973465</v>
      </c>
      <c r="W39" s="8">
        <v>0</v>
      </c>
      <c r="Y39" s="8">
        <v>28827338</v>
      </c>
      <c r="AA39" s="14">
        <f t="shared" si="2"/>
        <v>31800803</v>
      </c>
      <c r="AB39" s="8"/>
      <c r="AC39" s="8">
        <f t="shared" si="3"/>
        <v>0</v>
      </c>
    </row>
    <row r="40" spans="1:29">
      <c r="A40" s="12" t="s">
        <v>302</v>
      </c>
      <c r="B40" s="12"/>
      <c r="C40" s="12" t="s">
        <v>20</v>
      </c>
      <c r="D40" s="12"/>
      <c r="E40" s="32">
        <v>43562</v>
      </c>
      <c r="G40" s="8">
        <v>13422444</v>
      </c>
      <c r="I40" s="8">
        <v>0</v>
      </c>
      <c r="K40" s="3">
        <f t="shared" si="0"/>
        <v>32929265</v>
      </c>
      <c r="M40" s="8">
        <v>46351709</v>
      </c>
      <c r="O40" s="3">
        <f t="shared" si="1"/>
        <v>5730581</v>
      </c>
      <c r="Q40" s="8">
        <v>27433645</v>
      </c>
      <c r="S40" s="8">
        <v>33164226</v>
      </c>
      <c r="U40" s="8">
        <f>665173+3517161</f>
        <v>4182334</v>
      </c>
      <c r="W40" s="8">
        <v>0</v>
      </c>
      <c r="Y40" s="8">
        <v>9005149</v>
      </c>
      <c r="AA40" s="14">
        <f t="shared" si="2"/>
        <v>13187483</v>
      </c>
      <c r="AB40" s="8"/>
      <c r="AC40" s="8">
        <f t="shared" si="3"/>
        <v>0</v>
      </c>
    </row>
    <row r="41" spans="1:29">
      <c r="A41" s="12" t="s">
        <v>234</v>
      </c>
      <c r="B41" s="12"/>
      <c r="C41" s="12" t="s">
        <v>15</v>
      </c>
      <c r="D41" s="12"/>
      <c r="E41" s="32">
        <v>43570</v>
      </c>
      <c r="G41" s="8">
        <v>0</v>
      </c>
      <c r="I41" s="8">
        <v>50183</v>
      </c>
      <c r="K41" s="3">
        <f t="shared" si="0"/>
        <v>2783782</v>
      </c>
      <c r="M41" s="8">
        <v>2833965</v>
      </c>
      <c r="O41" s="3">
        <f t="shared" si="1"/>
        <v>1642038</v>
      </c>
      <c r="Q41" s="8">
        <v>2375170</v>
      </c>
      <c r="S41" s="8">
        <v>4017208</v>
      </c>
      <c r="U41" s="8">
        <f>98510+98686+50183</f>
        <v>247379</v>
      </c>
      <c r="W41" s="8">
        <v>0</v>
      </c>
      <c r="Y41" s="8">
        <v>-1430622</v>
      </c>
      <c r="AA41" s="14">
        <f t="shared" si="2"/>
        <v>-1183243</v>
      </c>
      <c r="AB41" s="8"/>
      <c r="AC41" s="8">
        <f t="shared" si="3"/>
        <v>0</v>
      </c>
    </row>
    <row r="42" spans="1:29">
      <c r="A42" s="12" t="s">
        <v>448</v>
      </c>
      <c r="B42" s="12"/>
      <c r="C42" s="12" t="s">
        <v>37</v>
      </c>
      <c r="D42" s="12"/>
      <c r="E42" s="32">
        <v>43596</v>
      </c>
      <c r="G42" s="8">
        <v>2363624</v>
      </c>
      <c r="I42" s="8">
        <v>0</v>
      </c>
      <c r="K42" s="3">
        <f t="shared" si="0"/>
        <v>7791893</v>
      </c>
      <c r="M42" s="8">
        <v>10155517</v>
      </c>
      <c r="O42" s="3">
        <f t="shared" si="1"/>
        <v>7323863</v>
      </c>
      <c r="Q42" s="8">
        <v>582080</v>
      </c>
      <c r="S42" s="8">
        <v>7905943</v>
      </c>
      <c r="U42" s="8">
        <f>134561+91730+1273327+26238</f>
        <v>1525856</v>
      </c>
      <c r="W42" s="8">
        <v>0</v>
      </c>
      <c r="Y42" s="8">
        <v>723718</v>
      </c>
      <c r="AA42" s="14">
        <f t="shared" si="2"/>
        <v>2249574</v>
      </c>
      <c r="AB42" s="8"/>
      <c r="AC42" s="8">
        <f t="shared" si="3"/>
        <v>0</v>
      </c>
    </row>
    <row r="43" spans="1:29">
      <c r="A43" s="12" t="s">
        <v>721</v>
      </c>
      <c r="B43" s="12"/>
      <c r="C43" s="12" t="s">
        <v>70</v>
      </c>
      <c r="D43" s="12"/>
      <c r="E43" s="32">
        <v>43604</v>
      </c>
      <c r="G43" s="8">
        <v>1489070</v>
      </c>
      <c r="I43" s="8">
        <v>281344</v>
      </c>
      <c r="K43" s="3">
        <f t="shared" si="0"/>
        <v>4194696</v>
      </c>
      <c r="M43" s="8">
        <v>5965110</v>
      </c>
      <c r="O43" s="3">
        <f t="shared" si="1"/>
        <v>1311601</v>
      </c>
      <c r="Q43" s="8">
        <v>4053063</v>
      </c>
      <c r="S43" s="8">
        <v>5364664</v>
      </c>
      <c r="U43" s="8">
        <f>75114+75229+63854+22171+1790+195985</f>
        <v>434143</v>
      </c>
      <c r="W43" s="8">
        <v>276911</v>
      </c>
      <c r="Y43" s="8">
        <v>-110608</v>
      </c>
      <c r="AA43" s="14">
        <f t="shared" si="2"/>
        <v>600446</v>
      </c>
      <c r="AB43" s="8"/>
      <c r="AC43" s="8">
        <f t="shared" si="3"/>
        <v>0</v>
      </c>
    </row>
    <row r="44" spans="1:29">
      <c r="A44" s="12" t="s">
        <v>579</v>
      </c>
      <c r="B44" s="12"/>
      <c r="C44" s="12" t="s">
        <v>53</v>
      </c>
      <c r="D44" s="12"/>
      <c r="E44" s="32">
        <v>48926</v>
      </c>
      <c r="G44" s="8">
        <f>5481189+6095</f>
        <v>5487284</v>
      </c>
      <c r="I44" s="8">
        <v>465969</v>
      </c>
      <c r="K44" s="3">
        <f t="shared" si="0"/>
        <v>8970218</v>
      </c>
      <c r="M44" s="8">
        <v>14923471</v>
      </c>
      <c r="O44" s="3">
        <f t="shared" si="1"/>
        <v>9960488</v>
      </c>
      <c r="Q44" s="8">
        <v>480719</v>
      </c>
      <c r="S44" s="8">
        <v>10441207</v>
      </c>
      <c r="U44" s="8">
        <f>269473+25924+577839+16568+17584+448385</f>
        <v>1355773</v>
      </c>
      <c r="W44" s="8">
        <v>0</v>
      </c>
      <c r="Y44" s="8">
        <v>3126491</v>
      </c>
      <c r="AA44" s="14">
        <f t="shared" si="2"/>
        <v>4482264</v>
      </c>
      <c r="AB44" s="8"/>
      <c r="AC44" s="8">
        <f t="shared" si="3"/>
        <v>0</v>
      </c>
    </row>
    <row r="45" spans="1:29">
      <c r="A45" s="12" t="s">
        <v>303</v>
      </c>
      <c r="B45" s="12"/>
      <c r="C45" s="12" t="s">
        <v>20</v>
      </c>
      <c r="D45" s="12"/>
      <c r="E45" s="32">
        <v>43612</v>
      </c>
      <c r="G45" s="8">
        <v>28645543</v>
      </c>
      <c r="I45" s="8">
        <v>32292</v>
      </c>
      <c r="K45" s="3">
        <f t="shared" si="0"/>
        <v>65250832</v>
      </c>
      <c r="M45" s="8">
        <v>93928667</v>
      </c>
      <c r="O45" s="3">
        <f t="shared" si="1"/>
        <v>9692853</v>
      </c>
      <c r="Q45" s="8">
        <v>54832037</v>
      </c>
      <c r="S45" s="8">
        <v>64524890</v>
      </c>
      <c r="U45" s="8">
        <f>1006863+32292+16656+4253374</f>
        <v>5309185</v>
      </c>
      <c r="W45" s="8">
        <v>0</v>
      </c>
      <c r="Y45" s="8">
        <v>24094592</v>
      </c>
      <c r="AA45" s="14">
        <f t="shared" si="2"/>
        <v>29403777</v>
      </c>
      <c r="AB45" s="8"/>
      <c r="AC45" s="8">
        <f t="shared" si="3"/>
        <v>0</v>
      </c>
    </row>
    <row r="46" spans="1:29">
      <c r="A46" s="12" t="s">
        <v>381</v>
      </c>
      <c r="B46" s="12"/>
      <c r="C46" s="12" t="s">
        <v>30</v>
      </c>
      <c r="D46" s="12"/>
      <c r="E46" s="32">
        <v>47167</v>
      </c>
      <c r="G46" s="8">
        <v>2683322</v>
      </c>
      <c r="I46" s="8">
        <v>42009</v>
      </c>
      <c r="K46" s="3">
        <f t="shared" si="0"/>
        <v>5138532</v>
      </c>
      <c r="M46" s="8">
        <v>7863863</v>
      </c>
      <c r="O46" s="3">
        <f t="shared" si="1"/>
        <v>1100520</v>
      </c>
      <c r="Q46" s="8">
        <v>3767989</v>
      </c>
      <c r="S46" s="8">
        <v>4868509</v>
      </c>
      <c r="U46" s="8">
        <f>104810+548522+39468+2541</f>
        <v>695341</v>
      </c>
      <c r="W46" s="8">
        <v>0</v>
      </c>
      <c r="Y46" s="8">
        <v>2300013</v>
      </c>
      <c r="AA46" s="14">
        <f t="shared" si="2"/>
        <v>2995354</v>
      </c>
      <c r="AB46" s="8"/>
      <c r="AC46" s="8">
        <f t="shared" si="3"/>
        <v>0</v>
      </c>
    </row>
    <row r="47" spans="1:29">
      <c r="A47" s="12" t="s">
        <v>340</v>
      </c>
      <c r="B47" s="12"/>
      <c r="C47" s="12" t="s">
        <v>24</v>
      </c>
      <c r="D47" s="12"/>
      <c r="E47" s="32">
        <v>46789</v>
      </c>
      <c r="G47" s="8">
        <v>4515793</v>
      </c>
      <c r="I47" s="8">
        <v>9902</v>
      </c>
      <c r="K47" s="3">
        <f t="shared" si="0"/>
        <v>7760897</v>
      </c>
      <c r="M47" s="8">
        <v>12286592</v>
      </c>
      <c r="O47" s="3">
        <f t="shared" si="1"/>
        <v>8145028</v>
      </c>
      <c r="Q47" s="8">
        <v>497668</v>
      </c>
      <c r="S47" s="8">
        <v>8642696</v>
      </c>
      <c r="U47" s="8">
        <f>257154+43200+2122+577936+1595+9902</f>
        <v>891909</v>
      </c>
      <c r="W47" s="8">
        <v>0</v>
      </c>
      <c r="Y47" s="8">
        <v>2751987</v>
      </c>
      <c r="AA47" s="14">
        <f t="shared" si="2"/>
        <v>3643896</v>
      </c>
      <c r="AB47" s="8"/>
      <c r="AC47" s="8">
        <f t="shared" si="3"/>
        <v>0</v>
      </c>
    </row>
    <row r="48" spans="1:29">
      <c r="A48" s="12" t="s">
        <v>348</v>
      </c>
      <c r="B48" s="12"/>
      <c r="C48" s="12" t="s">
        <v>25</v>
      </c>
      <c r="D48" s="12"/>
      <c r="E48" s="32">
        <v>46854</v>
      </c>
      <c r="G48" s="8">
        <v>1956318</v>
      </c>
      <c r="I48" s="8">
        <v>310212</v>
      </c>
      <c r="K48" s="3">
        <f t="shared" si="0"/>
        <v>2986201</v>
      </c>
      <c r="M48" s="8">
        <v>5252731</v>
      </c>
      <c r="O48" s="3">
        <f t="shared" si="1"/>
        <v>921967</v>
      </c>
      <c r="Q48" s="8">
        <v>2419165</v>
      </c>
      <c r="S48" s="8">
        <v>3341132</v>
      </c>
      <c r="U48" s="8">
        <f>57250+210110+51421+158791+100000</f>
        <v>577572</v>
      </c>
      <c r="W48" s="8">
        <v>0</v>
      </c>
      <c r="Y48" s="8">
        <v>1334027</v>
      </c>
      <c r="AA48" s="14">
        <f t="shared" si="2"/>
        <v>1911599</v>
      </c>
      <c r="AB48" s="8"/>
      <c r="AC48" s="8">
        <f t="shared" si="3"/>
        <v>0</v>
      </c>
    </row>
    <row r="49" spans="1:34">
      <c r="A49" s="12" t="s">
        <v>543</v>
      </c>
      <c r="B49" s="12"/>
      <c r="C49" s="12" t="s">
        <v>48</v>
      </c>
      <c r="D49" s="12"/>
      <c r="E49" s="32">
        <v>48611</v>
      </c>
      <c r="G49" s="8">
        <v>2031432</v>
      </c>
      <c r="I49" s="8">
        <v>33271</v>
      </c>
      <c r="K49" s="3">
        <f t="shared" si="0"/>
        <v>3216276</v>
      </c>
      <c r="M49" s="8">
        <v>5280979</v>
      </c>
      <c r="O49" s="3">
        <f t="shared" si="1"/>
        <v>676899</v>
      </c>
      <c r="Q49" s="8">
        <v>3047908</v>
      </c>
      <c r="S49" s="8">
        <v>3724807</v>
      </c>
      <c r="U49" s="8">
        <f>132660+3731+133133+33271</f>
        <v>302795</v>
      </c>
      <c r="W49" s="8">
        <v>0</v>
      </c>
      <c r="Y49" s="8">
        <v>1253377</v>
      </c>
      <c r="AA49" s="14">
        <f t="shared" si="2"/>
        <v>1556172</v>
      </c>
      <c r="AB49" s="8"/>
      <c r="AC49" s="8">
        <f t="shared" si="3"/>
        <v>0</v>
      </c>
    </row>
    <row r="50" spans="1:34">
      <c r="A50" s="12" t="s">
        <v>271</v>
      </c>
      <c r="B50" s="12"/>
      <c r="C50" s="12" t="s">
        <v>116</v>
      </c>
      <c r="D50" s="12"/>
      <c r="E50" s="32">
        <v>46318</v>
      </c>
      <c r="G50" s="8">
        <v>1704392</v>
      </c>
      <c r="I50" s="8">
        <v>347954</v>
      </c>
      <c r="K50" s="3">
        <f t="shared" si="0"/>
        <v>3172135</v>
      </c>
      <c r="M50" s="8">
        <v>5224481</v>
      </c>
      <c r="O50" s="3">
        <f t="shared" si="1"/>
        <v>1577741</v>
      </c>
      <c r="Q50" s="8">
        <v>2877935</v>
      </c>
      <c r="S50" s="8">
        <v>4455676</v>
      </c>
      <c r="U50" s="8">
        <f>122560+294200+347954</f>
        <v>764714</v>
      </c>
      <c r="W50" s="8">
        <v>0</v>
      </c>
      <c r="Y50" s="8">
        <v>4091</v>
      </c>
      <c r="AA50" s="14">
        <f t="shared" si="2"/>
        <v>768805</v>
      </c>
      <c r="AB50" s="8"/>
      <c r="AC50" s="8">
        <f t="shared" si="3"/>
        <v>0</v>
      </c>
    </row>
    <row r="51" spans="1:34" hidden="1">
      <c r="A51" s="12" t="s">
        <v>640</v>
      </c>
      <c r="B51" s="12"/>
      <c r="C51" s="12" t="s">
        <v>60</v>
      </c>
      <c r="D51" s="12"/>
      <c r="E51" s="32">
        <v>49692</v>
      </c>
      <c r="K51" s="3">
        <f t="shared" si="0"/>
        <v>0</v>
      </c>
      <c r="O51" s="3">
        <f t="shared" si="1"/>
        <v>0</v>
      </c>
      <c r="AA51" s="14">
        <f t="shared" si="2"/>
        <v>0</v>
      </c>
      <c r="AB51" s="8"/>
      <c r="AC51" s="8">
        <f t="shared" si="3"/>
        <v>0</v>
      </c>
    </row>
    <row r="52" spans="1:34">
      <c r="A52" s="12" t="s">
        <v>356</v>
      </c>
      <c r="B52" s="12"/>
      <c r="C52" s="12" t="s">
        <v>27</v>
      </c>
      <c r="D52" s="12"/>
      <c r="E52" s="32">
        <v>43620</v>
      </c>
      <c r="G52" s="8">
        <v>18303897</v>
      </c>
      <c r="I52" s="8">
        <v>0</v>
      </c>
      <c r="K52" s="3">
        <f t="shared" si="0"/>
        <v>17396221</v>
      </c>
      <c r="M52" s="8">
        <v>35700118</v>
      </c>
      <c r="O52" s="3">
        <f t="shared" si="1"/>
        <v>3673282</v>
      </c>
      <c r="Q52" s="8">
        <v>11652873</v>
      </c>
      <c r="S52" s="8">
        <v>15326155</v>
      </c>
      <c r="U52" s="8">
        <f>5888620+753273+12861</f>
        <v>6654754</v>
      </c>
      <c r="W52" s="8">
        <v>0</v>
      </c>
      <c r="Y52" s="8">
        <v>13719209</v>
      </c>
      <c r="AA52" s="14">
        <f t="shared" si="2"/>
        <v>20373963</v>
      </c>
      <c r="AB52" s="8"/>
      <c r="AC52" s="8">
        <f t="shared" si="3"/>
        <v>0</v>
      </c>
    </row>
    <row r="53" spans="1:34">
      <c r="A53" s="12" t="s">
        <v>336</v>
      </c>
      <c r="B53" s="12"/>
      <c r="C53" s="12" t="s">
        <v>23</v>
      </c>
      <c r="D53" s="12"/>
      <c r="E53" s="32">
        <v>46748</v>
      </c>
      <c r="G53" s="8">
        <v>1346579</v>
      </c>
      <c r="I53" s="8">
        <v>0</v>
      </c>
      <c r="K53" s="3">
        <f t="shared" si="0"/>
        <v>14941411</v>
      </c>
      <c r="M53" s="8">
        <v>16287990</v>
      </c>
      <c r="O53" s="3">
        <f t="shared" si="1"/>
        <v>3134679</v>
      </c>
      <c r="Q53" s="8">
        <v>11019705</v>
      </c>
      <c r="S53" s="8">
        <v>14154384</v>
      </c>
      <c r="U53" s="8">
        <f>2057198+155547</f>
        <v>2212745</v>
      </c>
      <c r="W53" s="8">
        <v>0</v>
      </c>
      <c r="Y53" s="8">
        <v>-79139</v>
      </c>
      <c r="AA53" s="14">
        <f t="shared" si="2"/>
        <v>2133606</v>
      </c>
      <c r="AB53" s="8"/>
      <c r="AC53" s="8">
        <f t="shared" si="3"/>
        <v>0</v>
      </c>
    </row>
    <row r="54" spans="1:34">
      <c r="A54" s="12" t="s">
        <v>531</v>
      </c>
      <c r="B54" s="12"/>
      <c r="C54" s="12" t="s">
        <v>47</v>
      </c>
      <c r="D54" s="12"/>
      <c r="E54" s="32">
        <v>48462</v>
      </c>
      <c r="G54" s="8">
        <v>914294</v>
      </c>
      <c r="I54" s="8">
        <v>38225</v>
      </c>
      <c r="K54" s="3">
        <f t="shared" si="0"/>
        <v>4776101</v>
      </c>
      <c r="M54" s="8">
        <v>5728620</v>
      </c>
      <c r="O54" s="3">
        <f t="shared" si="1"/>
        <v>5134106</v>
      </c>
      <c r="Q54" s="8">
        <v>316806</v>
      </c>
      <c r="S54" s="8">
        <v>5450912</v>
      </c>
      <c r="U54" s="8">
        <f>163799+34648+460984+468125+38225</f>
        <v>1165781</v>
      </c>
      <c r="W54" s="8">
        <v>0</v>
      </c>
      <c r="Y54" s="8">
        <v>-888073</v>
      </c>
      <c r="AA54" s="14">
        <f t="shared" si="2"/>
        <v>277708</v>
      </c>
      <c r="AB54" s="8"/>
      <c r="AC54" s="8">
        <f t="shared" si="3"/>
        <v>0</v>
      </c>
    </row>
    <row r="55" spans="1:34">
      <c r="A55" s="12" t="s">
        <v>278</v>
      </c>
      <c r="B55" s="12"/>
      <c r="C55" s="12" t="s">
        <v>18</v>
      </c>
      <c r="D55" s="12"/>
      <c r="E55" s="32">
        <v>46383</v>
      </c>
      <c r="G55" s="8">
        <v>1394190</v>
      </c>
      <c r="I55" s="8">
        <v>385850</v>
      </c>
      <c r="K55" s="3">
        <f t="shared" si="0"/>
        <v>3184688</v>
      </c>
      <c r="M55" s="8">
        <v>4964728</v>
      </c>
      <c r="O55" s="3">
        <f t="shared" si="1"/>
        <v>1660331</v>
      </c>
      <c r="Q55" s="8">
        <v>2822866</v>
      </c>
      <c r="S55" s="8">
        <v>4483197</v>
      </c>
      <c r="U55" s="8">
        <f>33893+241320+385850</f>
        <v>661063</v>
      </c>
      <c r="W55" s="8">
        <v>0</v>
      </c>
      <c r="Y55" s="8">
        <v>-179532</v>
      </c>
      <c r="AA55" s="14">
        <f t="shared" si="2"/>
        <v>481531</v>
      </c>
      <c r="AB55" s="8"/>
      <c r="AC55" s="8">
        <f t="shared" si="3"/>
        <v>0</v>
      </c>
    </row>
    <row r="56" spans="1:34">
      <c r="A56" s="12" t="s">
        <v>349</v>
      </c>
      <c r="B56" s="12"/>
      <c r="C56" s="12" t="s">
        <v>25</v>
      </c>
      <c r="D56" s="12"/>
      <c r="E56" s="32">
        <v>46862</v>
      </c>
      <c r="G56" s="8">
        <v>1754967</v>
      </c>
      <c r="I56" s="8">
        <v>34180</v>
      </c>
      <c r="K56" s="3">
        <f t="shared" si="0"/>
        <v>6877852</v>
      </c>
      <c r="M56" s="8">
        <v>8666999</v>
      </c>
      <c r="O56" s="3">
        <f t="shared" si="1"/>
        <v>1548318</v>
      </c>
      <c r="Q56" s="8">
        <v>4872513</v>
      </c>
      <c r="S56" s="8">
        <v>6420831</v>
      </c>
      <c r="U56" s="8">
        <f>49835+619009+41303+27905+6275</f>
        <v>744327</v>
      </c>
      <c r="W56" s="8">
        <v>0</v>
      </c>
      <c r="Y56" s="8">
        <v>1501841</v>
      </c>
      <c r="AA56" s="14">
        <f t="shared" si="2"/>
        <v>2246168</v>
      </c>
      <c r="AB56" s="8"/>
      <c r="AC56" s="8">
        <f t="shared" si="3"/>
        <v>0</v>
      </c>
    </row>
    <row r="57" spans="1:34">
      <c r="A57" s="12" t="s">
        <v>680</v>
      </c>
      <c r="B57" s="12"/>
      <c r="C57" s="12" t="s">
        <v>64</v>
      </c>
      <c r="D57" s="12"/>
      <c r="E57" s="32">
        <v>50096</v>
      </c>
      <c r="G57" s="8">
        <v>800659</v>
      </c>
      <c r="I57" s="8">
        <v>16949</v>
      </c>
      <c r="K57" s="3">
        <f t="shared" si="0"/>
        <v>1119165</v>
      </c>
      <c r="M57" s="8">
        <v>1936773</v>
      </c>
      <c r="O57" s="3">
        <f t="shared" si="1"/>
        <v>1258013</v>
      </c>
      <c r="Q57" s="8">
        <v>141309</v>
      </c>
      <c r="S57" s="8">
        <v>1399322</v>
      </c>
      <c r="U57" s="8">
        <f>6390+4856+8677+13233+3716</f>
        <v>36872</v>
      </c>
      <c r="W57" s="8">
        <v>0</v>
      </c>
      <c r="Y57" s="8">
        <v>500579</v>
      </c>
      <c r="AA57" s="14">
        <f t="shared" si="2"/>
        <v>537451</v>
      </c>
      <c r="AB57" s="8"/>
      <c r="AC57" s="8">
        <f t="shared" si="3"/>
        <v>0</v>
      </c>
    </row>
    <row r="58" spans="1:34" hidden="1">
      <c r="A58" s="12" t="s">
        <v>916</v>
      </c>
      <c r="B58" s="12"/>
      <c r="C58" s="12" t="s">
        <v>10</v>
      </c>
      <c r="D58" s="12"/>
      <c r="E58" s="32">
        <v>49593</v>
      </c>
      <c r="K58" s="3">
        <f>+M58-I58-G58</f>
        <v>0</v>
      </c>
      <c r="O58" s="3">
        <f>+S58-Q58</f>
        <v>0</v>
      </c>
      <c r="AA58" s="14">
        <f>+Y58+W58++U58</f>
        <v>0</v>
      </c>
      <c r="AB58" s="8"/>
      <c r="AC58" s="8">
        <f>+G58+I58+K58-O58-Q58-Y58-W58-U58</f>
        <v>0</v>
      </c>
      <c r="AE58" s="10" t="s">
        <v>917</v>
      </c>
    </row>
    <row r="59" spans="1:34">
      <c r="A59" s="12" t="s">
        <v>631</v>
      </c>
      <c r="B59" s="12"/>
      <c r="C59" s="12" t="s">
        <v>59</v>
      </c>
      <c r="D59" s="12"/>
      <c r="E59" s="32">
        <v>49593</v>
      </c>
      <c r="G59" s="8">
        <v>828833</v>
      </c>
      <c r="I59" s="8">
        <v>112838</v>
      </c>
      <c r="K59" s="3">
        <f t="shared" si="0"/>
        <v>1247079</v>
      </c>
      <c r="M59" s="8">
        <v>2188750</v>
      </c>
      <c r="O59" s="3">
        <f t="shared" si="1"/>
        <v>1953748</v>
      </c>
      <c r="Q59" s="8">
        <v>117056</v>
      </c>
      <c r="S59" s="8">
        <v>2070804</v>
      </c>
      <c r="U59" s="8">
        <f>69744+43419+14353+84734+10723+3028</f>
        <v>226001</v>
      </c>
      <c r="W59" s="8">
        <v>-108055</v>
      </c>
      <c r="Y59" s="8">
        <v>0</v>
      </c>
      <c r="AA59" s="14">
        <f t="shared" si="2"/>
        <v>117946</v>
      </c>
      <c r="AB59" s="8"/>
      <c r="AC59" s="8">
        <f t="shared" si="3"/>
        <v>0</v>
      </c>
    </row>
    <row r="60" spans="1:34">
      <c r="A60" s="12" t="s">
        <v>515</v>
      </c>
      <c r="B60" s="12"/>
      <c r="C60" s="12" t="s">
        <v>45</v>
      </c>
      <c r="D60" s="12"/>
      <c r="E60" s="32">
        <v>48306</v>
      </c>
      <c r="G60" s="8">
        <v>12905853</v>
      </c>
      <c r="I60" s="8">
        <v>696775</v>
      </c>
      <c r="K60" s="3">
        <f t="shared" si="0"/>
        <v>29095647</v>
      </c>
      <c r="M60" s="8">
        <v>42698275</v>
      </c>
      <c r="O60" s="3">
        <f t="shared" si="1"/>
        <v>5144675</v>
      </c>
      <c r="Q60" s="8">
        <v>28918916</v>
      </c>
      <c r="S60" s="8">
        <v>34063591</v>
      </c>
      <c r="U60" s="8">
        <f>158464+462877+233898</f>
        <v>855239</v>
      </c>
      <c r="W60" s="8">
        <v>0</v>
      </c>
      <c r="Y60" s="8">
        <v>7779445</v>
      </c>
      <c r="AA60" s="14">
        <f t="shared" si="2"/>
        <v>8634684</v>
      </c>
      <c r="AB60" s="8"/>
      <c r="AC60" s="8">
        <f t="shared" si="3"/>
        <v>0</v>
      </c>
    </row>
    <row r="61" spans="1:34">
      <c r="A61" s="12" t="s">
        <v>647</v>
      </c>
      <c r="B61" s="12"/>
      <c r="C61" s="12" t="s">
        <v>61</v>
      </c>
      <c r="D61" s="12"/>
      <c r="E61" s="32">
        <v>49767</v>
      </c>
      <c r="G61" s="8">
        <v>714698</v>
      </c>
      <c r="I61" s="8">
        <v>33355</v>
      </c>
      <c r="K61" s="3">
        <f t="shared" si="0"/>
        <v>884158</v>
      </c>
      <c r="M61" s="8">
        <v>1632211</v>
      </c>
      <c r="O61" s="3">
        <f t="shared" si="1"/>
        <v>447594</v>
      </c>
      <c r="Q61" s="8">
        <v>786519</v>
      </c>
      <c r="S61" s="8">
        <v>1234113</v>
      </c>
      <c r="U61" s="8">
        <f>647+53465+33355</f>
        <v>87467</v>
      </c>
      <c r="W61" s="8">
        <v>0</v>
      </c>
      <c r="Y61" s="8">
        <v>310631</v>
      </c>
      <c r="AA61" s="14">
        <f t="shared" si="2"/>
        <v>398098</v>
      </c>
      <c r="AB61" s="8"/>
      <c r="AC61" s="8">
        <f t="shared" si="3"/>
        <v>0</v>
      </c>
    </row>
    <row r="62" spans="1:34">
      <c r="A62" s="12" t="s">
        <v>739</v>
      </c>
      <c r="B62" s="12"/>
      <c r="C62" s="12" t="s">
        <v>72</v>
      </c>
      <c r="D62" s="12"/>
      <c r="E62" s="32">
        <v>43638</v>
      </c>
      <c r="G62" s="8">
        <v>3170199</v>
      </c>
      <c r="I62" s="8">
        <v>0</v>
      </c>
      <c r="K62" s="3">
        <f t="shared" si="0"/>
        <v>22004693</v>
      </c>
      <c r="M62" s="8">
        <v>25174892</v>
      </c>
      <c r="O62" s="3">
        <f t="shared" si="1"/>
        <v>3006360</v>
      </c>
      <c r="Q62" s="8">
        <v>12850326</v>
      </c>
      <c r="S62" s="8">
        <v>15856686</v>
      </c>
      <c r="U62" s="8">
        <f>113518+67866+93745+2394987</f>
        <v>2670116</v>
      </c>
      <c r="W62" s="8">
        <v>0</v>
      </c>
      <c r="Y62" s="8">
        <v>6648090</v>
      </c>
      <c r="AA62" s="14">
        <f t="shared" si="2"/>
        <v>9318206</v>
      </c>
      <c r="AB62" s="8"/>
      <c r="AC62" s="8">
        <f t="shared" si="3"/>
        <v>0</v>
      </c>
    </row>
    <row r="63" spans="1:34" hidden="1">
      <c r="A63" s="12" t="s">
        <v>922</v>
      </c>
      <c r="B63" s="12"/>
      <c r="C63" s="12" t="s">
        <v>48</v>
      </c>
      <c r="D63" s="12"/>
      <c r="E63" s="32">
        <v>43646</v>
      </c>
      <c r="G63" s="8">
        <v>0</v>
      </c>
      <c r="I63" s="8">
        <v>0</v>
      </c>
      <c r="K63" s="3">
        <f>+M63-I63-G63</f>
        <v>0</v>
      </c>
      <c r="M63" s="8">
        <v>0</v>
      </c>
      <c r="O63" s="3">
        <f>+S63-Q63</f>
        <v>0</v>
      </c>
      <c r="Q63" s="8">
        <v>0</v>
      </c>
      <c r="S63" s="8">
        <v>0</v>
      </c>
      <c r="U63" s="8">
        <v>0</v>
      </c>
      <c r="W63" s="8">
        <v>0</v>
      </c>
      <c r="Y63" s="8">
        <v>0</v>
      </c>
      <c r="AA63" s="14">
        <f>+Y63+W63++U63</f>
        <v>0</v>
      </c>
      <c r="AB63" s="8"/>
      <c r="AC63" s="8">
        <f>+G63+I63+K63-O63-Q63-Y63-W63-U63</f>
        <v>0</v>
      </c>
      <c r="AH63" s="10" t="s">
        <v>917</v>
      </c>
    </row>
    <row r="64" spans="1:34">
      <c r="A64" s="12" t="s">
        <v>984</v>
      </c>
      <c r="B64" s="12"/>
      <c r="C64" s="12" t="s">
        <v>20</v>
      </c>
      <c r="D64" s="12"/>
      <c r="E64" s="32">
        <v>43646</v>
      </c>
      <c r="G64" s="8">
        <v>15481848</v>
      </c>
      <c r="I64" s="8">
        <v>0</v>
      </c>
      <c r="K64" s="3">
        <f t="shared" si="0"/>
        <v>35486771</v>
      </c>
      <c r="M64" s="8">
        <v>50968619</v>
      </c>
      <c r="O64" s="3">
        <f t="shared" si="1"/>
        <v>5981519</v>
      </c>
      <c r="Q64" s="8">
        <v>28476634</v>
      </c>
      <c r="S64" s="8">
        <v>34458153</v>
      </c>
      <c r="U64" s="8">
        <f>163343+6805094</f>
        <v>6968437</v>
      </c>
      <c r="W64" s="8">
        <v>0</v>
      </c>
      <c r="Y64" s="8">
        <v>9542029</v>
      </c>
      <c r="AA64" s="14">
        <f t="shared" si="2"/>
        <v>16510466</v>
      </c>
      <c r="AB64" s="8"/>
      <c r="AC64" s="8">
        <f t="shared" si="3"/>
        <v>0</v>
      </c>
    </row>
    <row r="65" spans="1:31">
      <c r="A65" s="12" t="s">
        <v>235</v>
      </c>
      <c r="B65" s="12"/>
      <c r="C65" s="12" t="s">
        <v>15</v>
      </c>
      <c r="D65" s="12"/>
      <c r="E65" s="32">
        <v>45237</v>
      </c>
      <c r="G65" s="8">
        <v>247601</v>
      </c>
      <c r="I65" s="8">
        <v>31648</v>
      </c>
      <c r="K65" s="3">
        <f t="shared" si="0"/>
        <v>1607734</v>
      </c>
      <c r="M65" s="8">
        <v>1886983</v>
      </c>
      <c r="O65" s="3">
        <f t="shared" si="1"/>
        <v>1981928</v>
      </c>
      <c r="Q65" s="8">
        <v>259759</v>
      </c>
      <c r="S65" s="8">
        <v>2241687</v>
      </c>
      <c r="U65" s="8">
        <f>84965+17723+2466+160869+31648</f>
        <v>297671</v>
      </c>
      <c r="W65" s="8">
        <v>0</v>
      </c>
      <c r="Y65" s="8">
        <v>-652375</v>
      </c>
      <c r="AA65" s="14">
        <f t="shared" si="2"/>
        <v>-354704</v>
      </c>
      <c r="AB65" s="8"/>
      <c r="AC65" s="8">
        <f t="shared" si="3"/>
        <v>0</v>
      </c>
    </row>
    <row r="66" spans="1:31">
      <c r="A66" s="12" t="s">
        <v>439</v>
      </c>
      <c r="B66" s="12"/>
      <c r="C66" s="12" t="s">
        <v>440</v>
      </c>
      <c r="D66" s="12"/>
      <c r="E66" s="32">
        <v>47613</v>
      </c>
      <c r="G66" s="8">
        <v>1940900</v>
      </c>
      <c r="I66" s="8">
        <v>31332</v>
      </c>
      <c r="K66" s="3">
        <f t="shared" si="0"/>
        <v>1429791</v>
      </c>
      <c r="M66" s="8">
        <v>3402023</v>
      </c>
      <c r="O66" s="3">
        <f t="shared" si="1"/>
        <v>844744</v>
      </c>
      <c r="Q66" s="8">
        <v>1390707</v>
      </c>
      <c r="S66" s="8">
        <v>2235451</v>
      </c>
      <c r="U66" s="8">
        <f>226968+39084+22449+8883</f>
        <v>297384</v>
      </c>
      <c r="W66" s="8">
        <v>0</v>
      </c>
      <c r="Y66" s="8">
        <v>869188</v>
      </c>
      <c r="AA66" s="14">
        <f t="shared" si="2"/>
        <v>1166572</v>
      </c>
      <c r="AB66" s="8"/>
      <c r="AC66" s="8">
        <f t="shared" si="3"/>
        <v>0</v>
      </c>
    </row>
    <row r="67" spans="1:31">
      <c r="A67" s="12" t="s">
        <v>681</v>
      </c>
      <c r="B67" s="12"/>
      <c r="C67" s="12" t="s">
        <v>64</v>
      </c>
      <c r="D67" s="12"/>
      <c r="E67" s="32">
        <v>50112</v>
      </c>
      <c r="G67" s="8">
        <v>1330838</v>
      </c>
      <c r="I67" s="8">
        <v>150921</v>
      </c>
      <c r="K67" s="3">
        <f t="shared" si="0"/>
        <v>1796439</v>
      </c>
      <c r="M67" s="8">
        <v>3278198</v>
      </c>
      <c r="O67" s="3">
        <f t="shared" si="1"/>
        <v>2140395</v>
      </c>
      <c r="Q67" s="8">
        <v>184188</v>
      </c>
      <c r="S67" s="8">
        <v>2324583</v>
      </c>
      <c r="U67" s="8">
        <f>5379+6177+6739+150921</f>
        <v>169216</v>
      </c>
      <c r="W67" s="8">
        <v>0</v>
      </c>
      <c r="Y67" s="8">
        <v>784399</v>
      </c>
      <c r="AA67" s="14">
        <f t="shared" si="2"/>
        <v>953615</v>
      </c>
      <c r="AB67" s="8"/>
      <c r="AC67" s="8">
        <f t="shared" si="3"/>
        <v>0</v>
      </c>
    </row>
    <row r="68" spans="1:31">
      <c r="A68" s="12" t="s">
        <v>682</v>
      </c>
      <c r="B68" s="12"/>
      <c r="C68" s="12" t="s">
        <v>64</v>
      </c>
      <c r="D68" s="12"/>
      <c r="E68" s="32">
        <v>50120</v>
      </c>
      <c r="G68" s="8">
        <v>45880</v>
      </c>
      <c r="I68" s="8">
        <v>0</v>
      </c>
      <c r="K68" s="3">
        <f t="shared" si="0"/>
        <v>3720359</v>
      </c>
      <c r="M68" s="8">
        <v>3766239</v>
      </c>
      <c r="O68" s="3">
        <f t="shared" si="1"/>
        <v>3959636</v>
      </c>
      <c r="Q68" s="8">
        <v>630250</v>
      </c>
      <c r="S68" s="8">
        <v>4589886</v>
      </c>
      <c r="U68" s="8">
        <v>11374</v>
      </c>
      <c r="W68" s="8">
        <v>0</v>
      </c>
      <c r="Y68" s="8">
        <v>-835021</v>
      </c>
      <c r="AA68" s="14">
        <f t="shared" si="2"/>
        <v>-823647</v>
      </c>
      <c r="AB68" s="8"/>
      <c r="AC68" s="8">
        <f t="shared" si="3"/>
        <v>0</v>
      </c>
    </row>
    <row r="69" spans="1:31">
      <c r="A69" s="12" t="s">
        <v>305</v>
      </c>
      <c r="B69" s="12"/>
      <c r="C69" s="12" t="s">
        <v>20</v>
      </c>
      <c r="D69" s="12"/>
      <c r="E69" s="32">
        <v>43653</v>
      </c>
      <c r="G69" s="8">
        <v>703826</v>
      </c>
      <c r="I69" s="8">
        <v>10783</v>
      </c>
      <c r="K69" s="3">
        <f t="shared" si="0"/>
        <v>10910406</v>
      </c>
      <c r="M69" s="8">
        <v>11625015</v>
      </c>
      <c r="O69" s="3">
        <f t="shared" si="1"/>
        <v>1577098</v>
      </c>
      <c r="Q69" s="8">
        <v>9301962</v>
      </c>
      <c r="S69" s="8">
        <v>10879060</v>
      </c>
      <c r="U69" s="8">
        <f>1515612+10783</f>
        <v>1526395</v>
      </c>
      <c r="W69" s="8">
        <v>0</v>
      </c>
      <c r="Y69" s="8">
        <v>-780440</v>
      </c>
      <c r="AA69" s="14">
        <f t="shared" si="2"/>
        <v>745955</v>
      </c>
      <c r="AB69" s="8"/>
      <c r="AC69" s="8">
        <f t="shared" si="3"/>
        <v>0</v>
      </c>
    </row>
    <row r="70" spans="1:31">
      <c r="A70" s="12" t="s">
        <v>552</v>
      </c>
      <c r="B70" s="12"/>
      <c r="C70" s="12" t="s">
        <v>50</v>
      </c>
      <c r="D70" s="12"/>
      <c r="E70" s="32">
        <v>48678</v>
      </c>
      <c r="G70" s="8">
        <v>3087491</v>
      </c>
      <c r="I70" s="8">
        <v>287510</v>
      </c>
      <c r="K70" s="3">
        <f t="shared" si="0"/>
        <v>4464146</v>
      </c>
      <c r="M70" s="8">
        <v>7839147</v>
      </c>
      <c r="O70" s="3">
        <f t="shared" si="1"/>
        <v>1265848</v>
      </c>
      <c r="Q70" s="8">
        <v>4024984</v>
      </c>
      <c r="S70" s="8">
        <v>5290832</v>
      </c>
      <c r="U70" s="8">
        <f>161190+89592+343537+287510</f>
        <v>881829</v>
      </c>
      <c r="W70" s="8">
        <v>0</v>
      </c>
      <c r="Y70" s="8">
        <v>1666486</v>
      </c>
      <c r="AA70" s="14">
        <f t="shared" si="2"/>
        <v>2548315</v>
      </c>
      <c r="AB70" s="8"/>
      <c r="AC70" s="8">
        <f t="shared" si="3"/>
        <v>0</v>
      </c>
    </row>
    <row r="71" spans="1:31">
      <c r="A71" s="12" t="s">
        <v>256</v>
      </c>
      <c r="B71" s="12"/>
      <c r="C71" s="12" t="s">
        <v>16</v>
      </c>
      <c r="D71" s="12"/>
      <c r="E71" s="32">
        <v>46177</v>
      </c>
      <c r="G71" s="8">
        <v>1376604</v>
      </c>
      <c r="I71" s="8">
        <v>5032</v>
      </c>
      <c r="K71" s="3">
        <f t="shared" si="0"/>
        <v>2165478</v>
      </c>
      <c r="M71" s="8">
        <v>3547114</v>
      </c>
      <c r="O71" s="3">
        <f t="shared" si="1"/>
        <v>1858967</v>
      </c>
      <c r="Q71" s="8">
        <v>94677</v>
      </c>
      <c r="S71" s="8">
        <v>1953644</v>
      </c>
      <c r="U71" s="8">
        <f>132960+913755+5032</f>
        <v>1051747</v>
      </c>
      <c r="W71" s="8">
        <v>0</v>
      </c>
      <c r="Y71" s="8">
        <v>541723</v>
      </c>
      <c r="AA71" s="14">
        <f t="shared" si="2"/>
        <v>1593470</v>
      </c>
      <c r="AB71" s="8"/>
      <c r="AC71" s="8">
        <f t="shared" si="3"/>
        <v>0</v>
      </c>
    </row>
    <row r="72" spans="1:31">
      <c r="A72" s="12" t="s">
        <v>532</v>
      </c>
      <c r="B72" s="12"/>
      <c r="C72" s="12" t="s">
        <v>47</v>
      </c>
      <c r="D72" s="12"/>
      <c r="E72" s="32">
        <v>43661</v>
      </c>
      <c r="G72" s="8">
        <v>5963228</v>
      </c>
      <c r="I72" s="8">
        <v>1131915</v>
      </c>
      <c r="K72" s="3">
        <f t="shared" si="0"/>
        <v>35584312</v>
      </c>
      <c r="M72" s="8">
        <v>42679455</v>
      </c>
      <c r="O72" s="3">
        <f t="shared" si="1"/>
        <v>7320964</v>
      </c>
      <c r="Q72" s="8">
        <v>34633816</v>
      </c>
      <c r="S72" s="8">
        <v>41954780</v>
      </c>
      <c r="U72" s="8">
        <f>786957+4637+773270+1131915</f>
        <v>2696779</v>
      </c>
      <c r="W72" s="8">
        <v>0</v>
      </c>
      <c r="Y72" s="8">
        <v>-1972104</v>
      </c>
      <c r="AA72" s="14">
        <f t="shared" si="2"/>
        <v>724675</v>
      </c>
      <c r="AB72" s="8"/>
      <c r="AC72" s="8">
        <f t="shared" si="3"/>
        <v>0</v>
      </c>
    </row>
    <row r="73" spans="1:31" hidden="1">
      <c r="A73" s="12" t="s">
        <v>732</v>
      </c>
      <c r="B73" s="12"/>
      <c r="C73" s="12" t="s">
        <v>733</v>
      </c>
      <c r="D73" s="12"/>
      <c r="E73" s="32">
        <v>43679</v>
      </c>
      <c r="K73" s="3">
        <f t="shared" si="0"/>
        <v>0</v>
      </c>
      <c r="O73" s="3">
        <f t="shared" si="1"/>
        <v>0</v>
      </c>
      <c r="W73" s="8">
        <v>0</v>
      </c>
      <c r="AA73" s="14">
        <f t="shared" si="2"/>
        <v>0</v>
      </c>
      <c r="AB73" s="8"/>
      <c r="AC73" s="8">
        <f t="shared" si="3"/>
        <v>0</v>
      </c>
      <c r="AE73" s="10" t="s">
        <v>917</v>
      </c>
    </row>
    <row r="74" spans="1:31">
      <c r="A74" s="12" t="s">
        <v>294</v>
      </c>
      <c r="B74" s="12"/>
      <c r="C74" s="12" t="s">
        <v>114</v>
      </c>
      <c r="D74" s="12"/>
      <c r="E74" s="32">
        <v>46508</v>
      </c>
      <c r="G74" s="8">
        <v>1865815</v>
      </c>
      <c r="I74" s="8">
        <v>9565</v>
      </c>
      <c r="K74" s="3">
        <f t="shared" si="0"/>
        <v>3952425</v>
      </c>
      <c r="M74" s="8">
        <v>5827805</v>
      </c>
      <c r="O74" s="3">
        <f t="shared" si="1"/>
        <v>3700411</v>
      </c>
      <c r="Q74" s="8">
        <v>60524</v>
      </c>
      <c r="S74" s="8">
        <v>3760935</v>
      </c>
      <c r="U74" s="8">
        <f>95643+12996+12648+490995+9565</f>
        <v>621847</v>
      </c>
      <c r="W74" s="8">
        <v>0</v>
      </c>
      <c r="Y74" s="8">
        <v>1445023</v>
      </c>
      <c r="AA74" s="14">
        <f t="shared" si="2"/>
        <v>2066870</v>
      </c>
      <c r="AB74" s="8"/>
      <c r="AC74" s="8">
        <f t="shared" si="3"/>
        <v>0</v>
      </c>
    </row>
    <row r="75" spans="1:31">
      <c r="A75" s="12" t="s">
        <v>219</v>
      </c>
      <c r="B75" s="12"/>
      <c r="C75" s="12" t="s">
        <v>12</v>
      </c>
      <c r="D75" s="12"/>
      <c r="E75" s="32">
        <v>45856</v>
      </c>
      <c r="G75" s="8">
        <v>3921208</v>
      </c>
      <c r="I75" s="8">
        <v>0</v>
      </c>
      <c r="K75" s="3">
        <f t="shared" si="0"/>
        <v>8332614</v>
      </c>
      <c r="M75" s="8">
        <v>12253822</v>
      </c>
      <c r="O75" s="3">
        <f t="shared" si="1"/>
        <v>2853064</v>
      </c>
      <c r="Q75" s="8">
        <v>5149327</v>
      </c>
      <c r="S75" s="8">
        <v>8002391</v>
      </c>
      <c r="U75" s="8">
        <f>91355+2930743</f>
        <v>3022098</v>
      </c>
      <c r="W75" s="8">
        <v>0</v>
      </c>
      <c r="Y75" s="8">
        <v>1229333</v>
      </c>
      <c r="AA75" s="14">
        <f t="shared" si="2"/>
        <v>4251431</v>
      </c>
      <c r="AB75" s="8"/>
      <c r="AC75" s="8">
        <f t="shared" si="3"/>
        <v>0</v>
      </c>
    </row>
    <row r="76" spans="1:31">
      <c r="A76" s="12" t="s">
        <v>219</v>
      </c>
      <c r="B76" s="12"/>
      <c r="C76" s="12" t="s">
        <v>39</v>
      </c>
      <c r="D76" s="12"/>
      <c r="E76" s="32">
        <v>47787</v>
      </c>
      <c r="G76" s="8">
        <v>739119</v>
      </c>
      <c r="I76" s="8">
        <v>118634</v>
      </c>
      <c r="K76" s="3">
        <f t="shared" si="0"/>
        <v>6472569</v>
      </c>
      <c r="M76" s="8">
        <v>7330322</v>
      </c>
      <c r="O76" s="3">
        <f t="shared" si="1"/>
        <v>2084542</v>
      </c>
      <c r="Q76" s="8">
        <v>5978864</v>
      </c>
      <c r="S76" s="8">
        <v>8063406</v>
      </c>
      <c r="U76" s="8">
        <f>436+300873+115961+2673</f>
        <v>419943</v>
      </c>
      <c r="W76" s="8">
        <v>0</v>
      </c>
      <c r="Y76" s="8">
        <f>0-1153027</f>
        <v>-1153027</v>
      </c>
      <c r="AA76" s="14">
        <f t="shared" si="2"/>
        <v>-733084</v>
      </c>
      <c r="AB76" s="8"/>
      <c r="AC76" s="8">
        <f t="shared" si="3"/>
        <v>0</v>
      </c>
    </row>
    <row r="77" spans="1:31" hidden="1">
      <c r="A77" s="12" t="s">
        <v>219</v>
      </c>
      <c r="B77" s="12"/>
      <c r="C77" s="12" t="s">
        <v>47</v>
      </c>
      <c r="D77" s="12"/>
      <c r="E77" s="32">
        <v>48470</v>
      </c>
      <c r="K77" s="3">
        <f t="shared" ref="K77:K86" si="4">+M77-I77-G77</f>
        <v>0</v>
      </c>
      <c r="O77" s="3">
        <f t="shared" ref="O77:O86" si="5">+S77-Q77</f>
        <v>0</v>
      </c>
      <c r="AA77" s="14">
        <f t="shared" ref="AA77:AA86" si="6">+Y77+W77++U77</f>
        <v>0</v>
      </c>
      <c r="AB77" s="8"/>
      <c r="AC77" s="8">
        <f t="shared" ref="AC77:AC86" si="7">+G77+I77+K77-O77-Q77-Y77-W77-U77</f>
        <v>0</v>
      </c>
    </row>
    <row r="78" spans="1:31" hidden="1">
      <c r="A78" s="12" t="s">
        <v>918</v>
      </c>
      <c r="B78" s="12"/>
      <c r="C78" s="12" t="s">
        <v>115</v>
      </c>
      <c r="D78" s="12"/>
      <c r="E78" s="32">
        <v>46755</v>
      </c>
      <c r="K78" s="3">
        <f t="shared" si="4"/>
        <v>0</v>
      </c>
      <c r="O78" s="3">
        <f t="shared" si="5"/>
        <v>0</v>
      </c>
      <c r="Q78" s="8">
        <v>0</v>
      </c>
      <c r="S78" s="8">
        <v>0</v>
      </c>
      <c r="W78" s="8">
        <v>0</v>
      </c>
      <c r="AA78" s="14">
        <f t="shared" si="6"/>
        <v>0</v>
      </c>
      <c r="AB78" s="8"/>
      <c r="AC78" s="8">
        <f t="shared" si="7"/>
        <v>0</v>
      </c>
      <c r="AE78" s="10" t="s">
        <v>926</v>
      </c>
    </row>
    <row r="79" spans="1:31">
      <c r="A79" s="12" t="s">
        <v>337</v>
      </c>
      <c r="B79" s="12"/>
      <c r="C79" s="12" t="s">
        <v>23</v>
      </c>
      <c r="D79" s="12"/>
      <c r="E79" s="32">
        <v>46755</v>
      </c>
      <c r="G79" s="8">
        <v>3522072</v>
      </c>
      <c r="I79" s="8">
        <v>0</v>
      </c>
      <c r="K79" s="3">
        <f t="shared" si="4"/>
        <v>10998910</v>
      </c>
      <c r="M79" s="8">
        <v>14520982</v>
      </c>
      <c r="O79" s="3">
        <f t="shared" si="5"/>
        <v>9492803</v>
      </c>
      <c r="Q79" s="8">
        <v>457852</v>
      </c>
      <c r="S79" s="8">
        <v>9950655</v>
      </c>
      <c r="U79" s="8">
        <f>307041+15036+1463261+2654</f>
        <v>1787992</v>
      </c>
      <c r="W79" s="8">
        <v>0</v>
      </c>
      <c r="Y79" s="8">
        <v>2782335</v>
      </c>
      <c r="AA79" s="14">
        <f t="shared" si="6"/>
        <v>4570327</v>
      </c>
      <c r="AB79" s="8"/>
      <c r="AC79" s="8">
        <f t="shared" si="7"/>
        <v>0</v>
      </c>
    </row>
    <row r="80" spans="1:31">
      <c r="A80" s="12" t="s">
        <v>295</v>
      </c>
      <c r="B80" s="12"/>
      <c r="C80" s="12" t="s">
        <v>114</v>
      </c>
      <c r="D80" s="12"/>
      <c r="E80" s="32">
        <v>43687</v>
      </c>
      <c r="G80" s="8">
        <v>5822994</v>
      </c>
      <c r="I80" s="8">
        <v>142463</v>
      </c>
      <c r="K80" s="3">
        <f t="shared" si="4"/>
        <v>5493667</v>
      </c>
      <c r="M80" s="8">
        <v>11459124</v>
      </c>
      <c r="O80" s="3">
        <f t="shared" si="5"/>
        <v>4885967</v>
      </c>
      <c r="Q80" s="8">
        <v>525453</v>
      </c>
      <c r="S80" s="8">
        <v>5411420</v>
      </c>
      <c r="U80" s="8">
        <f>196403+1745390+20570+69721+72742</f>
        <v>2104826</v>
      </c>
      <c r="W80" s="8">
        <v>0</v>
      </c>
      <c r="Y80" s="8">
        <v>3942878</v>
      </c>
      <c r="AA80" s="14">
        <f t="shared" si="6"/>
        <v>6047704</v>
      </c>
      <c r="AB80" s="8"/>
      <c r="AC80" s="8">
        <f t="shared" si="7"/>
        <v>0</v>
      </c>
    </row>
    <row r="81" spans="1:29">
      <c r="A81" s="12" t="s">
        <v>577</v>
      </c>
      <c r="B81" s="12"/>
      <c r="C81" s="12" t="s">
        <v>52</v>
      </c>
      <c r="D81" s="12"/>
      <c r="E81" s="32">
        <v>45252</v>
      </c>
      <c r="G81" s="8">
        <v>718650</v>
      </c>
      <c r="I81" s="8">
        <v>0</v>
      </c>
      <c r="K81" s="3">
        <f t="shared" si="4"/>
        <v>2358005</v>
      </c>
      <c r="M81" s="8">
        <v>3076655</v>
      </c>
      <c r="O81" s="3">
        <f t="shared" si="5"/>
        <v>984140</v>
      </c>
      <c r="Q81" s="8">
        <v>1971361</v>
      </c>
      <c r="S81" s="8">
        <v>2955501</v>
      </c>
      <c r="U81" s="8">
        <f>264311+756+28284+32410+29473+272285</f>
        <v>627519</v>
      </c>
      <c r="W81" s="8">
        <v>40000</v>
      </c>
      <c r="Y81" s="8">
        <v>-546365</v>
      </c>
      <c r="AA81" s="14">
        <f t="shared" si="6"/>
        <v>121154</v>
      </c>
      <c r="AB81" s="8"/>
      <c r="AC81" s="8">
        <f t="shared" si="7"/>
        <v>0</v>
      </c>
    </row>
    <row r="82" spans="1:29">
      <c r="A82" s="12" t="s">
        <v>393</v>
      </c>
      <c r="B82" s="12"/>
      <c r="C82" s="12" t="s">
        <v>31</v>
      </c>
      <c r="D82" s="12"/>
      <c r="E82" s="32">
        <v>43695</v>
      </c>
      <c r="G82" s="8">
        <f>358645+14479</f>
        <v>373124</v>
      </c>
      <c r="I82" s="8">
        <v>0</v>
      </c>
      <c r="K82" s="3">
        <f t="shared" si="4"/>
        <v>6747492</v>
      </c>
      <c r="M82" s="8">
        <v>7120616</v>
      </c>
      <c r="O82" s="3">
        <f t="shared" si="5"/>
        <v>2244406</v>
      </c>
      <c r="Q82" s="8">
        <v>4776045</v>
      </c>
      <c r="S82" s="8">
        <v>7020451</v>
      </c>
      <c r="U82" s="8">
        <f>233735+1625664+53545+164320</f>
        <v>2077264</v>
      </c>
      <c r="W82" s="8">
        <v>0</v>
      </c>
      <c r="Y82" s="8">
        <v>-1977099</v>
      </c>
      <c r="AA82" s="14">
        <f t="shared" si="6"/>
        <v>100165</v>
      </c>
      <c r="AB82" s="8"/>
      <c r="AC82" s="8">
        <f t="shared" si="7"/>
        <v>0</v>
      </c>
    </row>
    <row r="83" spans="1:29" hidden="1">
      <c r="A83" s="12" t="s">
        <v>516</v>
      </c>
      <c r="B83" s="12"/>
      <c r="C83" s="12" t="s">
        <v>45</v>
      </c>
      <c r="D83" s="12"/>
      <c r="E83" s="32">
        <v>43703</v>
      </c>
      <c r="K83" s="3">
        <f t="shared" si="4"/>
        <v>0</v>
      </c>
      <c r="O83" s="3">
        <f t="shared" si="5"/>
        <v>0</v>
      </c>
      <c r="AA83" s="14">
        <f t="shared" si="6"/>
        <v>0</v>
      </c>
      <c r="AB83" s="8"/>
      <c r="AC83" s="8">
        <f t="shared" si="7"/>
        <v>0</v>
      </c>
    </row>
    <row r="84" spans="1:29">
      <c r="A84" s="12" t="s">
        <v>357</v>
      </c>
      <c r="B84" s="12"/>
      <c r="C84" s="12" t="s">
        <v>27</v>
      </c>
      <c r="D84" s="12"/>
      <c r="E84" s="32">
        <v>46946</v>
      </c>
      <c r="G84" s="8">
        <v>4340845</v>
      </c>
      <c r="I84" s="8">
        <v>0</v>
      </c>
      <c r="K84" s="3">
        <f t="shared" si="4"/>
        <v>12547049</v>
      </c>
      <c r="M84" s="8">
        <v>16887894</v>
      </c>
      <c r="O84" s="3">
        <f t="shared" si="5"/>
        <v>4171547</v>
      </c>
      <c r="Q84" s="8">
        <f>880108+7162593</f>
        <v>8042701</v>
      </c>
      <c r="S84" s="8">
        <v>12214248</v>
      </c>
      <c r="U84" s="8">
        <f>471488+2975417</f>
        <v>3446905</v>
      </c>
      <c r="W84" s="8">
        <v>0</v>
      </c>
      <c r="Y84" s="8">
        <v>1226741</v>
      </c>
      <c r="AA84" s="14">
        <f t="shared" si="6"/>
        <v>4673646</v>
      </c>
      <c r="AB84" s="8"/>
      <c r="AC84" s="8">
        <f t="shared" si="7"/>
        <v>0</v>
      </c>
    </row>
    <row r="85" spans="1:29">
      <c r="A85" s="12" t="s">
        <v>517</v>
      </c>
      <c r="B85" s="12"/>
      <c r="C85" s="12" t="s">
        <v>45</v>
      </c>
      <c r="D85" s="12"/>
      <c r="E85" s="32">
        <v>48314</v>
      </c>
      <c r="G85" s="8">
        <v>6772769</v>
      </c>
      <c r="I85" s="8">
        <v>0</v>
      </c>
      <c r="K85" s="3">
        <f t="shared" si="4"/>
        <v>16183840</v>
      </c>
      <c r="M85" s="8">
        <v>22956609</v>
      </c>
      <c r="O85" s="3">
        <f t="shared" si="5"/>
        <v>2364343</v>
      </c>
      <c r="Q85" s="8">
        <v>15517788</v>
      </c>
      <c r="S85" s="8">
        <v>17882131</v>
      </c>
      <c r="U85" s="8">
        <f>8861+568988</f>
        <v>577849</v>
      </c>
      <c r="W85" s="8">
        <v>0</v>
      </c>
      <c r="Y85" s="8">
        <v>4496629</v>
      </c>
      <c r="AA85" s="14">
        <f t="shared" si="6"/>
        <v>5074478</v>
      </c>
      <c r="AB85" s="8"/>
      <c r="AC85" s="8">
        <f t="shared" si="7"/>
        <v>0</v>
      </c>
    </row>
    <row r="86" spans="1:29" s="8" customFormat="1">
      <c r="A86" s="13" t="s">
        <v>655</v>
      </c>
      <c r="B86" s="13"/>
      <c r="C86" s="13" t="s">
        <v>62</v>
      </c>
      <c r="D86" s="13"/>
      <c r="E86" s="13">
        <v>43711</v>
      </c>
      <c r="G86" s="8">
        <v>0</v>
      </c>
      <c r="I86" s="8">
        <v>0</v>
      </c>
      <c r="K86" s="3">
        <f t="shared" si="4"/>
        <v>11094902</v>
      </c>
      <c r="M86" s="8">
        <v>11094902</v>
      </c>
      <c r="O86" s="3">
        <f t="shared" si="5"/>
        <v>4160353</v>
      </c>
      <c r="Q86" s="8">
        <f>8374963+1984056</f>
        <v>10359019</v>
      </c>
      <c r="S86" s="8">
        <v>14519372</v>
      </c>
      <c r="U86" s="8">
        <f>48985+17059+317740</f>
        <v>383784</v>
      </c>
      <c r="W86" s="8">
        <v>0</v>
      </c>
      <c r="Y86" s="8">
        <v>-3808254</v>
      </c>
      <c r="AA86" s="14">
        <f t="shared" si="6"/>
        <v>-3424470</v>
      </c>
      <c r="AC86" s="8">
        <f t="shared" si="7"/>
        <v>0</v>
      </c>
    </row>
    <row r="87" spans="1:29" s="8" customFormat="1">
      <c r="A87" s="13" t="s">
        <v>654</v>
      </c>
      <c r="B87" s="13"/>
      <c r="C87" s="13" t="s">
        <v>62</v>
      </c>
      <c r="D87" s="13"/>
      <c r="E87" s="13">
        <v>49833</v>
      </c>
      <c r="G87" s="8">
        <v>7061</v>
      </c>
      <c r="I87" s="8">
        <v>0</v>
      </c>
      <c r="K87" s="3">
        <f t="shared" ref="K87:K147" si="8">+M87-I87-G87</f>
        <v>39115</v>
      </c>
      <c r="M87" s="8">
        <v>46176</v>
      </c>
      <c r="O87" s="3">
        <f t="shared" ref="O87:O148" si="9">+S87-Q87</f>
        <v>11090</v>
      </c>
      <c r="Q87" s="8">
        <f>5107+29293+452+2502</f>
        <v>37354</v>
      </c>
      <c r="S87" s="8">
        <v>48444</v>
      </c>
      <c r="U87" s="8">
        <f>2137+1186+228+1526+54+44</f>
        <v>5175</v>
      </c>
      <c r="W87" s="8">
        <v>0</v>
      </c>
      <c r="Y87" s="8">
        <v>-7443</v>
      </c>
      <c r="AA87" s="14">
        <f t="shared" ref="AA87:AA147" si="10">+Y87+W87++U87</f>
        <v>-2268</v>
      </c>
      <c r="AC87" s="8">
        <f t="shared" ref="AC87:AC145" si="11">+G87+I87+K87-O87-Q87-Y87-W87-U87</f>
        <v>0</v>
      </c>
    </row>
    <row r="88" spans="1:29">
      <c r="A88" s="12" t="s">
        <v>382</v>
      </c>
      <c r="B88" s="12"/>
      <c r="C88" s="12" t="s">
        <v>30</v>
      </c>
      <c r="D88" s="12"/>
      <c r="E88" s="32">
        <v>47175</v>
      </c>
      <c r="G88" s="8">
        <v>1753980</v>
      </c>
      <c r="I88" s="8">
        <v>0</v>
      </c>
      <c r="K88" s="3">
        <f t="shared" si="8"/>
        <v>7496232</v>
      </c>
      <c r="M88" s="8">
        <v>9250212</v>
      </c>
      <c r="O88" s="3">
        <f t="shared" si="9"/>
        <v>1611057</v>
      </c>
      <c r="Q88" s="8">
        <v>6052799</v>
      </c>
      <c r="S88" s="8">
        <v>7663856</v>
      </c>
      <c r="U88" s="8">
        <f>227566+720023+284735+235367</f>
        <v>1467691</v>
      </c>
      <c r="W88" s="8">
        <v>0</v>
      </c>
      <c r="Y88" s="8">
        <v>118665</v>
      </c>
      <c r="AA88" s="14">
        <f t="shared" si="10"/>
        <v>1586356</v>
      </c>
      <c r="AB88" s="8"/>
      <c r="AC88" s="8">
        <f t="shared" si="11"/>
        <v>0</v>
      </c>
    </row>
    <row r="89" spans="1:29">
      <c r="A89" s="12" t="s">
        <v>568</v>
      </c>
      <c r="B89" s="12"/>
      <c r="C89" s="12" t="s">
        <v>78</v>
      </c>
      <c r="D89" s="12"/>
      <c r="E89" s="32">
        <v>48793</v>
      </c>
      <c r="G89" s="8">
        <v>2453462</v>
      </c>
      <c r="I89" s="8">
        <v>0</v>
      </c>
      <c r="K89" s="3">
        <f t="shared" si="8"/>
        <v>2075640</v>
      </c>
      <c r="M89" s="8">
        <v>4529102</v>
      </c>
      <c r="O89" s="3">
        <f t="shared" si="9"/>
        <v>1039604</v>
      </c>
      <c r="Q89" s="8">
        <f>132677+1270191</f>
        <v>1402868</v>
      </c>
      <c r="S89" s="8">
        <v>2442472</v>
      </c>
      <c r="U89" s="8">
        <f>12247+12872+546809+28476</f>
        <v>600404</v>
      </c>
      <c r="W89" s="8">
        <v>89029</v>
      </c>
      <c r="Y89" s="8">
        <v>1397197</v>
      </c>
      <c r="AA89" s="14">
        <f t="shared" si="10"/>
        <v>2086630</v>
      </c>
      <c r="AB89" s="8"/>
      <c r="AC89" s="8">
        <f t="shared" si="11"/>
        <v>0</v>
      </c>
    </row>
    <row r="90" spans="1:29" hidden="1">
      <c r="A90" s="12" t="s">
        <v>746</v>
      </c>
      <c r="B90" s="12"/>
      <c r="C90" s="12" t="s">
        <v>747</v>
      </c>
      <c r="D90" s="12"/>
      <c r="E90" s="32">
        <v>45260</v>
      </c>
      <c r="K90" s="3">
        <f t="shared" si="8"/>
        <v>0</v>
      </c>
      <c r="O90" s="3">
        <f t="shared" si="9"/>
        <v>0</v>
      </c>
      <c r="AA90" s="14">
        <f t="shared" si="10"/>
        <v>0</v>
      </c>
      <c r="AB90" s="8"/>
      <c r="AC90" s="8">
        <f t="shared" si="11"/>
        <v>0</v>
      </c>
    </row>
    <row r="91" spans="1:29" hidden="1">
      <c r="A91" s="12" t="s">
        <v>713</v>
      </c>
      <c r="B91" s="12"/>
      <c r="C91" s="12" t="s">
        <v>69</v>
      </c>
      <c r="D91" s="12"/>
      <c r="E91" s="32">
        <v>50419</v>
      </c>
      <c r="K91" s="3">
        <f t="shared" si="8"/>
        <v>0</v>
      </c>
      <c r="O91" s="3">
        <f t="shared" si="9"/>
        <v>0</v>
      </c>
      <c r="AA91" s="14">
        <f t="shared" si="10"/>
        <v>0</v>
      </c>
      <c r="AB91" s="8"/>
      <c r="AC91" s="8">
        <f t="shared" si="11"/>
        <v>0</v>
      </c>
    </row>
    <row r="92" spans="1:29">
      <c r="A92" s="12" t="s">
        <v>977</v>
      </c>
      <c r="B92" s="12"/>
      <c r="C92" s="12" t="s">
        <v>69</v>
      </c>
      <c r="D92" s="12"/>
      <c r="E92" s="32">
        <v>48793</v>
      </c>
      <c r="G92" s="8">
        <v>0</v>
      </c>
      <c r="I92" s="8">
        <v>0</v>
      </c>
      <c r="K92" s="3">
        <f>+M92-I92-G92</f>
        <v>5487773</v>
      </c>
      <c r="M92" s="8">
        <v>5487773</v>
      </c>
      <c r="O92" s="3">
        <f>+S92-Q92</f>
        <v>1538904</v>
      </c>
      <c r="Q92" s="8">
        <v>4346982</v>
      </c>
      <c r="S92" s="8">
        <v>5885886</v>
      </c>
      <c r="U92" s="8">
        <f>472518+334628</f>
        <v>807146</v>
      </c>
      <c r="W92" s="8">
        <v>0</v>
      </c>
      <c r="Y92" s="8">
        <v>-1205259</v>
      </c>
      <c r="AA92" s="14">
        <f>+Y92+W92++U92</f>
        <v>-398113</v>
      </c>
      <c r="AB92" s="8"/>
      <c r="AC92" s="8">
        <f>+G92+I92+K92-O92-Q92-Y92-W92-U92</f>
        <v>0</v>
      </c>
    </row>
    <row r="93" spans="1:29">
      <c r="A93" s="12" t="s">
        <v>257</v>
      </c>
      <c r="B93" s="12"/>
      <c r="C93" s="12" t="s">
        <v>16</v>
      </c>
      <c r="D93" s="12"/>
      <c r="E93" s="32">
        <v>45278</v>
      </c>
      <c r="G93" s="8">
        <v>2805819</v>
      </c>
      <c r="I93" s="8">
        <v>0</v>
      </c>
      <c r="K93" s="3">
        <f t="shared" si="8"/>
        <v>5950357</v>
      </c>
      <c r="M93" s="8">
        <v>8756176</v>
      </c>
      <c r="O93" s="3">
        <f t="shared" si="9"/>
        <v>2287993</v>
      </c>
      <c r="Q93" s="8">
        <v>3940028</v>
      </c>
      <c r="S93" s="8">
        <v>6228021</v>
      </c>
      <c r="U93" s="8">
        <f>164014+1581300</f>
        <v>1745314</v>
      </c>
      <c r="W93" s="8">
        <v>0</v>
      </c>
      <c r="Y93" s="8">
        <v>782841</v>
      </c>
      <c r="AA93" s="14">
        <f t="shared" si="10"/>
        <v>2528155</v>
      </c>
      <c r="AB93" s="8"/>
      <c r="AC93" s="8">
        <f t="shared" si="11"/>
        <v>0</v>
      </c>
    </row>
    <row r="94" spans="1:29">
      <c r="A94" s="12" t="s">
        <v>389</v>
      </c>
      <c r="B94" s="12"/>
      <c r="C94" s="12" t="s">
        <v>117</v>
      </c>
      <c r="D94" s="12"/>
      <c r="E94" s="32">
        <v>47258</v>
      </c>
      <c r="G94" s="8">
        <v>1210484</v>
      </c>
      <c r="I94" s="8">
        <v>0</v>
      </c>
      <c r="K94" s="3">
        <f t="shared" si="8"/>
        <v>2224347</v>
      </c>
      <c r="M94" s="8">
        <v>3434831</v>
      </c>
      <c r="O94" s="3">
        <f t="shared" si="9"/>
        <v>511397</v>
      </c>
      <c r="Q94" s="8">
        <v>1609494</v>
      </c>
      <c r="S94" s="8">
        <v>2120891</v>
      </c>
      <c r="U94" s="8">
        <f>47431+79184</f>
        <v>126615</v>
      </c>
      <c r="W94" s="8">
        <v>0</v>
      </c>
      <c r="Y94" s="8">
        <v>1187325</v>
      </c>
      <c r="AA94" s="14">
        <f t="shared" si="10"/>
        <v>1313940</v>
      </c>
      <c r="AB94" s="8"/>
      <c r="AC94" s="8">
        <f t="shared" si="11"/>
        <v>0</v>
      </c>
    </row>
    <row r="95" spans="1:29" hidden="1">
      <c r="A95" s="12" t="s">
        <v>539</v>
      </c>
      <c r="B95" s="12"/>
      <c r="C95" s="12" t="s">
        <v>540</v>
      </c>
      <c r="D95" s="12"/>
      <c r="E95" s="32">
        <v>43729</v>
      </c>
      <c r="K95" s="3">
        <f t="shared" si="8"/>
        <v>0</v>
      </c>
      <c r="O95" s="3">
        <f t="shared" si="9"/>
        <v>0</v>
      </c>
      <c r="AA95" s="14">
        <f t="shared" si="10"/>
        <v>0</v>
      </c>
      <c r="AB95" s="8"/>
      <c r="AC95" s="8">
        <f t="shared" si="11"/>
        <v>0</v>
      </c>
    </row>
    <row r="96" spans="1:29">
      <c r="A96" s="12" t="s">
        <v>459</v>
      </c>
      <c r="B96" s="12"/>
      <c r="C96" s="12" t="s">
        <v>40</v>
      </c>
      <c r="D96" s="12"/>
      <c r="E96" s="32">
        <v>47829</v>
      </c>
      <c r="G96" s="8">
        <v>3777752</v>
      </c>
      <c r="I96" s="8">
        <v>0</v>
      </c>
      <c r="K96" s="3">
        <f t="shared" si="8"/>
        <v>2500034</v>
      </c>
      <c r="M96" s="8">
        <v>6277786</v>
      </c>
      <c r="O96" s="3">
        <f t="shared" si="9"/>
        <v>1027108</v>
      </c>
      <c r="Q96" s="8">
        <v>1517830</v>
      </c>
      <c r="S96" s="8">
        <v>2544938</v>
      </c>
      <c r="U96" s="8">
        <f>496752+231635+87985</f>
        <v>816372</v>
      </c>
      <c r="W96" s="8">
        <v>0</v>
      </c>
      <c r="Y96" s="8">
        <v>2916476</v>
      </c>
      <c r="AA96" s="14">
        <f t="shared" si="10"/>
        <v>3732848</v>
      </c>
      <c r="AB96" s="8"/>
      <c r="AC96" s="8">
        <f t="shared" si="11"/>
        <v>0</v>
      </c>
    </row>
    <row r="97" spans="1:29">
      <c r="A97" s="12"/>
      <c r="B97" s="12"/>
      <c r="C97" s="12"/>
      <c r="D97" s="12"/>
      <c r="E97" s="32"/>
      <c r="K97" s="3"/>
      <c r="O97" s="3"/>
      <c r="AA97" s="14"/>
      <c r="AB97" s="8"/>
    </row>
    <row r="98" spans="1:29">
      <c r="A98" s="12"/>
      <c r="B98" s="12"/>
      <c r="C98" s="12"/>
      <c r="D98" s="12"/>
      <c r="E98" s="32"/>
      <c r="K98" s="3"/>
      <c r="O98" s="3"/>
      <c r="AA98" s="14" t="s">
        <v>819</v>
      </c>
      <c r="AB98" s="8"/>
    </row>
    <row r="99" spans="1:29" s="35" customFormat="1">
      <c r="A99" s="34" t="s">
        <v>553</v>
      </c>
      <c r="B99" s="34"/>
      <c r="C99" s="34" t="s">
        <v>50</v>
      </c>
      <c r="D99" s="34"/>
      <c r="E99" s="34">
        <v>43737</v>
      </c>
      <c r="G99" s="35">
        <v>24574135</v>
      </c>
      <c r="I99" s="35">
        <v>0</v>
      </c>
      <c r="K99" s="42">
        <f t="shared" si="8"/>
        <v>47342172</v>
      </c>
      <c r="M99" s="35">
        <v>71916307</v>
      </c>
      <c r="O99" s="42">
        <f t="shared" si="9"/>
        <v>9100533</v>
      </c>
      <c r="Q99" s="35">
        <v>43289125</v>
      </c>
      <c r="S99" s="35">
        <v>52389658</v>
      </c>
      <c r="U99" s="35">
        <f>147049+3692914+141886</f>
        <v>3981849</v>
      </c>
      <c r="W99" s="35">
        <v>0</v>
      </c>
      <c r="Y99" s="35">
        <v>15544800</v>
      </c>
      <c r="AA99" s="71">
        <f t="shared" si="10"/>
        <v>19526649</v>
      </c>
      <c r="AC99" s="35">
        <f t="shared" si="11"/>
        <v>0</v>
      </c>
    </row>
    <row r="100" spans="1:29">
      <c r="A100" s="12" t="s">
        <v>807</v>
      </c>
      <c r="B100" s="12"/>
      <c r="C100" s="12" t="s">
        <v>22</v>
      </c>
      <c r="D100" s="12"/>
      <c r="E100" s="32">
        <v>46714</v>
      </c>
      <c r="G100" s="8">
        <v>2056716</v>
      </c>
      <c r="I100" s="8">
        <v>0</v>
      </c>
      <c r="K100" s="3">
        <f t="shared" si="8"/>
        <v>2727937</v>
      </c>
      <c r="M100" s="8">
        <v>4784653</v>
      </c>
      <c r="O100" s="3">
        <f t="shared" si="9"/>
        <v>1011018</v>
      </c>
      <c r="Q100" s="8">
        <v>2166038</v>
      </c>
      <c r="S100" s="8">
        <v>3177056</v>
      </c>
      <c r="U100" s="8">
        <f>325985+17650+169932+45685+19979</f>
        <v>579231</v>
      </c>
      <c r="W100" s="8">
        <v>0</v>
      </c>
      <c r="Y100" s="8">
        <v>1028366</v>
      </c>
      <c r="AA100" s="14">
        <f t="shared" si="10"/>
        <v>1607597</v>
      </c>
      <c r="AB100" s="8"/>
      <c r="AC100" s="8">
        <f t="shared" si="11"/>
        <v>0</v>
      </c>
    </row>
    <row r="101" spans="1:29">
      <c r="A101" s="12" t="s">
        <v>306</v>
      </c>
      <c r="B101" s="12"/>
      <c r="C101" s="12" t="s">
        <v>20</v>
      </c>
      <c r="D101" s="12"/>
      <c r="E101" s="32">
        <v>45286</v>
      </c>
      <c r="G101" s="8">
        <v>1583393</v>
      </c>
      <c r="I101" s="8">
        <v>0</v>
      </c>
      <c r="K101" s="3">
        <f t="shared" si="8"/>
        <v>19483041</v>
      </c>
      <c r="M101" s="8">
        <v>21066434</v>
      </c>
      <c r="O101" s="3">
        <f t="shared" si="9"/>
        <v>2456699</v>
      </c>
      <c r="Q101" s="8">
        <v>16603459</v>
      </c>
      <c r="S101" s="8">
        <v>19060158</v>
      </c>
      <c r="U101" s="8">
        <f>86323+2599002+204049+76531</f>
        <v>2965905</v>
      </c>
      <c r="W101" s="8">
        <v>0</v>
      </c>
      <c r="Y101" s="8">
        <v>-959629</v>
      </c>
      <c r="AA101" s="14">
        <f t="shared" si="10"/>
        <v>2006276</v>
      </c>
      <c r="AB101" s="8"/>
      <c r="AC101" s="8">
        <f t="shared" si="11"/>
        <v>0</v>
      </c>
    </row>
    <row r="102" spans="1:29">
      <c r="A102" s="12" t="s">
        <v>683</v>
      </c>
      <c r="B102" s="12"/>
      <c r="C102" s="12" t="s">
        <v>64</v>
      </c>
      <c r="D102" s="12"/>
      <c r="E102" s="32">
        <v>50138</v>
      </c>
      <c r="G102" s="8">
        <v>87454</v>
      </c>
      <c r="I102" s="8">
        <v>0</v>
      </c>
      <c r="K102" s="3">
        <f t="shared" si="8"/>
        <v>4177428</v>
      </c>
      <c r="M102" s="8">
        <v>4264882</v>
      </c>
      <c r="O102" s="3">
        <f t="shared" si="9"/>
        <v>1428243</v>
      </c>
      <c r="Q102" s="8">
        <f>878048+3217075</f>
        <v>4095123</v>
      </c>
      <c r="S102" s="8">
        <v>5523366</v>
      </c>
      <c r="U102" s="8">
        <f>58915+1961+15823+50623+9127</f>
        <v>136449</v>
      </c>
      <c r="W102" s="8">
        <v>0</v>
      </c>
      <c r="Y102" s="8">
        <v>-1394933</v>
      </c>
      <c r="AA102" s="14">
        <f t="shared" si="10"/>
        <v>-1258484</v>
      </c>
      <c r="AB102" s="8"/>
      <c r="AC102" s="8">
        <f t="shared" si="11"/>
        <v>0</v>
      </c>
    </row>
    <row r="103" spans="1:29">
      <c r="A103" s="12" t="s">
        <v>383</v>
      </c>
      <c r="B103" s="12"/>
      <c r="C103" s="12" t="s">
        <v>30</v>
      </c>
      <c r="D103" s="12"/>
      <c r="E103" s="32">
        <v>47183</v>
      </c>
      <c r="G103" s="8">
        <v>3610280</v>
      </c>
      <c r="I103" s="8">
        <v>0</v>
      </c>
      <c r="K103" s="3">
        <f t="shared" si="8"/>
        <v>17944403</v>
      </c>
      <c r="M103" s="8">
        <v>21554683</v>
      </c>
      <c r="O103" s="3">
        <f t="shared" si="9"/>
        <v>3575199</v>
      </c>
      <c r="Q103" s="8">
        <v>14993169</v>
      </c>
      <c r="S103" s="8">
        <v>18568368</v>
      </c>
      <c r="U103" s="8">
        <f>735104+2683866</f>
        <v>3418970</v>
      </c>
      <c r="W103" s="8">
        <v>0</v>
      </c>
      <c r="Y103" s="8">
        <v>-432655</v>
      </c>
      <c r="AA103" s="14">
        <f t="shared" si="10"/>
        <v>2986315</v>
      </c>
      <c r="AB103" s="8"/>
      <c r="AC103" s="8">
        <f t="shared" si="11"/>
        <v>0</v>
      </c>
    </row>
    <row r="104" spans="1:29">
      <c r="A104" s="12" t="s">
        <v>470</v>
      </c>
      <c r="B104" s="12"/>
      <c r="C104" s="12" t="s">
        <v>471</v>
      </c>
      <c r="D104" s="12"/>
      <c r="E104" s="32">
        <v>45294</v>
      </c>
      <c r="G104" s="8">
        <v>1135999</v>
      </c>
      <c r="I104" s="8">
        <v>0</v>
      </c>
      <c r="K104" s="3">
        <f t="shared" si="8"/>
        <v>2641464</v>
      </c>
      <c r="M104" s="8">
        <v>3777463</v>
      </c>
      <c r="O104" s="3">
        <f t="shared" si="9"/>
        <v>1138848</v>
      </c>
      <c r="Q104" s="8">
        <v>1985410</v>
      </c>
      <c r="S104" s="8">
        <v>3124258</v>
      </c>
      <c r="U104" s="8">
        <f>146491+92452+335414+84752</f>
        <v>659109</v>
      </c>
      <c r="W104" s="8">
        <v>0</v>
      </c>
      <c r="Y104" s="8">
        <v>-5904</v>
      </c>
      <c r="AA104" s="14">
        <f t="shared" si="10"/>
        <v>653205</v>
      </c>
      <c r="AB104" s="8"/>
      <c r="AC104" s="8">
        <f t="shared" si="11"/>
        <v>0</v>
      </c>
    </row>
    <row r="105" spans="1:29" ht="11.4" customHeight="1">
      <c r="A105" s="12" t="s">
        <v>622</v>
      </c>
      <c r="B105" s="12"/>
      <c r="C105" s="12" t="s">
        <v>58</v>
      </c>
      <c r="D105" s="12"/>
      <c r="E105" s="32">
        <v>43745</v>
      </c>
      <c r="G105" s="8">
        <v>4326736</v>
      </c>
      <c r="I105" s="8">
        <v>11138</v>
      </c>
      <c r="K105" s="3">
        <f t="shared" si="8"/>
        <v>11274780</v>
      </c>
      <c r="M105" s="8">
        <v>15612654</v>
      </c>
      <c r="O105" s="3">
        <f t="shared" si="9"/>
        <v>2462644</v>
      </c>
      <c r="Q105" s="8">
        <v>9898509</v>
      </c>
      <c r="S105" s="8">
        <v>12361153</v>
      </c>
      <c r="U105" s="8">
        <f>171146+849792+11138</f>
        <v>1032076</v>
      </c>
      <c r="W105" s="8">
        <v>218423</v>
      </c>
      <c r="Y105" s="8">
        <v>2001002</v>
      </c>
      <c r="AA105" s="14">
        <f t="shared" si="10"/>
        <v>3251501</v>
      </c>
      <c r="AB105" s="8"/>
      <c r="AC105" s="8">
        <f t="shared" si="11"/>
        <v>0</v>
      </c>
    </row>
    <row r="106" spans="1:29" ht="11.4" customHeight="1">
      <c r="A106" s="12" t="s">
        <v>727</v>
      </c>
      <c r="B106" s="12"/>
      <c r="C106" s="12" t="s">
        <v>71</v>
      </c>
      <c r="D106" s="12"/>
      <c r="E106" s="32"/>
      <c r="G106" s="8">
        <v>2040331</v>
      </c>
      <c r="I106" s="8">
        <v>246557</v>
      </c>
      <c r="K106" s="3">
        <f>+M106-I106-G106</f>
        <v>4657361</v>
      </c>
      <c r="M106" s="8">
        <v>6944249</v>
      </c>
      <c r="O106" s="3">
        <f>+S106-Q106</f>
        <v>5151396</v>
      </c>
      <c r="Q106" s="8">
        <v>52609</v>
      </c>
      <c r="S106" s="8">
        <v>5204005</v>
      </c>
      <c r="U106" s="8">
        <f>164531+23738+244972+43205+203352</f>
        <v>679798</v>
      </c>
      <c r="W106" s="8">
        <v>150386</v>
      </c>
      <c r="Y106" s="8">
        <v>910060</v>
      </c>
      <c r="AA106" s="14">
        <f>+Y106+W106++U106</f>
        <v>1740244</v>
      </c>
      <c r="AB106" s="8"/>
      <c r="AC106" s="8">
        <f>+G106+I106+K106-O106-Q106-Y106-W106-U106</f>
        <v>0</v>
      </c>
    </row>
    <row r="107" spans="1:29" ht="11.4" customHeight="1">
      <c r="A107" s="12" t="s">
        <v>396</v>
      </c>
      <c r="B107" s="12"/>
      <c r="C107" s="12" t="s">
        <v>32</v>
      </c>
      <c r="D107" s="12"/>
      <c r="E107" s="32"/>
      <c r="G107" s="8">
        <v>52791825</v>
      </c>
      <c r="I107" s="8">
        <v>1420826</v>
      </c>
      <c r="K107" s="3">
        <f t="shared" si="8"/>
        <v>274669961</v>
      </c>
      <c r="M107" s="8">
        <v>328882612</v>
      </c>
      <c r="O107" s="3">
        <f t="shared" si="9"/>
        <v>46902440</v>
      </c>
      <c r="Q107" s="8">
        <f>240183243+83053</f>
        <v>240266296</v>
      </c>
      <c r="S107" s="8">
        <v>287168736</v>
      </c>
      <c r="U107" s="8">
        <f>8712381+33477405+1420826+564733</f>
        <v>44175345</v>
      </c>
      <c r="W107" s="8">
        <v>0</v>
      </c>
      <c r="Y107" s="8">
        <v>-2461469</v>
      </c>
      <c r="AA107" s="14">
        <f t="shared" si="10"/>
        <v>41713876</v>
      </c>
      <c r="AB107" s="8"/>
      <c r="AC107" s="8">
        <f t="shared" si="11"/>
        <v>0</v>
      </c>
    </row>
    <row r="108" spans="1:29" s="8" customFormat="1">
      <c r="A108" s="13" t="s">
        <v>588</v>
      </c>
      <c r="B108" s="13"/>
      <c r="C108" s="13" t="s">
        <v>54</v>
      </c>
      <c r="D108" s="13"/>
      <c r="E108" s="13">
        <v>43760</v>
      </c>
      <c r="G108" s="8">
        <v>11200710</v>
      </c>
      <c r="I108" s="8">
        <v>0</v>
      </c>
      <c r="K108" s="3">
        <f t="shared" si="8"/>
        <v>9463939</v>
      </c>
      <c r="M108" s="8">
        <v>20664649</v>
      </c>
      <c r="O108" s="3">
        <f t="shared" si="9"/>
        <v>2709288</v>
      </c>
      <c r="Q108" s="8">
        <f>605605+7141626</f>
        <v>7747231</v>
      </c>
      <c r="S108" s="8">
        <v>10456519</v>
      </c>
      <c r="U108" s="8">
        <f>107430+1234+17763+1013728+82071+5943</f>
        <v>1228169</v>
      </c>
      <c r="W108" s="8">
        <v>0</v>
      </c>
      <c r="Y108" s="8">
        <v>8979961</v>
      </c>
      <c r="AA108" s="14">
        <f t="shared" si="10"/>
        <v>10208130</v>
      </c>
      <c r="AC108" s="8">
        <f t="shared" si="11"/>
        <v>0</v>
      </c>
    </row>
    <row r="109" spans="1:29">
      <c r="A109" s="12" t="s">
        <v>264</v>
      </c>
      <c r="B109" s="12"/>
      <c r="C109" s="12" t="s">
        <v>17</v>
      </c>
      <c r="D109" s="12"/>
      <c r="E109" s="32">
        <v>46284</v>
      </c>
      <c r="G109" s="8">
        <v>2770427</v>
      </c>
      <c r="I109" s="8">
        <v>0</v>
      </c>
      <c r="K109" s="3">
        <f t="shared" si="8"/>
        <v>8074160</v>
      </c>
      <c r="M109" s="8">
        <v>10844587</v>
      </c>
      <c r="O109" s="3">
        <f t="shared" si="9"/>
        <v>2540370</v>
      </c>
      <c r="Q109" s="8">
        <v>7075491</v>
      </c>
      <c r="S109" s="8">
        <v>9615861</v>
      </c>
      <c r="U109" s="8">
        <f>250219+839266+5503</f>
        <v>1094988</v>
      </c>
      <c r="W109" s="8">
        <v>0</v>
      </c>
      <c r="Y109" s="8">
        <f>133738</f>
        <v>133738</v>
      </c>
      <c r="AA109" s="14">
        <f t="shared" si="10"/>
        <v>1228726</v>
      </c>
      <c r="AB109" s="8"/>
      <c r="AC109" s="8">
        <f t="shared" si="11"/>
        <v>0</v>
      </c>
    </row>
    <row r="110" spans="1:29">
      <c r="A110" s="12" t="s">
        <v>632</v>
      </c>
      <c r="B110" s="12"/>
      <c r="C110" s="12" t="s">
        <v>59</v>
      </c>
      <c r="D110" s="12"/>
      <c r="E110" s="32">
        <v>49601</v>
      </c>
      <c r="G110" s="8">
        <v>1025045</v>
      </c>
      <c r="I110" s="8">
        <v>0</v>
      </c>
      <c r="K110" s="3">
        <f t="shared" si="8"/>
        <v>1183660</v>
      </c>
      <c r="M110" s="8">
        <v>2208705</v>
      </c>
      <c r="O110" s="3">
        <f t="shared" si="9"/>
        <v>505295</v>
      </c>
      <c r="Q110" s="8">
        <v>1125701</v>
      </c>
      <c r="S110" s="8">
        <v>1630996</v>
      </c>
      <c r="U110" s="8">
        <f>19462+34050+4521</f>
        <v>58033</v>
      </c>
      <c r="W110" s="8">
        <v>0</v>
      </c>
      <c r="Y110" s="8">
        <v>519676</v>
      </c>
      <c r="AA110" s="14">
        <f t="shared" si="10"/>
        <v>577709</v>
      </c>
      <c r="AB110" s="8"/>
      <c r="AC110" s="8">
        <f t="shared" si="11"/>
        <v>0</v>
      </c>
    </row>
    <row r="111" spans="1:29">
      <c r="A111" s="12" t="s">
        <v>699</v>
      </c>
      <c r="B111" s="12"/>
      <c r="C111" s="12" t="s">
        <v>65</v>
      </c>
      <c r="D111" s="12"/>
      <c r="E111" s="32">
        <v>43778</v>
      </c>
      <c r="G111" s="8">
        <v>3647994</v>
      </c>
      <c r="I111" s="8">
        <v>0</v>
      </c>
      <c r="K111" s="3">
        <f t="shared" si="8"/>
        <v>3969462</v>
      </c>
      <c r="M111" s="8">
        <v>7617456</v>
      </c>
      <c r="O111" s="3">
        <f t="shared" si="9"/>
        <v>2297908</v>
      </c>
      <c r="Q111" s="8">
        <f>402578+2975832</f>
        <v>3378410</v>
      </c>
      <c r="S111" s="8">
        <v>5676318</v>
      </c>
      <c r="U111" s="8">
        <f>896443+14149+242422+156744</f>
        <v>1309758</v>
      </c>
      <c r="W111" s="8">
        <v>0</v>
      </c>
      <c r="Y111" s="8">
        <v>631380</v>
      </c>
      <c r="AA111" s="14">
        <f t="shared" si="10"/>
        <v>1941138</v>
      </c>
      <c r="AB111" s="8"/>
      <c r="AC111" s="8">
        <f t="shared" si="11"/>
        <v>0</v>
      </c>
    </row>
    <row r="112" spans="1:29">
      <c r="A112" s="12" t="s">
        <v>614</v>
      </c>
      <c r="B112" s="12"/>
      <c r="C112" s="12" t="s">
        <v>113</v>
      </c>
      <c r="D112" s="12"/>
      <c r="E112" s="32">
        <v>49411</v>
      </c>
      <c r="G112" s="8">
        <v>5024972</v>
      </c>
      <c r="I112" s="8">
        <v>0</v>
      </c>
      <c r="K112" s="3">
        <f t="shared" si="8"/>
        <v>4055221</v>
      </c>
      <c r="M112" s="8">
        <v>9080193</v>
      </c>
      <c r="O112" s="3">
        <f t="shared" si="9"/>
        <v>4051236</v>
      </c>
      <c r="Q112" s="8">
        <v>313952</v>
      </c>
      <c r="S112" s="8">
        <v>4365188</v>
      </c>
      <c r="U112" s="8">
        <f>63636+8560+149144+783552</f>
        <v>1004892</v>
      </c>
      <c r="W112" s="8">
        <v>0</v>
      </c>
      <c r="Y112" s="8">
        <v>3710113</v>
      </c>
      <c r="AA112" s="14">
        <f t="shared" si="10"/>
        <v>4715005</v>
      </c>
      <c r="AB112" s="8"/>
      <c r="AC112" s="8">
        <f t="shared" si="11"/>
        <v>0</v>
      </c>
    </row>
    <row r="113" spans="1:29">
      <c r="A113" s="12" t="s">
        <v>491</v>
      </c>
      <c r="B113" s="12"/>
      <c r="C113" s="12" t="s">
        <v>44</v>
      </c>
      <c r="D113" s="12"/>
      <c r="E113" s="32">
        <v>48132</v>
      </c>
      <c r="G113" s="8">
        <v>311934</v>
      </c>
      <c r="I113" s="8">
        <v>0</v>
      </c>
      <c r="K113" s="3">
        <f t="shared" si="8"/>
        <v>3213768</v>
      </c>
      <c r="M113" s="8">
        <v>3525702</v>
      </c>
      <c r="O113" s="3">
        <f t="shared" si="9"/>
        <v>1728505</v>
      </c>
      <c r="Q113" s="8">
        <v>2774453</v>
      </c>
      <c r="S113" s="8">
        <v>4502958</v>
      </c>
      <c r="U113" s="8">
        <f>75676+91704+262585+64133</f>
        <v>494098</v>
      </c>
      <c r="W113" s="8">
        <v>0</v>
      </c>
      <c r="Y113" s="8">
        <v>-1471354</v>
      </c>
      <c r="AA113" s="14">
        <f t="shared" si="10"/>
        <v>-977256</v>
      </c>
      <c r="AB113" s="8"/>
      <c r="AC113" s="8">
        <f t="shared" si="11"/>
        <v>0</v>
      </c>
    </row>
    <row r="114" spans="1:29">
      <c r="A114" s="12" t="s">
        <v>970</v>
      </c>
      <c r="B114" s="12"/>
      <c r="C114" s="12" t="s">
        <v>116</v>
      </c>
      <c r="D114" s="12"/>
      <c r="E114" s="32">
        <v>48132</v>
      </c>
      <c r="G114" s="8">
        <v>662339</v>
      </c>
      <c r="I114" s="8">
        <v>0</v>
      </c>
      <c r="K114" s="3">
        <f>+M114-I114-G114</f>
        <v>7406880</v>
      </c>
      <c r="M114" s="8">
        <v>8069219</v>
      </c>
      <c r="O114" s="3">
        <f>+S114-Q114</f>
        <v>1457857</v>
      </c>
      <c r="Q114" s="8">
        <v>5628553</v>
      </c>
      <c r="S114" s="8">
        <v>7086410</v>
      </c>
      <c r="U114" s="8">
        <f>53147+613000</f>
        <v>666147</v>
      </c>
      <c r="W114" s="8">
        <v>0</v>
      </c>
      <c r="Y114" s="8">
        <v>316662</v>
      </c>
      <c r="AA114" s="14">
        <f>+Y114+W114++U114</f>
        <v>982809</v>
      </c>
      <c r="AB114" s="8"/>
      <c r="AC114" s="8">
        <f>+G114+I114+K114-O114-Q114-Y114-W114-U114</f>
        <v>0</v>
      </c>
    </row>
    <row r="115" spans="1:29">
      <c r="A115" s="12" t="s">
        <v>307</v>
      </c>
      <c r="B115" s="12"/>
      <c r="C115" s="12" t="s">
        <v>20</v>
      </c>
      <c r="D115" s="12"/>
      <c r="E115" s="32">
        <v>43794</v>
      </c>
      <c r="G115" s="8">
        <f>30706480</f>
        <v>30706480</v>
      </c>
      <c r="I115" s="8">
        <v>0</v>
      </c>
      <c r="K115" s="3">
        <f t="shared" si="8"/>
        <v>83925201</v>
      </c>
      <c r="M115" s="8">
        <v>114631681</v>
      </c>
      <c r="O115" s="3">
        <f t="shared" si="9"/>
        <v>4442917</v>
      </c>
      <c r="Q115" s="8">
        <v>45258200</v>
      </c>
      <c r="S115" s="8">
        <v>49701117</v>
      </c>
      <c r="U115" s="8">
        <f>1896881+347853+29899824+920451</f>
        <v>33065009</v>
      </c>
      <c r="W115" s="8">
        <v>0</v>
      </c>
      <c r="Y115" s="8">
        <v>31865555</v>
      </c>
      <c r="AA115" s="14">
        <f t="shared" si="10"/>
        <v>64930564</v>
      </c>
      <c r="AB115" s="8"/>
      <c r="AC115" s="8">
        <f t="shared" si="11"/>
        <v>0</v>
      </c>
    </row>
    <row r="116" spans="1:29">
      <c r="A116" s="12" t="s">
        <v>308</v>
      </c>
      <c r="B116" s="12"/>
      <c r="C116" s="12" t="s">
        <v>20</v>
      </c>
      <c r="D116" s="12"/>
      <c r="E116" s="32">
        <v>43786</v>
      </c>
      <c r="G116" s="8">
        <f>78099654+3281433</f>
        <v>81381087</v>
      </c>
      <c r="I116" s="8">
        <v>0</v>
      </c>
      <c r="K116" s="3">
        <f t="shared" si="8"/>
        <v>258382750</v>
      </c>
      <c r="M116" s="8">
        <v>339763837</v>
      </c>
      <c r="O116" s="3">
        <f t="shared" si="9"/>
        <v>56148092</v>
      </c>
      <c r="Q116" s="8">
        <v>226760280</v>
      </c>
      <c r="S116" s="8">
        <v>282908372</v>
      </c>
      <c r="U116" s="8">
        <f>3158174+1126828+19559632</f>
        <v>23844634</v>
      </c>
      <c r="W116" s="8">
        <v>0</v>
      </c>
      <c r="Y116" s="8">
        <v>33010831</v>
      </c>
      <c r="AA116" s="14">
        <f t="shared" si="10"/>
        <v>56855465</v>
      </c>
      <c r="AB116" s="8"/>
      <c r="AC116" s="8">
        <f t="shared" si="11"/>
        <v>0</v>
      </c>
    </row>
    <row r="117" spans="1:29">
      <c r="A117" s="12" t="s">
        <v>279</v>
      </c>
      <c r="B117" s="12"/>
      <c r="C117" s="12" t="s">
        <v>18</v>
      </c>
      <c r="D117" s="12"/>
      <c r="E117" s="32">
        <v>46391</v>
      </c>
      <c r="G117" s="8">
        <v>3904744</v>
      </c>
      <c r="I117" s="8">
        <v>43584</v>
      </c>
      <c r="K117" s="3">
        <f t="shared" si="8"/>
        <v>4580345</v>
      </c>
      <c r="M117" s="8">
        <v>8528673</v>
      </c>
      <c r="O117" s="3">
        <f t="shared" si="9"/>
        <v>5508356</v>
      </c>
      <c r="Q117" s="8">
        <v>258906</v>
      </c>
      <c r="S117" s="8">
        <v>5767262</v>
      </c>
      <c r="U117" s="8">
        <f>97317+43584+287662+12379</f>
        <v>440942</v>
      </c>
      <c r="W117" s="8">
        <v>0</v>
      </c>
      <c r="Y117" s="8">
        <v>2320469</v>
      </c>
      <c r="AA117" s="14">
        <f t="shared" si="10"/>
        <v>2761411</v>
      </c>
      <c r="AB117" s="8"/>
      <c r="AC117" s="8">
        <f t="shared" si="11"/>
        <v>0</v>
      </c>
    </row>
    <row r="118" spans="1:29">
      <c r="A118" s="12" t="s">
        <v>533</v>
      </c>
      <c r="B118" s="12"/>
      <c r="C118" s="12" t="s">
        <v>47</v>
      </c>
      <c r="D118" s="12"/>
      <c r="E118" s="32">
        <v>48488</v>
      </c>
      <c r="G118" s="8">
        <v>1074421</v>
      </c>
      <c r="I118" s="8">
        <v>0</v>
      </c>
      <c r="K118" s="3">
        <f t="shared" si="8"/>
        <v>13732565</v>
      </c>
      <c r="M118" s="8">
        <v>14806986</v>
      </c>
      <c r="O118" s="3">
        <f t="shared" si="9"/>
        <v>3755427</v>
      </c>
      <c r="Q118" s="8">
        <v>12576457</v>
      </c>
      <c r="S118" s="8">
        <v>16331884</v>
      </c>
      <c r="U118" s="8">
        <f>98127+259420</f>
        <v>357547</v>
      </c>
      <c r="W118" s="8">
        <v>0</v>
      </c>
      <c r="Y118" s="8">
        <v>-1882445</v>
      </c>
      <c r="AA118" s="14">
        <f t="shared" si="10"/>
        <v>-1524898</v>
      </c>
      <c r="AB118" s="8"/>
      <c r="AC118" s="8">
        <f t="shared" si="11"/>
        <v>0</v>
      </c>
    </row>
    <row r="119" spans="1:29">
      <c r="A119" s="12" t="s">
        <v>627</v>
      </c>
      <c r="B119" s="12"/>
      <c r="C119" s="12" t="s">
        <v>79</v>
      </c>
      <c r="D119" s="12"/>
      <c r="E119" s="32">
        <v>45302</v>
      </c>
      <c r="G119" s="8">
        <v>3633249</v>
      </c>
      <c r="I119" s="8">
        <v>0</v>
      </c>
      <c r="K119" s="3">
        <f t="shared" si="8"/>
        <v>6764716</v>
      </c>
      <c r="M119" s="8">
        <v>10397965</v>
      </c>
      <c r="O119" s="3">
        <f t="shared" si="9"/>
        <v>2170965</v>
      </c>
      <c r="Q119" s="8">
        <f>470557+5024206</f>
        <v>5494763</v>
      </c>
      <c r="S119" s="8">
        <v>7665728</v>
      </c>
      <c r="U119" s="8">
        <f>153139+34117+1103592+25016+37141</f>
        <v>1353005</v>
      </c>
      <c r="W119" s="8">
        <v>0</v>
      </c>
      <c r="Y119" s="8">
        <f>972375+406857</f>
        <v>1379232</v>
      </c>
      <c r="AA119" s="14">
        <f t="shared" si="10"/>
        <v>2732237</v>
      </c>
      <c r="AB119" s="8"/>
      <c r="AC119" s="8">
        <f t="shared" si="11"/>
        <v>0</v>
      </c>
    </row>
    <row r="120" spans="1:29">
      <c r="A120" s="12" t="s">
        <v>296</v>
      </c>
      <c r="B120" s="12"/>
      <c r="C120" s="12" t="s">
        <v>114</v>
      </c>
      <c r="D120" s="12"/>
      <c r="E120" s="32">
        <v>46516</v>
      </c>
      <c r="G120" s="8">
        <v>608643</v>
      </c>
      <c r="I120" s="8">
        <v>0</v>
      </c>
      <c r="K120" s="3">
        <f t="shared" si="8"/>
        <v>3513707</v>
      </c>
      <c r="M120" s="8">
        <v>4122350</v>
      </c>
      <c r="O120" s="3">
        <f t="shared" si="9"/>
        <v>2590694</v>
      </c>
      <c r="Q120" s="8">
        <v>264894</v>
      </c>
      <c r="S120" s="8">
        <v>2855588</v>
      </c>
      <c r="U120" s="8">
        <f>88218+16814+42966+1025862+618+104433</f>
        <v>1278911</v>
      </c>
      <c r="W120" s="8">
        <v>0</v>
      </c>
      <c r="Y120" s="8">
        <v>-12149</v>
      </c>
      <c r="AA120" s="14">
        <f t="shared" si="10"/>
        <v>1266762</v>
      </c>
      <c r="AB120" s="8"/>
      <c r="AC120" s="8">
        <f t="shared" si="11"/>
        <v>0</v>
      </c>
    </row>
    <row r="121" spans="1:29">
      <c r="A121" s="12" t="s">
        <v>492</v>
      </c>
      <c r="B121" s="12"/>
      <c r="C121" s="12" t="s">
        <v>44</v>
      </c>
      <c r="D121" s="12"/>
      <c r="E121" s="32">
        <v>48140</v>
      </c>
      <c r="G121" s="8">
        <v>2774295</v>
      </c>
      <c r="I121" s="8">
        <v>0</v>
      </c>
      <c r="K121" s="3">
        <f t="shared" si="8"/>
        <v>6166600</v>
      </c>
      <c r="M121" s="8">
        <v>8940895</v>
      </c>
      <c r="O121" s="3">
        <f t="shared" si="9"/>
        <v>1405178</v>
      </c>
      <c r="Q121" s="8">
        <v>5470919</v>
      </c>
      <c r="S121" s="8">
        <v>6876097</v>
      </c>
      <c r="U121" s="8">
        <f>212114+525442+39064</f>
        <v>776620</v>
      </c>
      <c r="W121" s="8">
        <v>0</v>
      </c>
      <c r="Y121" s="8">
        <v>1288178</v>
      </c>
      <c r="AA121" s="14">
        <f t="shared" si="10"/>
        <v>2064798</v>
      </c>
      <c r="AB121" s="8"/>
      <c r="AC121" s="8">
        <f t="shared" si="11"/>
        <v>0</v>
      </c>
    </row>
    <row r="122" spans="1:29">
      <c r="A122" s="12" t="s">
        <v>283</v>
      </c>
      <c r="B122" s="12"/>
      <c r="C122" s="12" t="s">
        <v>115</v>
      </c>
      <c r="D122" s="12"/>
      <c r="E122" s="32">
        <v>45328</v>
      </c>
      <c r="G122" s="8">
        <v>2020414</v>
      </c>
      <c r="I122" s="8">
        <v>0</v>
      </c>
      <c r="K122" s="3">
        <f t="shared" si="8"/>
        <v>4491224</v>
      </c>
      <c r="M122" s="8">
        <v>6511638</v>
      </c>
      <c r="O122" s="3">
        <f t="shared" si="9"/>
        <v>1048605</v>
      </c>
      <c r="Q122" s="8">
        <v>3729481</v>
      </c>
      <c r="S122" s="8">
        <v>4778086</v>
      </c>
      <c r="U122" s="8">
        <f>13537+55008+4325</f>
        <v>72870</v>
      </c>
      <c r="W122" s="8">
        <v>0</v>
      </c>
      <c r="Y122" s="8">
        <v>1660682</v>
      </c>
      <c r="AA122" s="14">
        <f t="shared" si="10"/>
        <v>1733552</v>
      </c>
      <c r="AB122" s="8"/>
      <c r="AC122" s="8">
        <f t="shared" si="11"/>
        <v>0</v>
      </c>
    </row>
    <row r="123" spans="1:29">
      <c r="A123" s="12" t="s">
        <v>358</v>
      </c>
      <c r="B123" s="12"/>
      <c r="C123" s="12" t="s">
        <v>27</v>
      </c>
      <c r="D123" s="12"/>
      <c r="E123" s="32">
        <v>43802</v>
      </c>
      <c r="G123" s="8">
        <v>59080811</v>
      </c>
      <c r="I123" s="8">
        <v>0</v>
      </c>
      <c r="K123" s="3">
        <f t="shared" si="8"/>
        <v>400700434</v>
      </c>
      <c r="M123" s="8">
        <v>459781245</v>
      </c>
      <c r="O123" s="3">
        <f t="shared" si="9"/>
        <v>76776634</v>
      </c>
      <c r="Q123" s="8">
        <v>283251320</v>
      </c>
      <c r="S123" s="8">
        <v>360027954</v>
      </c>
      <c r="U123" s="8">
        <f>5413547+93532409</f>
        <v>98945956</v>
      </c>
      <c r="W123" s="8">
        <v>0</v>
      </c>
      <c r="Y123" s="8">
        <v>807335</v>
      </c>
      <c r="AA123" s="14">
        <f t="shared" si="10"/>
        <v>99753291</v>
      </c>
      <c r="AB123" s="8"/>
      <c r="AC123" s="8">
        <f t="shared" si="11"/>
        <v>0</v>
      </c>
    </row>
    <row r="124" spans="1:29">
      <c r="A124" s="12" t="s">
        <v>220</v>
      </c>
      <c r="B124" s="12"/>
      <c r="C124" s="12" t="s">
        <v>12</v>
      </c>
      <c r="D124" s="12"/>
      <c r="E124" s="32">
        <v>43810</v>
      </c>
      <c r="G124" s="8">
        <v>2154733</v>
      </c>
      <c r="I124" s="8">
        <v>0</v>
      </c>
      <c r="K124" s="3">
        <f t="shared" si="8"/>
        <v>4051361</v>
      </c>
      <c r="M124" s="8">
        <v>6206094</v>
      </c>
      <c r="O124" s="3">
        <f t="shared" si="9"/>
        <v>2013005</v>
      </c>
      <c r="Q124" s="8">
        <v>1990458</v>
      </c>
      <c r="S124" s="8">
        <v>4003463</v>
      </c>
      <c r="U124" s="8">
        <f>41744+1371271+2728+577233+13094</f>
        <v>2006070</v>
      </c>
      <c r="W124" s="8">
        <v>0</v>
      </c>
      <c r="Y124" s="8">
        <v>196561</v>
      </c>
      <c r="AA124" s="14">
        <f t="shared" si="10"/>
        <v>2202631</v>
      </c>
      <c r="AB124" s="8"/>
      <c r="AC124" s="8">
        <f t="shared" si="11"/>
        <v>0</v>
      </c>
    </row>
    <row r="125" spans="1:29">
      <c r="A125" s="12" t="s">
        <v>432</v>
      </c>
      <c r="B125" s="12"/>
      <c r="C125" s="12" t="s">
        <v>433</v>
      </c>
      <c r="D125" s="12"/>
      <c r="E125" s="32">
        <v>47548</v>
      </c>
      <c r="G125" s="8">
        <v>1443668</v>
      </c>
      <c r="I125" s="8">
        <v>0</v>
      </c>
      <c r="K125" s="3">
        <f t="shared" si="8"/>
        <v>2254212</v>
      </c>
      <c r="M125" s="8">
        <v>3697880</v>
      </c>
      <c r="O125" s="3">
        <f t="shared" si="9"/>
        <v>537770</v>
      </c>
      <c r="Q125" s="8">
        <f>89547+1673879</f>
        <v>1763426</v>
      </c>
      <c r="S125" s="8">
        <v>2301196</v>
      </c>
      <c r="U125" s="8">
        <f>41975+18866+304121+11829+139870</f>
        <v>516661</v>
      </c>
      <c r="W125" s="8">
        <v>0</v>
      </c>
      <c r="Y125" s="8">
        <v>880023</v>
      </c>
      <c r="AA125" s="14">
        <f t="shared" si="10"/>
        <v>1396684</v>
      </c>
      <c r="AB125" s="8"/>
      <c r="AC125" s="8">
        <f t="shared" si="11"/>
        <v>0</v>
      </c>
    </row>
    <row r="126" spans="1:29">
      <c r="A126" s="12" t="s">
        <v>669</v>
      </c>
      <c r="B126" s="12"/>
      <c r="C126" s="12" t="s">
        <v>63</v>
      </c>
      <c r="D126" s="12"/>
      <c r="E126" s="32">
        <v>49981</v>
      </c>
      <c r="G126" s="8">
        <v>8621061</v>
      </c>
      <c r="I126" s="8">
        <v>0</v>
      </c>
      <c r="K126" s="3">
        <f t="shared" si="8"/>
        <v>25020965</v>
      </c>
      <c r="M126" s="8">
        <v>33642026</v>
      </c>
      <c r="O126" s="3">
        <f t="shared" si="9"/>
        <v>3206542</v>
      </c>
      <c r="Q126" s="8">
        <v>22374288</v>
      </c>
      <c r="S126" s="8">
        <v>25580830</v>
      </c>
      <c r="U126" s="8">
        <v>400317</v>
      </c>
      <c r="W126" s="8">
        <v>0</v>
      </c>
      <c r="Y126" s="8">
        <v>7660879</v>
      </c>
      <c r="AA126" s="14">
        <f t="shared" si="10"/>
        <v>8061196</v>
      </c>
      <c r="AB126" s="8"/>
      <c r="AC126" s="8">
        <f t="shared" si="11"/>
        <v>0</v>
      </c>
    </row>
    <row r="127" spans="1:29">
      <c r="A127" s="12" t="s">
        <v>420</v>
      </c>
      <c r="B127" s="12"/>
      <c r="C127" s="12" t="s">
        <v>33</v>
      </c>
      <c r="D127" s="12"/>
      <c r="E127" s="32">
        <v>47431</v>
      </c>
      <c r="G127" s="8">
        <v>717880</v>
      </c>
      <c r="I127" s="8">
        <v>0</v>
      </c>
      <c r="K127" s="3">
        <f t="shared" si="8"/>
        <v>2446009</v>
      </c>
      <c r="M127" s="8">
        <v>3163889</v>
      </c>
      <c r="O127" s="3">
        <f t="shared" si="9"/>
        <v>896089</v>
      </c>
      <c r="Q127" s="8">
        <v>1833057</v>
      </c>
      <c r="S127" s="8">
        <v>2729146</v>
      </c>
      <c r="U127" s="8">
        <f>69000+3704+42275</f>
        <v>114979</v>
      </c>
      <c r="W127" s="8">
        <v>0</v>
      </c>
      <c r="Y127" s="8">
        <v>319764</v>
      </c>
      <c r="AA127" s="14">
        <f t="shared" si="10"/>
        <v>434743</v>
      </c>
      <c r="AB127" s="8"/>
      <c r="AC127" s="8">
        <f t="shared" si="11"/>
        <v>0</v>
      </c>
    </row>
    <row r="128" spans="1:29">
      <c r="A128" s="12" t="s">
        <v>291</v>
      </c>
      <c r="B128" s="12"/>
      <c r="C128" s="12" t="s">
        <v>19</v>
      </c>
      <c r="D128" s="12"/>
      <c r="E128" s="32">
        <v>43828</v>
      </c>
      <c r="G128" s="8">
        <v>0</v>
      </c>
      <c r="I128" s="8">
        <v>0</v>
      </c>
      <c r="K128" s="3">
        <f t="shared" si="8"/>
        <v>4438772</v>
      </c>
      <c r="M128" s="8">
        <v>4438772</v>
      </c>
      <c r="O128" s="3">
        <f t="shared" si="9"/>
        <v>1483209</v>
      </c>
      <c r="Q128" s="8">
        <v>4208596</v>
      </c>
      <c r="S128" s="8">
        <v>5691805</v>
      </c>
      <c r="U128" s="8">
        <f>16625+34706+122126+20310</f>
        <v>193767</v>
      </c>
      <c r="W128" s="8">
        <v>0</v>
      </c>
      <c r="Y128" s="8">
        <v>-1446800</v>
      </c>
      <c r="AA128" s="14">
        <f t="shared" si="10"/>
        <v>-1253033</v>
      </c>
      <c r="AB128" s="8"/>
      <c r="AC128" s="8">
        <f t="shared" si="11"/>
        <v>0</v>
      </c>
    </row>
    <row r="129" spans="1:30">
      <c r="A129" s="12" t="s">
        <v>832</v>
      </c>
      <c r="B129" s="12"/>
      <c r="C129" s="12" t="s">
        <v>63</v>
      </c>
      <c r="D129" s="12"/>
      <c r="E129" s="32"/>
      <c r="G129" s="8">
        <v>0</v>
      </c>
      <c r="I129" s="8">
        <v>0</v>
      </c>
      <c r="K129" s="3">
        <f t="shared" si="8"/>
        <v>10200806</v>
      </c>
      <c r="M129" s="8">
        <v>10200806</v>
      </c>
      <c r="O129" s="3">
        <f t="shared" si="9"/>
        <v>2487385</v>
      </c>
      <c r="Q129" s="8">
        <v>8437341</v>
      </c>
      <c r="S129" s="8">
        <v>10924726</v>
      </c>
      <c r="U129" s="8">
        <f>118181+571910+484393+677652</f>
        <v>1852136</v>
      </c>
      <c r="W129" s="8">
        <v>0</v>
      </c>
      <c r="Y129" s="8">
        <f>-2576056</f>
        <v>-2576056</v>
      </c>
      <c r="AA129" s="14">
        <f t="shared" si="10"/>
        <v>-723920</v>
      </c>
      <c r="AB129" s="8"/>
      <c r="AC129" s="8">
        <f t="shared" si="11"/>
        <v>0</v>
      </c>
    </row>
    <row r="130" spans="1:30">
      <c r="A130" s="12" t="s">
        <v>544</v>
      </c>
      <c r="B130" s="12"/>
      <c r="C130" s="12" t="s">
        <v>48</v>
      </c>
      <c r="D130" s="12"/>
      <c r="E130" s="32">
        <v>45336</v>
      </c>
      <c r="G130" s="8">
        <v>1389741</v>
      </c>
      <c r="I130" s="8">
        <v>0</v>
      </c>
      <c r="K130" s="3">
        <f t="shared" si="8"/>
        <v>2313467</v>
      </c>
      <c r="M130" s="8">
        <v>3703208</v>
      </c>
      <c r="O130" s="3">
        <f t="shared" si="9"/>
        <v>705055</v>
      </c>
      <c r="Q130" s="8">
        <f>82106+1570078</f>
        <v>1652184</v>
      </c>
      <c r="S130" s="8">
        <v>2357239</v>
      </c>
      <c r="U130" s="8">
        <f>22971+5456+73972+9113</f>
        <v>111512</v>
      </c>
      <c r="W130" s="8">
        <v>0</v>
      </c>
      <c r="Y130" s="8">
        <v>1234457</v>
      </c>
      <c r="AA130" s="14">
        <f t="shared" si="10"/>
        <v>1345969</v>
      </c>
      <c r="AB130" s="8"/>
      <c r="AC130" s="8">
        <f t="shared" si="11"/>
        <v>0</v>
      </c>
    </row>
    <row r="131" spans="1:30">
      <c r="A131" s="12" t="s">
        <v>297</v>
      </c>
      <c r="B131" s="12"/>
      <c r="C131" s="12" t="s">
        <v>114</v>
      </c>
      <c r="D131" s="12"/>
      <c r="E131" s="32">
        <v>45344</v>
      </c>
      <c r="G131" s="8">
        <v>2181309</v>
      </c>
      <c r="I131" s="8">
        <v>43032</v>
      </c>
      <c r="K131" s="3">
        <f t="shared" si="8"/>
        <v>2569319</v>
      </c>
      <c r="M131" s="8">
        <v>4793660</v>
      </c>
      <c r="O131" s="3">
        <f t="shared" si="9"/>
        <v>2169696</v>
      </c>
      <c r="Q131" s="8">
        <v>383141</v>
      </c>
      <c r="S131" s="8">
        <v>2552837</v>
      </c>
      <c r="U131" s="8">
        <f>36049+30807+803332+35920+7112</f>
        <v>913220</v>
      </c>
      <c r="W131" s="8">
        <v>0</v>
      </c>
      <c r="Y131" s="8">
        <v>1327603</v>
      </c>
      <c r="AA131" s="14">
        <f t="shared" si="10"/>
        <v>2240823</v>
      </c>
      <c r="AB131" s="8"/>
      <c r="AC131" s="8">
        <f t="shared" si="11"/>
        <v>0</v>
      </c>
    </row>
    <row r="132" spans="1:30" ht="11.25" customHeight="1">
      <c r="A132" s="12" t="s">
        <v>284</v>
      </c>
      <c r="B132" s="12"/>
      <c r="C132" s="12" t="s">
        <v>115</v>
      </c>
      <c r="D132" s="12"/>
      <c r="E132" s="32">
        <v>46433</v>
      </c>
      <c r="G132" s="8">
        <v>636778</v>
      </c>
      <c r="I132" s="8">
        <v>0</v>
      </c>
      <c r="K132" s="3">
        <f t="shared" si="8"/>
        <v>2792523</v>
      </c>
      <c r="M132" s="8">
        <v>3429301</v>
      </c>
      <c r="O132" s="3">
        <f t="shared" si="9"/>
        <v>992917</v>
      </c>
      <c r="Q132" s="8">
        <v>1964674</v>
      </c>
      <c r="S132" s="8">
        <v>2957591</v>
      </c>
      <c r="U132" s="8">
        <f>26881+112302+47549</f>
        <v>186732</v>
      </c>
      <c r="W132" s="8">
        <v>0</v>
      </c>
      <c r="Y132" s="8">
        <v>284978</v>
      </c>
      <c r="AA132" s="14">
        <f t="shared" si="10"/>
        <v>471710</v>
      </c>
      <c r="AB132" s="8"/>
      <c r="AC132" s="8">
        <f t="shared" si="11"/>
        <v>0</v>
      </c>
    </row>
    <row r="133" spans="1:30">
      <c r="A133" s="12" t="s">
        <v>284</v>
      </c>
      <c r="B133" s="12"/>
      <c r="C133" s="12" t="s">
        <v>113</v>
      </c>
      <c r="D133" s="12"/>
      <c r="E133" s="32">
        <v>49429</v>
      </c>
      <c r="G133" s="8">
        <v>4681696</v>
      </c>
      <c r="I133" s="8">
        <v>0</v>
      </c>
      <c r="K133" s="3">
        <f t="shared" si="8"/>
        <v>2677602</v>
      </c>
      <c r="M133" s="8">
        <v>7359298</v>
      </c>
      <c r="O133" s="3">
        <f t="shared" si="9"/>
        <v>964389</v>
      </c>
      <c r="Q133" s="8">
        <f>285361+1819129</f>
        <v>2104490</v>
      </c>
      <c r="S133" s="8">
        <v>3068879</v>
      </c>
      <c r="U133" s="8">
        <f>149795+8853+44435+420584+32798+6571</f>
        <v>663036</v>
      </c>
      <c r="W133" s="8">
        <v>0</v>
      </c>
      <c r="Y133" s="8">
        <f>121033+3506350</f>
        <v>3627383</v>
      </c>
      <c r="AA133" s="14">
        <f t="shared" si="10"/>
        <v>4290419</v>
      </c>
      <c r="AB133" s="8"/>
      <c r="AC133" s="8">
        <f t="shared" si="11"/>
        <v>0</v>
      </c>
      <c r="AD133" s="76"/>
    </row>
    <row r="134" spans="1:30">
      <c r="A134" s="12" t="s">
        <v>596</v>
      </c>
      <c r="B134" s="12"/>
      <c r="C134" s="12" t="s">
        <v>56</v>
      </c>
      <c r="D134" s="12"/>
      <c r="E134" s="32">
        <v>49189</v>
      </c>
      <c r="G134" s="8">
        <v>4133468</v>
      </c>
      <c r="I134" s="8">
        <v>0</v>
      </c>
      <c r="K134" s="3">
        <f t="shared" si="8"/>
        <v>7083289</v>
      </c>
      <c r="M134" s="8">
        <v>11216757</v>
      </c>
      <c r="O134" s="3">
        <f t="shared" si="9"/>
        <v>2596958</v>
      </c>
      <c r="Q134" s="8">
        <f>239234+6218773</f>
        <v>6458007</v>
      </c>
      <c r="S134" s="8">
        <v>9054965</v>
      </c>
      <c r="U134" s="8">
        <f>433743+10932+200995+120576+6862</f>
        <v>773108</v>
      </c>
      <c r="W134" s="8">
        <v>0</v>
      </c>
      <c r="Y134" s="8">
        <v>1388684</v>
      </c>
      <c r="AA134" s="14">
        <f t="shared" si="10"/>
        <v>2161792</v>
      </c>
      <c r="AB134" s="8"/>
      <c r="AC134" s="8">
        <f t="shared" si="11"/>
        <v>0</v>
      </c>
    </row>
    <row r="135" spans="1:30">
      <c r="A135" s="12" t="s">
        <v>833</v>
      </c>
      <c r="B135" s="12"/>
      <c r="C135" s="12" t="s">
        <v>586</v>
      </c>
      <c r="D135" s="12"/>
      <c r="E135" s="32"/>
      <c r="G135" s="8">
        <v>1172879</v>
      </c>
      <c r="I135" s="8">
        <v>0</v>
      </c>
      <c r="K135" s="3">
        <f t="shared" si="8"/>
        <v>2437415</v>
      </c>
      <c r="M135" s="8">
        <v>3610294</v>
      </c>
      <c r="O135" s="3">
        <f t="shared" si="9"/>
        <v>1067731</v>
      </c>
      <c r="Q135" s="8">
        <v>1750327</v>
      </c>
      <c r="S135" s="8">
        <v>2818058</v>
      </c>
      <c r="U135" s="8">
        <f>88752+73463+373935+126502+78931</f>
        <v>741583</v>
      </c>
      <c r="W135" s="8">
        <v>0</v>
      </c>
      <c r="Y135" s="8">
        <v>50653</v>
      </c>
      <c r="AA135" s="14">
        <f t="shared" si="10"/>
        <v>792236</v>
      </c>
      <c r="AB135" s="8"/>
      <c r="AC135" s="8">
        <f t="shared" si="11"/>
        <v>0</v>
      </c>
    </row>
    <row r="136" spans="1:30">
      <c r="A136" s="12" t="s">
        <v>670</v>
      </c>
      <c r="B136" s="12"/>
      <c r="C136" s="12" t="s">
        <v>63</v>
      </c>
      <c r="D136" s="12"/>
      <c r="E136" s="32">
        <v>43836</v>
      </c>
      <c r="G136" s="8">
        <v>5649928</v>
      </c>
      <c r="I136" s="8">
        <v>0</v>
      </c>
      <c r="K136" s="3">
        <f t="shared" si="8"/>
        <v>26900360</v>
      </c>
      <c r="M136" s="8">
        <v>32550288</v>
      </c>
      <c r="O136" s="3">
        <f t="shared" si="9"/>
        <v>5306617</v>
      </c>
      <c r="Q136" s="8">
        <f>1216144+23976129</f>
        <v>25192273</v>
      </c>
      <c r="S136" s="8">
        <v>30498890</v>
      </c>
      <c r="U136" s="8">
        <f>147874+68491+28440+1611156</f>
        <v>1855961</v>
      </c>
      <c r="W136" s="8">
        <v>0</v>
      </c>
      <c r="Y136" s="8">
        <v>195437</v>
      </c>
      <c r="AA136" s="14">
        <f t="shared" si="10"/>
        <v>2051398</v>
      </c>
      <c r="AB136" s="8"/>
      <c r="AC136" s="8">
        <f t="shared" si="11"/>
        <v>0</v>
      </c>
    </row>
    <row r="137" spans="1:30">
      <c r="A137" s="12" t="s">
        <v>309</v>
      </c>
      <c r="B137" s="12"/>
      <c r="C137" s="12" t="s">
        <v>20</v>
      </c>
      <c r="D137" s="12"/>
      <c r="E137" s="32">
        <v>46557</v>
      </c>
      <c r="G137" s="8">
        <f>8318152+16301</f>
        <v>8334453</v>
      </c>
      <c r="I137" s="8">
        <v>0</v>
      </c>
      <c r="K137" s="3">
        <f t="shared" si="8"/>
        <v>10716925</v>
      </c>
      <c r="M137" s="8">
        <v>19051378</v>
      </c>
      <c r="O137" s="3">
        <f t="shared" si="9"/>
        <v>2190661</v>
      </c>
      <c r="Q137" s="8">
        <v>9377745</v>
      </c>
      <c r="S137" s="8">
        <v>11568406</v>
      </c>
      <c r="U137" s="8">
        <f>314613+9379+55144+762365</f>
        <v>1141501</v>
      </c>
      <c r="W137" s="8">
        <v>0</v>
      </c>
      <c r="Y137" s="8">
        <v>6341471</v>
      </c>
      <c r="AA137" s="14">
        <f t="shared" si="10"/>
        <v>7482972</v>
      </c>
      <c r="AB137" s="8"/>
      <c r="AC137" s="8">
        <f t="shared" si="11"/>
        <v>0</v>
      </c>
    </row>
    <row r="138" spans="1:30">
      <c r="A138" s="12" t="s">
        <v>846</v>
      </c>
      <c r="B138" s="12"/>
      <c r="C138" s="12" t="s">
        <v>71</v>
      </c>
      <c r="D138" s="12"/>
      <c r="E138" s="32">
        <v>48934</v>
      </c>
      <c r="G138" s="8">
        <v>217376</v>
      </c>
      <c r="I138" s="8">
        <v>311690</v>
      </c>
      <c r="K138" s="3">
        <f t="shared" si="8"/>
        <v>3334138</v>
      </c>
      <c r="M138" s="8">
        <v>3863204</v>
      </c>
      <c r="O138" s="3">
        <f t="shared" si="9"/>
        <v>3555960</v>
      </c>
      <c r="Q138" s="8">
        <v>76629</v>
      </c>
      <c r="S138" s="8">
        <v>3632589</v>
      </c>
      <c r="U138" s="8">
        <f>24543+13275+154495+311690</f>
        <v>504003</v>
      </c>
      <c r="W138" s="8">
        <v>0</v>
      </c>
      <c r="Y138" s="8">
        <v>-273388</v>
      </c>
      <c r="AA138" s="14">
        <f t="shared" si="10"/>
        <v>230615</v>
      </c>
      <c r="AB138" s="8"/>
      <c r="AC138" s="8">
        <f t="shared" si="11"/>
        <v>0</v>
      </c>
    </row>
    <row r="139" spans="1:30">
      <c r="A139" s="12" t="s">
        <v>460</v>
      </c>
      <c r="B139" s="12"/>
      <c r="C139" s="12" t="s">
        <v>40</v>
      </c>
      <c r="D139" s="12"/>
      <c r="E139" s="32">
        <v>47837</v>
      </c>
      <c r="G139" s="8">
        <v>2152971</v>
      </c>
      <c r="I139" s="8">
        <v>0</v>
      </c>
      <c r="K139" s="3">
        <f t="shared" si="8"/>
        <v>1501308</v>
      </c>
      <c r="M139" s="8">
        <v>3654279</v>
      </c>
      <c r="O139" s="3">
        <f t="shared" si="9"/>
        <v>530146</v>
      </c>
      <c r="Q139" s="8">
        <v>786350</v>
      </c>
      <c r="S139" s="8">
        <v>1316496</v>
      </c>
      <c r="U139" s="8">
        <f>9095+259432</f>
        <v>268527</v>
      </c>
      <c r="W139" s="8">
        <v>0</v>
      </c>
      <c r="Y139" s="8">
        <v>2069256</v>
      </c>
      <c r="AA139" s="14">
        <f t="shared" si="10"/>
        <v>2337783</v>
      </c>
      <c r="AB139" s="8"/>
      <c r="AC139" s="8">
        <f t="shared" si="11"/>
        <v>0</v>
      </c>
    </row>
    <row r="140" spans="1:30">
      <c r="A140" s="12" t="s">
        <v>472</v>
      </c>
      <c r="B140" s="12"/>
      <c r="C140" s="12" t="s">
        <v>471</v>
      </c>
      <c r="D140" s="12"/>
      <c r="E140" s="32">
        <v>47928</v>
      </c>
      <c r="G140" s="8">
        <v>4292430</v>
      </c>
      <c r="I140" s="8">
        <v>0</v>
      </c>
      <c r="K140" s="3">
        <f t="shared" si="8"/>
        <v>1667208</v>
      </c>
      <c r="M140" s="8">
        <v>5959638</v>
      </c>
      <c r="O140" s="3">
        <f t="shared" si="9"/>
        <v>1049894</v>
      </c>
      <c r="Q140" s="8">
        <v>1420449</v>
      </c>
      <c r="S140" s="8">
        <v>2470343</v>
      </c>
      <c r="U140" s="8">
        <f>318661+178620+6311</f>
        <v>503592</v>
      </c>
      <c r="W140" s="8">
        <v>0</v>
      </c>
      <c r="Y140" s="8">
        <v>2985703</v>
      </c>
      <c r="AA140" s="14">
        <f t="shared" si="10"/>
        <v>3489295</v>
      </c>
      <c r="AB140" s="8"/>
      <c r="AC140" s="8">
        <f t="shared" si="11"/>
        <v>0</v>
      </c>
    </row>
    <row r="141" spans="1:30">
      <c r="A141" s="12" t="s">
        <v>554</v>
      </c>
      <c r="B141" s="12"/>
      <c r="C141" s="12" t="s">
        <v>50</v>
      </c>
      <c r="D141" s="12"/>
      <c r="E141" s="32">
        <v>43844</v>
      </c>
      <c r="G141" s="8">
        <f>6515517+504999</f>
        <v>7020516</v>
      </c>
      <c r="I141" s="8">
        <v>0</v>
      </c>
      <c r="K141" s="3">
        <f t="shared" si="8"/>
        <v>68731923</v>
      </c>
      <c r="M141" s="8">
        <v>75752439</v>
      </c>
      <c r="O141" s="3">
        <f t="shared" si="9"/>
        <v>9172783</v>
      </c>
      <c r="Q141" s="8">
        <v>61687352</v>
      </c>
      <c r="S141" s="8">
        <v>70860135</v>
      </c>
      <c r="U141" s="8">
        <f>1176823+412851+3376208+170432+75000</f>
        <v>5211314</v>
      </c>
      <c r="W141" s="8">
        <v>0</v>
      </c>
      <c r="Y141" s="8">
        <v>-319010</v>
      </c>
      <c r="AA141" s="14">
        <f t="shared" si="10"/>
        <v>4892304</v>
      </c>
      <c r="AB141" s="8"/>
      <c r="AC141" s="8">
        <f t="shared" si="11"/>
        <v>0</v>
      </c>
    </row>
    <row r="142" spans="1:30">
      <c r="A142" s="12" t="s">
        <v>397</v>
      </c>
      <c r="B142" s="12"/>
      <c r="C142" s="12" t="s">
        <v>32</v>
      </c>
      <c r="D142" s="12"/>
      <c r="E142" s="32">
        <v>43851</v>
      </c>
      <c r="G142" s="8">
        <v>2267614</v>
      </c>
      <c r="I142" s="8">
        <v>53055</v>
      </c>
      <c r="K142" s="3">
        <f t="shared" si="8"/>
        <v>8904593</v>
      </c>
      <c r="M142" s="8">
        <v>11225262</v>
      </c>
      <c r="O142" s="3">
        <f t="shared" si="9"/>
        <v>1612113</v>
      </c>
      <c r="Q142" s="8">
        <v>5738614</v>
      </c>
      <c r="S142" s="8">
        <v>7350727</v>
      </c>
      <c r="U142" s="8">
        <f>190166+3052000+53055</f>
        <v>3295221</v>
      </c>
      <c r="W142" s="8">
        <v>0</v>
      </c>
      <c r="Y142" s="8">
        <v>579314</v>
      </c>
      <c r="AA142" s="14">
        <f t="shared" si="10"/>
        <v>3874535</v>
      </c>
      <c r="AB142" s="8"/>
      <c r="AC142" s="8">
        <f t="shared" si="11"/>
        <v>0</v>
      </c>
    </row>
    <row r="143" spans="1:30">
      <c r="A143" s="12" t="s">
        <v>338</v>
      </c>
      <c r="B143" s="12"/>
      <c r="C143" s="12" t="s">
        <v>23</v>
      </c>
      <c r="D143" s="12"/>
      <c r="E143" s="32">
        <v>43877</v>
      </c>
      <c r="G143" s="8">
        <v>9075956</v>
      </c>
      <c r="I143" s="8">
        <v>0</v>
      </c>
      <c r="K143" s="3">
        <f t="shared" si="8"/>
        <v>24793308</v>
      </c>
      <c r="M143" s="8">
        <v>33869264</v>
      </c>
      <c r="O143" s="3">
        <f t="shared" si="9"/>
        <v>6190748</v>
      </c>
      <c r="Q143" s="8">
        <v>19494905</v>
      </c>
      <c r="S143" s="8">
        <v>25685653</v>
      </c>
      <c r="U143" s="8">
        <f>174623+5067393</f>
        <v>5242016</v>
      </c>
      <c r="W143" s="8">
        <v>367699</v>
      </c>
      <c r="Y143" s="8">
        <v>2573896</v>
      </c>
      <c r="AA143" s="14">
        <f t="shared" si="10"/>
        <v>8183611</v>
      </c>
      <c r="AB143" s="8"/>
      <c r="AC143" s="8">
        <f t="shared" si="11"/>
        <v>0</v>
      </c>
    </row>
    <row r="144" spans="1:30">
      <c r="A144" s="12" t="s">
        <v>212</v>
      </c>
      <c r="B144" s="12"/>
      <c r="C144" s="12" t="s">
        <v>10</v>
      </c>
      <c r="D144" s="12"/>
      <c r="E144" s="32">
        <v>43885</v>
      </c>
      <c r="G144" s="8">
        <v>344767</v>
      </c>
      <c r="I144" s="8">
        <v>42068</v>
      </c>
      <c r="K144" s="3">
        <f t="shared" si="8"/>
        <v>4861530</v>
      </c>
      <c r="M144" s="8">
        <v>5248365</v>
      </c>
      <c r="O144" s="3">
        <f t="shared" si="9"/>
        <v>1186884</v>
      </c>
      <c r="Q144" s="8">
        <v>4428974</v>
      </c>
      <c r="S144" s="8">
        <v>5615858</v>
      </c>
      <c r="U144" s="8">
        <f>320670+42068+72128</f>
        <v>434866</v>
      </c>
      <c r="W144" s="8">
        <v>0</v>
      </c>
      <c r="Y144" s="8">
        <v>-802359</v>
      </c>
      <c r="AA144" s="14">
        <f t="shared" si="10"/>
        <v>-367493</v>
      </c>
      <c r="AB144" s="8"/>
      <c r="AC144" s="8">
        <f t="shared" si="11"/>
        <v>0</v>
      </c>
    </row>
    <row r="145" spans="1:29">
      <c r="A145" s="12" t="s">
        <v>700</v>
      </c>
      <c r="B145" s="12"/>
      <c r="C145" s="12" t="s">
        <v>65</v>
      </c>
      <c r="D145" s="12"/>
      <c r="E145" s="32">
        <v>43893</v>
      </c>
      <c r="G145" s="8">
        <v>3727610</v>
      </c>
      <c r="I145" s="8">
        <v>0</v>
      </c>
      <c r="K145" s="3">
        <f t="shared" si="8"/>
        <v>11841611</v>
      </c>
      <c r="M145" s="8">
        <v>15569221</v>
      </c>
      <c r="O145" s="3">
        <f t="shared" si="9"/>
        <v>3028405</v>
      </c>
      <c r="Q145" s="8">
        <v>10900788</v>
      </c>
      <c r="S145" s="8">
        <v>13929193</v>
      </c>
      <c r="U145" s="8">
        <f>449653+770952</f>
        <v>1220605</v>
      </c>
      <c r="W145" s="8">
        <v>0</v>
      </c>
      <c r="Y145" s="8">
        <v>419423</v>
      </c>
      <c r="AA145" s="14">
        <f t="shared" si="10"/>
        <v>1640028</v>
      </c>
      <c r="AB145" s="8"/>
      <c r="AC145" s="8">
        <f t="shared" si="11"/>
        <v>0</v>
      </c>
    </row>
    <row r="146" spans="1:29">
      <c r="A146" s="12" t="s">
        <v>359</v>
      </c>
      <c r="B146" s="12"/>
      <c r="C146" s="12" t="s">
        <v>27</v>
      </c>
      <c r="D146" s="12"/>
      <c r="E146" s="32">
        <v>47027</v>
      </c>
      <c r="G146" s="8">
        <v>51100448</v>
      </c>
      <c r="I146" s="8">
        <v>0</v>
      </c>
      <c r="K146" s="3">
        <f t="shared" si="8"/>
        <v>162530612</v>
      </c>
      <c r="M146" s="8">
        <v>213631060</v>
      </c>
      <c r="O146" s="3">
        <f t="shared" si="9"/>
        <v>16816738</v>
      </c>
      <c r="Q146" s="8">
        <v>130407377</v>
      </c>
      <c r="S146" s="8">
        <v>147224115</v>
      </c>
      <c r="U146" s="8">
        <f>2237149+118277</f>
        <v>2355426</v>
      </c>
      <c r="W146" s="8">
        <v>31684383</v>
      </c>
      <c r="Y146" s="8">
        <v>32367136</v>
      </c>
      <c r="AA146" s="14">
        <f t="shared" si="10"/>
        <v>66406945</v>
      </c>
      <c r="AB146" s="8"/>
      <c r="AC146" s="8">
        <f t="shared" ref="AC146:AC160" si="12">+G146+I146+K146-O146-Q146-Y146-W146-U146</f>
        <v>0</v>
      </c>
    </row>
    <row r="147" spans="1:29">
      <c r="A147" s="12" t="s">
        <v>280</v>
      </c>
      <c r="B147" s="12"/>
      <c r="C147" s="12" t="s">
        <v>18</v>
      </c>
      <c r="D147" s="12"/>
      <c r="E147" s="32">
        <v>46409</v>
      </c>
      <c r="G147" s="8">
        <v>397923</v>
      </c>
      <c r="I147" s="8">
        <v>34775</v>
      </c>
      <c r="K147" s="3">
        <f t="shared" si="8"/>
        <v>2714078</v>
      </c>
      <c r="M147" s="8">
        <v>3146776</v>
      </c>
      <c r="O147" s="3">
        <f t="shared" si="9"/>
        <v>1420236</v>
      </c>
      <c r="Q147" s="8">
        <v>2528070</v>
      </c>
      <c r="S147" s="8">
        <v>3948306</v>
      </c>
      <c r="U147" s="8">
        <f>14671+176644+34775</f>
        <v>226090</v>
      </c>
      <c r="W147" s="8">
        <v>0</v>
      </c>
      <c r="Y147" s="8">
        <v>-1027620</v>
      </c>
      <c r="AA147" s="14">
        <f t="shared" si="10"/>
        <v>-801530</v>
      </c>
      <c r="AB147" s="8"/>
      <c r="AC147" s="8">
        <f t="shared" si="12"/>
        <v>0</v>
      </c>
    </row>
    <row r="148" spans="1:29">
      <c r="A148" s="12" t="s">
        <v>394</v>
      </c>
      <c r="B148" s="12"/>
      <c r="C148" s="12" t="s">
        <v>31</v>
      </c>
      <c r="D148" s="12"/>
      <c r="E148" s="32">
        <v>69682</v>
      </c>
      <c r="G148" s="8">
        <v>1970405</v>
      </c>
      <c r="I148" s="8">
        <v>0</v>
      </c>
      <c r="K148" s="3">
        <f t="shared" ref="K148:K160" si="13">+M148-I148-G148</f>
        <v>2520416</v>
      </c>
      <c r="M148" s="8">
        <v>4490821</v>
      </c>
      <c r="O148" s="3">
        <f t="shared" si="9"/>
        <v>1038636</v>
      </c>
      <c r="Q148" s="8">
        <v>1910462</v>
      </c>
      <c r="S148" s="8">
        <v>2949098</v>
      </c>
      <c r="U148" s="8">
        <f>226721+563987</f>
        <v>790708</v>
      </c>
      <c r="W148" s="8">
        <v>0</v>
      </c>
      <c r="Y148" s="8">
        <v>751015</v>
      </c>
      <c r="AA148" s="14">
        <f t="shared" ref="AA148:AA160" si="14">+Y148+W148++U148</f>
        <v>1541723</v>
      </c>
      <c r="AB148" s="8"/>
      <c r="AC148" s="8">
        <f t="shared" si="12"/>
        <v>0</v>
      </c>
    </row>
    <row r="149" spans="1:29">
      <c r="A149" s="12" t="s">
        <v>446</v>
      </c>
      <c r="B149" s="12"/>
      <c r="C149" s="12" t="s">
        <v>36</v>
      </c>
      <c r="D149" s="12"/>
      <c r="E149" s="32">
        <v>47688</v>
      </c>
      <c r="G149" s="8">
        <v>6018493</v>
      </c>
      <c r="I149" s="8">
        <v>0</v>
      </c>
      <c r="K149" s="3">
        <f t="shared" si="13"/>
        <v>7653186</v>
      </c>
      <c r="M149" s="8">
        <v>13671679</v>
      </c>
      <c r="O149" s="3">
        <f t="shared" ref="O149:O160" si="15">+S149-Q149</f>
        <v>1711951</v>
      </c>
      <c r="Q149" s="8">
        <v>7394741</v>
      </c>
      <c r="S149" s="8">
        <v>9106692</v>
      </c>
      <c r="U149" s="8">
        <f>198959+121042</f>
        <v>320001</v>
      </c>
      <c r="W149" s="8">
        <v>4244986</v>
      </c>
      <c r="Y149" s="8">
        <v>0</v>
      </c>
      <c r="AA149" s="14">
        <f t="shared" si="14"/>
        <v>4564987</v>
      </c>
      <c r="AB149" s="8"/>
      <c r="AC149" s="8">
        <f t="shared" si="12"/>
        <v>0</v>
      </c>
    </row>
    <row r="150" spans="1:29">
      <c r="A150" s="12" t="s">
        <v>285</v>
      </c>
      <c r="B150" s="12"/>
      <c r="C150" s="12" t="s">
        <v>115</v>
      </c>
      <c r="D150" s="12"/>
      <c r="E150" s="32">
        <v>43919</v>
      </c>
      <c r="G150" s="8">
        <v>3160905</v>
      </c>
      <c r="I150" s="8">
        <v>50285</v>
      </c>
      <c r="K150" s="3">
        <f t="shared" si="13"/>
        <v>5087353</v>
      </c>
      <c r="M150" s="8">
        <v>8298543</v>
      </c>
      <c r="O150" s="3">
        <f t="shared" si="15"/>
        <v>6434052</v>
      </c>
      <c r="Q150" s="8">
        <v>885152</v>
      </c>
      <c r="S150" s="8">
        <v>7319204</v>
      </c>
      <c r="U150" s="8">
        <f>325242+26258+128267+30794+50285</f>
        <v>560846</v>
      </c>
      <c r="W150" s="8">
        <v>0</v>
      </c>
      <c r="Y150" s="8">
        <v>418493</v>
      </c>
      <c r="AA150" s="14">
        <f t="shared" si="14"/>
        <v>979339</v>
      </c>
      <c r="AB150" s="8"/>
      <c r="AC150" s="8">
        <f t="shared" si="12"/>
        <v>0</v>
      </c>
    </row>
    <row r="151" spans="1:29">
      <c r="A151" s="12" t="s">
        <v>571</v>
      </c>
      <c r="B151" s="12"/>
      <c r="C151" s="12" t="s">
        <v>51</v>
      </c>
      <c r="D151" s="12"/>
      <c r="E151" s="32">
        <v>48835</v>
      </c>
      <c r="G151" s="8">
        <v>2880332</v>
      </c>
      <c r="I151" s="8">
        <v>19288</v>
      </c>
      <c r="K151" s="3">
        <f t="shared" si="13"/>
        <v>5842466</v>
      </c>
      <c r="M151" s="8">
        <v>8742086</v>
      </c>
      <c r="O151" s="3">
        <f t="shared" si="15"/>
        <v>1902512</v>
      </c>
      <c r="Q151" s="8">
        <v>5122791</v>
      </c>
      <c r="S151" s="8">
        <v>7025303</v>
      </c>
      <c r="U151" s="8">
        <f>295432+3271+25275+518835</f>
        <v>842813</v>
      </c>
      <c r="W151" s="8">
        <v>873970</v>
      </c>
      <c r="Y151" s="8">
        <v>0</v>
      </c>
      <c r="AA151" s="14">
        <f t="shared" si="14"/>
        <v>1716783</v>
      </c>
      <c r="AB151" s="8"/>
      <c r="AC151" s="8">
        <f t="shared" si="12"/>
        <v>0</v>
      </c>
    </row>
    <row r="152" spans="1:29">
      <c r="A152" s="12" t="s">
        <v>286</v>
      </c>
      <c r="B152" s="12"/>
      <c r="C152" s="12" t="s">
        <v>115</v>
      </c>
      <c r="D152" s="12"/>
      <c r="E152" s="32">
        <v>43927</v>
      </c>
      <c r="G152" s="8">
        <v>627891</v>
      </c>
      <c r="I152" s="8">
        <v>66623</v>
      </c>
      <c r="K152" s="3">
        <f t="shared" si="13"/>
        <v>2033034</v>
      </c>
      <c r="M152" s="8">
        <v>2727548</v>
      </c>
      <c r="O152" s="3">
        <f t="shared" si="15"/>
        <v>1120462</v>
      </c>
      <c r="Q152" s="8">
        <v>1949355</v>
      </c>
      <c r="S152" s="8">
        <v>3069817</v>
      </c>
      <c r="U152" s="8">
        <f>180987+83624+66623</f>
        <v>331234</v>
      </c>
      <c r="W152" s="8">
        <v>0</v>
      </c>
      <c r="Y152" s="8">
        <v>-673503</v>
      </c>
      <c r="AA152" s="14">
        <f t="shared" si="14"/>
        <v>-342269</v>
      </c>
      <c r="AB152" s="8"/>
      <c r="AC152" s="8">
        <f t="shared" si="12"/>
        <v>0</v>
      </c>
    </row>
    <row r="153" spans="1:29">
      <c r="A153" s="12" t="s">
        <v>240</v>
      </c>
      <c r="B153" s="12"/>
      <c r="C153" s="12" t="s">
        <v>77</v>
      </c>
      <c r="D153" s="12"/>
      <c r="E153" s="32">
        <v>46037</v>
      </c>
      <c r="G153" s="8">
        <v>950028</v>
      </c>
      <c r="I153" s="8">
        <v>125017</v>
      </c>
      <c r="K153" s="3">
        <f t="shared" si="13"/>
        <v>3866638</v>
      </c>
      <c r="M153" s="8">
        <v>4941683</v>
      </c>
      <c r="O153" s="3">
        <f t="shared" si="15"/>
        <v>1505845</v>
      </c>
      <c r="Q153" s="8">
        <v>3290779</v>
      </c>
      <c r="S153" s="8">
        <v>4796624</v>
      </c>
      <c r="U153" s="8">
        <f>44863+575859+88258+36759</f>
        <v>745739</v>
      </c>
      <c r="W153" s="8">
        <v>0</v>
      </c>
      <c r="Y153" s="8">
        <v>-600680</v>
      </c>
      <c r="AA153" s="14">
        <f t="shared" si="14"/>
        <v>145059</v>
      </c>
      <c r="AB153" s="8"/>
      <c r="AC153" s="8">
        <f t="shared" si="12"/>
        <v>0</v>
      </c>
    </row>
    <row r="154" spans="1:29">
      <c r="A154" s="12" t="s">
        <v>740</v>
      </c>
      <c r="B154" s="12"/>
      <c r="C154" s="12" t="s">
        <v>72</v>
      </c>
      <c r="D154" s="12"/>
      <c r="E154" s="32">
        <v>50674</v>
      </c>
      <c r="G154" s="8">
        <v>3991704</v>
      </c>
      <c r="I154" s="8">
        <v>39368</v>
      </c>
      <c r="K154" s="3">
        <f t="shared" si="13"/>
        <v>6073038</v>
      </c>
      <c r="M154" s="8">
        <v>10104110</v>
      </c>
      <c r="O154" s="3">
        <f t="shared" si="15"/>
        <v>1971399</v>
      </c>
      <c r="Q154" s="8">
        <v>4164313</v>
      </c>
      <c r="S154" s="8">
        <v>6135712</v>
      </c>
      <c r="U154" s="8">
        <f>202792+136648+664992+39368</f>
        <v>1043800</v>
      </c>
      <c r="W154" s="8">
        <v>0</v>
      </c>
      <c r="Y154" s="8">
        <v>2924598</v>
      </c>
      <c r="AA154" s="14">
        <f t="shared" si="14"/>
        <v>3968398</v>
      </c>
      <c r="AB154" s="8"/>
      <c r="AC154" s="8">
        <f t="shared" si="12"/>
        <v>0</v>
      </c>
    </row>
    <row r="155" spans="1:29">
      <c r="A155" s="12" t="s">
        <v>974</v>
      </c>
      <c r="B155" s="12"/>
      <c r="C155" s="12" t="s">
        <v>57</v>
      </c>
      <c r="D155" s="12"/>
      <c r="E155" s="32">
        <v>43935</v>
      </c>
      <c r="G155" s="8">
        <v>981321</v>
      </c>
      <c r="I155" s="8">
        <v>1076010</v>
      </c>
      <c r="K155" s="3">
        <f t="shared" si="13"/>
        <v>14799224</v>
      </c>
      <c r="M155" s="8">
        <v>16856555</v>
      </c>
      <c r="O155" s="3">
        <f t="shared" si="15"/>
        <v>1780370</v>
      </c>
      <c r="Q155" s="8">
        <v>4903434</v>
      </c>
      <c r="S155" s="8">
        <v>6683804</v>
      </c>
      <c r="U155" s="8">
        <f>313061+136798+310801+1076010</f>
        <v>1836670</v>
      </c>
      <c r="W155" s="8">
        <v>0</v>
      </c>
      <c r="Y155" s="8">
        <v>8336081</v>
      </c>
      <c r="AA155" s="14">
        <f t="shared" si="14"/>
        <v>10172751</v>
      </c>
      <c r="AB155" s="8"/>
      <c r="AC155" s="8">
        <f t="shared" si="12"/>
        <v>0</v>
      </c>
    </row>
    <row r="156" spans="1:29" hidden="1">
      <c r="A156" s="12" t="s">
        <v>734</v>
      </c>
      <c r="B156" s="12"/>
      <c r="C156" s="12" t="s">
        <v>733</v>
      </c>
      <c r="D156" s="12"/>
      <c r="E156" s="32">
        <v>50617</v>
      </c>
      <c r="K156" s="3">
        <f t="shared" si="13"/>
        <v>0</v>
      </c>
      <c r="O156" s="3">
        <f t="shared" si="15"/>
        <v>0</v>
      </c>
      <c r="AA156" s="14">
        <f t="shared" si="14"/>
        <v>0</v>
      </c>
      <c r="AB156" s="8"/>
      <c r="AC156" s="8">
        <f t="shared" si="12"/>
        <v>0</v>
      </c>
    </row>
    <row r="157" spans="1:29" hidden="1">
      <c r="A157" s="12" t="s">
        <v>245</v>
      </c>
      <c r="B157" s="12"/>
      <c r="C157" s="12" t="s">
        <v>246</v>
      </c>
      <c r="D157" s="12"/>
      <c r="E157" s="32">
        <v>46094</v>
      </c>
      <c r="K157" s="3">
        <f t="shared" si="13"/>
        <v>0</v>
      </c>
      <c r="O157" s="3">
        <f t="shared" si="15"/>
        <v>0</v>
      </c>
      <c r="AA157" s="14">
        <f t="shared" si="14"/>
        <v>0</v>
      </c>
      <c r="AB157" s="8"/>
      <c r="AC157" s="8">
        <f t="shared" si="12"/>
        <v>0</v>
      </c>
    </row>
    <row r="158" spans="1:29">
      <c r="A158" s="12" t="s">
        <v>245</v>
      </c>
      <c r="B158" s="12"/>
      <c r="C158" s="12" t="s">
        <v>246</v>
      </c>
      <c r="D158" s="12"/>
      <c r="E158" s="32">
        <v>43935</v>
      </c>
      <c r="G158" s="8">
        <v>6418898</v>
      </c>
      <c r="I158" s="8">
        <v>123223</v>
      </c>
      <c r="K158" s="3">
        <f>+M158-I158-G158</f>
        <v>12733302</v>
      </c>
      <c r="M158" s="8">
        <v>19275423</v>
      </c>
      <c r="O158" s="3">
        <f>+S158-Q158</f>
        <v>16102503</v>
      </c>
      <c r="Q158" s="8">
        <v>110016</v>
      </c>
      <c r="S158" s="8">
        <v>16212519</v>
      </c>
      <c r="U158" s="8">
        <f>26528+123223+180000+6236</f>
        <v>335987</v>
      </c>
      <c r="W158" s="8">
        <v>0</v>
      </c>
      <c r="Y158" s="8">
        <v>2726917</v>
      </c>
      <c r="AA158" s="14">
        <f>+Y158+W158++U158</f>
        <v>3062904</v>
      </c>
      <c r="AB158" s="8"/>
      <c r="AC158" s="8">
        <f>+G158+I158+K158-O158-Q158-Y158-W158-U158</f>
        <v>0</v>
      </c>
    </row>
    <row r="159" spans="1:29">
      <c r="A159" s="12" t="s">
        <v>455</v>
      </c>
      <c r="B159" s="12"/>
      <c r="C159" s="12" t="s">
        <v>39</v>
      </c>
      <c r="D159" s="12"/>
      <c r="E159" s="32">
        <v>47795</v>
      </c>
      <c r="G159" s="8">
        <v>0</v>
      </c>
      <c r="I159" s="8">
        <v>0</v>
      </c>
      <c r="K159" s="3">
        <f t="shared" si="13"/>
        <v>7765660</v>
      </c>
      <c r="M159" s="8">
        <v>7765660</v>
      </c>
      <c r="O159" s="3">
        <f t="shared" si="15"/>
        <v>8770846</v>
      </c>
      <c r="Q159" s="8">
        <v>558107</v>
      </c>
      <c r="S159" s="8">
        <v>9328953</v>
      </c>
      <c r="U159" s="8">
        <f>75713+13429+474955+14911</f>
        <v>579008</v>
      </c>
      <c r="W159" s="8">
        <v>0</v>
      </c>
      <c r="Y159" s="8">
        <v>-2142301</v>
      </c>
      <c r="AA159" s="14">
        <f t="shared" si="14"/>
        <v>-1563293</v>
      </c>
      <c r="AB159" s="8"/>
      <c r="AC159" s="8">
        <f t="shared" si="12"/>
        <v>0</v>
      </c>
    </row>
    <row r="160" spans="1:29" s="35" customFormat="1">
      <c r="A160" s="34" t="s">
        <v>735</v>
      </c>
      <c r="B160" s="34"/>
      <c r="C160" s="34" t="s">
        <v>733</v>
      </c>
      <c r="D160" s="34"/>
      <c r="E160" s="32">
        <v>50625</v>
      </c>
      <c r="G160" s="8">
        <v>3097114</v>
      </c>
      <c r="H160" s="8"/>
      <c r="I160" s="8">
        <v>0</v>
      </c>
      <c r="J160" s="8"/>
      <c r="K160" s="3">
        <f t="shared" si="13"/>
        <v>1612939</v>
      </c>
      <c r="L160" s="8"/>
      <c r="M160" s="8">
        <v>4710053</v>
      </c>
      <c r="N160" s="8"/>
      <c r="O160" s="3">
        <f t="shared" si="15"/>
        <v>597726</v>
      </c>
      <c r="P160" s="8"/>
      <c r="Q160" s="8">
        <v>1517976</v>
      </c>
      <c r="R160" s="8"/>
      <c r="S160" s="8">
        <v>2115702</v>
      </c>
      <c r="T160" s="8"/>
      <c r="U160" s="8">
        <f>17594+23690+12502+34451</f>
        <v>88237</v>
      </c>
      <c r="V160" s="8"/>
      <c r="W160" s="8">
        <v>0</v>
      </c>
      <c r="X160" s="8"/>
      <c r="Y160" s="8">
        <v>2506114</v>
      </c>
      <c r="Z160" s="8"/>
      <c r="AA160" s="14">
        <f t="shared" si="14"/>
        <v>2594351</v>
      </c>
      <c r="AB160" s="8"/>
      <c r="AC160" s="8">
        <f t="shared" si="12"/>
        <v>0</v>
      </c>
    </row>
    <row r="161" spans="1:29" s="8" customFormat="1">
      <c r="A161" s="13" t="s">
        <v>526</v>
      </c>
      <c r="B161" s="13"/>
      <c r="C161" s="13" t="s">
        <v>46</v>
      </c>
      <c r="D161" s="13"/>
      <c r="E161" s="13">
        <v>48413</v>
      </c>
      <c r="G161" s="8">
        <v>1081418</v>
      </c>
      <c r="I161" s="8">
        <v>0</v>
      </c>
      <c r="K161" s="3">
        <f>+M161-I161-G161</f>
        <v>4092051</v>
      </c>
      <c r="M161" s="8">
        <v>5173469</v>
      </c>
      <c r="O161" s="3">
        <f>+S161-Q161</f>
        <v>1636215</v>
      </c>
      <c r="Q161" s="8">
        <v>2957841</v>
      </c>
      <c r="S161" s="8">
        <v>4594056</v>
      </c>
      <c r="U161" s="8">
        <f>1010212+18979+76925+72315</f>
        <v>1178431</v>
      </c>
      <c r="W161" s="8">
        <v>0</v>
      </c>
      <c r="Y161" s="8">
        <v>-599018</v>
      </c>
      <c r="AA161" s="14">
        <f>+Y161+W161++U161</f>
        <v>579413</v>
      </c>
      <c r="AC161" s="8">
        <f>+G161+I161+K161-O161-Q161-Y161-W161-U161</f>
        <v>0</v>
      </c>
    </row>
    <row r="162" spans="1:29">
      <c r="A162" s="12" t="s">
        <v>493</v>
      </c>
      <c r="B162" s="12"/>
      <c r="C162" s="12" t="s">
        <v>44</v>
      </c>
      <c r="D162" s="12"/>
      <c r="E162" s="32">
        <v>43943</v>
      </c>
      <c r="G162" s="8">
        <v>4488592</v>
      </c>
      <c r="I162" s="8">
        <v>0</v>
      </c>
      <c r="K162" s="3">
        <f t="shared" ref="K162:K208" si="16">+M162-I162-G162</f>
        <v>32415909</v>
      </c>
      <c r="M162" s="8">
        <v>36904501</v>
      </c>
      <c r="O162" s="3">
        <f t="shared" ref="O162:O208" si="17">+S162-Q162</f>
        <v>7067003</v>
      </c>
      <c r="Q162" s="8">
        <v>27229950</v>
      </c>
      <c r="S162" s="8">
        <v>34296953</v>
      </c>
      <c r="U162" s="8">
        <f>1445690+195662+3353093+44236</f>
        <v>5038681</v>
      </c>
      <c r="W162" s="8">
        <v>0</v>
      </c>
      <c r="Y162" s="8">
        <v>-2431133</v>
      </c>
      <c r="AA162" s="14">
        <f t="shared" ref="AA162:AA210" si="18">+Y162+W162++U162</f>
        <v>2607548</v>
      </c>
      <c r="AB162" s="8"/>
      <c r="AC162" s="8">
        <f t="shared" ref="AC162:AC210" si="19">+G162+I162+K162-O162-Q162-Y162-W162-U162</f>
        <v>0</v>
      </c>
    </row>
    <row r="163" spans="1:29">
      <c r="A163" s="12" t="s">
        <v>310</v>
      </c>
      <c r="B163" s="12"/>
      <c r="C163" s="12" t="s">
        <v>20</v>
      </c>
      <c r="D163" s="12"/>
      <c r="E163" s="32">
        <v>43950</v>
      </c>
      <c r="G163" s="8">
        <f>4550285+3996455</f>
        <v>8546740</v>
      </c>
      <c r="I163" s="8">
        <v>1276135</v>
      </c>
      <c r="K163" s="3">
        <f t="shared" si="16"/>
        <v>37087539</v>
      </c>
      <c r="M163" s="8">
        <v>46910414</v>
      </c>
      <c r="O163" s="3">
        <f t="shared" si="17"/>
        <v>6770366</v>
      </c>
      <c r="Q163" s="8">
        <v>31041257</v>
      </c>
      <c r="S163" s="8">
        <v>37811623</v>
      </c>
      <c r="U163" s="8">
        <f>1217086+107828+79186+4085353+1276135</f>
        <v>6765588</v>
      </c>
      <c r="W163" s="8">
        <v>0</v>
      </c>
      <c r="Y163" s="8">
        <v>2333203</v>
      </c>
      <c r="AA163" s="14">
        <f t="shared" si="18"/>
        <v>9098791</v>
      </c>
      <c r="AB163" s="8"/>
      <c r="AC163" s="8">
        <f t="shared" si="19"/>
        <v>0</v>
      </c>
    </row>
    <row r="164" spans="1:29" hidden="1">
      <c r="A164" s="12" t="s">
        <v>373</v>
      </c>
      <c r="B164" s="12"/>
      <c r="C164" s="12" t="s">
        <v>28</v>
      </c>
      <c r="D164" s="12"/>
      <c r="E164" s="32">
        <v>47050</v>
      </c>
      <c r="K164" s="3">
        <f t="shared" si="16"/>
        <v>0</v>
      </c>
      <c r="O164" s="3">
        <f t="shared" si="17"/>
        <v>0</v>
      </c>
      <c r="AA164" s="14">
        <f t="shared" si="18"/>
        <v>0</v>
      </c>
      <c r="AB164" s="8"/>
      <c r="AC164" s="8">
        <f t="shared" si="19"/>
        <v>0</v>
      </c>
    </row>
    <row r="165" spans="1:29">
      <c r="A165" s="12" t="s">
        <v>707</v>
      </c>
      <c r="B165" s="12"/>
      <c r="C165" s="12" t="s">
        <v>66</v>
      </c>
      <c r="D165" s="12"/>
      <c r="E165" s="32">
        <v>50328</v>
      </c>
      <c r="G165" s="8">
        <v>1728050</v>
      </c>
      <c r="I165" s="8">
        <v>87102</v>
      </c>
      <c r="K165" s="3">
        <f t="shared" si="16"/>
        <v>4764461</v>
      </c>
      <c r="M165" s="8">
        <v>6579613</v>
      </c>
      <c r="O165" s="3">
        <f t="shared" si="17"/>
        <v>4756026</v>
      </c>
      <c r="Q165" s="8">
        <v>70303</v>
      </c>
      <c r="S165" s="8">
        <v>4826329</v>
      </c>
      <c r="U165" s="8">
        <f>35394+539904+87102</f>
        <v>662400</v>
      </c>
      <c r="W165" s="8">
        <v>0</v>
      </c>
      <c r="Y165" s="8">
        <v>1090884</v>
      </c>
      <c r="AA165" s="14">
        <f t="shared" si="18"/>
        <v>1753284</v>
      </c>
      <c r="AB165" s="8"/>
      <c r="AC165" s="8">
        <f t="shared" si="19"/>
        <v>0</v>
      </c>
    </row>
    <row r="166" spans="1:29">
      <c r="A166" s="12" t="s">
        <v>884</v>
      </c>
      <c r="B166" s="12"/>
      <c r="C166" s="12" t="s">
        <v>117</v>
      </c>
      <c r="D166" s="12"/>
      <c r="E166" s="32">
        <v>46102</v>
      </c>
      <c r="G166" s="8">
        <v>2169550</v>
      </c>
      <c r="I166" s="8">
        <v>641908</v>
      </c>
      <c r="K166" s="3">
        <f>+M166-I166-G166</f>
        <v>17965025</v>
      </c>
      <c r="M166" s="8">
        <v>20776483</v>
      </c>
      <c r="O166" s="3">
        <f>+S166-Q166</f>
        <v>5170591</v>
      </c>
      <c r="Q166" s="8">
        <v>15561794</v>
      </c>
      <c r="S166" s="8">
        <v>20732385</v>
      </c>
      <c r="U166" s="8">
        <f>289616+8596+760265+641908</f>
        <v>1700385</v>
      </c>
      <c r="W166" s="8">
        <v>0</v>
      </c>
      <c r="Y166" s="8">
        <v>-1656287</v>
      </c>
      <c r="AA166" s="14">
        <f>+Y166+W166++U166</f>
        <v>44098</v>
      </c>
      <c r="AB166" s="8"/>
      <c r="AC166" s="8">
        <f>+G166+I166+K166-O166-Q166-Y166-W166-U166</f>
        <v>0</v>
      </c>
    </row>
    <row r="167" spans="1:29">
      <c r="A167" s="12" t="s">
        <v>247</v>
      </c>
      <c r="B167" s="12"/>
      <c r="C167" s="12" t="s">
        <v>246</v>
      </c>
      <c r="D167" s="12"/>
      <c r="E167" s="32">
        <v>46102</v>
      </c>
      <c r="G167" s="8">
        <v>16913150</v>
      </c>
      <c r="I167" s="8">
        <v>203843</v>
      </c>
      <c r="K167" s="3">
        <f t="shared" si="16"/>
        <v>45684565</v>
      </c>
      <c r="M167" s="8">
        <v>62801558</v>
      </c>
      <c r="O167" s="3">
        <f t="shared" si="17"/>
        <v>9736365</v>
      </c>
      <c r="Q167" s="8">
        <v>43822950</v>
      </c>
      <c r="S167" s="8">
        <v>53559315</v>
      </c>
      <c r="U167" s="8">
        <f>484613+1092785+203843</f>
        <v>1781241</v>
      </c>
      <c r="W167" s="8">
        <v>0</v>
      </c>
      <c r="Y167" s="8">
        <v>7461002</v>
      </c>
      <c r="AA167" s="14">
        <f t="shared" si="18"/>
        <v>9242243</v>
      </c>
      <c r="AB167" s="8"/>
      <c r="AC167" s="8">
        <f t="shared" si="19"/>
        <v>0</v>
      </c>
    </row>
    <row r="168" spans="1:29">
      <c r="A168" s="12" t="s">
        <v>441</v>
      </c>
      <c r="B168" s="12"/>
      <c r="C168" s="12" t="s">
        <v>440</v>
      </c>
      <c r="D168" s="12"/>
      <c r="E168" s="32">
        <v>47621</v>
      </c>
      <c r="G168" s="8">
        <v>897128</v>
      </c>
      <c r="I168" s="8">
        <f>21084+72000</f>
        <v>93084</v>
      </c>
      <c r="K168" s="3">
        <f t="shared" si="16"/>
        <v>1368378</v>
      </c>
      <c r="M168" s="8">
        <v>2358590</v>
      </c>
      <c r="O168" s="3">
        <f t="shared" si="17"/>
        <v>1771108</v>
      </c>
      <c r="Q168" s="8">
        <v>1336738</v>
      </c>
      <c r="S168" s="8">
        <v>3107846</v>
      </c>
      <c r="U168" s="8">
        <f>113434+72000+31640+21084</f>
        <v>238158</v>
      </c>
      <c r="W168" s="8">
        <v>0</v>
      </c>
      <c r="Y168" s="8">
        <v>-987414</v>
      </c>
      <c r="AA168" s="14">
        <f t="shared" si="18"/>
        <v>-749256</v>
      </c>
      <c r="AB168" s="8"/>
      <c r="AC168" s="8">
        <f t="shared" si="19"/>
        <v>0</v>
      </c>
    </row>
    <row r="169" spans="1:29">
      <c r="A169" s="12" t="s">
        <v>350</v>
      </c>
      <c r="B169" s="12"/>
      <c r="C169" s="12" t="s">
        <v>25</v>
      </c>
      <c r="D169" s="12"/>
      <c r="E169" s="32">
        <v>46870</v>
      </c>
      <c r="G169" s="8">
        <v>2382595</v>
      </c>
      <c r="I169" s="8">
        <v>0</v>
      </c>
      <c r="K169" s="3">
        <f t="shared" si="16"/>
        <v>4762458</v>
      </c>
      <c r="M169" s="8">
        <v>7145053</v>
      </c>
      <c r="O169" s="3">
        <f t="shared" si="17"/>
        <v>1922365</v>
      </c>
      <c r="Q169" s="8">
        <v>3353795</v>
      </c>
      <c r="S169" s="8">
        <v>5276160</v>
      </c>
      <c r="U169" s="8">
        <f>134965+421411</f>
        <v>556376</v>
      </c>
      <c r="W169" s="8">
        <v>0</v>
      </c>
      <c r="Y169" s="8">
        <f>1312517</f>
        <v>1312517</v>
      </c>
      <c r="AA169" s="14">
        <f t="shared" si="18"/>
        <v>1868893</v>
      </c>
      <c r="AB169" s="8"/>
      <c r="AC169" s="8">
        <f t="shared" si="19"/>
        <v>0</v>
      </c>
    </row>
    <row r="170" spans="1:29">
      <c r="A170" s="12" t="s">
        <v>473</v>
      </c>
      <c r="B170" s="12"/>
      <c r="C170" s="12" t="s">
        <v>471</v>
      </c>
      <c r="D170" s="12"/>
      <c r="E170" s="32">
        <v>47936</v>
      </c>
      <c r="G170" s="8">
        <v>4937152</v>
      </c>
      <c r="I170" s="8">
        <v>43460</v>
      </c>
      <c r="K170" s="3">
        <f t="shared" si="16"/>
        <v>2905665</v>
      </c>
      <c r="M170" s="8">
        <v>7886277</v>
      </c>
      <c r="O170" s="3">
        <f t="shared" si="17"/>
        <v>1680682</v>
      </c>
      <c r="Q170" s="8">
        <v>2474660</v>
      </c>
      <c r="S170" s="8">
        <v>4155342</v>
      </c>
      <c r="U170" s="8">
        <f>55749+376991+5692+43460</f>
        <v>481892</v>
      </c>
      <c r="W170" s="8">
        <v>58859</v>
      </c>
      <c r="Y170" s="8">
        <v>3190184</v>
      </c>
      <c r="AA170" s="14">
        <f t="shared" si="18"/>
        <v>3730935</v>
      </c>
      <c r="AB170" s="8"/>
      <c r="AC170" s="8">
        <f t="shared" si="19"/>
        <v>0</v>
      </c>
    </row>
    <row r="171" spans="1:29" hidden="1">
      <c r="A171" s="12" t="s">
        <v>648</v>
      </c>
      <c r="B171" s="12"/>
      <c r="C171" s="12" t="s">
        <v>61</v>
      </c>
      <c r="D171" s="12"/>
      <c r="E171" s="32">
        <v>49775</v>
      </c>
      <c r="K171" s="3">
        <f t="shared" si="16"/>
        <v>0</v>
      </c>
      <c r="O171" s="3">
        <f t="shared" si="17"/>
        <v>0</v>
      </c>
      <c r="AA171" s="14">
        <f t="shared" si="18"/>
        <v>0</v>
      </c>
      <c r="AB171" s="8"/>
      <c r="AC171" s="8">
        <f t="shared" si="19"/>
        <v>0</v>
      </c>
    </row>
    <row r="172" spans="1:29">
      <c r="A172" s="12" t="s">
        <v>656</v>
      </c>
      <c r="B172" s="12"/>
      <c r="C172" s="12" t="s">
        <v>62</v>
      </c>
      <c r="D172" s="12"/>
      <c r="E172" s="32">
        <v>49841</v>
      </c>
      <c r="G172" s="8">
        <v>3419847</v>
      </c>
      <c r="I172" s="8">
        <v>0</v>
      </c>
      <c r="K172" s="3">
        <f t="shared" si="16"/>
        <v>6748620</v>
      </c>
      <c r="M172" s="8">
        <v>10168467</v>
      </c>
      <c r="O172" s="3">
        <f t="shared" si="17"/>
        <v>7862174</v>
      </c>
      <c r="Q172" s="8">
        <v>965108</v>
      </c>
      <c r="S172" s="8">
        <v>8827282</v>
      </c>
      <c r="U172" s="8">
        <f>192956+273150+10766</f>
        <v>476872</v>
      </c>
      <c r="W172" s="8">
        <v>0</v>
      </c>
      <c r="Y172" s="8">
        <v>864313</v>
      </c>
      <c r="AA172" s="14">
        <f t="shared" si="18"/>
        <v>1341185</v>
      </c>
      <c r="AB172" s="8"/>
      <c r="AC172" s="8">
        <f t="shared" si="19"/>
        <v>0</v>
      </c>
    </row>
    <row r="173" spans="1:29" hidden="1">
      <c r="A173" s="12" t="s">
        <v>463</v>
      </c>
      <c r="B173" s="12"/>
      <c r="C173" s="12" t="s">
        <v>41</v>
      </c>
      <c r="D173" s="12"/>
      <c r="E173" s="32">
        <v>45369</v>
      </c>
      <c r="K173" s="3">
        <f t="shared" si="16"/>
        <v>0</v>
      </c>
      <c r="O173" s="3">
        <f t="shared" si="17"/>
        <v>0</v>
      </c>
      <c r="AA173" s="14">
        <f t="shared" si="18"/>
        <v>0</v>
      </c>
      <c r="AB173" s="8"/>
      <c r="AC173" s="8">
        <f t="shared" si="19"/>
        <v>0</v>
      </c>
    </row>
    <row r="174" spans="1:29">
      <c r="A174" s="12" t="s">
        <v>311</v>
      </c>
      <c r="B174" s="12"/>
      <c r="C174" s="12" t="s">
        <v>20</v>
      </c>
      <c r="D174" s="12"/>
      <c r="E174" s="32">
        <v>43976</v>
      </c>
      <c r="G174" s="8">
        <v>9393281</v>
      </c>
      <c r="I174" s="8">
        <v>364682</v>
      </c>
      <c r="K174" s="3">
        <f t="shared" si="16"/>
        <v>16628942</v>
      </c>
      <c r="M174" s="8">
        <v>26386905</v>
      </c>
      <c r="O174" s="3">
        <f t="shared" si="17"/>
        <v>1719873</v>
      </c>
      <c r="Q174" s="8">
        <v>14463173</v>
      </c>
      <c r="S174" s="8">
        <v>16183046</v>
      </c>
      <c r="U174" s="8">
        <f>224320+5773+2009458+364682</f>
        <v>2604233</v>
      </c>
      <c r="W174" s="8">
        <v>0</v>
      </c>
      <c r="Y174" s="8">
        <v>7599626</v>
      </c>
      <c r="AA174" s="14">
        <f t="shared" si="18"/>
        <v>10203859</v>
      </c>
      <c r="AB174" s="8"/>
      <c r="AC174" s="8">
        <f t="shared" si="19"/>
        <v>0</v>
      </c>
    </row>
    <row r="175" spans="1:29">
      <c r="A175" s="12"/>
      <c r="B175" s="12"/>
      <c r="C175" s="12"/>
      <c r="D175" s="12"/>
      <c r="E175" s="32"/>
      <c r="K175" s="3"/>
      <c r="O175" s="3"/>
      <c r="AA175" s="14"/>
      <c r="AB175" s="8"/>
    </row>
    <row r="176" spans="1:29">
      <c r="A176" s="12"/>
      <c r="B176" s="12"/>
      <c r="C176" s="12"/>
      <c r="D176" s="12"/>
      <c r="E176" s="32"/>
      <c r="K176" s="3"/>
      <c r="O176" s="3"/>
      <c r="AA176" s="14" t="s">
        <v>819</v>
      </c>
      <c r="AB176" s="8"/>
    </row>
    <row r="177" spans="1:29" s="35" customFormat="1">
      <c r="A177" s="34" t="s">
        <v>241</v>
      </c>
      <c r="B177" s="34"/>
      <c r="C177" s="34" t="s">
        <v>77</v>
      </c>
      <c r="D177" s="34"/>
      <c r="E177" s="34">
        <v>46045</v>
      </c>
      <c r="G177" s="35">
        <v>2229205</v>
      </c>
      <c r="I177" s="35">
        <v>2625</v>
      </c>
      <c r="K177" s="42">
        <f t="shared" si="16"/>
        <v>1989816</v>
      </c>
      <c r="M177" s="35">
        <v>4221646</v>
      </c>
      <c r="O177" s="42">
        <f t="shared" si="17"/>
        <v>949615</v>
      </c>
      <c r="Q177" s="35">
        <v>1401181</v>
      </c>
      <c r="S177" s="35">
        <v>2350796</v>
      </c>
      <c r="U177" s="35">
        <f>159930+350884+2625</f>
        <v>513439</v>
      </c>
      <c r="W177" s="35">
        <v>0</v>
      </c>
      <c r="Y177" s="35">
        <v>1357411</v>
      </c>
      <c r="AA177" s="71">
        <f t="shared" si="18"/>
        <v>1870850</v>
      </c>
      <c r="AC177" s="35">
        <f t="shared" si="19"/>
        <v>0</v>
      </c>
    </row>
    <row r="178" spans="1:29">
      <c r="A178" s="12" t="s">
        <v>272</v>
      </c>
      <c r="B178" s="12"/>
      <c r="C178" s="12" t="s">
        <v>116</v>
      </c>
      <c r="D178" s="12"/>
      <c r="E178" s="32">
        <v>46334</v>
      </c>
      <c r="G178" s="8">
        <v>1494974</v>
      </c>
      <c r="I178" s="8">
        <v>0</v>
      </c>
      <c r="K178" s="3">
        <f t="shared" si="16"/>
        <v>1546739</v>
      </c>
      <c r="M178" s="8">
        <v>3041713</v>
      </c>
      <c r="O178" s="3">
        <f t="shared" si="17"/>
        <v>1055015</v>
      </c>
      <c r="Q178" s="8">
        <v>1407170</v>
      </c>
      <c r="S178" s="8">
        <v>2462185</v>
      </c>
      <c r="U178" s="8">
        <f>39464+79720+107900+31669</f>
        <v>258753</v>
      </c>
      <c r="W178" s="8">
        <v>0</v>
      </c>
      <c r="Y178" s="8">
        <f>320775</f>
        <v>320775</v>
      </c>
      <c r="AA178" s="14">
        <f t="shared" si="18"/>
        <v>579528</v>
      </c>
      <c r="AB178" s="8"/>
      <c r="AC178" s="8">
        <f t="shared" si="19"/>
        <v>0</v>
      </c>
    </row>
    <row r="179" spans="1:29">
      <c r="A179" s="12" t="s">
        <v>597</v>
      </c>
      <c r="B179" s="12"/>
      <c r="C179" s="12" t="s">
        <v>56</v>
      </c>
      <c r="D179" s="12"/>
      <c r="E179" s="32">
        <v>49197</v>
      </c>
      <c r="G179" s="8">
        <v>0</v>
      </c>
      <c r="I179" s="8">
        <v>572635</v>
      </c>
      <c r="K179" s="3">
        <f t="shared" si="16"/>
        <v>9250549</v>
      </c>
      <c r="M179" s="8">
        <v>9823184</v>
      </c>
      <c r="O179" s="3">
        <f t="shared" si="17"/>
        <v>1797275</v>
      </c>
      <c r="Q179" s="8">
        <v>8835303</v>
      </c>
      <c r="S179" s="8">
        <v>10632578</v>
      </c>
      <c r="U179" s="8">
        <f>25754+401768+583020</f>
        <v>1010542</v>
      </c>
      <c r="W179" s="8">
        <v>0</v>
      </c>
      <c r="Y179" s="8">
        <v>-1819936</v>
      </c>
      <c r="AA179" s="14">
        <f t="shared" si="18"/>
        <v>-809394</v>
      </c>
      <c r="AB179" s="8"/>
      <c r="AC179" s="8">
        <f t="shared" si="19"/>
        <v>0</v>
      </c>
    </row>
    <row r="180" spans="1:29">
      <c r="A180" s="12" t="s">
        <v>421</v>
      </c>
      <c r="B180" s="12"/>
      <c r="C180" s="12" t="s">
        <v>33</v>
      </c>
      <c r="D180" s="12"/>
      <c r="E180" s="32">
        <v>43984</v>
      </c>
      <c r="G180" s="8">
        <v>9679158</v>
      </c>
      <c r="I180" s="8">
        <v>51503</v>
      </c>
      <c r="K180" s="3">
        <f t="shared" si="16"/>
        <v>34532405</v>
      </c>
      <c r="M180" s="8">
        <v>44263066</v>
      </c>
      <c r="O180" s="3">
        <f t="shared" si="17"/>
        <v>35765015</v>
      </c>
      <c r="Q180" s="8">
        <v>2711081</v>
      </c>
      <c r="S180" s="8">
        <v>38476096</v>
      </c>
      <c r="U180" s="8">
        <f>1397460+49357+1375000+97957+51503</f>
        <v>2971277</v>
      </c>
      <c r="W180" s="8">
        <v>0</v>
      </c>
      <c r="Y180" s="8">
        <v>2815693</v>
      </c>
      <c r="AA180" s="14">
        <f t="shared" si="18"/>
        <v>5786970</v>
      </c>
      <c r="AB180" s="8"/>
      <c r="AC180" s="8">
        <f t="shared" si="19"/>
        <v>0</v>
      </c>
    </row>
    <row r="181" spans="1:29">
      <c r="A181" s="12" t="s">
        <v>398</v>
      </c>
      <c r="B181" s="12"/>
      <c r="C181" s="12" t="s">
        <v>32</v>
      </c>
      <c r="D181" s="12"/>
      <c r="E181" s="32">
        <v>47332</v>
      </c>
      <c r="G181" s="8">
        <v>3732164</v>
      </c>
      <c r="I181" s="8">
        <v>0</v>
      </c>
      <c r="K181" s="3">
        <f t="shared" si="16"/>
        <v>10283341</v>
      </c>
      <c r="M181" s="8">
        <v>14015505</v>
      </c>
      <c r="O181" s="3">
        <f t="shared" si="17"/>
        <v>3168000</v>
      </c>
      <c r="Q181" s="8">
        <v>6965750</v>
      </c>
      <c r="S181" s="8">
        <v>10133750</v>
      </c>
      <c r="U181" s="8">
        <f>3276000</f>
        <v>3276000</v>
      </c>
      <c r="W181" s="8">
        <v>0</v>
      </c>
      <c r="Y181" s="8">
        <v>605755</v>
      </c>
      <c r="AA181" s="14">
        <f t="shared" si="18"/>
        <v>3881755</v>
      </c>
      <c r="AB181" s="8"/>
      <c r="AC181" s="8">
        <f t="shared" si="19"/>
        <v>0</v>
      </c>
    </row>
    <row r="182" spans="1:29">
      <c r="A182" s="12" t="s">
        <v>494</v>
      </c>
      <c r="B182" s="12"/>
      <c r="C182" s="12" t="s">
        <v>44</v>
      </c>
      <c r="D182" s="12"/>
      <c r="E182" s="32">
        <v>48157</v>
      </c>
      <c r="G182" s="8">
        <v>4107733</v>
      </c>
      <c r="I182" s="8">
        <v>0</v>
      </c>
      <c r="K182" s="3">
        <f t="shared" si="16"/>
        <v>6554429</v>
      </c>
      <c r="M182" s="8">
        <v>10662162</v>
      </c>
      <c r="O182" s="3">
        <f t="shared" si="17"/>
        <v>7883563</v>
      </c>
      <c r="Q182" s="8">
        <v>138182</v>
      </c>
      <c r="S182" s="8">
        <v>8021745</v>
      </c>
      <c r="U182" s="8">
        <f>8286+693726+18142</f>
        <v>720154</v>
      </c>
      <c r="W182" s="8">
        <v>0</v>
      </c>
      <c r="Y182" s="8">
        <f>1920263</f>
        <v>1920263</v>
      </c>
      <c r="AA182" s="14">
        <f t="shared" si="18"/>
        <v>2640417</v>
      </c>
      <c r="AB182" s="8"/>
      <c r="AC182" s="8">
        <f t="shared" si="19"/>
        <v>0</v>
      </c>
    </row>
    <row r="183" spans="1:29">
      <c r="A183" s="12" t="s">
        <v>399</v>
      </c>
      <c r="B183" s="12"/>
      <c r="C183" s="12" t="s">
        <v>32</v>
      </c>
      <c r="D183" s="12"/>
      <c r="E183" s="32">
        <v>47340</v>
      </c>
      <c r="G183" s="8">
        <v>17309804</v>
      </c>
      <c r="I183" s="8">
        <v>250638</v>
      </c>
      <c r="K183" s="3">
        <f t="shared" si="16"/>
        <v>39637997</v>
      </c>
      <c r="M183" s="8">
        <v>57198439</v>
      </c>
      <c r="O183" s="3">
        <f t="shared" si="17"/>
        <v>8362361</v>
      </c>
      <c r="Q183" s="8">
        <v>24793124</v>
      </c>
      <c r="S183" s="8">
        <v>33155485</v>
      </c>
      <c r="U183" s="8">
        <f>105399+250638+14366570+216313</f>
        <v>14938920</v>
      </c>
      <c r="W183" s="8">
        <v>0</v>
      </c>
      <c r="Y183" s="8">
        <v>9104034</v>
      </c>
      <c r="AA183" s="14">
        <f t="shared" si="18"/>
        <v>24042954</v>
      </c>
      <c r="AB183" s="8"/>
      <c r="AC183" s="8">
        <f t="shared" si="19"/>
        <v>0</v>
      </c>
    </row>
    <row r="184" spans="1:29" hidden="1">
      <c r="A184" s="12" t="s">
        <v>722</v>
      </c>
      <c r="B184" s="12"/>
      <c r="C184" s="12" t="s">
        <v>70</v>
      </c>
      <c r="D184" s="12"/>
      <c r="E184" s="32">
        <v>50484</v>
      </c>
      <c r="K184" s="3">
        <f t="shared" si="16"/>
        <v>0</v>
      </c>
      <c r="O184" s="3">
        <f t="shared" si="17"/>
        <v>0</v>
      </c>
      <c r="AA184" s="14">
        <f t="shared" si="18"/>
        <v>0</v>
      </c>
      <c r="AB184" s="8"/>
      <c r="AC184" s="8">
        <f t="shared" si="19"/>
        <v>0</v>
      </c>
    </row>
    <row r="185" spans="1:29">
      <c r="A185" s="12" t="s">
        <v>649</v>
      </c>
      <c r="B185" s="12"/>
      <c r="C185" s="12" t="s">
        <v>61</v>
      </c>
      <c r="D185" s="12"/>
      <c r="E185" s="32">
        <v>49783</v>
      </c>
      <c r="G185" s="8">
        <f>2413620</f>
        <v>2413620</v>
      </c>
      <c r="I185" s="8">
        <v>7656</v>
      </c>
      <c r="K185" s="3">
        <f t="shared" si="16"/>
        <v>2123782</v>
      </c>
      <c r="M185" s="8">
        <v>4545058</v>
      </c>
      <c r="O185" s="3">
        <f t="shared" si="17"/>
        <v>847743</v>
      </c>
      <c r="Q185" s="8">
        <v>1352435</v>
      </c>
      <c r="S185" s="8">
        <v>2200178</v>
      </c>
      <c r="U185" s="8">
        <f>183305+7656+13704</f>
        <v>204665</v>
      </c>
      <c r="W185" s="8">
        <f>26517+21716</f>
        <v>48233</v>
      </c>
      <c r="Y185" s="8">
        <v>2091982</v>
      </c>
      <c r="AA185" s="14">
        <f t="shared" si="18"/>
        <v>2344880</v>
      </c>
      <c r="AB185" s="8"/>
      <c r="AC185" s="8">
        <f t="shared" si="19"/>
        <v>0</v>
      </c>
    </row>
    <row r="186" spans="1:29">
      <c r="A186" s="12" t="s">
        <v>641</v>
      </c>
      <c r="B186" s="12"/>
      <c r="C186" s="12" t="s">
        <v>60</v>
      </c>
      <c r="D186" s="12"/>
      <c r="E186" s="32">
        <v>43992</v>
      </c>
      <c r="G186" s="8">
        <v>11741075</v>
      </c>
      <c r="I186" s="8">
        <v>7020</v>
      </c>
      <c r="K186" s="3">
        <f t="shared" si="16"/>
        <v>8983344</v>
      </c>
      <c r="M186" s="8">
        <v>20731439</v>
      </c>
      <c r="O186" s="3">
        <f t="shared" si="17"/>
        <v>9740966</v>
      </c>
      <c r="Q186" s="8">
        <v>307689</v>
      </c>
      <c r="S186" s="8">
        <v>10048655</v>
      </c>
      <c r="U186" s="8">
        <f>677582+47456+70295+712783+7020</f>
        <v>1515136</v>
      </c>
      <c r="W186" s="8">
        <v>0</v>
      </c>
      <c r="Y186" s="8">
        <f>9167648</f>
        <v>9167648</v>
      </c>
      <c r="AA186" s="14">
        <f t="shared" si="18"/>
        <v>10682784</v>
      </c>
      <c r="AB186" s="8"/>
      <c r="AC186" s="8">
        <f t="shared" si="19"/>
        <v>0</v>
      </c>
    </row>
    <row r="187" spans="1:29">
      <c r="A187" s="12" t="s">
        <v>714</v>
      </c>
      <c r="B187" s="12"/>
      <c r="C187" s="12" t="s">
        <v>69</v>
      </c>
      <c r="D187" s="12"/>
      <c r="E187" s="32">
        <v>44008</v>
      </c>
      <c r="G187" s="8">
        <v>7196833</v>
      </c>
      <c r="I187" s="8">
        <v>0</v>
      </c>
      <c r="K187" s="3">
        <f t="shared" si="16"/>
        <v>12130010</v>
      </c>
      <c r="M187" s="8">
        <v>19326843</v>
      </c>
      <c r="O187" s="3">
        <f t="shared" si="17"/>
        <v>2926950</v>
      </c>
      <c r="Q187" s="8">
        <v>11284492</v>
      </c>
      <c r="S187" s="8">
        <v>14211442</v>
      </c>
      <c r="U187" s="8">
        <f>300069+729540</f>
        <v>1029609</v>
      </c>
      <c r="W187" s="8">
        <v>0</v>
      </c>
      <c r="Y187" s="8">
        <f>4085792</f>
        <v>4085792</v>
      </c>
      <c r="AA187" s="14">
        <f t="shared" si="18"/>
        <v>5115401</v>
      </c>
      <c r="AB187" s="8"/>
      <c r="AC187" s="8">
        <f t="shared" si="19"/>
        <v>0</v>
      </c>
    </row>
    <row r="188" spans="1:29" hidden="1">
      <c r="A188" s="12"/>
      <c r="B188" s="12"/>
      <c r="C188" s="12"/>
      <c r="D188" s="12"/>
      <c r="E188" s="32"/>
      <c r="K188" s="3"/>
      <c r="O188" s="3"/>
      <c r="AA188" s="14" t="s">
        <v>819</v>
      </c>
      <c r="AB188" s="8"/>
    </row>
    <row r="189" spans="1:29" s="35" customFormat="1" ht="14.4" hidden="1" customHeight="1">
      <c r="A189" s="34" t="s">
        <v>572</v>
      </c>
      <c r="B189" s="34"/>
      <c r="C189" s="34" t="s">
        <v>51</v>
      </c>
      <c r="D189" s="34"/>
      <c r="E189" s="34">
        <v>48843</v>
      </c>
      <c r="G189" s="35">
        <v>5188304</v>
      </c>
      <c r="I189" s="35">
        <v>23845</v>
      </c>
      <c r="K189" s="42">
        <f t="shared" si="16"/>
        <v>4429899</v>
      </c>
      <c r="M189" s="35">
        <v>9642048</v>
      </c>
      <c r="O189" s="42">
        <f t="shared" si="17"/>
        <v>2355571</v>
      </c>
      <c r="Q189" s="35">
        <v>4121320</v>
      </c>
      <c r="S189" s="35">
        <v>6476891</v>
      </c>
      <c r="U189" s="35">
        <f>370307+94148+31712+3749</f>
        <v>499916</v>
      </c>
      <c r="W189" s="35">
        <v>0</v>
      </c>
      <c r="Y189" s="35">
        <v>2665241</v>
      </c>
      <c r="AA189" s="71">
        <f t="shared" si="18"/>
        <v>3165157</v>
      </c>
      <c r="AC189" s="35">
        <f t="shared" si="19"/>
        <v>0</v>
      </c>
    </row>
    <row r="190" spans="1:29" hidden="1">
      <c r="A190" s="12" t="s">
        <v>330</v>
      </c>
      <c r="B190" s="12"/>
      <c r="C190" s="12" t="s">
        <v>21</v>
      </c>
      <c r="D190" s="12"/>
      <c r="E190" s="32">
        <v>46649</v>
      </c>
      <c r="K190" s="3">
        <f t="shared" si="16"/>
        <v>0</v>
      </c>
      <c r="O190" s="3">
        <f t="shared" si="17"/>
        <v>0</v>
      </c>
      <c r="AA190" s="14">
        <f t="shared" si="18"/>
        <v>0</v>
      </c>
      <c r="AB190" s="8"/>
      <c r="AC190" s="8">
        <f t="shared" si="19"/>
        <v>0</v>
      </c>
    </row>
    <row r="191" spans="1:29">
      <c r="A191" s="12" t="s">
        <v>461</v>
      </c>
      <c r="B191" s="12"/>
      <c r="C191" s="12" t="s">
        <v>40</v>
      </c>
      <c r="D191" s="12"/>
      <c r="E191" s="32">
        <v>47852</v>
      </c>
      <c r="G191" s="8">
        <v>1997076</v>
      </c>
      <c r="I191" s="8">
        <v>0</v>
      </c>
      <c r="K191" s="3">
        <f t="shared" si="16"/>
        <v>2976848</v>
      </c>
      <c r="M191" s="8">
        <v>4973924</v>
      </c>
      <c r="O191" s="3">
        <f t="shared" si="17"/>
        <v>980808</v>
      </c>
      <c r="Q191" s="8">
        <v>2184984</v>
      </c>
      <c r="S191" s="8">
        <v>3165792</v>
      </c>
      <c r="U191" s="8">
        <f>99663+774202</f>
        <v>873865</v>
      </c>
      <c r="W191" s="8">
        <v>0</v>
      </c>
      <c r="Y191" s="8">
        <v>934267</v>
      </c>
      <c r="AA191" s="14">
        <f t="shared" si="18"/>
        <v>1808132</v>
      </c>
      <c r="AB191" s="8"/>
      <c r="AC191" s="8">
        <f t="shared" si="19"/>
        <v>0</v>
      </c>
    </row>
    <row r="192" spans="1:29">
      <c r="A192" s="12" t="s">
        <v>628</v>
      </c>
      <c r="B192" s="12"/>
      <c r="C192" s="12" t="s">
        <v>79</v>
      </c>
      <c r="D192" s="12"/>
      <c r="E192" s="32">
        <v>44016</v>
      </c>
      <c r="G192" s="8">
        <v>2928198</v>
      </c>
      <c r="I192" s="8">
        <v>0</v>
      </c>
      <c r="K192" s="3">
        <f t="shared" si="16"/>
        <v>14172582</v>
      </c>
      <c r="M192" s="8">
        <v>17100780</v>
      </c>
      <c r="O192" s="3">
        <f t="shared" si="17"/>
        <v>3432961</v>
      </c>
      <c r="Q192" s="8">
        <v>10062837</v>
      </c>
      <c r="S192" s="8">
        <v>13495798</v>
      </c>
      <c r="U192" s="8">
        <f>108168+1688277</f>
        <v>1796445</v>
      </c>
      <c r="W192" s="8">
        <v>0</v>
      </c>
      <c r="Y192" s="8">
        <v>1808537</v>
      </c>
      <c r="AA192" s="14">
        <f t="shared" si="18"/>
        <v>3604982</v>
      </c>
      <c r="AB192" s="8"/>
      <c r="AC192" s="8">
        <f t="shared" si="19"/>
        <v>0</v>
      </c>
    </row>
    <row r="193" spans="1:29">
      <c r="A193" s="12" t="s">
        <v>723</v>
      </c>
      <c r="B193" s="12"/>
      <c r="C193" s="12" t="s">
        <v>70</v>
      </c>
      <c r="D193" s="12"/>
      <c r="E193" s="32">
        <v>50492</v>
      </c>
      <c r="G193" s="8">
        <v>535488</v>
      </c>
      <c r="I193" s="8">
        <v>89922</v>
      </c>
      <c r="K193" s="3">
        <f t="shared" si="16"/>
        <v>1540000</v>
      </c>
      <c r="M193" s="8">
        <v>2165410</v>
      </c>
      <c r="O193" s="3">
        <f t="shared" si="17"/>
        <v>1964588</v>
      </c>
      <c r="Q193" s="8">
        <v>22531</v>
      </c>
      <c r="S193" s="8">
        <v>1987119</v>
      </c>
      <c r="U193" s="8">
        <f>60946+23564+26084+28629+35209+220677</f>
        <v>395109</v>
      </c>
      <c r="W193" s="8">
        <f>4345</f>
        <v>4345</v>
      </c>
      <c r="Y193" s="8">
        <v>-221163</v>
      </c>
      <c r="AA193" s="14">
        <f t="shared" si="18"/>
        <v>178291</v>
      </c>
      <c r="AB193" s="8"/>
      <c r="AC193" s="8">
        <f t="shared" si="19"/>
        <v>0</v>
      </c>
    </row>
    <row r="194" spans="1:29">
      <c r="A194" s="12" t="s">
        <v>360</v>
      </c>
      <c r="B194" s="12"/>
      <c r="C194" s="12" t="s">
        <v>27</v>
      </c>
      <c r="D194" s="12"/>
      <c r="E194" s="32">
        <v>46961</v>
      </c>
      <c r="G194" s="8">
        <v>21756428</v>
      </c>
      <c r="I194" s="8">
        <v>1000303</v>
      </c>
      <c r="K194" s="3">
        <f t="shared" si="16"/>
        <v>78634654</v>
      </c>
      <c r="M194" s="8">
        <v>101391385</v>
      </c>
      <c r="O194" s="3">
        <f t="shared" si="17"/>
        <v>9307560</v>
      </c>
      <c r="Q194" s="8">
        <v>62261988</v>
      </c>
      <c r="S194" s="8">
        <v>71569548</v>
      </c>
      <c r="U194" s="8">
        <f>3435939+113302+15649624+1000303</f>
        <v>20199168</v>
      </c>
      <c r="W194" s="8">
        <v>9622669</v>
      </c>
      <c r="Y194" s="8">
        <v>0</v>
      </c>
      <c r="AA194" s="14">
        <f t="shared" si="18"/>
        <v>29821837</v>
      </c>
      <c r="AB194" s="8"/>
      <c r="AC194" s="8">
        <f t="shared" si="19"/>
        <v>0</v>
      </c>
    </row>
    <row r="195" spans="1:29">
      <c r="A195" s="12" t="s">
        <v>298</v>
      </c>
      <c r="B195" s="12"/>
      <c r="C195" s="12" t="s">
        <v>114</v>
      </c>
      <c r="D195" s="12"/>
      <c r="E195" s="32">
        <v>44024</v>
      </c>
      <c r="G195" s="8">
        <v>1999272</v>
      </c>
      <c r="I195" s="8">
        <v>0</v>
      </c>
      <c r="K195" s="3">
        <f t="shared" si="16"/>
        <v>5660674</v>
      </c>
      <c r="M195" s="8">
        <v>7659946</v>
      </c>
      <c r="O195" s="3">
        <f t="shared" si="17"/>
        <v>1880880</v>
      </c>
      <c r="Q195" s="8">
        <v>3718434</v>
      </c>
      <c r="S195" s="8">
        <v>5599314</v>
      </c>
      <c r="U195" s="8">
        <f>1878073+333174</f>
        <v>2211247</v>
      </c>
      <c r="W195" s="8">
        <v>0</v>
      </c>
      <c r="Y195" s="8">
        <v>-150615</v>
      </c>
      <c r="AA195" s="14">
        <f t="shared" si="18"/>
        <v>2060632</v>
      </c>
      <c r="AB195" s="8"/>
      <c r="AC195" s="8">
        <f t="shared" si="19"/>
        <v>0</v>
      </c>
    </row>
    <row r="196" spans="1:29">
      <c r="A196" s="12" t="s">
        <v>379</v>
      </c>
      <c r="B196" s="12"/>
      <c r="C196" s="12" t="s">
        <v>29</v>
      </c>
      <c r="D196" s="12"/>
      <c r="E196" s="32">
        <v>65680</v>
      </c>
      <c r="G196" s="8">
        <v>2753567</v>
      </c>
      <c r="I196" s="8">
        <v>724334</v>
      </c>
      <c r="K196" s="3">
        <f t="shared" si="16"/>
        <v>8537559</v>
      </c>
      <c r="M196" s="8">
        <v>12015460</v>
      </c>
      <c r="O196" s="3">
        <f t="shared" si="17"/>
        <v>2142398</v>
      </c>
      <c r="Q196" s="8">
        <v>7892016</v>
      </c>
      <c r="S196" s="8">
        <v>10034414</v>
      </c>
      <c r="U196" s="8">
        <f>203313+40190+237077+487257</f>
        <v>967837</v>
      </c>
      <c r="W196" s="8">
        <v>0</v>
      </c>
      <c r="Y196" s="8">
        <v>1013209</v>
      </c>
      <c r="AA196" s="14">
        <f t="shared" si="18"/>
        <v>1981046</v>
      </c>
      <c r="AB196" s="8"/>
      <c r="AC196" s="8">
        <f t="shared" si="19"/>
        <v>0</v>
      </c>
    </row>
    <row r="197" spans="1:29">
      <c r="A197" s="12" t="s">
        <v>380</v>
      </c>
      <c r="B197" s="12"/>
      <c r="C197" s="12" t="s">
        <v>29</v>
      </c>
      <c r="D197" s="12"/>
      <c r="E197" s="32">
        <v>44032</v>
      </c>
      <c r="G197" s="8">
        <v>1147685</v>
      </c>
      <c r="I197" s="8">
        <v>0</v>
      </c>
      <c r="K197" s="3">
        <f t="shared" si="16"/>
        <v>6640585</v>
      </c>
      <c r="M197" s="8">
        <v>7788270</v>
      </c>
      <c r="O197" s="3">
        <f t="shared" si="17"/>
        <v>6986123</v>
      </c>
      <c r="Q197" s="8">
        <v>461095</v>
      </c>
      <c r="S197" s="8">
        <v>7447218</v>
      </c>
      <c r="U197" s="8">
        <f>20278+54787+71656+263042+77169+637388</f>
        <v>1124320</v>
      </c>
      <c r="W197" s="8">
        <v>-799458</v>
      </c>
      <c r="Y197" s="8">
        <v>16190</v>
      </c>
      <c r="AA197" s="14">
        <f t="shared" si="18"/>
        <v>341052</v>
      </c>
      <c r="AB197" s="8"/>
      <c r="AC197" s="8">
        <f t="shared" si="19"/>
        <v>0</v>
      </c>
    </row>
    <row r="198" spans="1:29">
      <c r="A198" s="12" t="s">
        <v>701</v>
      </c>
      <c r="B198" s="12"/>
      <c r="C198" s="12" t="s">
        <v>65</v>
      </c>
      <c r="D198" s="12"/>
      <c r="E198" s="32">
        <v>50278</v>
      </c>
      <c r="G198" s="8">
        <v>3785048</v>
      </c>
      <c r="I198" s="8">
        <v>37903</v>
      </c>
      <c r="K198" s="3">
        <f t="shared" si="16"/>
        <v>5204723</v>
      </c>
      <c r="M198" s="8">
        <v>9027674</v>
      </c>
      <c r="O198" s="3">
        <f t="shared" si="17"/>
        <v>5882117</v>
      </c>
      <c r="Q198" s="8">
        <v>178841</v>
      </c>
      <c r="S198" s="8">
        <v>6060958</v>
      </c>
      <c r="U198" s="8">
        <f>2986+362783+37903</f>
        <v>403672</v>
      </c>
      <c r="W198" s="8">
        <v>0</v>
      </c>
      <c r="Y198" s="8">
        <v>2563044</v>
      </c>
      <c r="AA198" s="14">
        <f t="shared" si="18"/>
        <v>2966716</v>
      </c>
      <c r="AB198" s="8"/>
      <c r="AC198" s="8">
        <f t="shared" si="19"/>
        <v>0</v>
      </c>
    </row>
    <row r="199" spans="1:29" hidden="1">
      <c r="A199" s="12" t="s">
        <v>312</v>
      </c>
      <c r="B199" s="12"/>
      <c r="C199" s="12" t="s">
        <v>20</v>
      </c>
      <c r="D199" s="12"/>
      <c r="E199" s="32">
        <v>44040</v>
      </c>
      <c r="K199" s="3">
        <f t="shared" si="16"/>
        <v>0</v>
      </c>
      <c r="O199" s="3">
        <f t="shared" si="17"/>
        <v>0</v>
      </c>
      <c r="AA199" s="14">
        <f t="shared" si="18"/>
        <v>0</v>
      </c>
      <c r="AB199" s="8"/>
      <c r="AC199" s="8">
        <f t="shared" si="19"/>
        <v>0</v>
      </c>
    </row>
    <row r="200" spans="1:29">
      <c r="A200" s="12" t="s">
        <v>936</v>
      </c>
      <c r="B200" s="12"/>
      <c r="C200" s="12" t="s">
        <v>12</v>
      </c>
      <c r="D200" s="12"/>
      <c r="E200" s="32">
        <v>44057</v>
      </c>
      <c r="G200" s="8">
        <v>2426634</v>
      </c>
      <c r="I200" s="8">
        <v>0</v>
      </c>
      <c r="K200" s="3">
        <f t="shared" si="16"/>
        <v>6465844</v>
      </c>
      <c r="M200" s="8">
        <v>8892478</v>
      </c>
      <c r="O200" s="3">
        <f t="shared" si="17"/>
        <v>1389180</v>
      </c>
      <c r="Q200" s="8">
        <v>3609903</v>
      </c>
      <c r="S200" s="8">
        <v>4999083</v>
      </c>
      <c r="U200" s="8">
        <f>129104+2586707+358077</f>
        <v>3073888</v>
      </c>
      <c r="W200" s="8">
        <v>0</v>
      </c>
      <c r="Y200" s="8">
        <v>819507</v>
      </c>
      <c r="AA200" s="14">
        <f t="shared" si="18"/>
        <v>3893395</v>
      </c>
      <c r="AB200" s="8"/>
      <c r="AC200" s="8">
        <f t="shared" si="19"/>
        <v>0</v>
      </c>
    </row>
    <row r="201" spans="1:29">
      <c r="A201" s="12" t="s">
        <v>580</v>
      </c>
      <c r="B201" s="12"/>
      <c r="C201" s="12" t="s">
        <v>53</v>
      </c>
      <c r="D201" s="12"/>
      <c r="E201" s="32">
        <v>48942</v>
      </c>
      <c r="G201" s="8">
        <v>1533705</v>
      </c>
      <c r="I201" s="8">
        <v>44853</v>
      </c>
      <c r="K201" s="3">
        <f t="shared" si="16"/>
        <v>5115320</v>
      </c>
      <c r="M201" s="8">
        <v>6693878</v>
      </c>
      <c r="O201" s="3">
        <f t="shared" si="17"/>
        <v>5459933</v>
      </c>
      <c r="Q201" s="8">
        <v>33826</v>
      </c>
      <c r="S201" s="8">
        <v>5493759</v>
      </c>
      <c r="U201" s="8">
        <f>23997+30512+12423+490886+44853</f>
        <v>602671</v>
      </c>
      <c r="W201" s="8">
        <v>420290</v>
      </c>
      <c r="Y201" s="8">
        <v>177158</v>
      </c>
      <c r="AA201" s="14">
        <f t="shared" si="18"/>
        <v>1200119</v>
      </c>
      <c r="AB201" s="8"/>
      <c r="AC201" s="8">
        <f t="shared" si="19"/>
        <v>0</v>
      </c>
    </row>
    <row r="202" spans="1:29">
      <c r="A202" s="12" t="s">
        <v>242</v>
      </c>
      <c r="B202" s="12"/>
      <c r="C202" s="12" t="s">
        <v>77</v>
      </c>
      <c r="D202" s="12"/>
      <c r="E202" s="32">
        <v>45377</v>
      </c>
      <c r="G202" s="8">
        <v>819975</v>
      </c>
      <c r="I202" s="8">
        <v>0</v>
      </c>
      <c r="K202" s="3">
        <f t="shared" si="16"/>
        <v>2019601</v>
      </c>
      <c r="M202" s="8">
        <v>2839576</v>
      </c>
      <c r="O202" s="3">
        <f t="shared" si="17"/>
        <v>850688</v>
      </c>
      <c r="Q202" s="8">
        <v>1720078</v>
      </c>
      <c r="S202" s="8">
        <v>2570766</v>
      </c>
      <c r="U202" s="8">
        <f>65375+299523</f>
        <v>364898</v>
      </c>
      <c r="W202" s="8">
        <v>0</v>
      </c>
      <c r="Y202" s="8">
        <v>-96088</v>
      </c>
      <c r="AA202" s="14">
        <f t="shared" si="18"/>
        <v>268810</v>
      </c>
      <c r="AB202" s="8"/>
      <c r="AC202" s="8">
        <f t="shared" si="19"/>
        <v>0</v>
      </c>
    </row>
    <row r="203" spans="1:29">
      <c r="A203" s="12" t="s">
        <v>629</v>
      </c>
      <c r="B203" s="12"/>
      <c r="C203" s="12" t="s">
        <v>79</v>
      </c>
      <c r="D203" s="12"/>
      <c r="E203" s="32">
        <v>45385</v>
      </c>
      <c r="G203" s="8">
        <v>2680284</v>
      </c>
      <c r="I203" s="8">
        <v>192467</v>
      </c>
      <c r="K203" s="3">
        <f t="shared" si="16"/>
        <v>2045301</v>
      </c>
      <c r="M203" s="8">
        <v>4918052</v>
      </c>
      <c r="O203" s="3">
        <f t="shared" si="17"/>
        <v>2565476</v>
      </c>
      <c r="Q203" s="8">
        <v>111423</v>
      </c>
      <c r="S203" s="8">
        <v>2676899</v>
      </c>
      <c r="U203" s="8">
        <v>0</v>
      </c>
      <c r="W203" s="8">
        <f>22441+20030+268621+111069+29274+52124</f>
        <v>503559</v>
      </c>
      <c r="Y203" s="8">
        <v>1737594</v>
      </c>
      <c r="AA203" s="14">
        <f t="shared" si="18"/>
        <v>2241153</v>
      </c>
      <c r="AB203" s="8"/>
      <c r="AC203" s="8">
        <f t="shared" si="19"/>
        <v>0</v>
      </c>
    </row>
    <row r="204" spans="1:29">
      <c r="A204" s="12" t="s">
        <v>684</v>
      </c>
      <c r="B204" s="12"/>
      <c r="C204" s="12" t="s">
        <v>64</v>
      </c>
      <c r="D204" s="12"/>
      <c r="E204" s="32">
        <v>44065</v>
      </c>
      <c r="G204" s="8">
        <v>5273043</v>
      </c>
      <c r="I204" s="8">
        <v>339095</v>
      </c>
      <c r="K204" s="3">
        <f t="shared" si="16"/>
        <v>4457873</v>
      </c>
      <c r="M204" s="8">
        <v>10070011</v>
      </c>
      <c r="O204" s="3">
        <f t="shared" si="17"/>
        <v>5168527</v>
      </c>
      <c r="Q204" s="8">
        <v>539452</v>
      </c>
      <c r="S204" s="8">
        <v>5707979</v>
      </c>
      <c r="U204" s="8">
        <f>379196+13986+16538+235627+7903+95565</f>
        <v>748815</v>
      </c>
      <c r="W204" s="8">
        <v>0</v>
      </c>
      <c r="Y204" s="8">
        <v>3613217</v>
      </c>
      <c r="AA204" s="14">
        <f t="shared" si="18"/>
        <v>4362032</v>
      </c>
      <c r="AB204" s="8"/>
      <c r="AC204" s="8">
        <f t="shared" si="19"/>
        <v>0</v>
      </c>
    </row>
    <row r="205" spans="1:29">
      <c r="A205" s="12" t="s">
        <v>374</v>
      </c>
      <c r="B205" s="12"/>
      <c r="C205" s="12" t="s">
        <v>28</v>
      </c>
      <c r="D205" s="12"/>
      <c r="E205" s="32">
        <v>47068</v>
      </c>
      <c r="G205" s="8">
        <v>1645332</v>
      </c>
      <c r="I205" s="8">
        <v>8572</v>
      </c>
      <c r="K205" s="3">
        <f t="shared" si="16"/>
        <v>1606028</v>
      </c>
      <c r="M205" s="8">
        <v>3259932</v>
      </c>
      <c r="O205" s="3">
        <f t="shared" si="17"/>
        <v>431653</v>
      </c>
      <c r="Q205" s="8">
        <v>1228734</v>
      </c>
      <c r="S205" s="8">
        <v>1660387</v>
      </c>
      <c r="U205" s="8">
        <f>64950+8572+103177</f>
        <v>176699</v>
      </c>
      <c r="W205" s="8">
        <v>0</v>
      </c>
      <c r="Y205" s="8">
        <v>1422846</v>
      </c>
      <c r="AA205" s="14">
        <f t="shared" si="18"/>
        <v>1599545</v>
      </c>
      <c r="AB205" s="8"/>
      <c r="AC205" s="8">
        <f t="shared" si="19"/>
        <v>0</v>
      </c>
    </row>
    <row r="206" spans="1:29">
      <c r="A206" s="12" t="s">
        <v>273</v>
      </c>
      <c r="B206" s="12"/>
      <c r="C206" s="12" t="s">
        <v>116</v>
      </c>
      <c r="D206" s="12"/>
      <c r="E206" s="32">
        <v>46342</v>
      </c>
      <c r="G206" s="8">
        <v>3948424</v>
      </c>
      <c r="I206" s="8">
        <v>2132</v>
      </c>
      <c r="K206" s="3">
        <f t="shared" si="16"/>
        <v>6164201</v>
      </c>
      <c r="M206" s="8">
        <v>10114757</v>
      </c>
      <c r="O206" s="3">
        <f t="shared" si="17"/>
        <v>2291790</v>
      </c>
      <c r="Q206" s="8">
        <v>4563711</v>
      </c>
      <c r="S206" s="8">
        <v>6855501</v>
      </c>
      <c r="U206" s="8">
        <f>330938+374855+2132</f>
        <v>707925</v>
      </c>
      <c r="W206" s="8">
        <v>0</v>
      </c>
      <c r="Y206" s="8">
        <v>2551331</v>
      </c>
      <c r="AA206" s="14">
        <f t="shared" si="18"/>
        <v>3259256</v>
      </c>
      <c r="AB206" s="8"/>
      <c r="AC206" s="8">
        <f t="shared" si="19"/>
        <v>0</v>
      </c>
    </row>
    <row r="207" spans="1:29">
      <c r="A207" s="12" t="s">
        <v>258</v>
      </c>
      <c r="B207" s="12"/>
      <c r="C207" s="12" t="s">
        <v>259</v>
      </c>
      <c r="D207" s="12"/>
      <c r="E207" s="32">
        <v>46193</v>
      </c>
      <c r="G207" s="8">
        <v>506411</v>
      </c>
      <c r="I207" s="8">
        <v>0</v>
      </c>
      <c r="K207" s="3">
        <f t="shared" si="16"/>
        <v>5734916</v>
      </c>
      <c r="M207" s="8">
        <v>6241327</v>
      </c>
      <c r="O207" s="3">
        <f t="shared" si="17"/>
        <v>5180384</v>
      </c>
      <c r="Q207" s="8">
        <v>0</v>
      </c>
      <c r="S207" s="8">
        <v>5180384</v>
      </c>
      <c r="U207" s="8">
        <f>148571+1309931</f>
        <v>1458502</v>
      </c>
      <c r="W207" s="8">
        <v>0</v>
      </c>
      <c r="Y207" s="8">
        <v>-397559</v>
      </c>
      <c r="AA207" s="14">
        <f t="shared" si="18"/>
        <v>1060943</v>
      </c>
      <c r="AB207" s="8"/>
      <c r="AC207" s="8">
        <f t="shared" si="19"/>
        <v>0</v>
      </c>
    </row>
    <row r="208" spans="1:29">
      <c r="A208" s="12" t="s">
        <v>222</v>
      </c>
      <c r="B208" s="12"/>
      <c r="C208" s="12" t="s">
        <v>12</v>
      </c>
      <c r="D208" s="12"/>
      <c r="E208" s="32">
        <v>45864</v>
      </c>
      <c r="G208" s="8">
        <v>2830753</v>
      </c>
      <c r="I208" s="8">
        <v>0</v>
      </c>
      <c r="K208" s="3">
        <f t="shared" si="16"/>
        <v>3420427</v>
      </c>
      <c r="M208" s="8">
        <v>6251180</v>
      </c>
      <c r="O208" s="3">
        <f t="shared" si="17"/>
        <v>1179231</v>
      </c>
      <c r="Q208" s="8">
        <v>2078157</v>
      </c>
      <c r="S208" s="8">
        <v>3257388</v>
      </c>
      <c r="U208" s="8">
        <f>99733+1211948</f>
        <v>1311681</v>
      </c>
      <c r="W208" s="8">
        <v>0</v>
      </c>
      <c r="Y208" s="8">
        <v>1682111</v>
      </c>
      <c r="AA208" s="14">
        <f t="shared" si="18"/>
        <v>2993792</v>
      </c>
      <c r="AB208" s="8"/>
      <c r="AC208" s="8">
        <f t="shared" si="19"/>
        <v>0</v>
      </c>
    </row>
    <row r="209" spans="1:29">
      <c r="A209" s="12" t="s">
        <v>361</v>
      </c>
      <c r="B209" s="12"/>
      <c r="C209" s="12" t="s">
        <v>27</v>
      </c>
      <c r="D209" s="12"/>
      <c r="E209" s="32">
        <v>44073</v>
      </c>
      <c r="G209" s="8">
        <v>8936916</v>
      </c>
      <c r="I209" s="8">
        <v>68902</v>
      </c>
      <c r="K209" s="3">
        <f t="shared" ref="K209:K237" si="20">+M209-I209-G209</f>
        <v>4926032</v>
      </c>
      <c r="M209" s="8">
        <v>13931850</v>
      </c>
      <c r="O209" s="3">
        <f t="shared" ref="O209:O238" si="21">+S209-Q209</f>
        <v>6578424</v>
      </c>
      <c r="Q209" s="8">
        <v>15702</v>
      </c>
      <c r="S209" s="8">
        <v>6594126</v>
      </c>
      <c r="U209" s="8">
        <f>68902+33888+158974+383986</f>
        <v>645750</v>
      </c>
      <c r="W209" s="8">
        <v>0</v>
      </c>
      <c r="Y209" s="8">
        <v>6691974</v>
      </c>
      <c r="AA209" s="14">
        <f t="shared" si="18"/>
        <v>7337724</v>
      </c>
      <c r="AB209" s="8"/>
      <c r="AC209" s="8">
        <f t="shared" si="19"/>
        <v>0</v>
      </c>
    </row>
    <row r="210" spans="1:29">
      <c r="A210" s="12" t="s">
        <v>478</v>
      </c>
      <c r="B210" s="12"/>
      <c r="C210" s="12" t="s">
        <v>42</v>
      </c>
      <c r="D210" s="12"/>
      <c r="E210" s="32">
        <v>45393</v>
      </c>
      <c r="G210" s="8">
        <v>7606142</v>
      </c>
      <c r="I210" s="8">
        <v>8727</v>
      </c>
      <c r="K210" s="3">
        <f t="shared" si="20"/>
        <v>14383787</v>
      </c>
      <c r="M210" s="8">
        <v>21998656</v>
      </c>
      <c r="O210" s="3">
        <f t="shared" si="21"/>
        <v>2861340</v>
      </c>
      <c r="Q210" s="8">
        <v>13026089</v>
      </c>
      <c r="S210" s="8">
        <v>15887429</v>
      </c>
      <c r="U210" s="8">
        <f>148100+13771+611800</f>
        <v>773671</v>
      </c>
      <c r="W210" s="8">
        <v>0</v>
      </c>
      <c r="Y210" s="8">
        <v>5337556</v>
      </c>
      <c r="AA210" s="14">
        <f t="shared" si="18"/>
        <v>6111227</v>
      </c>
      <c r="AB210" s="8"/>
      <c r="AC210" s="8">
        <f t="shared" si="19"/>
        <v>0</v>
      </c>
    </row>
    <row r="211" spans="1:29">
      <c r="A211" s="12" t="s">
        <v>633</v>
      </c>
      <c r="B211" s="12"/>
      <c r="C211" s="12" t="s">
        <v>59</v>
      </c>
      <c r="D211" s="12"/>
      <c r="E211" s="32">
        <v>49619</v>
      </c>
      <c r="G211" s="8">
        <v>478618</v>
      </c>
      <c r="I211" s="8">
        <v>288610</v>
      </c>
      <c r="K211" s="3">
        <f t="shared" si="20"/>
        <v>1631189</v>
      </c>
      <c r="M211" s="8">
        <v>2398417</v>
      </c>
      <c r="O211" s="3">
        <f t="shared" si="21"/>
        <v>566858</v>
      </c>
      <c r="Q211" s="8">
        <v>1577449</v>
      </c>
      <c r="S211" s="8">
        <v>2144307</v>
      </c>
      <c r="U211" s="8">
        <f>40953+50819+125926+162684</f>
        <v>380382</v>
      </c>
      <c r="W211" s="8">
        <v>0</v>
      </c>
      <c r="Y211" s="8">
        <v>-126272</v>
      </c>
      <c r="AA211" s="14">
        <f t="shared" ref="AA211:AA238" si="22">+Y211+W211++U211</f>
        <v>254110</v>
      </c>
      <c r="AB211" s="8"/>
      <c r="AC211" s="8">
        <f t="shared" ref="AC211:AC238" si="23">+G211+I211+K211-O211-Q211-Y211-W211-U211</f>
        <v>0</v>
      </c>
    </row>
    <row r="212" spans="1:29">
      <c r="A212" s="12" t="s">
        <v>633</v>
      </c>
      <c r="B212" s="12"/>
      <c r="C212" s="12" t="s">
        <v>63</v>
      </c>
      <c r="D212" s="12"/>
      <c r="E212" s="32">
        <v>50013</v>
      </c>
      <c r="G212" s="8">
        <v>4257437</v>
      </c>
      <c r="I212" s="8">
        <v>515225</v>
      </c>
      <c r="K212" s="3">
        <f t="shared" si="20"/>
        <v>16946463</v>
      </c>
      <c r="M212" s="8">
        <v>21719125</v>
      </c>
      <c r="O212" s="3">
        <f t="shared" si="21"/>
        <v>5068391</v>
      </c>
      <c r="Q212" s="8">
        <v>15554104</v>
      </c>
      <c r="S212" s="8">
        <v>20622495</v>
      </c>
      <c r="U212" s="8">
        <f>466535+1301292+231583+283642</f>
        <v>2283052</v>
      </c>
      <c r="W212" s="8">
        <v>0</v>
      </c>
      <c r="Y212" s="8">
        <v>-1186422</v>
      </c>
      <c r="AA212" s="14">
        <f t="shared" si="22"/>
        <v>1096630</v>
      </c>
      <c r="AB212" s="8"/>
      <c r="AC212" s="8">
        <f t="shared" si="23"/>
        <v>0</v>
      </c>
    </row>
    <row r="213" spans="1:29">
      <c r="A213" s="12" t="s">
        <v>633</v>
      </c>
      <c r="B213" s="12"/>
      <c r="C213" s="12" t="s">
        <v>71</v>
      </c>
      <c r="D213" s="12"/>
      <c r="E213" s="32">
        <v>50559</v>
      </c>
      <c r="G213" s="8">
        <v>595042</v>
      </c>
      <c r="I213" s="8">
        <v>0</v>
      </c>
      <c r="K213" s="3">
        <f t="shared" si="20"/>
        <v>3749013</v>
      </c>
      <c r="M213" s="8">
        <v>4344055</v>
      </c>
      <c r="O213" s="3">
        <f t="shared" si="21"/>
        <v>1117815</v>
      </c>
      <c r="Q213" s="8">
        <v>3268399</v>
      </c>
      <c r="S213" s="8">
        <v>4386214</v>
      </c>
      <c r="U213" s="8">
        <f>32602+466067</f>
        <v>498669</v>
      </c>
      <c r="W213" s="8">
        <v>0</v>
      </c>
      <c r="Y213" s="8">
        <v>-540828</v>
      </c>
      <c r="AA213" s="14">
        <f t="shared" si="22"/>
        <v>-42159</v>
      </c>
      <c r="AB213" s="8"/>
      <c r="AC213" s="8">
        <f t="shared" si="23"/>
        <v>0</v>
      </c>
    </row>
    <row r="214" spans="1:29">
      <c r="A214" s="12" t="s">
        <v>390</v>
      </c>
      <c r="B214" s="12"/>
      <c r="C214" s="12" t="s">
        <v>117</v>
      </c>
      <c r="D214" s="12"/>
      <c r="E214" s="32">
        <v>47266</v>
      </c>
      <c r="G214" s="8">
        <v>3078780</v>
      </c>
      <c r="I214" s="8">
        <v>76238</v>
      </c>
      <c r="K214" s="3">
        <f t="shared" si="20"/>
        <v>4084971</v>
      </c>
      <c r="M214" s="8">
        <v>7239989</v>
      </c>
      <c r="O214" s="3">
        <f t="shared" si="21"/>
        <v>1173848</v>
      </c>
      <c r="Q214" s="8">
        <v>3259107</v>
      </c>
      <c r="S214" s="8">
        <v>4432955</v>
      </c>
      <c r="U214" s="8">
        <f>59062+146370+76238+134347</f>
        <v>416017</v>
      </c>
      <c r="W214" s="8">
        <v>0</v>
      </c>
      <c r="Y214" s="8">
        <v>2391017</v>
      </c>
      <c r="AA214" s="14">
        <f t="shared" si="22"/>
        <v>2807034</v>
      </c>
      <c r="AB214" s="8"/>
      <c r="AC214" s="8">
        <f t="shared" si="23"/>
        <v>0</v>
      </c>
    </row>
    <row r="215" spans="1:29">
      <c r="A215" s="12" t="s">
        <v>442</v>
      </c>
      <c r="B215" s="12"/>
      <c r="C215" s="12" t="s">
        <v>440</v>
      </c>
      <c r="D215" s="12"/>
      <c r="E215" s="32">
        <v>45401</v>
      </c>
      <c r="G215" s="8">
        <v>3120095</v>
      </c>
      <c r="I215" s="8">
        <v>0</v>
      </c>
      <c r="K215" s="3">
        <f t="shared" si="20"/>
        <v>6842279</v>
      </c>
      <c r="M215" s="8">
        <v>9962374</v>
      </c>
      <c r="O215" s="3">
        <f t="shared" si="21"/>
        <v>1812153</v>
      </c>
      <c r="Q215" s="8">
        <v>5330216</v>
      </c>
      <c r="S215" s="8">
        <v>7142369</v>
      </c>
      <c r="U215" s="8">
        <f>592958+148209</f>
        <v>741167</v>
      </c>
      <c r="W215" s="8">
        <v>0</v>
      </c>
      <c r="Y215" s="8">
        <v>2078838</v>
      </c>
      <c r="AA215" s="14">
        <f t="shared" si="22"/>
        <v>2820005</v>
      </c>
      <c r="AB215" s="8"/>
      <c r="AC215" s="8">
        <f t="shared" si="23"/>
        <v>0</v>
      </c>
    </row>
    <row r="216" spans="1:29">
      <c r="A216" s="12" t="s">
        <v>265</v>
      </c>
      <c r="B216" s="12"/>
      <c r="C216" s="12" t="s">
        <v>17</v>
      </c>
      <c r="D216" s="12"/>
      <c r="E216" s="32">
        <v>46235</v>
      </c>
      <c r="G216" s="8">
        <v>2278695</v>
      </c>
      <c r="I216" s="8">
        <v>32397</v>
      </c>
      <c r="K216" s="3">
        <f t="shared" si="20"/>
        <v>5665144</v>
      </c>
      <c r="M216" s="8">
        <v>7976236</v>
      </c>
      <c r="O216" s="3">
        <f t="shared" si="21"/>
        <v>1523543</v>
      </c>
      <c r="Q216" s="8">
        <v>4458215</v>
      </c>
      <c r="S216" s="8">
        <v>5981758</v>
      </c>
      <c r="U216" s="8">
        <f>4871+590861+32397</f>
        <v>628129</v>
      </c>
      <c r="W216" s="8">
        <v>218555</v>
      </c>
      <c r="Y216" s="8">
        <v>1147794</v>
      </c>
      <c r="AA216" s="14">
        <f t="shared" si="22"/>
        <v>1994478</v>
      </c>
      <c r="AB216" s="8"/>
      <c r="AC216" s="8">
        <f t="shared" si="23"/>
        <v>0</v>
      </c>
    </row>
    <row r="217" spans="1:29">
      <c r="A217" s="12" t="s">
        <v>331</v>
      </c>
      <c r="B217" s="12"/>
      <c r="C217" s="12" t="s">
        <v>21</v>
      </c>
      <c r="D217" s="12"/>
      <c r="E217" s="32">
        <v>44099</v>
      </c>
      <c r="G217" s="8">
        <v>4175378</v>
      </c>
      <c r="I217" s="8">
        <v>144151</v>
      </c>
      <c r="K217" s="3">
        <f t="shared" si="20"/>
        <v>9538159</v>
      </c>
      <c r="M217" s="8">
        <v>13857688</v>
      </c>
      <c r="O217" s="3">
        <f t="shared" si="21"/>
        <v>3228760</v>
      </c>
      <c r="Q217" s="8">
        <v>7165626</v>
      </c>
      <c r="S217" s="8">
        <v>10394386</v>
      </c>
      <c r="U217" s="8">
        <f>134027+1213992+10215+133936</f>
        <v>1492170</v>
      </c>
      <c r="W217" s="8">
        <v>0</v>
      </c>
      <c r="Y217" s="8">
        <v>1971132</v>
      </c>
      <c r="AA217" s="14">
        <f t="shared" si="22"/>
        <v>3463302</v>
      </c>
      <c r="AB217" s="8"/>
      <c r="AC217" s="8">
        <f t="shared" si="23"/>
        <v>0</v>
      </c>
    </row>
    <row r="218" spans="1:29" hidden="1">
      <c r="A218" s="12" t="s">
        <v>362</v>
      </c>
      <c r="B218" s="12"/>
      <c r="C218" s="12" t="s">
        <v>27</v>
      </c>
      <c r="D218" s="12"/>
      <c r="E218" s="32">
        <v>46979</v>
      </c>
      <c r="K218" s="3">
        <f t="shared" si="20"/>
        <v>0</v>
      </c>
      <c r="O218" s="3">
        <f t="shared" si="21"/>
        <v>0</v>
      </c>
      <c r="AA218" s="14">
        <f t="shared" si="22"/>
        <v>0</v>
      </c>
      <c r="AB218" s="8"/>
      <c r="AC218" s="8">
        <f t="shared" si="23"/>
        <v>0</v>
      </c>
    </row>
    <row r="219" spans="1:29">
      <c r="A219" s="12" t="s">
        <v>248</v>
      </c>
      <c r="B219" s="12"/>
      <c r="C219" s="12" t="s">
        <v>246</v>
      </c>
      <c r="D219" s="12"/>
      <c r="E219" s="32">
        <v>44107</v>
      </c>
      <c r="G219" s="8">
        <v>5000468</v>
      </c>
      <c r="I219" s="8">
        <v>0</v>
      </c>
      <c r="K219" s="3">
        <f t="shared" si="20"/>
        <v>24419986</v>
      </c>
      <c r="M219" s="8">
        <v>29420454</v>
      </c>
      <c r="O219" s="3">
        <f t="shared" si="21"/>
        <v>11579188</v>
      </c>
      <c r="Q219" s="8">
        <v>22945406</v>
      </c>
      <c r="S219" s="8">
        <v>34524594</v>
      </c>
      <c r="U219" s="8">
        <f>548342+322+586709</f>
        <v>1135373</v>
      </c>
      <c r="W219" s="8">
        <v>0</v>
      </c>
      <c r="Y219" s="8">
        <v>-6239513</v>
      </c>
      <c r="AA219" s="14">
        <f t="shared" si="22"/>
        <v>-5104140</v>
      </c>
      <c r="AB219" s="8"/>
      <c r="AC219" s="8">
        <f t="shared" si="23"/>
        <v>0</v>
      </c>
    </row>
    <row r="220" spans="1:29">
      <c r="A220" s="12" t="s">
        <v>363</v>
      </c>
      <c r="B220" s="12"/>
      <c r="C220" s="12" t="s">
        <v>27</v>
      </c>
      <c r="D220" s="12"/>
      <c r="E220" s="32">
        <v>46953</v>
      </c>
      <c r="G220" s="8">
        <v>4682825</v>
      </c>
      <c r="I220" s="8">
        <v>0</v>
      </c>
      <c r="K220" s="3">
        <f t="shared" si="20"/>
        <v>7388415</v>
      </c>
      <c r="M220" s="8">
        <v>12071240</v>
      </c>
      <c r="O220" s="3">
        <f t="shared" si="21"/>
        <v>3327206</v>
      </c>
      <c r="Q220" s="8">
        <v>4427062</v>
      </c>
      <c r="S220" s="8">
        <v>7754268</v>
      </c>
      <c r="U220" s="8">
        <f>67988+1903679</f>
        <v>1971667</v>
      </c>
      <c r="W220" s="8">
        <v>0</v>
      </c>
      <c r="Y220" s="8">
        <v>2345305</v>
      </c>
      <c r="AA220" s="14">
        <f t="shared" si="22"/>
        <v>4316972</v>
      </c>
      <c r="AB220" s="8"/>
      <c r="AC220" s="8">
        <f t="shared" si="23"/>
        <v>0</v>
      </c>
    </row>
    <row r="221" spans="1:29">
      <c r="A221" s="12" t="s">
        <v>427</v>
      </c>
      <c r="B221" s="12"/>
      <c r="C221" s="12" t="s">
        <v>426</v>
      </c>
      <c r="D221" s="12"/>
      <c r="E221" s="32">
        <v>47498</v>
      </c>
      <c r="G221" s="8">
        <v>1705207</v>
      </c>
      <c r="I221" s="8">
        <v>198447</v>
      </c>
      <c r="K221" s="3">
        <f t="shared" si="20"/>
        <v>1467805</v>
      </c>
      <c r="M221" s="8">
        <v>3371459</v>
      </c>
      <c r="O221" s="3">
        <f t="shared" si="21"/>
        <v>387868</v>
      </c>
      <c r="Q221" s="8">
        <v>1053474</v>
      </c>
      <c r="S221" s="8">
        <v>1441342</v>
      </c>
      <c r="U221" s="8">
        <f>9656+69859+181131+17316</f>
        <v>277962</v>
      </c>
      <c r="W221" s="8">
        <v>0</v>
      </c>
      <c r="Y221" s="8">
        <v>1652155</v>
      </c>
      <c r="AA221" s="14">
        <f t="shared" si="22"/>
        <v>1930117</v>
      </c>
      <c r="AB221" s="8"/>
      <c r="AC221" s="8">
        <f t="shared" si="23"/>
        <v>0</v>
      </c>
    </row>
    <row r="222" spans="1:29">
      <c r="A222" s="12" t="s">
        <v>650</v>
      </c>
      <c r="B222" s="12"/>
      <c r="C222" s="12" t="s">
        <v>61</v>
      </c>
      <c r="D222" s="12"/>
      <c r="E222" s="32">
        <v>49791</v>
      </c>
      <c r="G222" s="8">
        <v>1939911</v>
      </c>
      <c r="I222" s="8">
        <v>51544</v>
      </c>
      <c r="K222" s="3">
        <f t="shared" si="20"/>
        <v>1823863</v>
      </c>
      <c r="M222" s="8">
        <v>3815318</v>
      </c>
      <c r="O222" s="3">
        <f t="shared" si="21"/>
        <v>734851</v>
      </c>
      <c r="Q222" s="8">
        <v>1524613</v>
      </c>
      <c r="S222" s="8">
        <v>2259464</v>
      </c>
      <c r="U222" s="8">
        <f>30654+95930+51544+38784</f>
        <v>216912</v>
      </c>
      <c r="W222" s="8">
        <v>1338942</v>
      </c>
      <c r="Y222" s="8">
        <v>0</v>
      </c>
      <c r="AA222" s="14">
        <f t="shared" si="22"/>
        <v>1555854</v>
      </c>
      <c r="AB222" s="8"/>
      <c r="AC222" s="8">
        <f t="shared" si="23"/>
        <v>0</v>
      </c>
    </row>
    <row r="223" spans="1:29">
      <c r="A223" s="12" t="s">
        <v>434</v>
      </c>
      <c r="B223" s="12"/>
      <c r="C223" s="12" t="s">
        <v>433</v>
      </c>
      <c r="D223" s="12"/>
      <c r="E223" s="32">
        <v>45245</v>
      </c>
      <c r="G223" s="8">
        <v>1574878</v>
      </c>
      <c r="I223" s="8">
        <v>1756766</v>
      </c>
      <c r="K223" s="3">
        <f t="shared" si="20"/>
        <v>6519567</v>
      </c>
      <c r="M223" s="8">
        <v>9851211</v>
      </c>
      <c r="O223" s="3">
        <f t="shared" si="21"/>
        <v>5605363</v>
      </c>
      <c r="Q223" s="8">
        <v>859801</v>
      </c>
      <c r="S223" s="8">
        <v>6465164</v>
      </c>
      <c r="U223" s="8">
        <f>537922+116315+108558+482158+73694+997961+663041+22070+7691</f>
        <v>3009410</v>
      </c>
      <c r="W223" s="8">
        <v>78109</v>
      </c>
      <c r="Y223" s="8">
        <v>298528</v>
      </c>
      <c r="AA223" s="14">
        <f t="shared" si="22"/>
        <v>3386047</v>
      </c>
      <c r="AB223" s="8"/>
      <c r="AC223" s="8">
        <f t="shared" si="23"/>
        <v>0</v>
      </c>
    </row>
    <row r="224" spans="1:29">
      <c r="A224" s="12" t="s">
        <v>479</v>
      </c>
      <c r="B224" s="12"/>
      <c r="C224" s="12" t="s">
        <v>42</v>
      </c>
      <c r="D224" s="12"/>
      <c r="E224" s="32">
        <v>44115</v>
      </c>
      <c r="G224" s="8">
        <f>837577+1030592</f>
        <v>1868169</v>
      </c>
      <c r="I224" s="8">
        <v>759384</v>
      </c>
      <c r="K224" s="3">
        <f t="shared" si="20"/>
        <v>8154296</v>
      </c>
      <c r="M224" s="8">
        <v>10781849</v>
      </c>
      <c r="O224" s="3">
        <f t="shared" si="21"/>
        <v>1339746</v>
      </c>
      <c r="Q224" s="8">
        <f>7600503+3905</f>
        <v>7604408</v>
      </c>
      <c r="S224" s="8">
        <v>8944154</v>
      </c>
      <c r="U224" s="8">
        <f>60838+31881+384900+759384</f>
        <v>1237003</v>
      </c>
      <c r="W224" s="8">
        <v>10026</v>
      </c>
      <c r="Y224" s="8">
        <v>590666</v>
      </c>
      <c r="AA224" s="14">
        <f t="shared" si="22"/>
        <v>1837695</v>
      </c>
      <c r="AB224" s="8"/>
      <c r="AC224" s="8">
        <f t="shared" si="23"/>
        <v>0</v>
      </c>
    </row>
    <row r="225" spans="1:29" hidden="1">
      <c r="A225" s="12" t="s">
        <v>335</v>
      </c>
      <c r="B225" s="12"/>
      <c r="C225" s="12" t="s">
        <v>22</v>
      </c>
      <c r="D225" s="12"/>
      <c r="E225" s="32">
        <v>45419</v>
      </c>
      <c r="K225" s="3">
        <f t="shared" si="20"/>
        <v>0</v>
      </c>
      <c r="O225" s="3">
        <f t="shared" si="21"/>
        <v>0</v>
      </c>
      <c r="AA225" s="14">
        <f t="shared" si="22"/>
        <v>0</v>
      </c>
      <c r="AB225" s="8"/>
      <c r="AC225" s="8">
        <f t="shared" si="23"/>
        <v>0</v>
      </c>
    </row>
    <row r="226" spans="1:29">
      <c r="A226" s="12" t="s">
        <v>534</v>
      </c>
      <c r="B226" s="12"/>
      <c r="C226" s="12" t="s">
        <v>47</v>
      </c>
      <c r="D226" s="12"/>
      <c r="E226" s="32">
        <v>48496</v>
      </c>
      <c r="G226" s="8">
        <v>11264719</v>
      </c>
      <c r="I226" s="8">
        <v>0</v>
      </c>
      <c r="K226" s="3">
        <f t="shared" si="20"/>
        <v>17093254</v>
      </c>
      <c r="M226" s="8">
        <v>28357973</v>
      </c>
      <c r="O226" s="3">
        <f t="shared" si="21"/>
        <v>3171838</v>
      </c>
      <c r="Q226" s="8">
        <v>16389710</v>
      </c>
      <c r="S226" s="8">
        <v>19561548</v>
      </c>
      <c r="U226" s="8">
        <v>213153</v>
      </c>
      <c r="W226" s="8">
        <v>0</v>
      </c>
      <c r="Y226" s="8">
        <v>8583272</v>
      </c>
      <c r="AA226" s="14">
        <f t="shared" si="22"/>
        <v>8796425</v>
      </c>
      <c r="AB226" s="8"/>
      <c r="AC226" s="8">
        <f t="shared" si="23"/>
        <v>0</v>
      </c>
    </row>
    <row r="227" spans="1:29">
      <c r="A227" s="12" t="s">
        <v>534</v>
      </c>
      <c r="B227" s="12"/>
      <c r="C227" s="12" t="s">
        <v>78</v>
      </c>
      <c r="D227" s="12"/>
      <c r="E227" s="32">
        <v>48801</v>
      </c>
      <c r="G227" s="8">
        <v>3581603</v>
      </c>
      <c r="I227" s="8">
        <v>789703</v>
      </c>
      <c r="K227" s="3">
        <f t="shared" si="20"/>
        <v>3616412</v>
      </c>
      <c r="M227" s="8">
        <v>7987718</v>
      </c>
      <c r="O227" s="3">
        <f t="shared" si="21"/>
        <v>1789022</v>
      </c>
      <c r="Q227" s="8">
        <v>2284248</v>
      </c>
      <c r="S227" s="8">
        <v>4073270</v>
      </c>
      <c r="U227" s="8">
        <f>781152+555330+216617+17756+62717</f>
        <v>1633572</v>
      </c>
      <c r="W227" s="8">
        <v>600000</v>
      </c>
      <c r="Y227" s="8">
        <v>1680876</v>
      </c>
      <c r="AA227" s="14">
        <f t="shared" si="22"/>
        <v>3914448</v>
      </c>
      <c r="AB227" s="8"/>
      <c r="AC227" s="8">
        <f t="shared" si="23"/>
        <v>0</v>
      </c>
    </row>
    <row r="228" spans="1:29">
      <c r="A228" s="12" t="s">
        <v>364</v>
      </c>
      <c r="B228" s="12"/>
      <c r="C228" s="12" t="s">
        <v>27</v>
      </c>
      <c r="D228" s="12"/>
      <c r="E228" s="32">
        <v>47019</v>
      </c>
      <c r="G228" s="8">
        <v>13386694</v>
      </c>
      <c r="I228" s="8">
        <v>0</v>
      </c>
      <c r="K228" s="3">
        <f t="shared" si="20"/>
        <v>86697876</v>
      </c>
      <c r="M228" s="8">
        <v>100084570</v>
      </c>
      <c r="O228" s="3">
        <f t="shared" si="21"/>
        <v>17144820</v>
      </c>
      <c r="Q228" s="8">
        <v>59964167</v>
      </c>
      <c r="S228" s="8">
        <v>77108987</v>
      </c>
      <c r="U228" s="8">
        <v>1530740</v>
      </c>
      <c r="W228" s="8">
        <v>26319214</v>
      </c>
      <c r="Y228" s="8">
        <v>-4874371</v>
      </c>
      <c r="AA228" s="14">
        <f t="shared" si="22"/>
        <v>22975583</v>
      </c>
      <c r="AB228" s="8"/>
      <c r="AC228" s="8">
        <f t="shared" si="23"/>
        <v>0</v>
      </c>
    </row>
    <row r="229" spans="1:29">
      <c r="A229" s="12" t="s">
        <v>443</v>
      </c>
      <c r="B229" s="12"/>
      <c r="C229" s="12" t="s">
        <v>440</v>
      </c>
      <c r="D229" s="12"/>
      <c r="E229" s="32">
        <v>44123</v>
      </c>
      <c r="G229" s="8">
        <v>3338275</v>
      </c>
      <c r="I229" s="8">
        <v>75952</v>
      </c>
      <c r="K229" s="3">
        <f t="shared" si="20"/>
        <v>9969269</v>
      </c>
      <c r="M229" s="8">
        <v>13383496</v>
      </c>
      <c r="O229" s="3">
        <f t="shared" si="21"/>
        <v>2267395</v>
      </c>
      <c r="Q229" s="8">
        <v>8684327</v>
      </c>
      <c r="S229" s="8">
        <v>10951722</v>
      </c>
      <c r="U229" s="8">
        <f>513577+183026+75952</f>
        <v>772555</v>
      </c>
      <c r="W229" s="8">
        <v>0</v>
      </c>
      <c r="Y229" s="8">
        <v>1659219</v>
      </c>
      <c r="AA229" s="14">
        <f t="shared" si="22"/>
        <v>2431774</v>
      </c>
      <c r="AB229" s="8"/>
      <c r="AC229" s="8">
        <f t="shared" si="23"/>
        <v>0</v>
      </c>
    </row>
    <row r="230" spans="1:29">
      <c r="A230" s="12" t="s">
        <v>216</v>
      </c>
      <c r="B230" s="12"/>
      <c r="C230" s="12" t="s">
        <v>11</v>
      </c>
      <c r="D230" s="12"/>
      <c r="E230" s="32">
        <v>45823</v>
      </c>
      <c r="G230" s="8">
        <v>1030397</v>
      </c>
      <c r="I230" s="8">
        <v>0</v>
      </c>
      <c r="K230" s="3">
        <f>+M230-I230-G230</f>
        <v>4550194</v>
      </c>
      <c r="M230" s="8">
        <v>5580591</v>
      </c>
      <c r="O230" s="3">
        <f>+S230-Q230</f>
        <v>4430006</v>
      </c>
      <c r="Q230" s="8">
        <v>377651</v>
      </c>
      <c r="S230" s="8">
        <v>4807657</v>
      </c>
      <c r="U230" s="8">
        <f>119859+13644+800896+90895</f>
        <v>1025294</v>
      </c>
      <c r="W230" s="8">
        <v>0</v>
      </c>
      <c r="Y230" s="8">
        <v>-252360</v>
      </c>
      <c r="AA230" s="14">
        <f>+Y230+W230++U230</f>
        <v>772934</v>
      </c>
      <c r="AB230" s="8"/>
      <c r="AC230" s="8">
        <f t="shared" si="23"/>
        <v>0</v>
      </c>
    </row>
    <row r="231" spans="1:29">
      <c r="A231" s="12" t="s">
        <v>435</v>
      </c>
      <c r="B231" s="12"/>
      <c r="C231" s="12" t="s">
        <v>34</v>
      </c>
      <c r="D231" s="12"/>
      <c r="E231" s="32">
        <v>47571</v>
      </c>
      <c r="G231" s="8">
        <v>1949881</v>
      </c>
      <c r="I231" s="8">
        <v>35532</v>
      </c>
      <c r="K231" s="3">
        <f t="shared" si="20"/>
        <v>1068058</v>
      </c>
      <c r="M231" s="8">
        <v>3053471</v>
      </c>
      <c r="O231" s="3">
        <f t="shared" si="21"/>
        <v>468855</v>
      </c>
      <c r="Q231" s="8">
        <v>779808</v>
      </c>
      <c r="S231" s="8">
        <v>1248663</v>
      </c>
      <c r="U231" s="8">
        <f>50439+31942+3590+5655</f>
        <v>91626</v>
      </c>
      <c r="W231" s="8">
        <v>0</v>
      </c>
      <c r="Y231" s="8">
        <v>1713182</v>
      </c>
      <c r="AA231" s="14">
        <f t="shared" si="22"/>
        <v>1804808</v>
      </c>
      <c r="AB231" s="8"/>
      <c r="AC231" s="8">
        <f t="shared" si="23"/>
        <v>0</v>
      </c>
    </row>
    <row r="232" spans="1:29">
      <c r="A232" s="12" t="s">
        <v>685</v>
      </c>
      <c r="B232" s="12"/>
      <c r="C232" s="12" t="s">
        <v>64</v>
      </c>
      <c r="D232" s="12"/>
      <c r="E232" s="32">
        <v>50161</v>
      </c>
      <c r="G232" s="8">
        <v>1497565</v>
      </c>
      <c r="I232" s="8">
        <v>0</v>
      </c>
      <c r="K232" s="3">
        <f t="shared" si="20"/>
        <v>21655604</v>
      </c>
      <c r="M232" s="8">
        <v>23153169</v>
      </c>
      <c r="O232" s="3">
        <f t="shared" si="21"/>
        <v>21422038</v>
      </c>
      <c r="Q232" s="8">
        <v>3149585</v>
      </c>
      <c r="S232" s="8">
        <v>24571623</v>
      </c>
      <c r="U232" s="8">
        <f>37192+82182+45491+72827</f>
        <v>237692</v>
      </c>
      <c r="W232" s="8">
        <v>0</v>
      </c>
      <c r="Y232" s="8">
        <v>-1656146</v>
      </c>
      <c r="AA232" s="14">
        <f t="shared" si="22"/>
        <v>-1418454</v>
      </c>
      <c r="AB232" s="8"/>
      <c r="AC232" s="8">
        <f t="shared" si="23"/>
        <v>0</v>
      </c>
    </row>
    <row r="233" spans="1:29">
      <c r="A233" s="12" t="s">
        <v>686</v>
      </c>
      <c r="B233" s="12"/>
      <c r="C233" s="12" t="s">
        <v>64</v>
      </c>
      <c r="D233" s="12"/>
      <c r="E233" s="32">
        <v>45427</v>
      </c>
      <c r="G233" s="8">
        <v>6811904</v>
      </c>
      <c r="I233" s="8">
        <v>402787</v>
      </c>
      <c r="K233" s="3">
        <f t="shared" si="20"/>
        <v>7684553</v>
      </c>
      <c r="M233" s="8">
        <v>14899244</v>
      </c>
      <c r="O233" s="3">
        <f t="shared" si="21"/>
        <v>2224733</v>
      </c>
      <c r="Q233" s="8">
        <v>7422311</v>
      </c>
      <c r="S233" s="8">
        <v>9647044</v>
      </c>
      <c r="U233" s="8">
        <f>19116+38556+12565+323327+66895</f>
        <v>460459</v>
      </c>
      <c r="W233" s="8">
        <v>0</v>
      </c>
      <c r="Y233" s="8">
        <v>4791741</v>
      </c>
      <c r="AA233" s="14">
        <f t="shared" si="22"/>
        <v>5252200</v>
      </c>
      <c r="AB233" s="8"/>
      <c r="AC233" s="8">
        <f t="shared" si="23"/>
        <v>0</v>
      </c>
    </row>
    <row r="234" spans="1:29">
      <c r="A234" s="12" t="s">
        <v>555</v>
      </c>
      <c r="B234" s="12"/>
      <c r="C234" s="12" t="s">
        <v>50</v>
      </c>
      <c r="D234" s="12"/>
      <c r="E234" s="32">
        <v>48751</v>
      </c>
      <c r="G234" s="8">
        <v>19668872</v>
      </c>
      <c r="I234" s="8">
        <v>1075924</v>
      </c>
      <c r="K234" s="3">
        <f t="shared" si="20"/>
        <v>34940536</v>
      </c>
      <c r="M234" s="8">
        <v>55685332</v>
      </c>
      <c r="O234" s="3">
        <f t="shared" si="21"/>
        <v>7649645</v>
      </c>
      <c r="Q234" s="8">
        <v>24755874</v>
      </c>
      <c r="S234" s="8">
        <v>32405519</v>
      </c>
      <c r="U234" s="8">
        <f>465916+517792+1715214+1075924</f>
        <v>3774846</v>
      </c>
      <c r="W234" s="8">
        <v>0</v>
      </c>
      <c r="Y234" s="8">
        <v>19504967</v>
      </c>
      <c r="AA234" s="14">
        <f t="shared" si="22"/>
        <v>23279813</v>
      </c>
      <c r="AB234" s="8"/>
      <c r="AC234" s="8">
        <f t="shared" si="23"/>
        <v>0</v>
      </c>
    </row>
    <row r="235" spans="1:29">
      <c r="A235" s="12" t="s">
        <v>671</v>
      </c>
      <c r="B235" s="12"/>
      <c r="C235" s="12" t="s">
        <v>63</v>
      </c>
      <c r="D235" s="12"/>
      <c r="E235" s="32">
        <v>50021</v>
      </c>
      <c r="G235" s="8">
        <v>17793835</v>
      </c>
      <c r="I235" s="8">
        <v>94635</v>
      </c>
      <c r="K235" s="3">
        <f t="shared" si="20"/>
        <v>38391739</v>
      </c>
      <c r="M235" s="8">
        <v>56280209</v>
      </c>
      <c r="O235" s="3">
        <f t="shared" si="21"/>
        <v>42720897</v>
      </c>
      <c r="Q235" s="8">
        <v>1126222</v>
      </c>
      <c r="S235" s="8">
        <v>43847119</v>
      </c>
      <c r="U235" s="8">
        <f>1601367+1977178+94635</f>
        <v>3673180</v>
      </c>
      <c r="W235" s="8">
        <v>0</v>
      </c>
      <c r="Y235" s="8">
        <v>8759910</v>
      </c>
      <c r="AA235" s="14">
        <f t="shared" si="22"/>
        <v>12433090</v>
      </c>
      <c r="AB235" s="8"/>
      <c r="AC235" s="8">
        <f t="shared" si="23"/>
        <v>0</v>
      </c>
    </row>
    <row r="236" spans="1:29">
      <c r="A236" s="12" t="s">
        <v>623</v>
      </c>
      <c r="B236" s="12"/>
      <c r="C236" s="12" t="s">
        <v>58</v>
      </c>
      <c r="D236" s="12"/>
      <c r="E236" s="32">
        <v>49502</v>
      </c>
      <c r="G236" s="8">
        <v>5195305</v>
      </c>
      <c r="I236" s="8">
        <v>314609</v>
      </c>
      <c r="K236" s="3">
        <f t="shared" si="20"/>
        <v>1362755</v>
      </c>
      <c r="M236" s="8">
        <v>6872669</v>
      </c>
      <c r="O236" s="3">
        <f t="shared" si="21"/>
        <v>1176326</v>
      </c>
      <c r="Q236" s="8">
        <v>1149113</v>
      </c>
      <c r="S236" s="8">
        <v>2325439</v>
      </c>
      <c r="U236" s="8">
        <f>288145+17631+97261+271488+10034+33087</f>
        <v>717646</v>
      </c>
      <c r="W236" s="8">
        <v>0</v>
      </c>
      <c r="Y236" s="8">
        <v>3829584</v>
      </c>
      <c r="AA236" s="14">
        <f t="shared" si="22"/>
        <v>4547230</v>
      </c>
      <c r="AB236" s="8"/>
      <c r="AC236" s="8">
        <f t="shared" si="23"/>
        <v>0</v>
      </c>
    </row>
    <row r="237" spans="1:29">
      <c r="A237" s="12" t="s">
        <v>341</v>
      </c>
      <c r="B237" s="12"/>
      <c r="C237" s="12" t="s">
        <v>24</v>
      </c>
      <c r="D237" s="12"/>
      <c r="E237" s="32">
        <v>44131</v>
      </c>
      <c r="G237" s="8">
        <v>5388825</v>
      </c>
      <c r="I237" s="8">
        <v>15108</v>
      </c>
      <c r="K237" s="3">
        <f t="shared" si="20"/>
        <v>10659373</v>
      </c>
      <c r="M237" s="8">
        <v>16063306</v>
      </c>
      <c r="O237" s="3">
        <f t="shared" si="21"/>
        <v>11086130</v>
      </c>
      <c r="Q237" s="8">
        <v>508211</v>
      </c>
      <c r="S237" s="8">
        <v>11594341</v>
      </c>
      <c r="U237" s="8">
        <f>159764+38502+972597+15108</f>
        <v>1185971</v>
      </c>
      <c r="W237" s="8">
        <v>0</v>
      </c>
      <c r="Y237" s="8">
        <v>3282994</v>
      </c>
      <c r="AA237" s="14">
        <f t="shared" si="22"/>
        <v>4468965</v>
      </c>
      <c r="AB237" s="8"/>
      <c r="AC237" s="8">
        <f t="shared" si="23"/>
        <v>0</v>
      </c>
    </row>
    <row r="238" spans="1:29">
      <c r="A238" s="12" t="s">
        <v>313</v>
      </c>
      <c r="B238" s="12"/>
      <c r="C238" s="12" t="s">
        <v>20</v>
      </c>
      <c r="D238" s="12"/>
      <c r="E238" s="32">
        <v>46565</v>
      </c>
      <c r="G238" s="8">
        <v>787875</v>
      </c>
      <c r="I238" s="8">
        <v>0</v>
      </c>
      <c r="K238" s="3">
        <f>+M238-I238-G238</f>
        <v>15355334</v>
      </c>
      <c r="M238" s="8">
        <v>16143209</v>
      </c>
      <c r="O238" s="3">
        <f t="shared" si="21"/>
        <v>1731804</v>
      </c>
      <c r="Q238" s="8">
        <v>13045398</v>
      </c>
      <c r="S238" s="8">
        <v>14777202</v>
      </c>
      <c r="U238" s="8">
        <f>23099+1601896</f>
        <v>1624995</v>
      </c>
      <c r="W238" s="8">
        <v>0</v>
      </c>
      <c r="Y238" s="8">
        <v>-258988</v>
      </c>
      <c r="AA238" s="14">
        <f t="shared" si="22"/>
        <v>1366007</v>
      </c>
      <c r="AB238" s="8"/>
      <c r="AC238" s="8">
        <f t="shared" si="23"/>
        <v>0</v>
      </c>
    </row>
    <row r="239" spans="1:29" s="8" customFormat="1">
      <c r="A239" s="13" t="s">
        <v>456</v>
      </c>
      <c r="B239" s="13"/>
      <c r="C239" s="13" t="s">
        <v>39</v>
      </c>
      <c r="D239" s="13"/>
      <c r="E239" s="13">
        <v>47803</v>
      </c>
      <c r="G239" s="8">
        <v>1176861</v>
      </c>
      <c r="I239" s="8">
        <v>69324</v>
      </c>
      <c r="K239" s="3">
        <f>+M239-I239-G239</f>
        <v>8068379</v>
      </c>
      <c r="M239" s="8">
        <v>9314564</v>
      </c>
      <c r="O239" s="3">
        <f>+S239-Q239</f>
        <v>8453005</v>
      </c>
      <c r="Q239" s="8">
        <v>797179</v>
      </c>
      <c r="S239" s="8">
        <v>9250184</v>
      </c>
      <c r="U239" s="8">
        <f>306984+67845+722332+69324</f>
        <v>1166485</v>
      </c>
      <c r="W239" s="8">
        <v>-1102105</v>
      </c>
      <c r="Y239" s="8">
        <v>0</v>
      </c>
      <c r="AA239" s="14">
        <f>+Y239+W239++U239</f>
        <v>64380</v>
      </c>
      <c r="AC239" s="8">
        <f>+G239+I239+K239-O239-Q239-Y239-W239-U239</f>
        <v>0</v>
      </c>
    </row>
    <row r="240" spans="1:29">
      <c r="A240" s="12" t="s">
        <v>400</v>
      </c>
      <c r="B240" s="12"/>
      <c r="C240" s="12" t="s">
        <v>32</v>
      </c>
      <c r="D240" s="12"/>
      <c r="E240" s="32">
        <v>45435</v>
      </c>
      <c r="G240" s="8">
        <f>19993796+129457</f>
        <v>20123253</v>
      </c>
      <c r="I240" s="8">
        <v>30625</v>
      </c>
      <c r="K240" s="3">
        <f t="shared" ref="K240:K250" si="24">+M240-I240-G240</f>
        <v>24529021</v>
      </c>
      <c r="M240" s="8">
        <v>44682899</v>
      </c>
      <c r="O240" s="3">
        <f t="shared" ref="O240:O250" si="25">+S240-Q240</f>
        <v>17635500</v>
      </c>
      <c r="Q240" s="8">
        <v>651300</v>
      </c>
      <c r="S240" s="8">
        <v>18286800</v>
      </c>
      <c r="U240" s="8">
        <f>51886+9269000+1181+30625</f>
        <v>9352692</v>
      </c>
      <c r="W240" s="8">
        <v>0</v>
      </c>
      <c r="Y240" s="8">
        <v>17043407</v>
      </c>
      <c r="AA240" s="14">
        <f t="shared" ref="AA240:AA250" si="26">+Y240+W240++U240</f>
        <v>26396099</v>
      </c>
      <c r="AB240" s="8"/>
      <c r="AC240" s="8">
        <f t="shared" ref="AC240:AC250" si="27">+G240+I240+K240-O240-Q240-Y240-W240-U240</f>
        <v>0</v>
      </c>
    </row>
    <row r="241" spans="1:29">
      <c r="A241" s="12" t="s">
        <v>702</v>
      </c>
      <c r="B241" s="12"/>
      <c r="C241" s="12" t="s">
        <v>65</v>
      </c>
      <c r="D241" s="12"/>
      <c r="E241" s="32">
        <v>50286</v>
      </c>
      <c r="G241" s="8">
        <v>2189720</v>
      </c>
      <c r="I241" s="8">
        <v>0</v>
      </c>
      <c r="K241" s="3">
        <f t="shared" si="24"/>
        <v>4061161</v>
      </c>
      <c r="M241" s="8">
        <v>6250881</v>
      </c>
      <c r="O241" s="3">
        <f t="shared" si="25"/>
        <v>2030054</v>
      </c>
      <c r="Q241" s="8">
        <v>3757928</v>
      </c>
      <c r="S241" s="8">
        <v>5787982</v>
      </c>
      <c r="U241" s="8">
        <f>175950+39084+240097</f>
        <v>455131</v>
      </c>
      <c r="W241" s="8">
        <v>0</v>
      </c>
      <c r="Y241" s="8">
        <v>7768</v>
      </c>
      <c r="AA241" s="14">
        <f t="shared" si="26"/>
        <v>462899</v>
      </c>
      <c r="AB241" s="8"/>
      <c r="AC241" s="8">
        <f t="shared" si="27"/>
        <v>0</v>
      </c>
    </row>
    <row r="242" spans="1:29">
      <c r="A242" s="12" t="s">
        <v>474</v>
      </c>
      <c r="B242" s="12"/>
      <c r="C242" s="12" t="s">
        <v>471</v>
      </c>
      <c r="D242" s="12"/>
      <c r="E242" s="32">
        <v>44149</v>
      </c>
      <c r="G242" s="8">
        <v>2228121</v>
      </c>
      <c r="I242" s="8">
        <v>871119</v>
      </c>
      <c r="K242" s="3">
        <f t="shared" si="24"/>
        <v>2486815</v>
      </c>
      <c r="M242" s="8">
        <v>5586055</v>
      </c>
      <c r="O242" s="3">
        <f t="shared" si="25"/>
        <v>1273767</v>
      </c>
      <c r="Q242" s="8">
        <v>2164457</v>
      </c>
      <c r="S242" s="8">
        <v>3438224</v>
      </c>
      <c r="U242" s="8">
        <f>198823+312979+855055+18392+4409</f>
        <v>1389658</v>
      </c>
      <c r="W242" s="8">
        <v>0</v>
      </c>
      <c r="Y242" s="8">
        <v>758173</v>
      </c>
      <c r="AA242" s="14">
        <f t="shared" si="26"/>
        <v>2147831</v>
      </c>
      <c r="AB242" s="8"/>
      <c r="AC242" s="8">
        <f t="shared" si="27"/>
        <v>0</v>
      </c>
    </row>
    <row r="243" spans="1:29" hidden="1">
      <c r="A243" s="12" t="s">
        <v>942</v>
      </c>
      <c r="B243" s="12"/>
      <c r="C243" s="12" t="s">
        <v>61</v>
      </c>
      <c r="D243" s="12"/>
      <c r="E243" s="32">
        <v>49809</v>
      </c>
      <c r="G243" s="8">
        <v>0</v>
      </c>
      <c r="I243" s="8">
        <v>0</v>
      </c>
      <c r="K243" s="3">
        <f t="shared" si="24"/>
        <v>0</v>
      </c>
      <c r="M243" s="8">
        <v>0</v>
      </c>
      <c r="O243" s="3">
        <f t="shared" si="25"/>
        <v>0</v>
      </c>
      <c r="Q243" s="8">
        <v>0</v>
      </c>
      <c r="S243" s="8">
        <v>0</v>
      </c>
      <c r="U243" s="8">
        <v>0</v>
      </c>
      <c r="W243" s="8">
        <v>0</v>
      </c>
      <c r="Y243" s="8">
        <v>0</v>
      </c>
      <c r="AA243" s="14">
        <f t="shared" si="26"/>
        <v>0</v>
      </c>
      <c r="AB243" s="8"/>
      <c r="AC243" s="8">
        <f t="shared" si="27"/>
        <v>0</v>
      </c>
    </row>
    <row r="244" spans="1:29" hidden="1">
      <c r="A244" s="12" t="s">
        <v>943</v>
      </c>
      <c r="B244" s="12"/>
      <c r="C244" s="12" t="s">
        <v>38</v>
      </c>
      <c r="D244" s="12"/>
      <c r="E244" s="32"/>
      <c r="G244" s="8">
        <v>0</v>
      </c>
      <c r="I244" s="8">
        <v>0</v>
      </c>
      <c r="K244" s="3">
        <f t="shared" si="24"/>
        <v>0</v>
      </c>
      <c r="M244" s="8">
        <v>0</v>
      </c>
      <c r="O244" s="3">
        <f t="shared" si="25"/>
        <v>0</v>
      </c>
      <c r="Q244" s="8">
        <v>0</v>
      </c>
      <c r="S244" s="8">
        <v>0</v>
      </c>
      <c r="U244" s="8">
        <v>0</v>
      </c>
      <c r="W244" s="8">
        <v>0</v>
      </c>
      <c r="Y244" s="8">
        <v>0</v>
      </c>
      <c r="AA244" s="14">
        <f t="shared" si="26"/>
        <v>0</v>
      </c>
      <c r="AB244" s="8"/>
      <c r="AC244" s="8">
        <f t="shared" si="27"/>
        <v>0</v>
      </c>
    </row>
    <row r="245" spans="1:29">
      <c r="A245" s="12" t="s">
        <v>657</v>
      </c>
      <c r="B245" s="12"/>
      <c r="C245" s="12" t="s">
        <v>62</v>
      </c>
      <c r="D245" s="12"/>
      <c r="E245" s="32">
        <v>49858</v>
      </c>
      <c r="G245" s="8">
        <v>8640218</v>
      </c>
      <c r="I245" s="8">
        <v>0</v>
      </c>
      <c r="K245" s="3">
        <f t="shared" si="24"/>
        <v>33153178</v>
      </c>
      <c r="M245" s="8">
        <v>41793396</v>
      </c>
      <c r="O245" s="3">
        <f t="shared" si="25"/>
        <v>38345622</v>
      </c>
      <c r="Q245" s="8">
        <v>1167776</v>
      </c>
      <c r="S245" s="8">
        <v>39513398</v>
      </c>
      <c r="U245" s="8">
        <f>734260+104217+35709+1442566</f>
        <v>2316752</v>
      </c>
      <c r="W245" s="8">
        <v>-36754</v>
      </c>
      <c r="Y245" s="8">
        <v>0</v>
      </c>
      <c r="AA245" s="14">
        <f t="shared" si="26"/>
        <v>2279998</v>
      </c>
      <c r="AB245" s="8"/>
      <c r="AC245" s="8">
        <f t="shared" si="27"/>
        <v>0</v>
      </c>
    </row>
    <row r="246" spans="1:29">
      <c r="A246" s="12" t="s">
        <v>518</v>
      </c>
      <c r="B246" s="12"/>
      <c r="C246" s="12" t="s">
        <v>45</v>
      </c>
      <c r="D246" s="12"/>
      <c r="E246" s="32">
        <v>48322</v>
      </c>
      <c r="G246" s="8">
        <v>2598386</v>
      </c>
      <c r="I246" s="8">
        <v>21203</v>
      </c>
      <c r="K246" s="3">
        <f t="shared" si="24"/>
        <v>3582144</v>
      </c>
      <c r="M246" s="8">
        <v>6201733</v>
      </c>
      <c r="O246" s="3">
        <f t="shared" si="25"/>
        <v>4470569</v>
      </c>
      <c r="Q246" s="8">
        <v>233376</v>
      </c>
      <c r="S246" s="8">
        <v>4703945</v>
      </c>
      <c r="U246" s="8">
        <f>33567+10634+21203</f>
        <v>65404</v>
      </c>
      <c r="W246" s="8">
        <v>1432384</v>
      </c>
      <c r="Y246" s="8">
        <v>0</v>
      </c>
      <c r="AA246" s="14">
        <f t="shared" si="26"/>
        <v>1497788</v>
      </c>
      <c r="AB246" s="8"/>
      <c r="AC246" s="8">
        <f t="shared" si="27"/>
        <v>0</v>
      </c>
    </row>
    <row r="247" spans="1:29">
      <c r="A247" s="12" t="s">
        <v>598</v>
      </c>
      <c r="B247" s="12"/>
      <c r="C247" s="12" t="s">
        <v>56</v>
      </c>
      <c r="D247" s="12"/>
      <c r="E247" s="32">
        <v>49205</v>
      </c>
      <c r="G247" s="8">
        <v>2114193</v>
      </c>
      <c r="I247" s="8">
        <v>72927</v>
      </c>
      <c r="K247" s="3">
        <f t="shared" si="24"/>
        <v>4442792</v>
      </c>
      <c r="M247" s="8">
        <v>6629912</v>
      </c>
      <c r="O247" s="3">
        <f t="shared" si="25"/>
        <v>5510613</v>
      </c>
      <c r="Q247" s="8">
        <v>233895</v>
      </c>
      <c r="S247" s="8">
        <v>5744508</v>
      </c>
      <c r="U247" s="8">
        <f>232492+30208+45247+165774+50662+22265</f>
        <v>546648</v>
      </c>
      <c r="W247" s="8">
        <v>0</v>
      </c>
      <c r="Y247" s="8">
        <v>338756</v>
      </c>
      <c r="AA247" s="14">
        <f t="shared" si="26"/>
        <v>885404</v>
      </c>
      <c r="AB247" s="8"/>
      <c r="AC247" s="8">
        <f t="shared" si="27"/>
        <v>0</v>
      </c>
    </row>
    <row r="248" spans="1:29">
      <c r="A248" s="12" t="s">
        <v>223</v>
      </c>
      <c r="B248" s="12"/>
      <c r="C248" s="12" t="s">
        <v>12</v>
      </c>
      <c r="D248" s="12"/>
      <c r="E248" s="32">
        <v>45872</v>
      </c>
      <c r="G248" s="8">
        <v>1825784</v>
      </c>
      <c r="I248" s="8">
        <v>420596</v>
      </c>
      <c r="K248" s="3">
        <f t="shared" si="24"/>
        <v>5757455</v>
      </c>
      <c r="M248" s="8">
        <v>8003835</v>
      </c>
      <c r="O248" s="3">
        <f t="shared" si="25"/>
        <v>1046726</v>
      </c>
      <c r="Q248" s="8">
        <v>3473082</v>
      </c>
      <c r="S248" s="8">
        <v>4519808</v>
      </c>
      <c r="U248" s="8">
        <f>2188990+1922+418674+114533+30000</f>
        <v>2754119</v>
      </c>
      <c r="W248" s="8">
        <v>0</v>
      </c>
      <c r="Y248" s="8">
        <v>729908</v>
      </c>
      <c r="AA248" s="14">
        <f t="shared" si="26"/>
        <v>3484027</v>
      </c>
      <c r="AB248" s="8"/>
      <c r="AC248" s="8">
        <f t="shared" si="27"/>
        <v>0</v>
      </c>
    </row>
    <row r="249" spans="1:29">
      <c r="A249" s="12" t="s">
        <v>510</v>
      </c>
      <c r="B249" s="12"/>
      <c r="C249" s="12" t="s">
        <v>511</v>
      </c>
      <c r="D249" s="12"/>
      <c r="E249" s="32">
        <v>48256</v>
      </c>
      <c r="G249" s="8">
        <v>6808452</v>
      </c>
      <c r="I249" s="8">
        <v>5752</v>
      </c>
      <c r="K249" s="3">
        <f t="shared" si="24"/>
        <v>5415436</v>
      </c>
      <c r="M249" s="8">
        <v>12229640</v>
      </c>
      <c r="O249" s="3">
        <f t="shared" si="25"/>
        <v>4105621</v>
      </c>
      <c r="Q249" s="8">
        <v>190412</v>
      </c>
      <c r="S249" s="8">
        <v>4296033</v>
      </c>
      <c r="U249" s="8">
        <f>73739+44686+1786135+5752</f>
        <v>1910312</v>
      </c>
      <c r="W249" s="8">
        <v>0</v>
      </c>
      <c r="Y249" s="8">
        <v>6023295</v>
      </c>
      <c r="AA249" s="14">
        <f t="shared" si="26"/>
        <v>7933607</v>
      </c>
      <c r="AB249" s="8"/>
      <c r="AC249" s="8">
        <f t="shared" si="27"/>
        <v>0</v>
      </c>
    </row>
    <row r="250" spans="1:29">
      <c r="A250" s="12" t="s">
        <v>556</v>
      </c>
      <c r="B250" s="12"/>
      <c r="C250" s="12" t="s">
        <v>50</v>
      </c>
      <c r="D250" s="12"/>
      <c r="E250" s="32">
        <v>48686</v>
      </c>
      <c r="G250" s="8">
        <v>0</v>
      </c>
      <c r="I250" s="3">
        <v>0</v>
      </c>
      <c r="K250" s="3">
        <f t="shared" si="24"/>
        <v>2861132</v>
      </c>
      <c r="M250" s="8">
        <v>2861132</v>
      </c>
      <c r="O250" s="3">
        <f t="shared" si="25"/>
        <v>843418</v>
      </c>
      <c r="Q250" s="8">
        <v>2617017</v>
      </c>
      <c r="S250" s="8">
        <v>3460435</v>
      </c>
      <c r="U250" s="8">
        <f>3485+35952+207261</f>
        <v>246698</v>
      </c>
      <c r="W250" s="8">
        <v>-846001</v>
      </c>
      <c r="Y250" s="8">
        <v>0</v>
      </c>
      <c r="AA250" s="14">
        <f t="shared" si="26"/>
        <v>-599303</v>
      </c>
      <c r="AB250" s="8"/>
      <c r="AC250" s="8">
        <f t="shared" si="27"/>
        <v>0</v>
      </c>
    </row>
    <row r="251" spans="1:29">
      <c r="A251" s="12" t="s">
        <v>480</v>
      </c>
      <c r="B251" s="12"/>
      <c r="C251" s="12" t="s">
        <v>42</v>
      </c>
      <c r="D251" s="12"/>
      <c r="E251" s="32">
        <v>47985</v>
      </c>
      <c r="G251" s="8">
        <v>3730608</v>
      </c>
      <c r="I251" s="8">
        <v>103978</v>
      </c>
      <c r="K251" s="3">
        <f t="shared" ref="K251:K297" si="28">+M251-I251-G251</f>
        <v>5441276</v>
      </c>
      <c r="M251" s="8">
        <v>9275862</v>
      </c>
      <c r="O251" s="3">
        <f t="shared" ref="O251:O297" si="29">+S251-Q251</f>
        <v>5231168</v>
      </c>
      <c r="Q251" s="8">
        <v>170496</v>
      </c>
      <c r="S251" s="8">
        <v>5401664</v>
      </c>
      <c r="U251" s="8">
        <f>363563+13795+9979+216220+95354+8624</f>
        <v>707535</v>
      </c>
      <c r="W251" s="8">
        <v>634081</v>
      </c>
      <c r="Y251" s="8">
        <v>2532582</v>
      </c>
      <c r="AA251" s="14">
        <f t="shared" ref="AA251:AA297" si="30">+Y251+W251++U251</f>
        <v>3874198</v>
      </c>
      <c r="AB251" s="8"/>
      <c r="AC251" s="8">
        <f t="shared" ref="AC251:AC297" si="31">+G251+I251+K251-O251-Q251-Y251-W251-U251</f>
        <v>0</v>
      </c>
    </row>
    <row r="252" spans="1:29">
      <c r="A252" s="12" t="s">
        <v>512</v>
      </c>
      <c r="B252" s="12"/>
      <c r="C252" s="12" t="s">
        <v>511</v>
      </c>
      <c r="D252" s="12"/>
      <c r="E252" s="32">
        <v>48264</v>
      </c>
      <c r="G252" s="8">
        <v>2190230</v>
      </c>
      <c r="I252" s="8">
        <v>44799</v>
      </c>
      <c r="K252" s="3">
        <f t="shared" si="28"/>
        <v>5541608</v>
      </c>
      <c r="M252" s="8">
        <v>7776637</v>
      </c>
      <c r="O252" s="3">
        <f t="shared" si="29"/>
        <v>5205862</v>
      </c>
      <c r="Q252" s="8">
        <v>125287</v>
      </c>
      <c r="S252" s="8">
        <v>5331149</v>
      </c>
      <c r="U252" s="8">
        <f>79314+1176543+44799</f>
        <v>1300656</v>
      </c>
      <c r="W252" s="8">
        <v>0</v>
      </c>
      <c r="Y252" s="8">
        <v>1144832</v>
      </c>
      <c r="AA252" s="14">
        <f t="shared" si="30"/>
        <v>2445488</v>
      </c>
      <c r="AB252" s="8"/>
      <c r="AC252" s="8">
        <f t="shared" si="31"/>
        <v>0</v>
      </c>
    </row>
    <row r="253" spans="1:29">
      <c r="A253" s="12" t="s">
        <v>687</v>
      </c>
      <c r="B253" s="12"/>
      <c r="C253" s="12" t="s">
        <v>64</v>
      </c>
      <c r="D253" s="12"/>
      <c r="E253" s="32">
        <v>50179</v>
      </c>
      <c r="G253" s="8">
        <v>1908042</v>
      </c>
      <c r="I253" s="8">
        <v>34625</v>
      </c>
      <c r="K253" s="3">
        <f t="shared" si="28"/>
        <v>3211328</v>
      </c>
      <c r="M253" s="8">
        <v>5153995</v>
      </c>
      <c r="O253" s="3">
        <f t="shared" si="29"/>
        <v>823832</v>
      </c>
      <c r="Q253" s="8">
        <v>3170620</v>
      </c>
      <c r="S253" s="8">
        <v>3994452</v>
      </c>
      <c r="U253" s="8">
        <f>31409+28976+33356+1269</f>
        <v>95010</v>
      </c>
      <c r="W253" s="8">
        <v>0</v>
      </c>
      <c r="Y253" s="8">
        <v>1064533</v>
      </c>
      <c r="AA253" s="14">
        <f t="shared" si="30"/>
        <v>1159543</v>
      </c>
      <c r="AB253" s="8"/>
      <c r="AC253" s="8">
        <f t="shared" si="31"/>
        <v>0</v>
      </c>
    </row>
    <row r="254" spans="1:29">
      <c r="A254" s="12" t="s">
        <v>342</v>
      </c>
      <c r="B254" s="12"/>
      <c r="C254" s="12" t="s">
        <v>24</v>
      </c>
      <c r="D254" s="12"/>
      <c r="E254" s="32">
        <v>46797</v>
      </c>
      <c r="G254" s="8">
        <v>428654</v>
      </c>
      <c r="I254" s="8">
        <v>0</v>
      </c>
      <c r="K254" s="3">
        <f t="shared" si="28"/>
        <v>868163</v>
      </c>
      <c r="M254" s="8">
        <v>1296817</v>
      </c>
      <c r="O254" s="3">
        <f t="shared" si="29"/>
        <v>870536</v>
      </c>
      <c r="Q254" s="8">
        <v>15814</v>
      </c>
      <c r="S254" s="8">
        <v>886350</v>
      </c>
      <c r="U254" s="8">
        <f>24242+7570+71295</f>
        <v>103107</v>
      </c>
      <c r="W254" s="8">
        <v>307360</v>
      </c>
      <c r="Y254" s="8">
        <v>0</v>
      </c>
      <c r="AA254" s="14">
        <f t="shared" si="30"/>
        <v>410467</v>
      </c>
      <c r="AB254" s="8"/>
      <c r="AC254" s="8">
        <f t="shared" si="31"/>
        <v>0</v>
      </c>
    </row>
    <row r="255" spans="1:29">
      <c r="A255" s="12" t="s">
        <v>384</v>
      </c>
      <c r="B255" s="12"/>
      <c r="C255" s="12" t="s">
        <v>30</v>
      </c>
      <c r="D255" s="12"/>
      <c r="E255" s="32">
        <v>47191</v>
      </c>
      <c r="G255" s="8">
        <f>6528020+1345338</f>
        <v>7873358</v>
      </c>
      <c r="I255" s="8">
        <v>0</v>
      </c>
      <c r="K255" s="3">
        <f t="shared" si="28"/>
        <v>23941985</v>
      </c>
      <c r="M255" s="8">
        <v>31815343</v>
      </c>
      <c r="O255" s="3">
        <f t="shared" si="29"/>
        <v>4176756</v>
      </c>
      <c r="Q255" s="8">
        <v>20019216</v>
      </c>
      <c r="S255" s="8">
        <v>24195972</v>
      </c>
      <c r="U255" s="8">
        <f>3717930+1270386</f>
        <v>4988316</v>
      </c>
      <c r="W255" s="8">
        <v>0</v>
      </c>
      <c r="Y255" s="8">
        <v>2631055</v>
      </c>
      <c r="AA255" s="14">
        <f t="shared" si="30"/>
        <v>7619371</v>
      </c>
      <c r="AB255" s="8"/>
      <c r="AC255" s="8">
        <f t="shared" si="31"/>
        <v>0</v>
      </c>
    </row>
    <row r="256" spans="1:29">
      <c r="A256" s="12" t="s">
        <v>599</v>
      </c>
      <c r="B256" s="12"/>
      <c r="C256" s="12" t="s">
        <v>56</v>
      </c>
      <c r="D256" s="12"/>
      <c r="E256" s="32">
        <v>44164</v>
      </c>
      <c r="G256" s="8">
        <v>13740625</v>
      </c>
      <c r="I256" s="8">
        <v>0</v>
      </c>
      <c r="K256" s="3">
        <f t="shared" si="28"/>
        <v>21743677</v>
      </c>
      <c r="M256" s="8">
        <v>35484302</v>
      </c>
      <c r="O256" s="3">
        <f t="shared" si="29"/>
        <v>4595410</v>
      </c>
      <c r="Q256" s="8">
        <v>20651531</v>
      </c>
      <c r="S256" s="8">
        <v>25246941</v>
      </c>
      <c r="U256" s="8">
        <f>373244+954343</f>
        <v>1327587</v>
      </c>
      <c r="W256" s="8">
        <v>0</v>
      </c>
      <c r="Y256" s="8">
        <v>8909774</v>
      </c>
      <c r="AA256" s="14">
        <f>+Y256+W256++U256</f>
        <v>10237361</v>
      </c>
      <c r="AB256" s="8"/>
      <c r="AC256" s="8">
        <f t="shared" si="31"/>
        <v>0</v>
      </c>
    </row>
    <row r="257" spans="1:29">
      <c r="A257" s="12"/>
      <c r="B257" s="12"/>
      <c r="C257" s="12"/>
      <c r="D257" s="12"/>
      <c r="E257" s="32"/>
      <c r="K257" s="3"/>
      <c r="O257" s="3"/>
      <c r="AA257" s="14"/>
      <c r="AB257" s="8"/>
    </row>
    <row r="258" spans="1:29">
      <c r="A258" s="12"/>
      <c r="B258" s="12"/>
      <c r="C258" s="12"/>
      <c r="D258" s="12"/>
      <c r="E258" s="32"/>
      <c r="K258" s="3"/>
      <c r="O258" s="3"/>
      <c r="AA258" s="14" t="s">
        <v>819</v>
      </c>
      <c r="AB258" s="8"/>
    </row>
    <row r="259" spans="1:29" s="35" customFormat="1">
      <c r="A259" s="34" t="s">
        <v>428</v>
      </c>
      <c r="B259" s="34"/>
      <c r="C259" s="34" t="s">
        <v>426</v>
      </c>
      <c r="D259" s="34"/>
      <c r="E259" s="34">
        <v>44172</v>
      </c>
      <c r="G259" s="35">
        <v>4115550</v>
      </c>
      <c r="I259" s="35">
        <v>87752</v>
      </c>
      <c r="K259" s="42">
        <f t="shared" si="28"/>
        <v>4837559</v>
      </c>
      <c r="M259" s="35">
        <v>9040861</v>
      </c>
      <c r="O259" s="42">
        <f t="shared" si="29"/>
        <v>2120513</v>
      </c>
      <c r="Q259" s="35">
        <v>3688541</v>
      </c>
      <c r="S259" s="35">
        <v>5809054</v>
      </c>
      <c r="U259" s="35">
        <f>416112+68364+19388+140581</f>
        <v>644445</v>
      </c>
      <c r="W259" s="35">
        <v>0</v>
      </c>
      <c r="Y259" s="35">
        <v>2587362</v>
      </c>
      <c r="AA259" s="71">
        <f t="shared" si="30"/>
        <v>3231807</v>
      </c>
      <c r="AC259" s="35">
        <f t="shared" si="31"/>
        <v>0</v>
      </c>
    </row>
    <row r="260" spans="1:29">
      <c r="A260" s="12" t="s">
        <v>557</v>
      </c>
      <c r="B260" s="12"/>
      <c r="C260" s="12" t="s">
        <v>50</v>
      </c>
      <c r="D260" s="12"/>
      <c r="E260" s="32">
        <v>44180</v>
      </c>
      <c r="G260" s="8">
        <f>2968112+12678601</f>
        <v>15646713</v>
      </c>
      <c r="I260" s="8">
        <v>0</v>
      </c>
      <c r="K260" s="3">
        <f t="shared" si="28"/>
        <v>50348314</v>
      </c>
      <c r="M260" s="8">
        <v>65995027</v>
      </c>
      <c r="O260" s="3">
        <f t="shared" si="29"/>
        <v>10912459</v>
      </c>
      <c r="Q260" s="8">
        <v>46696554</v>
      </c>
      <c r="S260" s="8">
        <v>57609013</v>
      </c>
      <c r="U260" s="8">
        <f>549508+250444+3324499</f>
        <v>4124451</v>
      </c>
      <c r="W260" s="8">
        <v>0</v>
      </c>
      <c r="Y260" s="8">
        <v>4261563</v>
      </c>
      <c r="AA260" s="14">
        <f t="shared" si="30"/>
        <v>8386014</v>
      </c>
      <c r="AB260" s="8"/>
      <c r="AC260" s="8">
        <f t="shared" si="31"/>
        <v>0</v>
      </c>
    </row>
    <row r="261" spans="1:29" s="8" customFormat="1">
      <c r="A261" s="13" t="s">
        <v>495</v>
      </c>
      <c r="B261" s="13"/>
      <c r="C261" s="13" t="s">
        <v>44</v>
      </c>
      <c r="D261" s="13"/>
      <c r="E261" s="13">
        <v>48165</v>
      </c>
      <c r="G261" s="8">
        <v>4453127</v>
      </c>
      <c r="I261" s="8">
        <v>0</v>
      </c>
      <c r="K261" s="3">
        <f t="shared" si="28"/>
        <v>5391991</v>
      </c>
      <c r="M261" s="8">
        <v>9845118</v>
      </c>
      <c r="O261" s="3">
        <f t="shared" si="29"/>
        <v>1450192</v>
      </c>
      <c r="Q261" s="8">
        <f>272396+3892175</f>
        <v>4164571</v>
      </c>
      <c r="S261" s="8">
        <v>5614763</v>
      </c>
      <c r="U261" s="8">
        <f>126433+1205276+15104</f>
        <v>1346813</v>
      </c>
      <c r="W261" s="8">
        <v>0</v>
      </c>
      <c r="Y261" s="8">
        <v>2883542</v>
      </c>
      <c r="AA261" s="14">
        <f t="shared" si="30"/>
        <v>4230355</v>
      </c>
      <c r="AC261" s="8">
        <f t="shared" si="31"/>
        <v>0</v>
      </c>
    </row>
    <row r="262" spans="1:29">
      <c r="A262" s="12" t="s">
        <v>715</v>
      </c>
      <c r="B262" s="12"/>
      <c r="C262" s="12" t="s">
        <v>69</v>
      </c>
      <c r="D262" s="12"/>
      <c r="E262" s="32">
        <v>50435</v>
      </c>
      <c r="G262" s="8">
        <f>11267705+29925</f>
        <v>11297630</v>
      </c>
      <c r="I262" s="8">
        <v>0</v>
      </c>
      <c r="K262" s="3">
        <f t="shared" si="28"/>
        <v>26495176</v>
      </c>
      <c r="M262" s="8">
        <v>37792806</v>
      </c>
      <c r="O262" s="3">
        <f t="shared" si="29"/>
        <v>4618251</v>
      </c>
      <c r="Q262" s="8">
        <v>24884804</v>
      </c>
      <c r="S262" s="8">
        <v>29503055</v>
      </c>
      <c r="U262" s="8">
        <f>297370+1250218</f>
        <v>1547588</v>
      </c>
      <c r="W262" s="8">
        <v>0</v>
      </c>
      <c r="Y262" s="8">
        <v>6742163</v>
      </c>
      <c r="AA262" s="14">
        <f t="shared" si="30"/>
        <v>8289751</v>
      </c>
      <c r="AB262" s="8"/>
      <c r="AC262" s="8">
        <f t="shared" si="31"/>
        <v>0</v>
      </c>
    </row>
    <row r="263" spans="1:29" hidden="1">
      <c r="A263" s="12" t="s">
        <v>464</v>
      </c>
      <c r="B263" s="12"/>
      <c r="C263" s="12" t="s">
        <v>41</v>
      </c>
      <c r="D263" s="12"/>
      <c r="E263" s="32">
        <v>47878</v>
      </c>
      <c r="K263" s="3">
        <f t="shared" si="28"/>
        <v>0</v>
      </c>
      <c r="O263" s="3">
        <f t="shared" si="29"/>
        <v>0</v>
      </c>
      <c r="W263" s="8">
        <v>0</v>
      </c>
      <c r="AA263" s="14">
        <f t="shared" si="30"/>
        <v>0</v>
      </c>
      <c r="AB263" s="8"/>
      <c r="AC263" s="8">
        <f t="shared" si="31"/>
        <v>0</v>
      </c>
    </row>
    <row r="264" spans="1:29">
      <c r="A264" s="12" t="s">
        <v>688</v>
      </c>
      <c r="B264" s="12"/>
      <c r="C264" s="12" t="s">
        <v>64</v>
      </c>
      <c r="D264" s="12"/>
      <c r="E264" s="32">
        <v>50245</v>
      </c>
      <c r="G264" s="8">
        <v>2520916</v>
      </c>
      <c r="I264" s="8">
        <v>0</v>
      </c>
      <c r="K264" s="3">
        <f t="shared" si="28"/>
        <v>3941858</v>
      </c>
      <c r="M264" s="8">
        <v>6462774</v>
      </c>
      <c r="O264" s="3">
        <f t="shared" si="29"/>
        <v>1325069</v>
      </c>
      <c r="Q264" s="8">
        <f>1152159+2557415</f>
        <v>3709574</v>
      </c>
      <c r="S264" s="8">
        <v>5034643</v>
      </c>
      <c r="U264" s="8">
        <f>77682+46436+6731+11144+26025</f>
        <v>168018</v>
      </c>
      <c r="W264" s="8">
        <v>0</v>
      </c>
      <c r="Y264" s="8">
        <v>1260113</v>
      </c>
      <c r="AA264" s="14">
        <f t="shared" si="30"/>
        <v>1428131</v>
      </c>
      <c r="AB264" s="8"/>
      <c r="AC264" s="8">
        <f t="shared" si="31"/>
        <v>0</v>
      </c>
    </row>
    <row r="265" spans="1:29">
      <c r="A265" s="12" t="s">
        <v>658</v>
      </c>
      <c r="B265" s="12"/>
      <c r="C265" s="12" t="s">
        <v>62</v>
      </c>
      <c r="D265" s="12"/>
      <c r="E265" s="32">
        <v>49866</v>
      </c>
      <c r="G265" s="8">
        <v>7064957</v>
      </c>
      <c r="I265" s="8">
        <v>0</v>
      </c>
      <c r="K265" s="3">
        <f t="shared" si="28"/>
        <v>12726329</v>
      </c>
      <c r="M265" s="8">
        <v>19791286</v>
      </c>
      <c r="O265" s="3">
        <f t="shared" si="29"/>
        <v>4162376</v>
      </c>
      <c r="Q265" s="8">
        <v>11967932</v>
      </c>
      <c r="S265" s="8">
        <v>16130308</v>
      </c>
      <c r="U265" s="8">
        <f>419065+627620+95898</f>
        <v>1142583</v>
      </c>
      <c r="W265" s="8">
        <v>0</v>
      </c>
      <c r="Y265" s="8">
        <v>2518395</v>
      </c>
      <c r="AA265" s="14">
        <f t="shared" si="30"/>
        <v>3660978</v>
      </c>
      <c r="AB265" s="8"/>
      <c r="AC265" s="8">
        <f t="shared" si="31"/>
        <v>0</v>
      </c>
    </row>
    <row r="266" spans="1:29">
      <c r="A266" s="12" t="s">
        <v>658</v>
      </c>
      <c r="B266" s="12"/>
      <c r="C266" s="12" t="s">
        <v>72</v>
      </c>
      <c r="D266" s="12"/>
      <c r="E266" s="32">
        <v>50690</v>
      </c>
      <c r="G266" s="8">
        <f>1305500+1606302</f>
        <v>2911802</v>
      </c>
      <c r="I266" s="8">
        <v>0</v>
      </c>
      <c r="K266" s="3">
        <f t="shared" si="28"/>
        <v>7999946</v>
      </c>
      <c r="M266" s="8">
        <f>10911748</f>
        <v>10911748</v>
      </c>
      <c r="O266" s="3">
        <f t="shared" si="29"/>
        <v>1191727</v>
      </c>
      <c r="Q266" s="8">
        <v>6726063</v>
      </c>
      <c r="S266" s="8">
        <v>7917790</v>
      </c>
      <c r="U266" s="8">
        <f>198307+30703+952845+233555+22919</f>
        <v>1438329</v>
      </c>
      <c r="W266" s="8">
        <v>0</v>
      </c>
      <c r="Y266" s="8">
        <v>1555629</v>
      </c>
      <c r="AA266" s="14">
        <f t="shared" si="30"/>
        <v>2993958</v>
      </c>
      <c r="AB266" s="8"/>
      <c r="AC266" s="8">
        <f t="shared" si="31"/>
        <v>0</v>
      </c>
    </row>
    <row r="267" spans="1:29">
      <c r="A267" s="12" t="s">
        <v>689</v>
      </c>
      <c r="B267" s="12"/>
      <c r="C267" s="12" t="s">
        <v>64</v>
      </c>
      <c r="D267" s="12"/>
      <c r="E267" s="32">
        <v>50187</v>
      </c>
      <c r="G267" s="8">
        <v>156895</v>
      </c>
      <c r="I267" s="8">
        <v>0</v>
      </c>
      <c r="K267" s="3">
        <f t="shared" si="28"/>
        <v>7724433</v>
      </c>
      <c r="M267" s="8">
        <f>7881328</f>
        <v>7881328</v>
      </c>
      <c r="O267" s="3">
        <f t="shared" si="29"/>
        <v>2635955</v>
      </c>
      <c r="Q267" s="8">
        <v>7240403</v>
      </c>
      <c r="S267" s="8">
        <v>9876358</v>
      </c>
      <c r="U267" s="8">
        <f>84356+48349+240000+68316+45876</f>
        <v>486897</v>
      </c>
      <c r="W267" s="8">
        <v>0</v>
      </c>
      <c r="Y267" s="8">
        <v>-2481927</v>
      </c>
      <c r="AA267" s="14">
        <f t="shared" si="30"/>
        <v>-1995030</v>
      </c>
      <c r="AB267" s="8"/>
      <c r="AC267" s="8">
        <f t="shared" si="31"/>
        <v>0</v>
      </c>
    </row>
    <row r="268" spans="1:29">
      <c r="A268" s="12" t="s">
        <v>314</v>
      </c>
      <c r="B268" s="12"/>
      <c r="C268" s="12" t="s">
        <v>20</v>
      </c>
      <c r="D268" s="12"/>
      <c r="E268" s="32">
        <v>44198</v>
      </c>
      <c r="G268" s="8">
        <v>20060960</v>
      </c>
      <c r="I268" s="8">
        <v>0</v>
      </c>
      <c r="K268" s="3">
        <f t="shared" si="28"/>
        <v>39369136</v>
      </c>
      <c r="M268" s="8">
        <v>59430096</v>
      </c>
      <c r="O268" s="3">
        <f t="shared" si="29"/>
        <v>9579934</v>
      </c>
      <c r="Q268" s="8">
        <f>3026272+29738225</f>
        <v>32764497</v>
      </c>
      <c r="S268" s="8">
        <v>42344431</v>
      </c>
      <c r="U268" s="8">
        <f>811086+4358471+12687</f>
        <v>5182244</v>
      </c>
      <c r="W268" s="8">
        <v>0</v>
      </c>
      <c r="Y268" s="8">
        <v>11903421</v>
      </c>
      <c r="AA268" s="14">
        <f t="shared" si="30"/>
        <v>17085665</v>
      </c>
      <c r="AB268" s="8"/>
      <c r="AC268" s="8">
        <f t="shared" si="31"/>
        <v>0</v>
      </c>
    </row>
    <row r="269" spans="1:29">
      <c r="A269" s="12" t="s">
        <v>900</v>
      </c>
      <c r="B269" s="12"/>
      <c r="C269" s="12" t="s">
        <v>42</v>
      </c>
      <c r="D269" s="12"/>
      <c r="E269" s="32">
        <v>47993</v>
      </c>
      <c r="G269" s="8">
        <f>2855877+2984267</f>
        <v>5840144</v>
      </c>
      <c r="I269" s="8">
        <v>0</v>
      </c>
      <c r="K269" s="3">
        <f t="shared" si="28"/>
        <v>10584865</v>
      </c>
      <c r="M269" s="8">
        <v>16425009</v>
      </c>
      <c r="O269" s="3">
        <f t="shared" si="29"/>
        <v>2065514</v>
      </c>
      <c r="Q269" s="8">
        <f>9428479+10809</f>
        <v>9439288</v>
      </c>
      <c r="S269" s="8">
        <v>11504802</v>
      </c>
      <c r="U269" s="8">
        <f>50292+174149+46304+464300+12630</f>
        <v>747675</v>
      </c>
      <c r="W269" s="8">
        <v>204164</v>
      </c>
      <c r="Y269" s="8">
        <v>3968368</v>
      </c>
      <c r="AA269" s="14">
        <f t="shared" si="30"/>
        <v>4920207</v>
      </c>
      <c r="AB269" s="8"/>
      <c r="AC269" s="8">
        <f t="shared" si="31"/>
        <v>0</v>
      </c>
    </row>
    <row r="270" spans="1:29">
      <c r="A270" s="12" t="s">
        <v>249</v>
      </c>
      <c r="B270" s="12"/>
      <c r="C270" s="12" t="s">
        <v>246</v>
      </c>
      <c r="D270" s="12"/>
      <c r="E270" s="32">
        <v>46110</v>
      </c>
      <c r="G270" s="8">
        <f>55467491+560258</f>
        <v>56027749</v>
      </c>
      <c r="I270" s="8">
        <v>0</v>
      </c>
      <c r="K270" s="3">
        <f t="shared" si="28"/>
        <v>83889383</v>
      </c>
      <c r="M270" s="8">
        <v>139917132</v>
      </c>
      <c r="O270" s="3">
        <f t="shared" si="29"/>
        <v>21390182</v>
      </c>
      <c r="Q270" s="8">
        <v>81289514</v>
      </c>
      <c r="S270" s="8">
        <v>102679696</v>
      </c>
      <c r="U270" s="8">
        <f>2023651+2091934+560258</f>
        <v>4675843</v>
      </c>
      <c r="W270" s="8">
        <v>0</v>
      </c>
      <c r="Y270" s="8">
        <v>32561593</v>
      </c>
      <c r="AA270" s="14">
        <f t="shared" si="30"/>
        <v>37237436</v>
      </c>
      <c r="AB270" s="8"/>
      <c r="AC270" s="8">
        <f t="shared" si="31"/>
        <v>0</v>
      </c>
    </row>
    <row r="271" spans="1:29">
      <c r="A271" s="12" t="s">
        <v>249</v>
      </c>
      <c r="B271" s="12"/>
      <c r="C271" s="12" t="s">
        <v>79</v>
      </c>
      <c r="D271" s="12"/>
      <c r="E271" s="32">
        <v>49569</v>
      </c>
      <c r="G271" s="8">
        <v>0</v>
      </c>
      <c r="I271" s="8">
        <v>51330</v>
      </c>
      <c r="K271" s="3">
        <f t="shared" si="28"/>
        <v>3461053</v>
      </c>
      <c r="M271" s="8">
        <v>3512383</v>
      </c>
      <c r="O271" s="3">
        <f t="shared" si="29"/>
        <v>3238503</v>
      </c>
      <c r="Q271" s="8">
        <v>151606</v>
      </c>
      <c r="S271" s="8">
        <v>3390109</v>
      </c>
      <c r="U271" s="8">
        <f>132145+680050+60377+10497</f>
        <v>883069</v>
      </c>
      <c r="W271" s="8">
        <v>0</v>
      </c>
      <c r="Y271" s="8">
        <v>-760795</v>
      </c>
      <c r="AA271" s="14">
        <f t="shared" si="30"/>
        <v>122274</v>
      </c>
      <c r="AB271" s="8"/>
      <c r="AC271" s="8">
        <f t="shared" si="31"/>
        <v>0</v>
      </c>
    </row>
    <row r="272" spans="1:29">
      <c r="A272" s="12" t="s">
        <v>351</v>
      </c>
      <c r="B272" s="12"/>
      <c r="C272" s="12" t="s">
        <v>25</v>
      </c>
      <c r="D272" s="12"/>
      <c r="E272" s="32">
        <v>44206</v>
      </c>
      <c r="G272" s="8">
        <v>9630288</v>
      </c>
      <c r="I272" s="8">
        <v>0</v>
      </c>
      <c r="K272" s="3">
        <f t="shared" si="28"/>
        <v>26314039</v>
      </c>
      <c r="M272" s="8">
        <v>35944327</v>
      </c>
      <c r="O272" s="3">
        <f t="shared" si="29"/>
        <v>25916008</v>
      </c>
      <c r="Q272" s="8">
        <v>19768</v>
      </c>
      <c r="S272" s="8">
        <v>25935776</v>
      </c>
      <c r="U272" s="8">
        <f>1528705+2465721+12260</f>
        <v>4006686</v>
      </c>
      <c r="W272" s="8">
        <v>0</v>
      </c>
      <c r="Y272" s="8">
        <v>6001865</v>
      </c>
      <c r="AA272" s="14">
        <f t="shared" si="30"/>
        <v>10008551</v>
      </c>
      <c r="AB272" s="8"/>
      <c r="AC272" s="8">
        <f t="shared" si="31"/>
        <v>0</v>
      </c>
    </row>
    <row r="273" spans="1:29" hidden="1">
      <c r="A273" s="12" t="s">
        <v>716</v>
      </c>
      <c r="B273" s="12"/>
      <c r="C273" s="12" t="s">
        <v>69</v>
      </c>
      <c r="D273" s="12"/>
      <c r="E273" s="32">
        <v>44214</v>
      </c>
      <c r="K273" s="3">
        <f t="shared" si="28"/>
        <v>0</v>
      </c>
      <c r="O273" s="3">
        <f t="shared" si="29"/>
        <v>0</v>
      </c>
      <c r="W273" s="8">
        <v>0</v>
      </c>
      <c r="AA273" s="14">
        <f t="shared" si="30"/>
        <v>0</v>
      </c>
      <c r="AB273" s="8"/>
      <c r="AC273" s="8">
        <f t="shared" si="31"/>
        <v>0</v>
      </c>
    </row>
    <row r="274" spans="1:29">
      <c r="A274" s="12" t="s">
        <v>385</v>
      </c>
      <c r="B274" s="12"/>
      <c r="C274" s="12" t="s">
        <v>30</v>
      </c>
      <c r="D274" s="12"/>
      <c r="E274" s="32">
        <v>47209</v>
      </c>
      <c r="G274" s="8">
        <v>0</v>
      </c>
      <c r="I274" s="8">
        <v>404350</v>
      </c>
      <c r="K274" s="3">
        <f t="shared" si="28"/>
        <v>2370467</v>
      </c>
      <c r="M274" s="8">
        <v>2774817</v>
      </c>
      <c r="O274" s="3">
        <f t="shared" si="29"/>
        <v>691012</v>
      </c>
      <c r="Q274" s="8">
        <v>1710258</v>
      </c>
      <c r="S274" s="8">
        <v>2401270</v>
      </c>
      <c r="U274" s="8">
        <f>161109+262603+385379+15566+423133+23784+10268</f>
        <v>1281842</v>
      </c>
      <c r="W274" s="8">
        <v>0</v>
      </c>
      <c r="Y274" s="8">
        <v>-908295</v>
      </c>
      <c r="AA274" s="14">
        <f t="shared" si="30"/>
        <v>373547</v>
      </c>
      <c r="AB274" s="8"/>
      <c r="AC274" s="8">
        <f t="shared" si="31"/>
        <v>0</v>
      </c>
    </row>
    <row r="275" spans="1:29" hidden="1">
      <c r="A275" s="12" t="s">
        <v>609</v>
      </c>
      <c r="B275" s="12"/>
      <c r="C275" s="12" t="s">
        <v>608</v>
      </c>
      <c r="D275" s="12"/>
      <c r="E275" s="32">
        <v>49353</v>
      </c>
      <c r="K275" s="3">
        <f t="shared" si="28"/>
        <v>0</v>
      </c>
      <c r="O275" s="3">
        <f t="shared" si="29"/>
        <v>0</v>
      </c>
      <c r="W275" s="8">
        <v>0</v>
      </c>
      <c r="AA275" s="14">
        <f t="shared" si="30"/>
        <v>0</v>
      </c>
      <c r="AB275" s="8"/>
      <c r="AC275" s="8">
        <f t="shared" si="31"/>
        <v>0</v>
      </c>
    </row>
    <row r="276" spans="1:29">
      <c r="A276" s="12" t="s">
        <v>615</v>
      </c>
      <c r="B276" s="12"/>
      <c r="C276" s="12" t="s">
        <v>113</v>
      </c>
      <c r="D276" s="12"/>
      <c r="E276" s="32">
        <v>49437</v>
      </c>
      <c r="G276" s="8">
        <v>3890758</v>
      </c>
      <c r="I276" s="8">
        <v>0</v>
      </c>
      <c r="K276" s="3">
        <f t="shared" si="28"/>
        <v>9042734</v>
      </c>
      <c r="M276" s="8">
        <v>12933492</v>
      </c>
      <c r="O276" s="3">
        <f t="shared" si="29"/>
        <v>2828124</v>
      </c>
      <c r="Q276" s="8">
        <f>521742+6224991</f>
        <v>6746733</v>
      </c>
      <c r="S276" s="8">
        <v>9574857</v>
      </c>
      <c r="U276" s="8">
        <f>31413+39067+10228+1775009+81351+9629</f>
        <v>1946697</v>
      </c>
      <c r="W276" s="8">
        <v>0</v>
      </c>
      <c r="Y276" s="8">
        <v>1411938</v>
      </c>
      <c r="AA276" s="14">
        <f t="shared" si="30"/>
        <v>3358635</v>
      </c>
      <c r="AB276" s="8"/>
      <c r="AC276" s="8">
        <f t="shared" si="31"/>
        <v>0</v>
      </c>
    </row>
    <row r="277" spans="1:29">
      <c r="A277" s="12" t="s">
        <v>436</v>
      </c>
      <c r="B277" s="12"/>
      <c r="C277" s="12" t="s">
        <v>34</v>
      </c>
      <c r="D277" s="12"/>
      <c r="E277" s="32">
        <v>47589</v>
      </c>
      <c r="G277" s="8">
        <v>2619487</v>
      </c>
      <c r="I277" s="8">
        <v>0</v>
      </c>
      <c r="K277" s="3">
        <f t="shared" si="28"/>
        <v>5404203</v>
      </c>
      <c r="M277" s="8">
        <v>8023690</v>
      </c>
      <c r="O277" s="3">
        <f t="shared" si="29"/>
        <v>1154848</v>
      </c>
      <c r="Q277" s="8">
        <v>4218226</v>
      </c>
      <c r="S277" s="8">
        <v>5373074</v>
      </c>
      <c r="U277" s="8">
        <f>279639+163117</f>
        <v>442756</v>
      </c>
      <c r="W277" s="8">
        <v>0</v>
      </c>
      <c r="Y277" s="8">
        <v>2207860</v>
      </c>
      <c r="AA277" s="14">
        <f t="shared" si="30"/>
        <v>2650616</v>
      </c>
      <c r="AB277" s="8"/>
      <c r="AC277" s="8">
        <f t="shared" si="31"/>
        <v>0</v>
      </c>
    </row>
    <row r="278" spans="1:29">
      <c r="A278" s="12" t="s">
        <v>690</v>
      </c>
      <c r="B278" s="12"/>
      <c r="C278" s="12" t="s">
        <v>64</v>
      </c>
      <c r="D278" s="12"/>
      <c r="E278" s="32">
        <v>50195</v>
      </c>
      <c r="G278" s="8">
        <v>888391</v>
      </c>
      <c r="I278" s="8">
        <v>234849</v>
      </c>
      <c r="K278" s="3">
        <f t="shared" si="28"/>
        <v>6229282</v>
      </c>
      <c r="M278" s="8">
        <v>7352522</v>
      </c>
      <c r="O278" s="3">
        <f t="shared" si="29"/>
        <v>8795600</v>
      </c>
      <c r="Q278" s="8">
        <v>643030</v>
      </c>
      <c r="S278" s="8">
        <v>9438630</v>
      </c>
      <c r="U278" s="8">
        <f>297772+947+48641+20018+214831+21634</f>
        <v>603843</v>
      </c>
      <c r="W278" s="8">
        <v>0</v>
      </c>
      <c r="Y278" s="8">
        <v>-2689951</v>
      </c>
      <c r="AA278" s="14">
        <f t="shared" si="30"/>
        <v>-2086108</v>
      </c>
      <c r="AB278" s="8"/>
      <c r="AC278" s="8">
        <f t="shared" si="31"/>
        <v>0</v>
      </c>
    </row>
    <row r="279" spans="1:29">
      <c r="A279" s="12" t="s">
        <v>906</v>
      </c>
      <c r="B279" s="12"/>
      <c r="C279" s="12" t="s">
        <v>25</v>
      </c>
      <c r="D279" s="12"/>
      <c r="E279" s="32">
        <v>46888</v>
      </c>
      <c r="G279" s="8">
        <v>3280062</v>
      </c>
      <c r="I279" s="8">
        <v>0</v>
      </c>
      <c r="K279" s="3">
        <f t="shared" si="28"/>
        <v>4014992</v>
      </c>
      <c r="M279" s="8">
        <v>7295054</v>
      </c>
      <c r="O279" s="3">
        <f t="shared" si="29"/>
        <v>1279677</v>
      </c>
      <c r="Q279" s="8">
        <v>2672184</v>
      </c>
      <c r="S279" s="8">
        <v>3951861</v>
      </c>
      <c r="U279" s="8">
        <f>54679+348983</f>
        <v>403662</v>
      </c>
      <c r="W279" s="8">
        <v>0</v>
      </c>
      <c r="Y279" s="8">
        <v>2939531</v>
      </c>
      <c r="AA279" s="14">
        <f t="shared" si="30"/>
        <v>3343193</v>
      </c>
      <c r="AB279" s="8"/>
      <c r="AC279" s="8">
        <f t="shared" si="31"/>
        <v>0</v>
      </c>
    </row>
    <row r="280" spans="1:29">
      <c r="A280" s="12" t="s">
        <v>422</v>
      </c>
      <c r="B280" s="12"/>
      <c r="C280" s="12" t="s">
        <v>33</v>
      </c>
      <c r="D280" s="12"/>
      <c r="E280" s="32">
        <v>47449</v>
      </c>
      <c r="G280" s="8">
        <v>5506622</v>
      </c>
      <c r="I280" s="8">
        <v>0</v>
      </c>
      <c r="K280" s="3">
        <f t="shared" si="28"/>
        <v>4370463</v>
      </c>
      <c r="M280" s="8">
        <v>9877085</v>
      </c>
      <c r="O280" s="3">
        <f t="shared" si="29"/>
        <v>1323606</v>
      </c>
      <c r="Q280" s="8">
        <v>3561021</v>
      </c>
      <c r="S280" s="8">
        <v>4884627</v>
      </c>
      <c r="U280" s="8">
        <f>197000+526213</f>
        <v>723213</v>
      </c>
      <c r="W280" s="8">
        <v>0</v>
      </c>
      <c r="Y280" s="8">
        <v>4269245</v>
      </c>
      <c r="AA280" s="14">
        <f t="shared" si="30"/>
        <v>4992458</v>
      </c>
      <c r="AB280" s="8"/>
      <c r="AC280" s="8">
        <f t="shared" si="31"/>
        <v>0</v>
      </c>
    </row>
    <row r="281" spans="1:29">
      <c r="A281" s="12" t="s">
        <v>482</v>
      </c>
      <c r="B281" s="12"/>
      <c r="C281" s="12" t="s">
        <v>42</v>
      </c>
      <c r="D281" s="12"/>
      <c r="E281" s="32">
        <v>48009</v>
      </c>
      <c r="G281" s="8">
        <v>1439588</v>
      </c>
      <c r="I281" s="8">
        <v>0</v>
      </c>
      <c r="K281" s="3">
        <f t="shared" si="28"/>
        <v>29690195</v>
      </c>
      <c r="M281" s="8">
        <v>31129783</v>
      </c>
      <c r="O281" s="3">
        <f t="shared" si="29"/>
        <v>2462813</v>
      </c>
      <c r="Q281" s="8">
        <v>26425648</v>
      </c>
      <c r="S281" s="8">
        <v>28888461</v>
      </c>
      <c r="U281" s="8">
        <f>276983+3244337</f>
        <v>3521320</v>
      </c>
      <c r="W281" s="8">
        <v>0</v>
      </c>
      <c r="Y281" s="8">
        <v>-1279998</v>
      </c>
      <c r="AA281" s="14">
        <f t="shared" si="30"/>
        <v>2241322</v>
      </c>
      <c r="AB281" s="8"/>
      <c r="AC281" s="8">
        <f t="shared" si="31"/>
        <v>0</v>
      </c>
    </row>
    <row r="282" spans="1:29">
      <c r="A282" s="12" t="s">
        <v>483</v>
      </c>
      <c r="B282" s="12"/>
      <c r="C282" s="12" t="s">
        <v>42</v>
      </c>
      <c r="D282" s="12"/>
      <c r="E282" s="32">
        <v>48017</v>
      </c>
      <c r="G282" s="8">
        <v>4055574</v>
      </c>
      <c r="I282" s="8">
        <v>0</v>
      </c>
      <c r="K282" s="3">
        <f t="shared" si="28"/>
        <v>4855359</v>
      </c>
      <c r="M282" s="8">
        <v>8910933</v>
      </c>
      <c r="O282" s="3">
        <f t="shared" si="29"/>
        <v>1869706</v>
      </c>
      <c r="Q282" s="8">
        <v>3891081</v>
      </c>
      <c r="S282" s="8">
        <v>5760787</v>
      </c>
      <c r="U282" s="8">
        <f>118561+21147+61000+13282</f>
        <v>213990</v>
      </c>
      <c r="W282" s="8">
        <v>0</v>
      </c>
      <c r="Y282" s="8">
        <v>2936156</v>
      </c>
      <c r="AA282" s="14">
        <f t="shared" si="30"/>
        <v>3150146</v>
      </c>
      <c r="AB282" s="8"/>
      <c r="AC282" s="8">
        <f t="shared" si="31"/>
        <v>0</v>
      </c>
    </row>
    <row r="283" spans="1:29" s="8" customFormat="1">
      <c r="A283" s="13" t="s">
        <v>710</v>
      </c>
      <c r="B283" s="13"/>
      <c r="C283" s="13" t="s">
        <v>67</v>
      </c>
      <c r="D283" s="13"/>
      <c r="E283" s="13">
        <v>50369</v>
      </c>
      <c r="G283" s="8">
        <v>7354031</v>
      </c>
      <c r="I283" s="8">
        <v>0</v>
      </c>
      <c r="K283" s="3">
        <f t="shared" si="28"/>
        <v>2525783</v>
      </c>
      <c r="M283" s="8">
        <v>9879814</v>
      </c>
      <c r="O283" s="3">
        <f t="shared" si="29"/>
        <v>773193</v>
      </c>
      <c r="Q283" s="8">
        <f>456949+1810475</f>
        <v>2267424</v>
      </c>
      <c r="S283" s="8">
        <v>3040617</v>
      </c>
      <c r="U283" s="8">
        <f>19229+140604+10644+5531</f>
        <v>176008</v>
      </c>
      <c r="W283" s="8">
        <v>0</v>
      </c>
      <c r="Y283" s="8">
        <v>6663189</v>
      </c>
      <c r="AA283" s="14">
        <f t="shared" si="30"/>
        <v>6839197</v>
      </c>
      <c r="AC283" s="8">
        <f t="shared" si="31"/>
        <v>0</v>
      </c>
    </row>
    <row r="284" spans="1:29">
      <c r="A284" s="12" t="s">
        <v>287</v>
      </c>
      <c r="B284" s="12"/>
      <c r="C284" s="12" t="s">
        <v>115</v>
      </c>
      <c r="D284" s="12"/>
      <c r="E284" s="32">
        <v>45450</v>
      </c>
      <c r="G284" s="8">
        <v>2954270</v>
      </c>
      <c r="I284" s="8">
        <v>0</v>
      </c>
      <c r="K284" s="3">
        <f t="shared" si="28"/>
        <v>1635301</v>
      </c>
      <c r="M284" s="8">
        <v>4589571</v>
      </c>
      <c r="O284" s="3">
        <f t="shared" si="29"/>
        <v>857742</v>
      </c>
      <c r="Q284" s="8">
        <v>1496911</v>
      </c>
      <c r="S284" s="8">
        <v>2354653</v>
      </c>
      <c r="U284" s="8">
        <f>75572+54193</f>
        <v>129765</v>
      </c>
      <c r="W284" s="8">
        <v>0</v>
      </c>
      <c r="Y284" s="8">
        <v>2105153</v>
      </c>
      <c r="AA284" s="14">
        <f t="shared" si="30"/>
        <v>2234918</v>
      </c>
      <c r="AB284" s="8"/>
      <c r="AC284" s="8">
        <f t="shared" si="31"/>
        <v>0</v>
      </c>
    </row>
    <row r="285" spans="1:29">
      <c r="A285" s="12" t="s">
        <v>717</v>
      </c>
      <c r="B285" s="12"/>
      <c r="C285" s="12" t="s">
        <v>69</v>
      </c>
      <c r="D285" s="12"/>
      <c r="E285" s="32">
        <v>50443</v>
      </c>
      <c r="G285" s="8">
        <f>3242239+209375</f>
        <v>3451614</v>
      </c>
      <c r="I285" s="8">
        <v>0</v>
      </c>
      <c r="K285" s="3">
        <f t="shared" si="28"/>
        <v>16993895</v>
      </c>
      <c r="M285" s="8">
        <v>20445509</v>
      </c>
      <c r="O285" s="3">
        <f t="shared" si="29"/>
        <v>3535330</v>
      </c>
      <c r="Q285" s="8">
        <v>16089137</v>
      </c>
      <c r="S285" s="8">
        <v>19624467</v>
      </c>
      <c r="U285" s="8">
        <f>675941+209375</f>
        <v>885316</v>
      </c>
      <c r="W285" s="8">
        <v>0</v>
      </c>
      <c r="Y285" s="8">
        <v>-64274</v>
      </c>
      <c r="AA285" s="14">
        <f t="shared" si="30"/>
        <v>821042</v>
      </c>
      <c r="AB285" s="8"/>
      <c r="AC285" s="8">
        <f t="shared" si="31"/>
        <v>0</v>
      </c>
    </row>
    <row r="286" spans="1:29" hidden="1">
      <c r="A286" s="12" t="s">
        <v>401</v>
      </c>
      <c r="B286" s="12"/>
      <c r="C286" s="12" t="s">
        <v>32</v>
      </c>
      <c r="D286" s="12"/>
      <c r="E286" s="32">
        <v>44230</v>
      </c>
      <c r="K286" s="3">
        <f t="shared" si="28"/>
        <v>0</v>
      </c>
      <c r="O286" s="3">
        <f t="shared" si="29"/>
        <v>0</v>
      </c>
      <c r="W286" s="8">
        <v>0</v>
      </c>
      <c r="AA286" s="14">
        <f t="shared" si="30"/>
        <v>0</v>
      </c>
      <c r="AB286" s="8"/>
      <c r="AC286" s="8">
        <f t="shared" si="31"/>
        <v>0</v>
      </c>
    </row>
    <row r="287" spans="1:29">
      <c r="A287" s="12" t="s">
        <v>589</v>
      </c>
      <c r="B287" s="12"/>
      <c r="C287" s="12" t="s">
        <v>54</v>
      </c>
      <c r="D287" s="12"/>
      <c r="E287" s="32">
        <v>49080</v>
      </c>
      <c r="G287" s="8">
        <f>2834530+2994719</f>
        <v>5829249</v>
      </c>
      <c r="I287" s="8">
        <v>0</v>
      </c>
      <c r="K287" s="3">
        <f t="shared" si="28"/>
        <v>8188319</v>
      </c>
      <c r="M287" s="8">
        <v>14017568</v>
      </c>
      <c r="O287" s="3">
        <f t="shared" si="29"/>
        <v>2165954</v>
      </c>
      <c r="Q287" s="8">
        <f>304249+5895098</f>
        <v>6199347</v>
      </c>
      <c r="S287" s="8">
        <v>8365301</v>
      </c>
      <c r="U287" s="8">
        <f>467270+810592+170623</f>
        <v>1448485</v>
      </c>
      <c r="W287" s="8">
        <v>0</v>
      </c>
      <c r="Y287" s="8">
        <v>4203782</v>
      </c>
      <c r="AA287" s="14">
        <f t="shared" si="30"/>
        <v>5652267</v>
      </c>
      <c r="AB287" s="8"/>
      <c r="AC287" s="8">
        <f t="shared" si="31"/>
        <v>0</v>
      </c>
    </row>
    <row r="288" spans="1:29">
      <c r="A288" s="12" t="s">
        <v>445</v>
      </c>
      <c r="B288" s="12"/>
      <c r="C288" s="12" t="s">
        <v>35</v>
      </c>
      <c r="D288" s="12"/>
      <c r="E288" s="32">
        <v>44248</v>
      </c>
      <c r="G288" s="8">
        <f>835075+5483014</f>
        <v>6318089</v>
      </c>
      <c r="I288" s="8">
        <v>0</v>
      </c>
      <c r="K288" s="3">
        <f t="shared" si="28"/>
        <v>10512026</v>
      </c>
      <c r="M288" s="8">
        <v>16830115</v>
      </c>
      <c r="O288" s="3">
        <f t="shared" si="29"/>
        <v>4051416</v>
      </c>
      <c r="Q288" s="8">
        <f>8794119+163984</f>
        <v>8958103</v>
      </c>
      <c r="S288" s="8">
        <v>13009519</v>
      </c>
      <c r="U288" s="8">
        <f>185517+17996+144232+1263230+402508</f>
        <v>2013483</v>
      </c>
      <c r="W288" s="8">
        <v>0</v>
      </c>
      <c r="Y288" s="8">
        <v>1807113</v>
      </c>
      <c r="AA288" s="14">
        <f t="shared" si="30"/>
        <v>3820596</v>
      </c>
      <c r="AB288" s="8"/>
      <c r="AC288" s="8">
        <f t="shared" si="31"/>
        <v>0</v>
      </c>
    </row>
    <row r="289" spans="1:29">
      <c r="A289" s="12" t="s">
        <v>513</v>
      </c>
      <c r="B289" s="12"/>
      <c r="C289" s="12" t="s">
        <v>511</v>
      </c>
      <c r="D289" s="12"/>
      <c r="E289" s="32">
        <v>44255</v>
      </c>
      <c r="G289" s="8">
        <v>4084666</v>
      </c>
      <c r="I289" s="8">
        <v>171007</v>
      </c>
      <c r="K289" s="3">
        <f t="shared" si="28"/>
        <v>8119809</v>
      </c>
      <c r="M289" s="8">
        <v>12375482</v>
      </c>
      <c r="O289" s="3">
        <f t="shared" si="29"/>
        <v>3358950</v>
      </c>
      <c r="Q289" s="8">
        <v>6774328</v>
      </c>
      <c r="S289" s="8">
        <v>10133278</v>
      </c>
      <c r="U289" s="8">
        <f>133920+171007</f>
        <v>304927</v>
      </c>
      <c r="W289" s="8">
        <v>0</v>
      </c>
      <c r="Y289" s="8">
        <v>1937277</v>
      </c>
      <c r="AA289" s="14">
        <f t="shared" si="30"/>
        <v>2242204</v>
      </c>
      <c r="AB289" s="8"/>
      <c r="AC289" s="8">
        <f t="shared" si="31"/>
        <v>0</v>
      </c>
    </row>
    <row r="290" spans="1:29">
      <c r="A290" s="12" t="s">
        <v>496</v>
      </c>
      <c r="B290" s="12"/>
      <c r="C290" s="12" t="s">
        <v>44</v>
      </c>
      <c r="D290" s="12"/>
      <c r="E290" s="32">
        <v>44263</v>
      </c>
      <c r="G290" s="8">
        <f>891594+2445000</f>
        <v>3336594</v>
      </c>
      <c r="I290" s="8">
        <v>0</v>
      </c>
      <c r="K290" s="3">
        <f t="shared" si="28"/>
        <v>22778160</v>
      </c>
      <c r="M290" s="8">
        <v>26114754</v>
      </c>
      <c r="O290" s="3">
        <f t="shared" si="29"/>
        <v>7934935</v>
      </c>
      <c r="Q290" s="8">
        <v>18479686</v>
      </c>
      <c r="S290" s="8">
        <v>26414621</v>
      </c>
      <c r="U290" s="8">
        <f>597729+2112923+1555359</f>
        <v>4266011</v>
      </c>
      <c r="W290" s="8">
        <v>0</v>
      </c>
      <c r="Y290" s="8">
        <v>-4565878</v>
      </c>
      <c r="AA290" s="14">
        <f t="shared" si="30"/>
        <v>-299867</v>
      </c>
      <c r="AB290" s="8"/>
      <c r="AC290" s="8">
        <f t="shared" si="31"/>
        <v>0</v>
      </c>
    </row>
    <row r="291" spans="1:29">
      <c r="A291" s="12" t="s">
        <v>691</v>
      </c>
      <c r="B291" s="12"/>
      <c r="C291" s="12" t="s">
        <v>64</v>
      </c>
      <c r="D291" s="12"/>
      <c r="E291" s="32">
        <v>50203</v>
      </c>
      <c r="G291" s="8">
        <v>2631116</v>
      </c>
      <c r="I291" s="8">
        <v>0</v>
      </c>
      <c r="K291" s="3">
        <f t="shared" si="28"/>
        <v>6108273</v>
      </c>
      <c r="M291" s="8">
        <v>8739389</v>
      </c>
      <c r="O291" s="3">
        <f t="shared" si="29"/>
        <v>674127</v>
      </c>
      <c r="Q291" s="8">
        <f>249596+5756844</f>
        <v>6006440</v>
      </c>
      <c r="S291" s="8">
        <v>6680567</v>
      </c>
      <c r="U291" s="8">
        <f>177578+2221+5837+80294</f>
        <v>265930</v>
      </c>
      <c r="W291" s="8">
        <v>0</v>
      </c>
      <c r="Y291" s="8">
        <v>1792892</v>
      </c>
      <c r="AA291" s="14">
        <f t="shared" si="30"/>
        <v>2058822</v>
      </c>
      <c r="AB291" s="8"/>
      <c r="AC291" s="8">
        <f t="shared" si="31"/>
        <v>0</v>
      </c>
    </row>
    <row r="292" spans="1:29">
      <c r="A292" s="12" t="s">
        <v>907</v>
      </c>
      <c r="B292" s="12"/>
      <c r="C292" s="12" t="s">
        <v>11</v>
      </c>
      <c r="D292" s="12"/>
      <c r="E292" s="32">
        <v>45468</v>
      </c>
      <c r="G292" s="8">
        <v>3044579</v>
      </c>
      <c r="I292" s="8">
        <v>0</v>
      </c>
      <c r="K292" s="3">
        <f t="shared" si="28"/>
        <v>5538146</v>
      </c>
      <c r="M292" s="8">
        <v>8582725</v>
      </c>
      <c r="O292" s="3">
        <f t="shared" si="29"/>
        <v>1249696</v>
      </c>
      <c r="Q292" s="8">
        <f>229294+3703419</f>
        <v>3932713</v>
      </c>
      <c r="S292" s="8">
        <v>5182409</v>
      </c>
      <c r="U292" s="8">
        <f>51133+36428+862959+16062</f>
        <v>966582</v>
      </c>
      <c r="W292" s="8">
        <v>0</v>
      </c>
      <c r="Y292" s="8">
        <v>2433734</v>
      </c>
      <c r="AA292" s="14">
        <f t="shared" si="30"/>
        <v>3400316</v>
      </c>
      <c r="AB292" s="8"/>
      <c r="AC292" s="8">
        <f t="shared" si="31"/>
        <v>0</v>
      </c>
    </row>
    <row r="293" spans="1:29">
      <c r="A293" s="12" t="s">
        <v>659</v>
      </c>
      <c r="B293" s="12"/>
      <c r="C293" s="12" t="s">
        <v>62</v>
      </c>
      <c r="D293" s="12"/>
      <c r="E293" s="32">
        <v>49874</v>
      </c>
      <c r="G293" s="8">
        <v>3009501</v>
      </c>
      <c r="I293" s="8">
        <v>0</v>
      </c>
      <c r="K293" s="3">
        <f t="shared" si="28"/>
        <v>6359657</v>
      </c>
      <c r="M293" s="8">
        <v>9369158</v>
      </c>
      <c r="O293" s="3">
        <f t="shared" si="29"/>
        <v>2412398</v>
      </c>
      <c r="Q293" s="8">
        <v>5829599</v>
      </c>
      <c r="S293" s="8">
        <v>8241997</v>
      </c>
      <c r="U293" s="8">
        <f>91048+316480+136820+41829+3341</f>
        <v>589518</v>
      </c>
      <c r="W293" s="8">
        <v>0</v>
      </c>
      <c r="Y293" s="8">
        <v>537643</v>
      </c>
      <c r="AA293" s="14">
        <f t="shared" si="30"/>
        <v>1127161</v>
      </c>
      <c r="AB293" s="8"/>
      <c r="AC293" s="8">
        <f>+G293+I293+K293-O293-Q293-Y293-W293-U293</f>
        <v>0</v>
      </c>
    </row>
    <row r="294" spans="1:29">
      <c r="A294" s="12" t="s">
        <v>402</v>
      </c>
      <c r="B294" s="12"/>
      <c r="C294" s="12" t="s">
        <v>32</v>
      </c>
      <c r="D294" s="12"/>
      <c r="E294" s="32">
        <v>44271</v>
      </c>
      <c r="G294" s="8">
        <v>5510148</v>
      </c>
      <c r="I294" s="8">
        <v>0</v>
      </c>
      <c r="K294" s="3">
        <f t="shared" si="28"/>
        <v>20714707</v>
      </c>
      <c r="M294" s="8">
        <v>26224855</v>
      </c>
      <c r="O294" s="3">
        <f t="shared" si="29"/>
        <v>5365731</v>
      </c>
      <c r="Q294" s="8">
        <v>15676518</v>
      </c>
      <c r="S294" s="8">
        <v>21042249</v>
      </c>
      <c r="U294" s="8">
        <f>21254+4673940+336785</f>
        <v>5031979</v>
      </c>
      <c r="W294" s="8">
        <v>0</v>
      </c>
      <c r="Y294" s="8">
        <v>150627</v>
      </c>
      <c r="AA294" s="14">
        <f t="shared" si="30"/>
        <v>5182606</v>
      </c>
      <c r="AB294" s="8"/>
      <c r="AC294" s="8">
        <f t="shared" si="31"/>
        <v>0</v>
      </c>
    </row>
    <row r="295" spans="1:29">
      <c r="A295" s="12" t="s">
        <v>519</v>
      </c>
      <c r="B295" s="12"/>
      <c r="C295" s="12" t="s">
        <v>45</v>
      </c>
      <c r="D295" s="12"/>
      <c r="E295" s="32">
        <v>48330</v>
      </c>
      <c r="G295" s="8">
        <v>1009258</v>
      </c>
      <c r="I295" s="8">
        <v>195586</v>
      </c>
      <c r="K295" s="3">
        <f t="shared" si="28"/>
        <v>1861888</v>
      </c>
      <c r="M295" s="8">
        <v>3066732</v>
      </c>
      <c r="O295" s="3">
        <f t="shared" si="29"/>
        <v>1575835</v>
      </c>
      <c r="Q295" s="8">
        <v>76193</v>
      </c>
      <c r="S295" s="8">
        <v>1652028</v>
      </c>
      <c r="U295" s="8">
        <f>8290+516957+122769+22184+50633</f>
        <v>720833</v>
      </c>
      <c r="W295" s="8">
        <v>0</v>
      </c>
      <c r="Y295" s="8">
        <v>693871</v>
      </c>
      <c r="AA295" s="14">
        <f t="shared" si="30"/>
        <v>1414704</v>
      </c>
      <c r="AB295" s="8"/>
      <c r="AC295" s="8">
        <f t="shared" si="31"/>
        <v>0</v>
      </c>
    </row>
    <row r="296" spans="1:29">
      <c r="A296" s="12" t="s">
        <v>616</v>
      </c>
      <c r="B296" s="12"/>
      <c r="C296" s="12" t="s">
        <v>113</v>
      </c>
      <c r="D296" s="12"/>
      <c r="E296" s="32">
        <v>49445</v>
      </c>
      <c r="G296" s="8">
        <v>1765523</v>
      </c>
      <c r="I296" s="8">
        <v>0</v>
      </c>
      <c r="K296" s="3">
        <f t="shared" si="28"/>
        <v>3245579</v>
      </c>
      <c r="M296" s="8">
        <v>5011102</v>
      </c>
      <c r="O296" s="3">
        <f t="shared" si="29"/>
        <v>468386</v>
      </c>
      <c r="Q296" s="8">
        <f>118590+2176887</f>
        <v>2295477</v>
      </c>
      <c r="S296" s="8">
        <v>2763863</v>
      </c>
      <c r="U296" s="8">
        <f>1042542+2035+566080+16416+205208+77038</f>
        <v>1909319</v>
      </c>
      <c r="W296" s="8">
        <v>0</v>
      </c>
      <c r="Y296" s="8">
        <v>337920</v>
      </c>
      <c r="AA296" s="14">
        <f t="shared" si="30"/>
        <v>2247239</v>
      </c>
      <c r="AB296" s="8"/>
      <c r="AC296" s="8">
        <f t="shared" si="31"/>
        <v>0</v>
      </c>
    </row>
    <row r="297" spans="1:29">
      <c r="A297" s="12" t="s">
        <v>444</v>
      </c>
      <c r="B297" s="12"/>
      <c r="C297" s="12" t="s">
        <v>440</v>
      </c>
      <c r="D297" s="12"/>
      <c r="E297" s="32">
        <v>47639</v>
      </c>
      <c r="G297" s="8">
        <v>7427430</v>
      </c>
      <c r="I297" s="8">
        <v>0</v>
      </c>
      <c r="K297" s="3">
        <f t="shared" si="28"/>
        <v>1998663</v>
      </c>
      <c r="M297" s="8">
        <v>9426093</v>
      </c>
      <c r="O297" s="3">
        <f t="shared" si="29"/>
        <v>1325034</v>
      </c>
      <c r="Q297" s="8">
        <v>1791149</v>
      </c>
      <c r="S297" s="8">
        <v>3116183</v>
      </c>
      <c r="U297" s="8">
        <f>109327+31938+38699+30409+40590</f>
        <v>250963</v>
      </c>
      <c r="W297" s="8">
        <v>0</v>
      </c>
      <c r="Y297" s="8">
        <v>6058947</v>
      </c>
      <c r="AA297" s="14">
        <f t="shared" si="30"/>
        <v>6309910</v>
      </c>
      <c r="AB297" s="8"/>
      <c r="AC297" s="8">
        <f t="shared" si="31"/>
        <v>0</v>
      </c>
    </row>
    <row r="298" spans="1:29">
      <c r="A298" s="12" t="s">
        <v>558</v>
      </c>
      <c r="B298" s="12"/>
      <c r="C298" s="12" t="s">
        <v>50</v>
      </c>
      <c r="D298" s="12"/>
      <c r="E298" s="32">
        <v>48702</v>
      </c>
      <c r="G298" s="8">
        <v>13361468</v>
      </c>
      <c r="I298" s="8">
        <v>0</v>
      </c>
      <c r="K298" s="3">
        <f t="shared" ref="K298:K319" si="32">+M298-I298-G298</f>
        <v>9680752</v>
      </c>
      <c r="M298" s="8">
        <v>23042220</v>
      </c>
      <c r="O298" s="3">
        <f t="shared" ref="O298:O319" si="33">+S298-Q298</f>
        <v>3977333</v>
      </c>
      <c r="Q298" s="8">
        <v>8314223</v>
      </c>
      <c r="S298" s="8">
        <v>12291556</v>
      </c>
      <c r="U298" s="8">
        <f>272407+511021</f>
        <v>783428</v>
      </c>
      <c r="W298" s="8">
        <v>0</v>
      </c>
      <c r="Y298" s="8">
        <v>9967236</v>
      </c>
      <c r="AA298" s="14">
        <f t="shared" ref="AA298:AA319" si="34">+Y298+W298++U298</f>
        <v>10750664</v>
      </c>
      <c r="AB298" s="8"/>
      <c r="AC298" s="8">
        <f t="shared" ref="AC298:AC319" si="35">+G298+I298+K298-O298-Q298-Y298-W298-U298</f>
        <v>0</v>
      </c>
    </row>
    <row r="299" spans="1:29">
      <c r="A299" s="12" t="s">
        <v>403</v>
      </c>
      <c r="B299" s="12"/>
      <c r="C299" s="12" t="s">
        <v>32</v>
      </c>
      <c r="D299" s="12"/>
      <c r="E299" s="32">
        <v>44289</v>
      </c>
      <c r="G299" s="8">
        <v>4026703</v>
      </c>
      <c r="I299" s="8">
        <v>113502</v>
      </c>
      <c r="K299" s="3">
        <f t="shared" si="32"/>
        <v>11117090</v>
      </c>
      <c r="M299" s="8">
        <v>15257295</v>
      </c>
      <c r="O299" s="3">
        <f t="shared" si="33"/>
        <v>2311888</v>
      </c>
      <c r="Q299" s="8">
        <v>7154090</v>
      </c>
      <c r="S299" s="8">
        <v>9465978</v>
      </c>
      <c r="U299" s="8">
        <f>186804+3963000+113502</f>
        <v>4263306</v>
      </c>
      <c r="W299" s="8">
        <v>0</v>
      </c>
      <c r="Y299" s="8">
        <v>1528011</v>
      </c>
      <c r="AA299" s="14">
        <f t="shared" si="34"/>
        <v>5791317</v>
      </c>
      <c r="AB299" s="8"/>
      <c r="AC299" s="8">
        <f t="shared" si="35"/>
        <v>0</v>
      </c>
    </row>
    <row r="300" spans="1:29">
      <c r="A300" s="12" t="s">
        <v>250</v>
      </c>
      <c r="B300" s="12"/>
      <c r="C300" s="12" t="s">
        <v>246</v>
      </c>
      <c r="D300" s="12"/>
      <c r="E300" s="32">
        <v>46128</v>
      </c>
      <c r="G300" s="8">
        <v>2186071</v>
      </c>
      <c r="I300" s="8">
        <v>0</v>
      </c>
      <c r="K300" s="3">
        <f t="shared" si="32"/>
        <v>5713403</v>
      </c>
      <c r="M300" s="8">
        <v>7899474</v>
      </c>
      <c r="O300" s="3">
        <f t="shared" si="33"/>
        <v>994136</v>
      </c>
      <c r="Q300" s="8">
        <v>4659796</v>
      </c>
      <c r="S300" s="8">
        <v>5653932</v>
      </c>
      <c r="U300" s="8">
        <v>685000</v>
      </c>
      <c r="W300" s="8">
        <v>0</v>
      </c>
      <c r="Y300" s="8">
        <v>1560542</v>
      </c>
      <c r="AA300" s="14">
        <f t="shared" si="34"/>
        <v>2245542</v>
      </c>
      <c r="AB300" s="8"/>
      <c r="AC300" s="8">
        <f t="shared" si="35"/>
        <v>0</v>
      </c>
    </row>
    <row r="301" spans="1:29">
      <c r="A301" s="12" t="s">
        <v>250</v>
      </c>
      <c r="B301" s="12"/>
      <c r="C301" s="12" t="s">
        <v>113</v>
      </c>
      <c r="D301" s="12"/>
      <c r="E301" s="32">
        <v>49452</v>
      </c>
      <c r="G301" s="8">
        <v>8882760</v>
      </c>
      <c r="I301" s="8">
        <v>596538</v>
      </c>
      <c r="K301" s="3">
        <f t="shared" si="32"/>
        <v>16406960</v>
      </c>
      <c r="M301" s="8">
        <v>25886258</v>
      </c>
      <c r="O301" s="3">
        <f t="shared" si="33"/>
        <v>14564805</v>
      </c>
      <c r="Q301" s="8">
        <v>2075405</v>
      </c>
      <c r="S301" s="8">
        <v>16640210</v>
      </c>
      <c r="U301" s="8">
        <f>35787+2153663+566445+30093</f>
        <v>2785988</v>
      </c>
      <c r="W301" s="8">
        <v>0</v>
      </c>
      <c r="Y301" s="8">
        <v>6460060</v>
      </c>
      <c r="AA301" s="14">
        <f t="shared" si="34"/>
        <v>9246048</v>
      </c>
      <c r="AB301" s="8"/>
      <c r="AC301" s="8">
        <f t="shared" si="35"/>
        <v>0</v>
      </c>
    </row>
    <row r="302" spans="1:29">
      <c r="A302" s="12" t="s">
        <v>835</v>
      </c>
      <c r="B302" s="12"/>
      <c r="C302" s="12" t="s">
        <v>210</v>
      </c>
      <c r="D302" s="12"/>
      <c r="E302" s="32"/>
      <c r="G302" s="8">
        <v>2195987</v>
      </c>
      <c r="I302" s="8">
        <v>0</v>
      </c>
      <c r="K302" s="3">
        <f t="shared" si="32"/>
        <v>6148590</v>
      </c>
      <c r="M302" s="8">
        <v>8344577</v>
      </c>
      <c r="O302" s="3">
        <f t="shared" si="33"/>
        <v>888610</v>
      </c>
      <c r="Q302" s="8">
        <v>5935400</v>
      </c>
      <c r="S302" s="8">
        <v>6824010</v>
      </c>
      <c r="U302" s="8">
        <f>11214+83948</f>
        <v>95162</v>
      </c>
      <c r="W302" s="8">
        <v>0</v>
      </c>
      <c r="Y302" s="8">
        <v>1425405</v>
      </c>
      <c r="AA302" s="14">
        <f t="shared" si="34"/>
        <v>1520567</v>
      </c>
      <c r="AB302" s="8"/>
      <c r="AC302" s="8">
        <f t="shared" si="35"/>
        <v>0</v>
      </c>
    </row>
    <row r="303" spans="1:29">
      <c r="A303" s="12" t="s">
        <v>617</v>
      </c>
      <c r="B303" s="12"/>
      <c r="C303" s="12" t="s">
        <v>113</v>
      </c>
      <c r="D303" s="12"/>
      <c r="E303" s="32">
        <v>44297</v>
      </c>
      <c r="G303" s="8">
        <v>9285</v>
      </c>
      <c r="I303" s="8">
        <v>0</v>
      </c>
      <c r="K303" s="3">
        <f t="shared" si="32"/>
        <v>22303219</v>
      </c>
      <c r="M303" s="8">
        <v>22312504</v>
      </c>
      <c r="O303" s="3">
        <f t="shared" si="33"/>
        <v>18416425</v>
      </c>
      <c r="Q303" s="8">
        <v>5148459</v>
      </c>
      <c r="S303" s="8">
        <v>23564884</v>
      </c>
      <c r="U303" s="8">
        <f>209523+103742+17287+3052857+93006</f>
        <v>3476415</v>
      </c>
      <c r="W303" s="8">
        <v>0</v>
      </c>
      <c r="Y303" s="8">
        <v>-4728795</v>
      </c>
      <c r="AA303" s="14">
        <f t="shared" si="34"/>
        <v>-1252380</v>
      </c>
      <c r="AB303" s="8"/>
      <c r="AC303" s="8">
        <f t="shared" si="35"/>
        <v>0</v>
      </c>
    </row>
    <row r="304" spans="1:29">
      <c r="A304" s="12" t="s">
        <v>315</v>
      </c>
      <c r="B304" s="12"/>
      <c r="C304" s="12" t="s">
        <v>20</v>
      </c>
      <c r="D304" s="12"/>
      <c r="E304" s="32">
        <v>44305</v>
      </c>
      <c r="G304" s="8">
        <v>6258940</v>
      </c>
      <c r="I304" s="8">
        <v>0</v>
      </c>
      <c r="K304" s="3">
        <f t="shared" si="32"/>
        <v>16442510</v>
      </c>
      <c r="M304" s="8">
        <v>22701450</v>
      </c>
      <c r="O304" s="3">
        <f t="shared" si="33"/>
        <v>4474549</v>
      </c>
      <c r="Q304" s="8">
        <v>13764388</v>
      </c>
      <c r="S304" s="8">
        <v>18238937</v>
      </c>
      <c r="U304" s="8">
        <f>96281+2275940</f>
        <v>2372221</v>
      </c>
      <c r="W304" s="8">
        <v>0</v>
      </c>
      <c r="Y304" s="8">
        <v>2090292</v>
      </c>
      <c r="AA304" s="14">
        <f t="shared" si="34"/>
        <v>4462513</v>
      </c>
      <c r="AB304" s="8"/>
      <c r="AC304" s="8">
        <f t="shared" si="35"/>
        <v>0</v>
      </c>
    </row>
    <row r="305" spans="1:29">
      <c r="A305" s="12" t="s">
        <v>218</v>
      </c>
      <c r="B305" s="12"/>
      <c r="C305" s="12" t="s">
        <v>11</v>
      </c>
      <c r="D305" s="12"/>
      <c r="E305" s="32">
        <v>45831</v>
      </c>
      <c r="G305" s="8">
        <v>1151954</v>
      </c>
      <c r="I305" s="8">
        <v>32439</v>
      </c>
      <c r="K305" s="3">
        <f t="shared" si="32"/>
        <v>2666082</v>
      </c>
      <c r="M305" s="8">
        <v>3850475</v>
      </c>
      <c r="O305" s="3">
        <f t="shared" si="33"/>
        <v>2916988</v>
      </c>
      <c r="Q305" s="8">
        <v>156091</v>
      </c>
      <c r="S305" s="8">
        <v>3073079</v>
      </c>
      <c r="U305" s="8">
        <f>22878+7192+342743+32439</f>
        <v>405252</v>
      </c>
      <c r="W305" s="8">
        <v>372144</v>
      </c>
      <c r="Y305" s="8">
        <v>0</v>
      </c>
      <c r="AA305" s="14">
        <f t="shared" si="34"/>
        <v>777396</v>
      </c>
      <c r="AB305" s="8"/>
      <c r="AC305" s="8">
        <f t="shared" si="35"/>
        <v>0</v>
      </c>
    </row>
    <row r="306" spans="1:29">
      <c r="A306" s="12" t="s">
        <v>692</v>
      </c>
      <c r="B306" s="12"/>
      <c r="C306" s="12" t="s">
        <v>64</v>
      </c>
      <c r="D306" s="12"/>
      <c r="E306" s="32">
        <v>50211</v>
      </c>
      <c r="G306" s="8">
        <v>1400136</v>
      </c>
      <c r="I306" s="8">
        <v>448253</v>
      </c>
      <c r="K306" s="3">
        <f t="shared" si="32"/>
        <v>2503950</v>
      </c>
      <c r="M306" s="8">
        <v>4352339</v>
      </c>
      <c r="O306" s="3">
        <f t="shared" si="33"/>
        <v>4003974</v>
      </c>
      <c r="Q306" s="8">
        <v>165309</v>
      </c>
      <c r="S306" s="8">
        <v>4169283</v>
      </c>
      <c r="U306" s="8">
        <f>5009+10925+448253</f>
        <v>464187</v>
      </c>
      <c r="W306" s="8">
        <v>0</v>
      </c>
      <c r="Y306" s="8">
        <v>-281131</v>
      </c>
      <c r="AA306" s="14">
        <f t="shared" si="34"/>
        <v>183056</v>
      </c>
      <c r="AB306" s="8"/>
      <c r="AC306" s="8">
        <f t="shared" si="35"/>
        <v>0</v>
      </c>
    </row>
    <row r="307" spans="1:29">
      <c r="A307" s="12" t="s">
        <v>343</v>
      </c>
      <c r="B307" s="12"/>
      <c r="C307" s="12" t="s">
        <v>24</v>
      </c>
      <c r="D307" s="12"/>
      <c r="E307" s="32">
        <v>46805</v>
      </c>
      <c r="G307" s="8">
        <v>1868341</v>
      </c>
      <c r="I307" s="8">
        <v>0</v>
      </c>
      <c r="K307" s="3">
        <f t="shared" si="32"/>
        <v>6090763</v>
      </c>
      <c r="M307" s="8">
        <v>7959104</v>
      </c>
      <c r="O307" s="3">
        <f t="shared" si="33"/>
        <v>6187520</v>
      </c>
      <c r="Q307" s="8">
        <v>1193689</v>
      </c>
      <c r="S307" s="8">
        <v>7381209</v>
      </c>
      <c r="U307" s="8">
        <f>210917+441155</f>
        <v>652072</v>
      </c>
      <c r="W307" s="8">
        <v>0</v>
      </c>
      <c r="Y307" s="8">
        <v>-74177</v>
      </c>
      <c r="AA307" s="14">
        <f t="shared" si="34"/>
        <v>577895</v>
      </c>
      <c r="AB307" s="8"/>
      <c r="AC307" s="8">
        <f t="shared" si="35"/>
        <v>0</v>
      </c>
    </row>
    <row r="308" spans="1:29">
      <c r="A308" s="12" t="s">
        <v>404</v>
      </c>
      <c r="B308" s="12"/>
      <c r="C308" s="12" t="s">
        <v>32</v>
      </c>
      <c r="D308" s="12"/>
      <c r="E308" s="32">
        <v>44313</v>
      </c>
      <c r="G308" s="8">
        <v>5956169</v>
      </c>
      <c r="I308" s="8">
        <v>140000</v>
      </c>
      <c r="K308" s="3">
        <f t="shared" si="32"/>
        <v>13948412</v>
      </c>
      <c r="M308" s="8">
        <v>20044581</v>
      </c>
      <c r="O308" s="3">
        <f t="shared" si="33"/>
        <v>2369505</v>
      </c>
      <c r="Q308" s="8">
        <v>9569339</v>
      </c>
      <c r="S308" s="8">
        <v>11938844</v>
      </c>
      <c r="U308" s="8">
        <f>4308000+140000</f>
        <v>4448000</v>
      </c>
      <c r="W308" s="8">
        <v>0</v>
      </c>
      <c r="Y308" s="8">
        <v>3657737</v>
      </c>
      <c r="AA308" s="14">
        <f t="shared" si="34"/>
        <v>8105737</v>
      </c>
      <c r="AB308" s="8"/>
      <c r="AC308" s="8">
        <f t="shared" si="35"/>
        <v>0</v>
      </c>
    </row>
    <row r="309" spans="1:29" hidden="1">
      <c r="A309" s="12" t="s">
        <v>724</v>
      </c>
      <c r="B309" s="12"/>
      <c r="C309" s="12" t="s">
        <v>70</v>
      </c>
      <c r="D309" s="12"/>
      <c r="E309" s="32">
        <v>44321</v>
      </c>
      <c r="K309" s="3">
        <f t="shared" si="32"/>
        <v>0</v>
      </c>
      <c r="O309" s="3">
        <f t="shared" si="33"/>
        <v>0</v>
      </c>
      <c r="AA309" s="14">
        <f t="shared" si="34"/>
        <v>0</v>
      </c>
      <c r="AB309" s="8"/>
      <c r="AC309" s="8">
        <f t="shared" si="35"/>
        <v>0</v>
      </c>
    </row>
    <row r="310" spans="1:29">
      <c r="A310" s="12" t="s">
        <v>527</v>
      </c>
      <c r="B310" s="12"/>
      <c r="C310" s="12" t="s">
        <v>46</v>
      </c>
      <c r="D310" s="12"/>
      <c r="E310" s="32">
        <v>44339</v>
      </c>
      <c r="G310" s="8">
        <v>10338688</v>
      </c>
      <c r="I310" s="8">
        <v>1955759</v>
      </c>
      <c r="K310" s="3">
        <f t="shared" si="32"/>
        <v>10329690</v>
      </c>
      <c r="M310" s="8">
        <v>22624137</v>
      </c>
      <c r="O310" s="3">
        <f t="shared" si="33"/>
        <v>4560400</v>
      </c>
      <c r="Q310" s="8">
        <v>7213933</v>
      </c>
      <c r="S310" s="8">
        <v>11774333</v>
      </c>
      <c r="U310" s="8">
        <f>2945486+1934682+21077+240598</f>
        <v>5141843</v>
      </c>
      <c r="W310" s="8">
        <v>0</v>
      </c>
      <c r="Y310" s="8">
        <v>5707961</v>
      </c>
      <c r="AA310" s="14">
        <f t="shared" si="34"/>
        <v>10849804</v>
      </c>
      <c r="AB310" s="8"/>
      <c r="AC310" s="8">
        <f t="shared" si="35"/>
        <v>0</v>
      </c>
    </row>
    <row r="311" spans="1:29">
      <c r="A311" s="12" t="s">
        <v>660</v>
      </c>
      <c r="B311" s="12"/>
      <c r="C311" s="12" t="s">
        <v>62</v>
      </c>
      <c r="D311" s="12"/>
      <c r="E311" s="32">
        <v>49882</v>
      </c>
      <c r="G311" s="8">
        <v>5016194</v>
      </c>
      <c r="I311" s="8">
        <v>0</v>
      </c>
      <c r="K311" s="3">
        <f t="shared" si="32"/>
        <v>10697662</v>
      </c>
      <c r="M311" s="8">
        <v>15713856</v>
      </c>
      <c r="O311" s="3">
        <f t="shared" si="33"/>
        <v>11710917</v>
      </c>
      <c r="Q311" s="8">
        <v>522800</v>
      </c>
      <c r="S311" s="8">
        <v>12233717</v>
      </c>
      <c r="U311" s="8">
        <f>228842+241326+105392+19822+488310+391928</f>
        <v>1475620</v>
      </c>
      <c r="W311" s="8">
        <v>476349</v>
      </c>
      <c r="Y311" s="8">
        <v>1528170</v>
      </c>
      <c r="AA311" s="14">
        <f t="shared" si="34"/>
        <v>3480139</v>
      </c>
      <c r="AB311" s="8"/>
      <c r="AC311" s="8">
        <f t="shared" si="35"/>
        <v>0</v>
      </c>
    </row>
    <row r="312" spans="1:29">
      <c r="A312" s="12" t="s">
        <v>236</v>
      </c>
      <c r="B312" s="12"/>
      <c r="C312" s="12" t="s">
        <v>15</v>
      </c>
      <c r="D312" s="12"/>
      <c r="E312" s="32">
        <v>44347</v>
      </c>
      <c r="G312" s="8">
        <v>405956</v>
      </c>
      <c r="I312" s="8">
        <v>103570</v>
      </c>
      <c r="K312" s="3">
        <f t="shared" si="32"/>
        <v>2682187</v>
      </c>
      <c r="M312" s="8">
        <v>3191713</v>
      </c>
      <c r="O312" s="3">
        <f t="shared" si="33"/>
        <v>1718997</v>
      </c>
      <c r="Q312" s="8">
        <v>2484187</v>
      </c>
      <c r="S312" s="8">
        <v>4203184</v>
      </c>
      <c r="U312" s="8">
        <f>21526+123271</f>
        <v>144797</v>
      </c>
      <c r="W312" s="8">
        <v>0</v>
      </c>
      <c r="Y312" s="8">
        <v>-1156268</v>
      </c>
      <c r="AA312" s="14">
        <f t="shared" si="34"/>
        <v>-1011471</v>
      </c>
      <c r="AB312" s="8"/>
      <c r="AC312" s="8">
        <f t="shared" si="35"/>
        <v>0</v>
      </c>
    </row>
    <row r="313" spans="1:29">
      <c r="A313" s="12" t="s">
        <v>708</v>
      </c>
      <c r="B313" s="12"/>
      <c r="C313" s="12" t="s">
        <v>66</v>
      </c>
      <c r="D313" s="12"/>
      <c r="E313" s="32">
        <v>45476</v>
      </c>
      <c r="G313" s="8">
        <f>672892+1023750</f>
        <v>1696642</v>
      </c>
      <c r="I313" s="8">
        <v>0</v>
      </c>
      <c r="K313" s="3">
        <f t="shared" si="32"/>
        <v>21304849</v>
      </c>
      <c r="M313" s="8">
        <v>23001491</v>
      </c>
      <c r="O313" s="3">
        <f t="shared" si="33"/>
        <v>26291057</v>
      </c>
      <c r="Q313" s="8">
        <v>10747</v>
      </c>
      <c r="S313" s="8">
        <v>26301804</v>
      </c>
      <c r="U313" s="8">
        <f>430136+37396+1575034</f>
        <v>2042566</v>
      </c>
      <c r="W313" s="8">
        <v>0</v>
      </c>
      <c r="Y313" s="8">
        <v>-5342879</v>
      </c>
      <c r="AA313" s="14">
        <f t="shared" si="34"/>
        <v>-3300313</v>
      </c>
      <c r="AB313" s="8"/>
      <c r="AC313" s="8">
        <f t="shared" si="35"/>
        <v>0</v>
      </c>
    </row>
    <row r="314" spans="1:29">
      <c r="A314" s="12" t="s">
        <v>718</v>
      </c>
      <c r="B314" s="12"/>
      <c r="C314" s="12" t="s">
        <v>69</v>
      </c>
      <c r="D314" s="12"/>
      <c r="E314" s="32">
        <v>50450</v>
      </c>
      <c r="G314" s="8">
        <v>48422659</v>
      </c>
      <c r="I314" s="8">
        <v>85593</v>
      </c>
      <c r="K314" s="3">
        <f t="shared" si="32"/>
        <v>60664286</v>
      </c>
      <c r="M314" s="8">
        <v>109172538</v>
      </c>
      <c r="O314" s="3">
        <f t="shared" si="33"/>
        <v>14725109</v>
      </c>
      <c r="Q314" s="8">
        <v>56780349</v>
      </c>
      <c r="S314" s="8">
        <v>71505458</v>
      </c>
      <c r="U314" s="8">
        <f>1059584+2062529+85593</f>
        <v>3207706</v>
      </c>
      <c r="W314" s="8">
        <v>0</v>
      </c>
      <c r="Y314" s="8">
        <v>34459374</v>
      </c>
      <c r="AA314" s="14">
        <f t="shared" si="34"/>
        <v>37667080</v>
      </c>
      <c r="AB314" s="8"/>
      <c r="AC314" s="8">
        <f t="shared" si="35"/>
        <v>0</v>
      </c>
    </row>
    <row r="315" spans="1:29">
      <c r="A315" s="12" t="s">
        <v>661</v>
      </c>
      <c r="B315" s="12"/>
      <c r="C315" s="12" t="s">
        <v>62</v>
      </c>
      <c r="D315" s="12"/>
      <c r="E315" s="32">
        <v>44354</v>
      </c>
      <c r="G315" s="8">
        <v>9325356</v>
      </c>
      <c r="I315" s="8">
        <v>12755</v>
      </c>
      <c r="K315" s="3">
        <f t="shared" si="32"/>
        <v>14822688</v>
      </c>
      <c r="M315" s="8">
        <v>24160799</v>
      </c>
      <c r="O315" s="3">
        <f t="shared" si="33"/>
        <v>4485445</v>
      </c>
      <c r="Q315" s="8">
        <v>13249804</v>
      </c>
      <c r="S315" s="8">
        <v>17735249</v>
      </c>
      <c r="U315" s="8">
        <f>864396+768660+12755</f>
        <v>1645811</v>
      </c>
      <c r="W315" s="8">
        <v>0</v>
      </c>
      <c r="Y315" s="8">
        <v>4779739</v>
      </c>
      <c r="AA315" s="14">
        <f t="shared" si="34"/>
        <v>6425550</v>
      </c>
      <c r="AB315" s="8"/>
      <c r="AC315" s="8">
        <f t="shared" si="35"/>
        <v>0</v>
      </c>
    </row>
    <row r="316" spans="1:29">
      <c r="A316" s="12" t="s">
        <v>693</v>
      </c>
      <c r="B316" s="12"/>
      <c r="C316" s="12" t="s">
        <v>64</v>
      </c>
      <c r="D316" s="12"/>
      <c r="E316" s="32">
        <v>50153</v>
      </c>
      <c r="G316" s="8">
        <v>1811399</v>
      </c>
      <c r="I316" s="8">
        <v>5802</v>
      </c>
      <c r="K316" s="3">
        <f t="shared" si="32"/>
        <v>4742101</v>
      </c>
      <c r="M316" s="8">
        <v>6559302</v>
      </c>
      <c r="O316" s="3">
        <f t="shared" si="33"/>
        <v>5115676</v>
      </c>
      <c r="Q316" s="8">
        <v>486855</v>
      </c>
      <c r="S316" s="8">
        <v>5602531</v>
      </c>
      <c r="U316" s="8">
        <f>122221+28923+31366+9943+5802</f>
        <v>198255</v>
      </c>
      <c r="W316" s="8">
        <v>0</v>
      </c>
      <c r="Y316" s="8">
        <v>758516</v>
      </c>
      <c r="AA316" s="14">
        <f t="shared" si="34"/>
        <v>956771</v>
      </c>
      <c r="AB316" s="8"/>
      <c r="AC316" s="8">
        <f t="shared" si="35"/>
        <v>0</v>
      </c>
    </row>
    <row r="317" spans="1:29">
      <c r="A317" s="12" t="s">
        <v>503</v>
      </c>
      <c r="B317" s="12"/>
      <c r="C317" s="12" t="s">
        <v>118</v>
      </c>
      <c r="D317" s="12"/>
      <c r="E317" s="32">
        <v>44362</v>
      </c>
      <c r="G317" s="8">
        <v>2599537</v>
      </c>
      <c r="I317" s="8">
        <v>163745</v>
      </c>
      <c r="K317" s="3">
        <f t="shared" si="32"/>
        <v>20578256</v>
      </c>
      <c r="M317" s="8">
        <v>23341538</v>
      </c>
      <c r="O317" s="3">
        <f t="shared" si="33"/>
        <v>20783563</v>
      </c>
      <c r="Q317" s="8">
        <v>2275272</v>
      </c>
      <c r="S317" s="8">
        <v>23058835</v>
      </c>
      <c r="U317" s="8">
        <f>120371+121957+41788+30540+853527+26984</f>
        <v>1195167</v>
      </c>
      <c r="W317" s="8">
        <v>0</v>
      </c>
      <c r="Y317" s="8">
        <v>-912464</v>
      </c>
      <c r="AA317" s="14">
        <f t="shared" si="34"/>
        <v>282703</v>
      </c>
      <c r="AB317" s="8"/>
      <c r="AC317" s="8">
        <f t="shared" si="35"/>
        <v>0</v>
      </c>
    </row>
    <row r="318" spans="1:29">
      <c r="A318" s="12" t="s">
        <v>316</v>
      </c>
      <c r="B318" s="12"/>
      <c r="C318" s="12" t="s">
        <v>20</v>
      </c>
      <c r="D318" s="12"/>
      <c r="E318" s="32">
        <v>44370</v>
      </c>
      <c r="G318" s="8">
        <v>12410687</v>
      </c>
      <c r="I318" s="8">
        <v>0</v>
      </c>
      <c r="K318" s="3">
        <f t="shared" si="32"/>
        <v>43576176</v>
      </c>
      <c r="M318" s="8">
        <v>55986863</v>
      </c>
      <c r="O318" s="3">
        <f t="shared" si="33"/>
        <v>6483518</v>
      </c>
      <c r="Q318" s="8">
        <v>37086501</v>
      </c>
      <c r="S318" s="8">
        <v>43570019</v>
      </c>
      <c r="U318" s="8">
        <f>2228052+5720804</f>
        <v>7948856</v>
      </c>
      <c r="W318" s="8">
        <v>0</v>
      </c>
      <c r="Y318" s="8">
        <v>4467988</v>
      </c>
      <c r="AA318" s="14">
        <f t="shared" si="34"/>
        <v>12416844</v>
      </c>
      <c r="AB318" s="8"/>
      <c r="AC318" s="8">
        <f t="shared" si="35"/>
        <v>0</v>
      </c>
    </row>
    <row r="319" spans="1:29">
      <c r="A319" s="12" t="s">
        <v>573</v>
      </c>
      <c r="B319" s="12"/>
      <c r="C319" s="12" t="s">
        <v>51</v>
      </c>
      <c r="D319" s="12"/>
      <c r="E319" s="32">
        <v>48850</v>
      </c>
      <c r="G319" s="8">
        <v>3132181</v>
      </c>
      <c r="I319" s="8">
        <v>59073</v>
      </c>
      <c r="K319" s="3">
        <f t="shared" si="32"/>
        <v>3972058</v>
      </c>
      <c r="M319" s="8">
        <v>7163312</v>
      </c>
      <c r="O319" s="3">
        <f t="shared" si="33"/>
        <v>2452975</v>
      </c>
      <c r="Q319" s="8">
        <v>3631744</v>
      </c>
      <c r="S319" s="8">
        <v>6084719</v>
      </c>
      <c r="U319" s="8">
        <f>17260+44593+22850+129728</f>
        <v>214431</v>
      </c>
      <c r="W319" s="8">
        <v>0</v>
      </c>
      <c r="Y319" s="8">
        <v>864162</v>
      </c>
      <c r="AA319" s="14">
        <f t="shared" si="34"/>
        <v>1078593</v>
      </c>
      <c r="AB319" s="8"/>
      <c r="AC319" s="8">
        <f t="shared" si="35"/>
        <v>0</v>
      </c>
    </row>
    <row r="320" spans="1:29" hidden="1">
      <c r="A320" s="12" t="s">
        <v>830</v>
      </c>
      <c r="B320" s="12"/>
      <c r="C320" s="12" t="s">
        <v>33</v>
      </c>
      <c r="D320" s="12"/>
      <c r="E320" s="32">
        <v>47456</v>
      </c>
      <c r="G320" s="35"/>
      <c r="H320" s="35"/>
      <c r="I320" s="35"/>
      <c r="J320" s="35"/>
      <c r="K320" s="42">
        <f>+M320-I320-G320</f>
        <v>0</v>
      </c>
      <c r="L320" s="35"/>
      <c r="M320" s="35"/>
      <c r="N320" s="35"/>
      <c r="O320" s="42">
        <f>+S320-Q320</f>
        <v>0</v>
      </c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71">
        <f>+Y320+W320++U320</f>
        <v>0</v>
      </c>
      <c r="AB320" s="35"/>
      <c r="AC320" s="35">
        <f t="shared" ref="AC320:AC343" si="36">+G320+I320+K320-O320-Q320-Y320-W320-U320</f>
        <v>0</v>
      </c>
    </row>
    <row r="321" spans="1:29" s="35" customFormat="1">
      <c r="A321" s="34" t="s">
        <v>928</v>
      </c>
      <c r="B321" s="34"/>
      <c r="C321" s="34" t="s">
        <v>64</v>
      </c>
      <c r="D321" s="34"/>
      <c r="E321" s="32">
        <v>50229</v>
      </c>
      <c r="G321" s="8">
        <v>40192</v>
      </c>
      <c r="H321" s="8"/>
      <c r="I321" s="8">
        <v>991</v>
      </c>
      <c r="J321" s="8"/>
      <c r="K321" s="3">
        <f t="shared" ref="K321:K386" si="37">+M321-I321-G321</f>
        <v>1260072</v>
      </c>
      <c r="L321" s="8"/>
      <c r="M321" s="8">
        <v>1301255</v>
      </c>
      <c r="N321" s="8"/>
      <c r="O321" s="3">
        <f t="shared" ref="O321:O386" si="38">+S321-Q321</f>
        <v>2398590</v>
      </c>
      <c r="P321" s="8"/>
      <c r="Q321" s="8">
        <v>115212</v>
      </c>
      <c r="R321" s="8"/>
      <c r="S321" s="8">
        <v>2513802</v>
      </c>
      <c r="T321" s="8"/>
      <c r="U321" s="8">
        <f>6664+13169+991</f>
        <v>20824</v>
      </c>
      <c r="V321" s="8"/>
      <c r="W321" s="8">
        <v>0</v>
      </c>
      <c r="X321" s="8"/>
      <c r="Y321" s="8">
        <v>-1233371</v>
      </c>
      <c r="Z321" s="8"/>
      <c r="AA321" s="14">
        <f t="shared" ref="AA321:AA386" si="39">+Y321+W321++U321</f>
        <v>-1212547</v>
      </c>
      <c r="AB321" s="8"/>
      <c r="AC321" s="8">
        <f t="shared" si="36"/>
        <v>0</v>
      </c>
    </row>
    <row r="322" spans="1:29" s="8" customFormat="1">
      <c r="A322" s="13" t="s">
        <v>260</v>
      </c>
      <c r="B322" s="13"/>
      <c r="C322" s="13" t="s">
        <v>259</v>
      </c>
      <c r="D322" s="13"/>
      <c r="E322" s="13">
        <v>45484</v>
      </c>
      <c r="G322" s="8">
        <v>1579464</v>
      </c>
      <c r="I322" s="8">
        <v>24392</v>
      </c>
      <c r="K322" s="3">
        <f t="shared" si="37"/>
        <v>2497869</v>
      </c>
      <c r="M322" s="8">
        <v>4101725</v>
      </c>
      <c r="O322" s="3">
        <f t="shared" si="38"/>
        <v>2428449</v>
      </c>
      <c r="Q322" s="8">
        <v>84052</v>
      </c>
      <c r="S322" s="8">
        <v>2512501</v>
      </c>
      <c r="U322" s="8">
        <f>27455+3583+129391+24392+2000</f>
        <v>186821</v>
      </c>
      <c r="W322" s="8">
        <v>0</v>
      </c>
      <c r="Y322" s="8">
        <v>1402403</v>
      </c>
      <c r="AA322" s="14">
        <f t="shared" si="39"/>
        <v>1589224</v>
      </c>
      <c r="AC322" s="8">
        <f t="shared" si="36"/>
        <v>0</v>
      </c>
    </row>
    <row r="323" spans="1:29">
      <c r="A323" s="12" t="s">
        <v>535</v>
      </c>
      <c r="B323" s="12"/>
      <c r="C323" s="12" t="s">
        <v>47</v>
      </c>
      <c r="D323" s="12"/>
      <c r="E323" s="32">
        <v>44388</v>
      </c>
      <c r="G323" s="8">
        <v>20087359</v>
      </c>
      <c r="I323" s="8">
        <v>0</v>
      </c>
      <c r="K323" s="3">
        <f t="shared" si="37"/>
        <v>48318555</v>
      </c>
      <c r="M323" s="8">
        <v>68405914</v>
      </c>
      <c r="O323" s="3">
        <f t="shared" si="38"/>
        <v>8221362</v>
      </c>
      <c r="Q323" s="8">
        <v>47204865</v>
      </c>
      <c r="S323" s="8">
        <v>55426227</v>
      </c>
      <c r="U323" s="8">
        <f>1301387+953720</f>
        <v>2255107</v>
      </c>
      <c r="W323" s="8">
        <v>0</v>
      </c>
      <c r="Y323" s="8">
        <v>10724580</v>
      </c>
      <c r="AA323" s="14">
        <f t="shared" si="39"/>
        <v>12979687</v>
      </c>
      <c r="AB323" s="8"/>
      <c r="AC323" s="8">
        <f t="shared" si="36"/>
        <v>0</v>
      </c>
    </row>
    <row r="324" spans="1:29">
      <c r="A324" s="12" t="s">
        <v>538</v>
      </c>
      <c r="B324" s="12"/>
      <c r="C324" s="12" t="s">
        <v>537</v>
      </c>
      <c r="D324" s="12"/>
      <c r="E324" s="32">
        <v>48520</v>
      </c>
      <c r="G324" s="8">
        <v>-21747</v>
      </c>
      <c r="I324" s="8">
        <v>822294</v>
      </c>
      <c r="K324" s="3">
        <f t="shared" si="37"/>
        <v>1480378</v>
      </c>
      <c r="M324" s="8">
        <v>2280925</v>
      </c>
      <c r="O324" s="3">
        <f t="shared" si="38"/>
        <v>1869240</v>
      </c>
      <c r="Q324" s="8">
        <v>2066481</v>
      </c>
      <c r="S324" s="8">
        <v>3935721</v>
      </c>
      <c r="U324" s="8">
        <f>40700+44300+68154+14140+17616</f>
        <v>184910</v>
      </c>
      <c r="W324" s="8">
        <v>0</v>
      </c>
      <c r="Y324" s="8">
        <v>-1839706</v>
      </c>
      <c r="AA324" s="14">
        <f t="shared" si="39"/>
        <v>-1654796</v>
      </c>
      <c r="AB324" s="8"/>
      <c r="AC324" s="8">
        <f t="shared" si="36"/>
        <v>0</v>
      </c>
    </row>
    <row r="325" spans="1:29">
      <c r="A325" s="12" t="s">
        <v>465</v>
      </c>
      <c r="B325" s="12"/>
      <c r="C325" s="12" t="s">
        <v>41</v>
      </c>
      <c r="D325" s="12"/>
      <c r="E325" s="32">
        <v>45492</v>
      </c>
      <c r="G325" s="8">
        <f>45950938+67398533</f>
        <v>113349471</v>
      </c>
      <c r="I325" s="8">
        <v>0</v>
      </c>
      <c r="K325" s="3">
        <f t="shared" si="37"/>
        <v>784737</v>
      </c>
      <c r="M325" s="8">
        <v>114134208</v>
      </c>
      <c r="O325" s="3">
        <f t="shared" si="38"/>
        <v>9478337</v>
      </c>
      <c r="Q325" s="8">
        <v>62880277</v>
      </c>
      <c r="S325" s="8">
        <v>72358614</v>
      </c>
      <c r="U325" s="8">
        <f>306996+1802311+4518256</f>
        <v>6627563</v>
      </c>
      <c r="W325" s="8">
        <v>0</v>
      </c>
      <c r="Y325" s="8">
        <v>35148031</v>
      </c>
      <c r="AA325" s="14">
        <f t="shared" si="39"/>
        <v>41775594</v>
      </c>
      <c r="AB325" s="8"/>
      <c r="AC325" s="8">
        <f t="shared" si="36"/>
        <v>0</v>
      </c>
    </row>
    <row r="326" spans="1:29">
      <c r="A326" s="12" t="s">
        <v>545</v>
      </c>
      <c r="B326" s="12"/>
      <c r="C326" s="12" t="s">
        <v>48</v>
      </c>
      <c r="D326" s="12"/>
      <c r="E326" s="32">
        <v>48629</v>
      </c>
      <c r="G326" s="8">
        <v>208935</v>
      </c>
      <c r="I326" s="8">
        <v>281188</v>
      </c>
      <c r="K326" s="3">
        <f t="shared" si="37"/>
        <v>4069459</v>
      </c>
      <c r="M326" s="8">
        <v>4559582</v>
      </c>
      <c r="O326" s="3">
        <f t="shared" si="38"/>
        <v>1162070</v>
      </c>
      <c r="Q326" s="8">
        <v>3070261</v>
      </c>
      <c r="S326" s="8">
        <v>4232331</v>
      </c>
      <c r="U326" s="8">
        <f>176220+120416+272035+9153</f>
        <v>577824</v>
      </c>
      <c r="W326" s="8">
        <v>0</v>
      </c>
      <c r="Y326" s="8">
        <v>-250573</v>
      </c>
      <c r="AA326" s="14">
        <f t="shared" si="39"/>
        <v>327251</v>
      </c>
      <c r="AB326" s="8"/>
      <c r="AC326" s="8">
        <f t="shared" si="36"/>
        <v>0</v>
      </c>
    </row>
    <row r="327" spans="1:29">
      <c r="A327" s="12" t="s">
        <v>354</v>
      </c>
      <c r="B327" s="12"/>
      <c r="C327" s="12" t="s">
        <v>26</v>
      </c>
      <c r="D327" s="12"/>
      <c r="E327" s="32">
        <v>46920</v>
      </c>
      <c r="G327" s="8">
        <v>5892534</v>
      </c>
      <c r="I327" s="8">
        <v>428979</v>
      </c>
      <c r="K327" s="3">
        <f t="shared" si="37"/>
        <v>9213882</v>
      </c>
      <c r="M327" s="8">
        <v>15535395</v>
      </c>
      <c r="O327" s="3">
        <f t="shared" si="38"/>
        <v>3228219</v>
      </c>
      <c r="Q327" s="8">
        <v>7786017</v>
      </c>
      <c r="S327" s="8">
        <v>11014236</v>
      </c>
      <c r="U327" s="8">
        <f>631116+690050+428979</f>
        <v>1750145</v>
      </c>
      <c r="W327" s="8">
        <v>0</v>
      </c>
      <c r="Y327" s="8">
        <v>2771014</v>
      </c>
      <c r="AA327" s="14">
        <f t="shared" si="39"/>
        <v>4521159</v>
      </c>
      <c r="AB327" s="8"/>
      <c r="AC327" s="8">
        <f t="shared" si="36"/>
        <v>0</v>
      </c>
    </row>
    <row r="328" spans="1:29">
      <c r="A328" s="12" t="s">
        <v>559</v>
      </c>
      <c r="B328" s="12"/>
      <c r="C328" s="12" t="s">
        <v>50</v>
      </c>
      <c r="D328" s="12"/>
      <c r="E328" s="32">
        <v>44396</v>
      </c>
      <c r="G328" s="8">
        <v>8471199</v>
      </c>
      <c r="I328" s="8">
        <v>0</v>
      </c>
      <c r="K328" s="3">
        <f t="shared" si="37"/>
        <v>24875270</v>
      </c>
      <c r="M328" s="8">
        <v>33346469</v>
      </c>
      <c r="O328" s="3">
        <f t="shared" si="38"/>
        <v>6390873</v>
      </c>
      <c r="Q328" s="8">
        <v>23558390</v>
      </c>
      <c r="S328" s="8">
        <v>29949263</v>
      </c>
      <c r="U328" s="8">
        <f>303334+1004639</f>
        <v>1307973</v>
      </c>
      <c r="W328" s="8">
        <v>2089233</v>
      </c>
      <c r="Y328" s="8">
        <v>0</v>
      </c>
      <c r="AA328" s="14">
        <f t="shared" si="39"/>
        <v>3397206</v>
      </c>
      <c r="AB328" s="8"/>
      <c r="AC328" s="8">
        <f t="shared" si="36"/>
        <v>0</v>
      </c>
    </row>
    <row r="329" spans="1:29">
      <c r="A329" s="12" t="s">
        <v>251</v>
      </c>
      <c r="B329" s="12"/>
      <c r="C329" s="12" t="s">
        <v>246</v>
      </c>
      <c r="D329" s="12"/>
      <c r="E329" s="32">
        <v>44404</v>
      </c>
      <c r="G329" s="8">
        <v>1304011</v>
      </c>
      <c r="I329" s="8">
        <v>0</v>
      </c>
      <c r="K329" s="3">
        <f t="shared" si="37"/>
        <v>24916073</v>
      </c>
      <c r="M329" s="8">
        <v>26220084</v>
      </c>
      <c r="O329" s="3">
        <f t="shared" si="38"/>
        <v>5144920</v>
      </c>
      <c r="Q329" s="8">
        <v>23306409</v>
      </c>
      <c r="S329" s="8">
        <v>28451329</v>
      </c>
      <c r="U329" s="8">
        <f>609176+671398</f>
        <v>1280574</v>
      </c>
      <c r="W329" s="8">
        <v>0</v>
      </c>
      <c r="Y329" s="8">
        <v>-3511819</v>
      </c>
      <c r="AA329" s="14">
        <f t="shared" si="39"/>
        <v>-2231245</v>
      </c>
      <c r="AB329" s="8"/>
      <c r="AC329" s="8">
        <f t="shared" si="36"/>
        <v>0</v>
      </c>
    </row>
    <row r="330" spans="1:29">
      <c r="A330" s="12" t="s">
        <v>497</v>
      </c>
      <c r="B330" s="12"/>
      <c r="C330" s="12" t="s">
        <v>44</v>
      </c>
      <c r="D330" s="12"/>
      <c r="E330" s="32">
        <v>48173</v>
      </c>
      <c r="G330" s="8">
        <v>4366500</v>
      </c>
      <c r="I330" s="8">
        <v>0</v>
      </c>
      <c r="K330" s="3">
        <f t="shared" si="37"/>
        <v>11632786</v>
      </c>
      <c r="M330" s="8">
        <v>15999286</v>
      </c>
      <c r="O330" s="3">
        <f t="shared" si="38"/>
        <v>3297685</v>
      </c>
      <c r="Q330" s="8">
        <v>10123920</v>
      </c>
      <c r="S330" s="8">
        <v>13421605</v>
      </c>
      <c r="U330" s="8">
        <f>19227+342612+192793+1157106</f>
        <v>1711738</v>
      </c>
      <c r="W330" s="8">
        <v>0</v>
      </c>
      <c r="Y330" s="8">
        <v>865943</v>
      </c>
      <c r="AA330" s="14">
        <f t="shared" si="39"/>
        <v>2577681</v>
      </c>
      <c r="AB330" s="8"/>
      <c r="AC330" s="8">
        <f t="shared" si="36"/>
        <v>0</v>
      </c>
    </row>
    <row r="331" spans="1:29">
      <c r="A331" s="12" t="s">
        <v>274</v>
      </c>
      <c r="B331" s="12"/>
      <c r="C331" s="12" t="s">
        <v>116</v>
      </c>
      <c r="D331" s="12"/>
      <c r="E331" s="32">
        <v>45500</v>
      </c>
      <c r="G331" s="8">
        <v>2731609</v>
      </c>
      <c r="I331" s="8">
        <v>0</v>
      </c>
      <c r="K331" s="3">
        <f t="shared" si="37"/>
        <v>30384999</v>
      </c>
      <c r="M331" s="8">
        <v>33116608</v>
      </c>
      <c r="O331" s="3">
        <f t="shared" si="38"/>
        <v>5968755</v>
      </c>
      <c r="Q331" s="8">
        <v>27522610</v>
      </c>
      <c r="S331" s="8">
        <v>33491365</v>
      </c>
      <c r="U331" s="8">
        <f>48196+2708800+61667</f>
        <v>2818663</v>
      </c>
      <c r="W331" s="8">
        <v>332441</v>
      </c>
      <c r="Y331" s="8">
        <v>-3525861</v>
      </c>
      <c r="AA331" s="14">
        <f t="shared" si="39"/>
        <v>-374757</v>
      </c>
      <c r="AB331" s="8"/>
      <c r="AC331" s="8">
        <f t="shared" si="36"/>
        <v>0</v>
      </c>
    </row>
    <row r="332" spans="1:29" hidden="1">
      <c r="A332" s="12" t="s">
        <v>736</v>
      </c>
      <c r="B332" s="12"/>
      <c r="C332" s="12" t="s">
        <v>733</v>
      </c>
      <c r="D332" s="12"/>
      <c r="E332" s="32">
        <v>50633</v>
      </c>
      <c r="K332" s="3">
        <f t="shared" si="37"/>
        <v>0</v>
      </c>
      <c r="O332" s="3">
        <f t="shared" si="38"/>
        <v>0</v>
      </c>
      <c r="AA332" s="14">
        <f t="shared" si="39"/>
        <v>0</v>
      </c>
      <c r="AB332" s="8"/>
      <c r="AC332" s="8">
        <f t="shared" si="36"/>
        <v>0</v>
      </c>
    </row>
    <row r="333" spans="1:29" hidden="1">
      <c r="A333" s="12" t="s">
        <v>610</v>
      </c>
      <c r="B333" s="12"/>
      <c r="C333" s="12" t="s">
        <v>608</v>
      </c>
      <c r="D333" s="12"/>
      <c r="E333" s="32">
        <v>49361</v>
      </c>
      <c r="K333" s="3">
        <f t="shared" si="37"/>
        <v>0</v>
      </c>
      <c r="O333" s="3">
        <f t="shared" si="38"/>
        <v>0</v>
      </c>
      <c r="AA333" s="14">
        <f t="shared" si="39"/>
        <v>0</v>
      </c>
      <c r="AB333" s="8"/>
      <c r="AC333" s="8">
        <f t="shared" si="36"/>
        <v>0</v>
      </c>
    </row>
    <row r="334" spans="1:29">
      <c r="A334" s="12" t="s">
        <v>546</v>
      </c>
      <c r="B334" s="12"/>
      <c r="C334" s="12" t="s">
        <v>48</v>
      </c>
      <c r="D334" s="12"/>
      <c r="E334" s="32">
        <v>45518</v>
      </c>
      <c r="G334" s="8">
        <f>572769+4224819</f>
        <v>4797588</v>
      </c>
      <c r="I334" s="8">
        <v>0</v>
      </c>
      <c r="K334" s="3">
        <f t="shared" si="37"/>
        <v>4961080</v>
      </c>
      <c r="M334" s="8">
        <v>9758668</v>
      </c>
      <c r="O334" s="3">
        <f t="shared" si="38"/>
        <v>1787978</v>
      </c>
      <c r="Q334" s="8">
        <v>4691201</v>
      </c>
      <c r="S334" s="8">
        <v>6479179</v>
      </c>
      <c r="U334" s="8">
        <f>134971+23115+16350+205819</f>
        <v>380255</v>
      </c>
      <c r="W334" s="8">
        <v>0</v>
      </c>
      <c r="Y334" s="8">
        <v>2899234</v>
      </c>
      <c r="AA334" s="14">
        <f t="shared" si="39"/>
        <v>3279489</v>
      </c>
      <c r="AB334" s="8"/>
      <c r="AC334" s="8">
        <f t="shared" si="36"/>
        <v>0</v>
      </c>
    </row>
    <row r="335" spans="1:29">
      <c r="A335" s="12" t="s">
        <v>662</v>
      </c>
      <c r="B335" s="12"/>
      <c r="C335" s="12" t="s">
        <v>62</v>
      </c>
      <c r="D335" s="12"/>
      <c r="E335" s="32">
        <v>49890</v>
      </c>
      <c r="G335" s="8">
        <v>0</v>
      </c>
      <c r="I335" s="8">
        <v>18803</v>
      </c>
      <c r="K335" s="3">
        <f t="shared" si="37"/>
        <v>5481233</v>
      </c>
      <c r="M335" s="8">
        <v>5500036</v>
      </c>
      <c r="O335" s="3">
        <f t="shared" si="38"/>
        <v>2352935</v>
      </c>
      <c r="Q335" s="8">
        <v>4902706</v>
      </c>
      <c r="S335" s="8">
        <v>7255641</v>
      </c>
      <c r="U335" s="8">
        <f>3127+10871+539838+102430</f>
        <v>656266</v>
      </c>
      <c r="W335" s="8">
        <v>0</v>
      </c>
      <c r="Y335" s="8">
        <v>-2411871</v>
      </c>
      <c r="AA335" s="14">
        <f t="shared" si="39"/>
        <v>-1755605</v>
      </c>
      <c r="AB335" s="8"/>
      <c r="AC335" s="8">
        <f t="shared" si="36"/>
        <v>0</v>
      </c>
    </row>
    <row r="336" spans="1:29">
      <c r="A336" s="12" t="s">
        <v>634</v>
      </c>
      <c r="B336" s="12"/>
      <c r="C336" s="12" t="s">
        <v>59</v>
      </c>
      <c r="D336" s="12"/>
      <c r="E336" s="32">
        <v>49627</v>
      </c>
      <c r="G336" s="8">
        <v>61057</v>
      </c>
      <c r="I336" s="8">
        <v>305931</v>
      </c>
      <c r="K336" s="3">
        <f t="shared" si="37"/>
        <v>1852642</v>
      </c>
      <c r="M336" s="8">
        <v>2219630</v>
      </c>
      <c r="O336" s="3">
        <f t="shared" si="38"/>
        <v>1085935</v>
      </c>
      <c r="Q336" s="8">
        <v>1756460</v>
      </c>
      <c r="S336" s="8">
        <v>2842395</v>
      </c>
      <c r="U336" s="8">
        <f>55747+89625+305931</f>
        <v>451303</v>
      </c>
      <c r="W336" s="8">
        <v>0</v>
      </c>
      <c r="Y336" s="8">
        <v>-1074068</v>
      </c>
      <c r="AA336" s="14">
        <f t="shared" si="39"/>
        <v>-622765</v>
      </c>
      <c r="AB336" s="8"/>
      <c r="AC336" s="8">
        <f t="shared" si="36"/>
        <v>0</v>
      </c>
    </row>
    <row r="337" spans="1:29">
      <c r="A337" s="12" t="s">
        <v>229</v>
      </c>
      <c r="B337" s="12"/>
      <c r="C337" s="12" t="s">
        <v>14</v>
      </c>
      <c r="D337" s="12"/>
      <c r="E337" s="32">
        <v>45948</v>
      </c>
      <c r="G337" s="8">
        <v>777922</v>
      </c>
      <c r="I337" s="8">
        <v>5092</v>
      </c>
      <c r="K337" s="3">
        <f t="shared" si="37"/>
        <v>4569495</v>
      </c>
      <c r="M337" s="8">
        <v>5352509</v>
      </c>
      <c r="O337" s="3">
        <f t="shared" si="38"/>
        <v>1094182</v>
      </c>
      <c r="Q337" s="8">
        <v>3998547</v>
      </c>
      <c r="S337" s="8">
        <v>5092729</v>
      </c>
      <c r="U337" s="8">
        <f>201908+2371+2721+8128</f>
        <v>215128</v>
      </c>
      <c r="W337" s="8">
        <v>0</v>
      </c>
      <c r="Y337" s="8">
        <v>44652</v>
      </c>
      <c r="AA337" s="14">
        <f t="shared" si="39"/>
        <v>259780</v>
      </c>
      <c r="AB337" s="8"/>
      <c r="AC337" s="8">
        <f t="shared" si="36"/>
        <v>0</v>
      </c>
    </row>
    <row r="338" spans="1:29" hidden="1">
      <c r="A338" s="12" t="s">
        <v>332</v>
      </c>
      <c r="B338" s="12"/>
      <c r="C338" s="12" t="s">
        <v>21</v>
      </c>
      <c r="D338" s="12"/>
      <c r="E338" s="32">
        <v>46672</v>
      </c>
      <c r="K338" s="3">
        <f t="shared" si="37"/>
        <v>0</v>
      </c>
      <c r="O338" s="3">
        <f t="shared" si="38"/>
        <v>0</v>
      </c>
      <c r="AA338" s="14">
        <f t="shared" si="39"/>
        <v>0</v>
      </c>
      <c r="AB338" s="8"/>
      <c r="AC338" s="8">
        <f t="shared" si="36"/>
        <v>0</v>
      </c>
    </row>
    <row r="339" spans="1:29">
      <c r="A339" s="12"/>
      <c r="B339" s="12"/>
      <c r="C339" s="12"/>
      <c r="D339" s="12"/>
      <c r="E339" s="32"/>
      <c r="K339" s="3"/>
      <c r="O339" s="3"/>
      <c r="AA339" s="14"/>
      <c r="AB339" s="8"/>
    </row>
    <row r="340" spans="1:29">
      <c r="A340" s="12"/>
      <c r="B340" s="12"/>
      <c r="C340" s="12"/>
      <c r="D340" s="12"/>
      <c r="E340" s="32"/>
      <c r="K340" s="3"/>
      <c r="O340" s="3"/>
      <c r="AA340" s="14" t="s">
        <v>819</v>
      </c>
      <c r="AB340" s="8"/>
    </row>
    <row r="341" spans="1:29" s="35" customFormat="1">
      <c r="A341" s="34" t="s">
        <v>672</v>
      </c>
      <c r="B341" s="34"/>
      <c r="C341" s="34" t="s">
        <v>63</v>
      </c>
      <c r="D341" s="34"/>
      <c r="E341" s="34">
        <v>50039</v>
      </c>
      <c r="G341" s="35">
        <v>6207471</v>
      </c>
      <c r="I341" s="35">
        <v>31768</v>
      </c>
      <c r="K341" s="42">
        <f t="shared" si="37"/>
        <v>3069997</v>
      </c>
      <c r="M341" s="35">
        <v>9309236</v>
      </c>
      <c r="O341" s="42">
        <f t="shared" si="38"/>
        <v>1068510</v>
      </c>
      <c r="Q341" s="35">
        <v>2869951</v>
      </c>
      <c r="S341" s="35">
        <v>3938461</v>
      </c>
      <c r="U341" s="35">
        <f>147765+200046+31768</f>
        <v>379579</v>
      </c>
      <c r="W341" s="35">
        <v>0</v>
      </c>
      <c r="Y341" s="35">
        <v>4991196</v>
      </c>
      <c r="AA341" s="71">
        <f t="shared" si="39"/>
        <v>5370775</v>
      </c>
      <c r="AC341" s="35">
        <f t="shared" si="36"/>
        <v>0</v>
      </c>
    </row>
    <row r="342" spans="1:29" hidden="1">
      <c r="A342" s="12" t="s">
        <v>748</v>
      </c>
      <c r="B342" s="12"/>
      <c r="C342" s="12" t="s">
        <v>747</v>
      </c>
      <c r="D342" s="12"/>
      <c r="E342" s="32">
        <v>50740</v>
      </c>
      <c r="K342" s="3">
        <f t="shared" si="37"/>
        <v>0</v>
      </c>
      <c r="O342" s="3">
        <f t="shared" si="38"/>
        <v>0</v>
      </c>
      <c r="AA342" s="14">
        <f t="shared" si="39"/>
        <v>0</v>
      </c>
      <c r="AB342" s="8"/>
      <c r="AC342" s="8">
        <f t="shared" si="36"/>
        <v>0</v>
      </c>
    </row>
    <row r="343" spans="1:29">
      <c r="A343" s="12" t="s">
        <v>252</v>
      </c>
      <c r="B343" s="12"/>
      <c r="C343" s="12" t="s">
        <v>246</v>
      </c>
      <c r="D343" s="12"/>
      <c r="E343" s="32">
        <v>139303</v>
      </c>
      <c r="G343" s="8">
        <v>37102</v>
      </c>
      <c r="I343" s="8">
        <v>0</v>
      </c>
      <c r="K343" s="3">
        <f t="shared" si="37"/>
        <v>5969376</v>
      </c>
      <c r="M343" s="8">
        <v>6006478</v>
      </c>
      <c r="O343" s="3">
        <f t="shared" si="38"/>
        <v>1522638</v>
      </c>
      <c r="Q343" s="8">
        <v>5488622</v>
      </c>
      <c r="S343" s="8">
        <v>7011260</v>
      </c>
      <c r="U343" s="8">
        <f>105960+187542+164552</f>
        <v>458054</v>
      </c>
      <c r="W343" s="8">
        <v>0</v>
      </c>
      <c r="Y343" s="8">
        <v>-1462836</v>
      </c>
      <c r="AA343" s="14">
        <f t="shared" si="39"/>
        <v>-1004782</v>
      </c>
      <c r="AB343" s="8"/>
      <c r="AC343" s="8">
        <f t="shared" si="36"/>
        <v>0</v>
      </c>
    </row>
    <row r="344" spans="1:29">
      <c r="A344" s="12" t="s">
        <v>449</v>
      </c>
      <c r="B344" s="12"/>
      <c r="C344" s="12" t="s">
        <v>37</v>
      </c>
      <c r="D344" s="12"/>
      <c r="E344" s="32">
        <v>47712</v>
      </c>
      <c r="G344" s="8">
        <v>1807157</v>
      </c>
      <c r="I344" s="8">
        <v>25648</v>
      </c>
      <c r="K344" s="3">
        <f t="shared" si="37"/>
        <v>2411034</v>
      </c>
      <c r="M344" s="8">
        <v>4243839</v>
      </c>
      <c r="O344" s="3">
        <f t="shared" si="38"/>
        <v>2598880</v>
      </c>
      <c r="Q344" s="8">
        <v>216139</v>
      </c>
      <c r="S344" s="8">
        <v>2815019</v>
      </c>
      <c r="U344" s="8">
        <f>18688+3510+280834+7313+18335</f>
        <v>328680</v>
      </c>
      <c r="W344" s="8">
        <v>0</v>
      </c>
      <c r="Y344" s="8">
        <v>1100140</v>
      </c>
      <c r="AA344" s="14">
        <f t="shared" si="39"/>
        <v>1428820</v>
      </c>
      <c r="AB344" s="8"/>
      <c r="AC344" s="8">
        <f t="shared" ref="AC344:AC399" si="40">+G344+I344+K344-O344-Q344-Y344-W344-U344</f>
        <v>0</v>
      </c>
    </row>
    <row r="345" spans="1:29">
      <c r="A345" s="12" t="s">
        <v>737</v>
      </c>
      <c r="B345" s="12"/>
      <c r="C345" s="12" t="s">
        <v>733</v>
      </c>
      <c r="D345" s="12"/>
      <c r="E345" s="32">
        <v>45526</v>
      </c>
      <c r="G345" s="8">
        <f>687279+1594214</f>
        <v>2281493</v>
      </c>
      <c r="I345" s="8">
        <v>0</v>
      </c>
      <c r="K345" s="3">
        <f t="shared" si="37"/>
        <v>2289993</v>
      </c>
      <c r="M345" s="8">
        <v>4571486</v>
      </c>
      <c r="O345" s="3">
        <f t="shared" si="38"/>
        <v>1062300</v>
      </c>
      <c r="Q345" s="8">
        <v>1955739</v>
      </c>
      <c r="S345" s="8">
        <v>3018039</v>
      </c>
      <c r="U345" s="8">
        <f>51597+1601+73004</f>
        <v>126202</v>
      </c>
      <c r="Y345" s="8">
        <v>1427245</v>
      </c>
      <c r="AA345" s="14">
        <f t="shared" si="39"/>
        <v>1553447</v>
      </c>
      <c r="AB345" s="8"/>
      <c r="AC345" s="8">
        <f t="shared" si="40"/>
        <v>0</v>
      </c>
    </row>
    <row r="346" spans="1:29">
      <c r="A346" s="12" t="s">
        <v>566</v>
      </c>
      <c r="B346" s="12"/>
      <c r="C346" s="12" t="s">
        <v>567</v>
      </c>
      <c r="D346" s="12"/>
      <c r="E346" s="32">
        <v>48777</v>
      </c>
      <c r="G346" s="8">
        <v>3293121</v>
      </c>
      <c r="I346" s="8">
        <v>580071</v>
      </c>
      <c r="K346" s="3">
        <f t="shared" si="37"/>
        <v>4367553</v>
      </c>
      <c r="M346" s="8">
        <v>8240745</v>
      </c>
      <c r="O346" s="3">
        <f t="shared" si="38"/>
        <v>2140620</v>
      </c>
      <c r="Q346" s="8">
        <v>3859690</v>
      </c>
      <c r="S346" s="8">
        <v>6000310</v>
      </c>
      <c r="U346" s="8">
        <f>403020+236613+76683+325479+285706</f>
        <v>1327501</v>
      </c>
      <c r="W346" s="8">
        <v>0</v>
      </c>
      <c r="Y346" s="8">
        <v>912934</v>
      </c>
      <c r="AA346" s="14">
        <f t="shared" si="39"/>
        <v>2240435</v>
      </c>
      <c r="AB346" s="8"/>
      <c r="AC346" s="8">
        <f t="shared" si="40"/>
        <v>0</v>
      </c>
    </row>
    <row r="347" spans="1:29">
      <c r="A347" s="13" t="s">
        <v>894</v>
      </c>
      <c r="B347" s="12"/>
      <c r="C347" s="12" t="s">
        <v>78</v>
      </c>
      <c r="D347" s="12"/>
      <c r="E347" s="32">
        <v>45534</v>
      </c>
      <c r="G347" s="8">
        <v>2700877</v>
      </c>
      <c r="I347" s="8">
        <v>47692</v>
      </c>
      <c r="K347" s="3">
        <f t="shared" si="37"/>
        <v>5095402</v>
      </c>
      <c r="M347" s="8">
        <v>7843971</v>
      </c>
      <c r="O347" s="3">
        <f t="shared" si="38"/>
        <v>4672814</v>
      </c>
      <c r="Q347" s="8">
        <v>554919</v>
      </c>
      <c r="S347" s="8">
        <v>5227733</v>
      </c>
      <c r="U347" s="8">
        <f>114083+10929+715149+47692</f>
        <v>887853</v>
      </c>
      <c r="W347" s="8">
        <v>0</v>
      </c>
      <c r="Y347" s="8">
        <v>1728385</v>
      </c>
      <c r="AA347" s="14">
        <f t="shared" si="39"/>
        <v>2616238</v>
      </c>
      <c r="AB347" s="8"/>
      <c r="AC347" s="8">
        <f t="shared" si="40"/>
        <v>0</v>
      </c>
    </row>
    <row r="348" spans="1:29">
      <c r="A348" s="12" t="s">
        <v>462</v>
      </c>
      <c r="B348" s="12"/>
      <c r="C348" s="12" t="s">
        <v>40</v>
      </c>
      <c r="D348" s="12"/>
      <c r="E348" s="32">
        <v>44420</v>
      </c>
      <c r="G348" s="8">
        <v>8777778</v>
      </c>
      <c r="I348" s="8">
        <v>83455</v>
      </c>
      <c r="K348" s="3">
        <f>+M348-I348-G348</f>
        <v>14579643</v>
      </c>
      <c r="M348" s="8">
        <v>23440876</v>
      </c>
      <c r="O348" s="3">
        <f t="shared" si="38"/>
        <v>2855114</v>
      </c>
      <c r="Q348" s="8">
        <v>11267952</v>
      </c>
      <c r="S348" s="8">
        <v>14123066</v>
      </c>
      <c r="U348" s="8">
        <f>583730+3288391+83455</f>
        <v>3955576</v>
      </c>
      <c r="W348" s="8">
        <v>0</v>
      </c>
      <c r="Y348" s="8">
        <v>5362234</v>
      </c>
      <c r="AA348" s="14">
        <f t="shared" si="39"/>
        <v>9317810</v>
      </c>
      <c r="AB348" s="8"/>
      <c r="AC348" s="8">
        <f t="shared" si="40"/>
        <v>0</v>
      </c>
    </row>
    <row r="349" spans="1:29">
      <c r="A349" s="12" t="s">
        <v>898</v>
      </c>
      <c r="B349" s="12"/>
      <c r="C349" s="12" t="s">
        <v>32</v>
      </c>
      <c r="D349" s="12"/>
      <c r="E349" s="32">
        <v>44412</v>
      </c>
      <c r="G349" s="8">
        <v>1813863</v>
      </c>
      <c r="I349" s="8">
        <v>876968</v>
      </c>
      <c r="K349" s="3">
        <f t="shared" si="37"/>
        <v>13606712</v>
      </c>
      <c r="M349" s="8">
        <v>16297543</v>
      </c>
      <c r="O349" s="3">
        <f t="shared" si="38"/>
        <v>4378260</v>
      </c>
      <c r="Q349" s="8">
        <v>8758418</v>
      </c>
      <c r="S349" s="8">
        <v>13136678</v>
      </c>
      <c r="U349" s="8">
        <f>732629+4392000+876968</f>
        <v>6001597</v>
      </c>
      <c r="W349" s="8">
        <v>-2840732</v>
      </c>
      <c r="Y349" s="8">
        <v>0</v>
      </c>
      <c r="AA349" s="14">
        <f t="shared" si="39"/>
        <v>3160865</v>
      </c>
      <c r="AB349" s="8"/>
      <c r="AC349" s="8">
        <f t="shared" si="40"/>
        <v>0</v>
      </c>
    </row>
    <row r="350" spans="1:29">
      <c r="A350" s="12" t="s">
        <v>437</v>
      </c>
      <c r="B350" s="12"/>
      <c r="C350" s="12" t="s">
        <v>34</v>
      </c>
      <c r="D350" s="12"/>
      <c r="E350" s="32">
        <v>44438</v>
      </c>
      <c r="G350" s="8">
        <v>7884444</v>
      </c>
      <c r="I350" s="8">
        <v>0</v>
      </c>
      <c r="K350" s="3">
        <f t="shared" si="37"/>
        <v>10763984</v>
      </c>
      <c r="M350" s="8">
        <v>18648428</v>
      </c>
      <c r="O350" s="3">
        <f t="shared" si="38"/>
        <v>2337239</v>
      </c>
      <c r="Q350" s="8">
        <v>9266890</v>
      </c>
      <c r="S350" s="8">
        <v>11604129</v>
      </c>
      <c r="U350" s="8">
        <f>521558+139418+674139+582876+51337</f>
        <v>1969328</v>
      </c>
      <c r="W350" s="8">
        <v>200815</v>
      </c>
      <c r="Y350" s="8">
        <v>4874156</v>
      </c>
      <c r="AA350" s="14">
        <f t="shared" si="39"/>
        <v>7044299</v>
      </c>
      <c r="AB350" s="8"/>
      <c r="AC350" s="8">
        <f t="shared" si="40"/>
        <v>0</v>
      </c>
    </row>
    <row r="351" spans="1:29">
      <c r="A351" s="12" t="s">
        <v>227</v>
      </c>
      <c r="B351" s="12"/>
      <c r="C351" s="12" t="s">
        <v>13</v>
      </c>
      <c r="D351" s="12"/>
      <c r="E351" s="32">
        <v>44446</v>
      </c>
      <c r="G351" s="8">
        <v>2881832</v>
      </c>
      <c r="I351" s="8">
        <v>0</v>
      </c>
      <c r="K351" s="3">
        <f t="shared" si="37"/>
        <v>2107064</v>
      </c>
      <c r="M351" s="8">
        <v>4988896</v>
      </c>
      <c r="O351" s="3">
        <f t="shared" si="38"/>
        <v>1093444</v>
      </c>
      <c r="Q351" s="8">
        <v>1939623</v>
      </c>
      <c r="S351" s="8">
        <v>3033067</v>
      </c>
      <c r="U351" s="8">
        <f>43806+81257+28847+12708+40730</f>
        <v>207348</v>
      </c>
      <c r="W351" s="8">
        <v>0</v>
      </c>
      <c r="Y351" s="8">
        <v>1748481</v>
      </c>
      <c r="AA351" s="14">
        <f t="shared" si="39"/>
        <v>1955829</v>
      </c>
      <c r="AB351" s="8"/>
      <c r="AC351" s="8">
        <f t="shared" si="40"/>
        <v>0</v>
      </c>
    </row>
    <row r="352" spans="1:29">
      <c r="A352" s="12" t="s">
        <v>844</v>
      </c>
      <c r="B352" s="12"/>
      <c r="C352" s="12" t="s">
        <v>27</v>
      </c>
      <c r="D352" s="12"/>
      <c r="E352" s="32">
        <v>44461</v>
      </c>
      <c r="G352" s="8">
        <v>12444384</v>
      </c>
      <c r="I352" s="8">
        <v>0</v>
      </c>
      <c r="K352" s="3">
        <f t="shared" si="37"/>
        <v>33926773</v>
      </c>
      <c r="M352" s="8">
        <v>46371157</v>
      </c>
      <c r="O352" s="3">
        <f t="shared" si="38"/>
        <v>6149714</v>
      </c>
      <c r="Q352" s="8">
        <v>22083000</v>
      </c>
      <c r="S352" s="8">
        <v>28232714</v>
      </c>
      <c r="U352" s="8">
        <f>11461000+199808</f>
        <v>11660808</v>
      </c>
      <c r="W352" s="8">
        <v>0</v>
      </c>
      <c r="Y352" s="8">
        <v>6477635</v>
      </c>
      <c r="AA352" s="14">
        <f t="shared" si="39"/>
        <v>18138443</v>
      </c>
      <c r="AB352" s="8"/>
      <c r="AC352" s="8">
        <f t="shared" si="40"/>
        <v>0</v>
      </c>
    </row>
    <row r="353" spans="1:29">
      <c r="A353" s="12" t="s">
        <v>635</v>
      </c>
      <c r="B353" s="12"/>
      <c r="C353" s="12" t="s">
        <v>59</v>
      </c>
      <c r="D353" s="12"/>
      <c r="E353" s="32">
        <v>44461</v>
      </c>
      <c r="G353" s="8">
        <v>574603</v>
      </c>
      <c r="I353" s="8">
        <v>0</v>
      </c>
      <c r="K353" s="3">
        <f t="shared" si="37"/>
        <v>2018985</v>
      </c>
      <c r="M353" s="8">
        <v>2593588</v>
      </c>
      <c r="O353" s="3">
        <f t="shared" si="38"/>
        <v>334649</v>
      </c>
      <c r="Q353" s="8">
        <v>1779758</v>
      </c>
      <c r="S353" s="8">
        <v>2114407</v>
      </c>
      <c r="U353" s="8">
        <f>102704+88379+14906+96115</f>
        <v>302104</v>
      </c>
      <c r="W353" s="8">
        <v>0</v>
      </c>
      <c r="Y353" s="8">
        <v>177077</v>
      </c>
      <c r="AA353" s="14">
        <f t="shared" si="39"/>
        <v>479181</v>
      </c>
      <c r="AB353" s="8"/>
      <c r="AC353" s="8">
        <f t="shared" si="40"/>
        <v>0</v>
      </c>
    </row>
    <row r="354" spans="1:29">
      <c r="A354" s="12" t="s">
        <v>230</v>
      </c>
      <c r="B354" s="12"/>
      <c r="C354" s="12" t="s">
        <v>14</v>
      </c>
      <c r="D354" s="12"/>
      <c r="E354" s="32">
        <v>45955</v>
      </c>
      <c r="G354" s="8">
        <v>4151053</v>
      </c>
      <c r="I354" s="8">
        <v>0</v>
      </c>
      <c r="K354" s="3">
        <f t="shared" si="37"/>
        <v>3227983</v>
      </c>
      <c r="M354" s="8">
        <v>7379036</v>
      </c>
      <c r="O354" s="3">
        <f t="shared" si="38"/>
        <v>1022565</v>
      </c>
      <c r="Q354" s="8">
        <v>2224772</v>
      </c>
      <c r="S354" s="8">
        <f>3247337</f>
        <v>3247337</v>
      </c>
      <c r="U354" s="8">
        <f>148832+49435+1637+5327</f>
        <v>205231</v>
      </c>
      <c r="W354" s="8">
        <v>0</v>
      </c>
      <c r="Y354" s="8">
        <v>3926468</v>
      </c>
      <c r="AA354" s="14">
        <f t="shared" si="39"/>
        <v>4131699</v>
      </c>
      <c r="AB354" s="8"/>
      <c r="AC354" s="8">
        <f t="shared" si="40"/>
        <v>0</v>
      </c>
    </row>
    <row r="355" spans="1:29" hidden="1">
      <c r="A355" s="12" t="s">
        <v>231</v>
      </c>
      <c r="B355" s="12"/>
      <c r="C355" s="12" t="s">
        <v>14</v>
      </c>
      <c r="D355" s="12"/>
      <c r="E355" s="32">
        <v>45963</v>
      </c>
      <c r="K355" s="3">
        <f t="shared" si="37"/>
        <v>0</v>
      </c>
      <c r="O355" s="3">
        <f t="shared" si="38"/>
        <v>0</v>
      </c>
      <c r="AA355" s="14">
        <f t="shared" si="39"/>
        <v>0</v>
      </c>
      <c r="AB355" s="8"/>
      <c r="AC355" s="8">
        <f t="shared" si="40"/>
        <v>0</v>
      </c>
    </row>
    <row r="356" spans="1:29">
      <c r="A356" s="12" t="s">
        <v>560</v>
      </c>
      <c r="B356" s="12"/>
      <c r="C356" s="12" t="s">
        <v>50</v>
      </c>
      <c r="D356" s="12"/>
      <c r="E356" s="32">
        <v>48710</v>
      </c>
      <c r="G356" s="8">
        <v>2490753</v>
      </c>
      <c r="I356" s="8">
        <v>20616</v>
      </c>
      <c r="K356" s="3">
        <f t="shared" si="37"/>
        <v>2902864</v>
      </c>
      <c r="M356" s="8">
        <v>5414233</v>
      </c>
      <c r="O356" s="3">
        <f t="shared" si="38"/>
        <v>3102296</v>
      </c>
      <c r="Q356" s="8">
        <v>91813</v>
      </c>
      <c r="S356" s="8">
        <v>3194109</v>
      </c>
      <c r="U356" s="8">
        <f>157738+170529+20616</f>
        <v>348883</v>
      </c>
      <c r="W356" s="8">
        <v>0</v>
      </c>
      <c r="Y356" s="8">
        <v>1871241</v>
      </c>
      <c r="AA356" s="14">
        <f t="shared" si="39"/>
        <v>2220124</v>
      </c>
      <c r="AB356" s="8"/>
      <c r="AC356" s="8">
        <f t="shared" si="40"/>
        <v>0</v>
      </c>
    </row>
    <row r="357" spans="1:29" hidden="1">
      <c r="A357" s="12" t="s">
        <v>587</v>
      </c>
      <c r="B357" s="12"/>
      <c r="C357" s="12" t="s">
        <v>586</v>
      </c>
      <c r="D357" s="12"/>
      <c r="E357" s="32">
        <v>44479</v>
      </c>
      <c r="K357" s="3">
        <f t="shared" si="37"/>
        <v>0</v>
      </c>
      <c r="O357" s="3">
        <f t="shared" si="38"/>
        <v>0</v>
      </c>
      <c r="AA357" s="14">
        <f t="shared" si="39"/>
        <v>0</v>
      </c>
      <c r="AB357" s="8"/>
      <c r="AC357" s="8">
        <f t="shared" si="40"/>
        <v>0</v>
      </c>
    </row>
    <row r="358" spans="1:29">
      <c r="A358" s="12" t="s">
        <v>450</v>
      </c>
      <c r="B358" s="12"/>
      <c r="C358" s="12" t="s">
        <v>37</v>
      </c>
      <c r="D358" s="12"/>
      <c r="E358" s="32">
        <v>47720</v>
      </c>
      <c r="G358" s="8">
        <v>1973534</v>
      </c>
      <c r="I358" s="8">
        <v>0</v>
      </c>
      <c r="K358" s="3">
        <f t="shared" si="37"/>
        <v>2476479</v>
      </c>
      <c r="M358" s="8">
        <v>4450013</v>
      </c>
      <c r="O358" s="3">
        <f t="shared" si="38"/>
        <v>1199772</v>
      </c>
      <c r="Q358" s="8">
        <f>201611+1615572</f>
        <v>1817183</v>
      </c>
      <c r="S358" s="8">
        <v>3016955</v>
      </c>
      <c r="U358" s="8">
        <f>150117+254732+14975</f>
        <v>419824</v>
      </c>
      <c r="W358" s="8">
        <v>0</v>
      </c>
      <c r="Y358" s="8">
        <v>1013234</v>
      </c>
      <c r="AA358" s="14">
        <f t="shared" si="39"/>
        <v>1433058</v>
      </c>
      <c r="AB358" s="8"/>
      <c r="AC358" s="8">
        <f t="shared" si="40"/>
        <v>0</v>
      </c>
    </row>
    <row r="359" spans="1:29">
      <c r="A359" s="12" t="s">
        <v>253</v>
      </c>
      <c r="B359" s="12"/>
      <c r="C359" s="12" t="s">
        <v>246</v>
      </c>
      <c r="D359" s="12"/>
      <c r="E359" s="32">
        <v>46136</v>
      </c>
      <c r="G359" s="8">
        <v>2128402</v>
      </c>
      <c r="I359" s="8">
        <v>0</v>
      </c>
      <c r="K359" s="3">
        <f t="shared" si="37"/>
        <v>1585953</v>
      </c>
      <c r="M359" s="8">
        <v>3714355</v>
      </c>
      <c r="O359" s="3">
        <f t="shared" si="38"/>
        <v>618027</v>
      </c>
      <c r="Q359" s="8">
        <v>1242831</v>
      </c>
      <c r="S359" s="8">
        <v>1860858</v>
      </c>
      <c r="U359" s="8">
        <f>3146+47710</f>
        <v>50856</v>
      </c>
      <c r="W359" s="8">
        <v>0</v>
      </c>
      <c r="Y359" s="8">
        <v>1802641</v>
      </c>
      <c r="AA359" s="14">
        <f t="shared" si="39"/>
        <v>1853497</v>
      </c>
      <c r="AB359" s="8"/>
      <c r="AC359" s="8">
        <f t="shared" si="40"/>
        <v>0</v>
      </c>
    </row>
    <row r="360" spans="1:29">
      <c r="A360" s="12" t="s">
        <v>703</v>
      </c>
      <c r="B360" s="12"/>
      <c r="C360" s="12" t="s">
        <v>65</v>
      </c>
      <c r="D360" s="12"/>
      <c r="E360" s="32">
        <v>44487</v>
      </c>
      <c r="G360" s="8">
        <v>5522675</v>
      </c>
      <c r="I360" s="8">
        <v>0</v>
      </c>
      <c r="K360" s="3">
        <f t="shared" si="37"/>
        <v>12606063</v>
      </c>
      <c r="M360" s="8">
        <v>18128738</v>
      </c>
      <c r="O360" s="3">
        <f t="shared" si="38"/>
        <v>2679846</v>
      </c>
      <c r="Q360" s="8">
        <v>11585989</v>
      </c>
      <c r="S360" s="8">
        <v>14265835</v>
      </c>
      <c r="U360" s="8">
        <f>3589+53036+19279+906315</f>
        <v>982219</v>
      </c>
      <c r="W360" s="8">
        <v>0</v>
      </c>
      <c r="Y360" s="8">
        <v>2880684</v>
      </c>
      <c r="AA360" s="14">
        <f t="shared" si="39"/>
        <v>3862903</v>
      </c>
      <c r="AB360" s="8"/>
      <c r="AC360" s="8">
        <f t="shared" si="40"/>
        <v>0</v>
      </c>
    </row>
    <row r="361" spans="1:29">
      <c r="A361" s="12" t="s">
        <v>275</v>
      </c>
      <c r="B361" s="12"/>
      <c r="C361" s="12" t="s">
        <v>116</v>
      </c>
      <c r="D361" s="12"/>
      <c r="E361" s="32">
        <v>45559</v>
      </c>
      <c r="G361" s="8">
        <v>19854709</v>
      </c>
      <c r="I361" s="8">
        <v>0</v>
      </c>
      <c r="K361" s="3">
        <f t="shared" si="37"/>
        <v>9395597</v>
      </c>
      <c r="M361" s="8">
        <v>29250306</v>
      </c>
      <c r="O361" s="3">
        <f t="shared" si="38"/>
        <v>2398607</v>
      </c>
      <c r="Q361" s="8">
        <v>11819068</v>
      </c>
      <c r="S361" s="8">
        <v>14217675</v>
      </c>
      <c r="U361" s="8">
        <v>825316</v>
      </c>
      <c r="W361" s="8">
        <v>0</v>
      </c>
      <c r="Y361" s="8">
        <v>14207315</v>
      </c>
      <c r="AA361" s="14">
        <f t="shared" si="39"/>
        <v>15032631</v>
      </c>
      <c r="AB361" s="8"/>
      <c r="AC361" s="8">
        <f t="shared" si="40"/>
        <v>0</v>
      </c>
    </row>
    <row r="362" spans="1:29" hidden="1">
      <c r="A362" s="12" t="s">
        <v>642</v>
      </c>
      <c r="B362" s="12"/>
      <c r="C362" s="12" t="s">
        <v>60</v>
      </c>
      <c r="D362" s="12"/>
      <c r="E362" s="32">
        <v>49718</v>
      </c>
      <c r="K362" s="3">
        <f t="shared" si="37"/>
        <v>0</v>
      </c>
      <c r="O362" s="3">
        <f t="shared" si="38"/>
        <v>0</v>
      </c>
      <c r="AA362" s="14">
        <f t="shared" si="39"/>
        <v>0</v>
      </c>
      <c r="AB362" s="8"/>
      <c r="AC362" s="8">
        <f t="shared" si="40"/>
        <v>0</v>
      </c>
    </row>
    <row r="363" spans="1:29">
      <c r="A363" s="12" t="s">
        <v>484</v>
      </c>
      <c r="B363" s="12"/>
      <c r="C363" s="12" t="s">
        <v>42</v>
      </c>
      <c r="D363" s="12"/>
      <c r="E363" s="32">
        <v>44453</v>
      </c>
      <c r="G363" s="8">
        <v>7580164</v>
      </c>
      <c r="I363" s="8">
        <v>0</v>
      </c>
      <c r="K363" s="3">
        <f t="shared" si="37"/>
        <v>19055789</v>
      </c>
      <c r="M363" s="8">
        <v>26635953</v>
      </c>
      <c r="O363" s="3">
        <f t="shared" si="38"/>
        <v>6100299</v>
      </c>
      <c r="Q363" s="8">
        <f>714084+13883963</f>
        <v>14598047</v>
      </c>
      <c r="S363" s="8">
        <v>20698346</v>
      </c>
      <c r="U363" s="8">
        <f>596296+264425+18364+780500+50349</f>
        <v>1709934</v>
      </c>
      <c r="W363" s="8">
        <v>669981</v>
      </c>
      <c r="Y363" s="8">
        <v>3557692</v>
      </c>
      <c r="AA363" s="14">
        <f t="shared" si="39"/>
        <v>5937607</v>
      </c>
      <c r="AB363" s="8"/>
      <c r="AC363" s="8">
        <f t="shared" si="40"/>
        <v>0</v>
      </c>
    </row>
    <row r="364" spans="1:29">
      <c r="A364" s="12" t="s">
        <v>386</v>
      </c>
      <c r="B364" s="12"/>
      <c r="C364" s="12" t="s">
        <v>30</v>
      </c>
      <c r="D364" s="12"/>
      <c r="E364" s="32">
        <v>47217</v>
      </c>
      <c r="G364" s="8">
        <v>1167665</v>
      </c>
      <c r="I364" s="8">
        <v>0</v>
      </c>
      <c r="K364" s="3">
        <f t="shared" si="37"/>
        <v>5048461</v>
      </c>
      <c r="M364" s="8">
        <v>6216126</v>
      </c>
      <c r="O364" s="3">
        <f t="shared" si="38"/>
        <v>683600</v>
      </c>
      <c r="Q364" s="8">
        <v>4172796</v>
      </c>
      <c r="S364" s="8">
        <v>4856396</v>
      </c>
      <c r="U364" s="8">
        <f>50620+743650+17944+31149</f>
        <v>843363</v>
      </c>
      <c r="W364" s="8">
        <v>0</v>
      </c>
      <c r="Y364" s="8">
        <v>516367</v>
      </c>
      <c r="AA364" s="14">
        <f t="shared" si="39"/>
        <v>1359730</v>
      </c>
      <c r="AB364" s="8"/>
      <c r="AC364" s="8">
        <f t="shared" si="40"/>
        <v>0</v>
      </c>
    </row>
    <row r="365" spans="1:29">
      <c r="A365" s="12" t="s">
        <v>704</v>
      </c>
      <c r="B365" s="12"/>
      <c r="C365" s="12" t="s">
        <v>65</v>
      </c>
      <c r="D365" s="12"/>
      <c r="E365" s="32">
        <v>45542</v>
      </c>
      <c r="G365" s="8">
        <v>1169072</v>
      </c>
      <c r="I365" s="8">
        <v>230049</v>
      </c>
      <c r="K365" s="3">
        <f t="shared" si="37"/>
        <v>3487757</v>
      </c>
      <c r="M365" s="8">
        <v>4886878</v>
      </c>
      <c r="O365" s="3">
        <f t="shared" si="38"/>
        <v>4016604</v>
      </c>
      <c r="Q365" s="8">
        <v>256729</v>
      </c>
      <c r="S365" s="8">
        <v>4273333</v>
      </c>
      <c r="U365" s="8">
        <f>205963+275816+193301+36748</f>
        <v>711828</v>
      </c>
      <c r="W365" s="8">
        <v>0</v>
      </c>
      <c r="Y365" s="8">
        <v>-98283</v>
      </c>
      <c r="AA365" s="14">
        <f t="shared" si="39"/>
        <v>613545</v>
      </c>
      <c r="AB365" s="8"/>
      <c r="AC365" s="8">
        <f t="shared" si="40"/>
        <v>0</v>
      </c>
    </row>
    <row r="366" spans="1:29">
      <c r="A366" s="12" t="s">
        <v>695</v>
      </c>
      <c r="B366" s="12"/>
      <c r="C366" s="12" t="s">
        <v>64</v>
      </c>
      <c r="D366" s="12"/>
      <c r="E366" s="32">
        <v>45567</v>
      </c>
      <c r="G366" s="8">
        <v>416491</v>
      </c>
      <c r="I366" s="8">
        <v>0</v>
      </c>
      <c r="K366" s="3">
        <f t="shared" si="37"/>
        <v>3516292</v>
      </c>
      <c r="M366" s="8">
        <v>3932783</v>
      </c>
      <c r="O366" s="3">
        <f t="shared" si="38"/>
        <v>1162415</v>
      </c>
      <c r="Q366" s="8">
        <v>3460578</v>
      </c>
      <c r="S366" s="8">
        <v>4622993</v>
      </c>
      <c r="U366" s="8">
        <f>123675+18092</f>
        <v>141767</v>
      </c>
      <c r="W366" s="8">
        <v>0</v>
      </c>
      <c r="Y366" s="8">
        <v>-831977</v>
      </c>
      <c r="AA366" s="14">
        <f t="shared" si="39"/>
        <v>-690210</v>
      </c>
      <c r="AB366" s="8"/>
      <c r="AC366" s="8">
        <f t="shared" si="40"/>
        <v>0</v>
      </c>
    </row>
    <row r="367" spans="1:29">
      <c r="A367" s="12" t="s">
        <v>547</v>
      </c>
      <c r="B367" s="12"/>
      <c r="C367" s="12" t="s">
        <v>48</v>
      </c>
      <c r="D367" s="12"/>
      <c r="E367" s="32">
        <v>48637</v>
      </c>
      <c r="G367" s="8">
        <v>1034442</v>
      </c>
      <c r="I367" s="8">
        <v>0</v>
      </c>
      <c r="K367" s="3">
        <f t="shared" si="37"/>
        <v>1527194</v>
      </c>
      <c r="M367" s="8">
        <v>2561636</v>
      </c>
      <c r="O367" s="3">
        <f t="shared" si="38"/>
        <v>533156</v>
      </c>
      <c r="Q367" s="8">
        <f>7120+1033891</f>
        <v>1041011</v>
      </c>
      <c r="S367" s="8">
        <v>1574167</v>
      </c>
      <c r="U367" s="8">
        <f>45399+5591+34927</f>
        <v>85917</v>
      </c>
      <c r="W367" s="8">
        <v>0</v>
      </c>
      <c r="Y367" s="8">
        <f>901552</f>
        <v>901552</v>
      </c>
      <c r="AA367" s="14">
        <f t="shared" si="39"/>
        <v>987469</v>
      </c>
      <c r="AB367" s="8"/>
      <c r="AC367" s="8">
        <f t="shared" si="40"/>
        <v>0</v>
      </c>
    </row>
    <row r="368" spans="1:29">
      <c r="A368" s="12" t="s">
        <v>836</v>
      </c>
      <c r="B368" s="12"/>
      <c r="C368" s="12" t="s">
        <v>64</v>
      </c>
      <c r="D368" s="12"/>
      <c r="E368" s="32"/>
      <c r="G368" s="8">
        <v>258464</v>
      </c>
      <c r="I368" s="8">
        <v>0</v>
      </c>
      <c r="K368" s="3">
        <f t="shared" si="37"/>
        <v>9317893</v>
      </c>
      <c r="M368" s="8">
        <v>9576357</v>
      </c>
      <c r="O368" s="3">
        <f t="shared" si="38"/>
        <v>10660609</v>
      </c>
      <c r="Q368" s="8">
        <v>883172</v>
      </c>
      <c r="S368" s="8">
        <v>11543781</v>
      </c>
      <c r="U368" s="8">
        <f>318739+1310994+219472+95452+27543</f>
        <v>1972200</v>
      </c>
      <c r="W368" s="8">
        <v>0</v>
      </c>
      <c r="Y368" s="8">
        <v>-3939624</v>
      </c>
      <c r="AA368" s="14">
        <f t="shared" si="39"/>
        <v>-1967424</v>
      </c>
      <c r="AB368" s="8"/>
      <c r="AC368" s="8">
        <f t="shared" si="40"/>
        <v>0</v>
      </c>
    </row>
    <row r="369" spans="1:29">
      <c r="A369" s="12" t="s">
        <v>578</v>
      </c>
      <c r="B369" s="12"/>
      <c r="C369" s="12" t="s">
        <v>52</v>
      </c>
      <c r="D369" s="12"/>
      <c r="E369" s="32">
        <v>48900</v>
      </c>
      <c r="G369" s="8">
        <v>1213450</v>
      </c>
      <c r="I369" s="8">
        <v>0</v>
      </c>
      <c r="K369" s="3">
        <f t="shared" si="37"/>
        <v>2870532</v>
      </c>
      <c r="M369" s="8">
        <v>4083982</v>
      </c>
      <c r="O369" s="3">
        <f t="shared" si="38"/>
        <v>1074131</v>
      </c>
      <c r="Q369" s="8">
        <v>2354570</v>
      </c>
      <c r="S369" s="8">
        <v>3428701</v>
      </c>
      <c r="U369" s="8">
        <f>43352+339770+69063+6986</f>
        <v>459171</v>
      </c>
      <c r="W369" s="8">
        <v>0</v>
      </c>
      <c r="Y369" s="8">
        <v>196110</v>
      </c>
      <c r="AA369" s="14">
        <f t="shared" si="39"/>
        <v>655281</v>
      </c>
      <c r="AB369" s="8"/>
      <c r="AC369" s="8">
        <f t="shared" si="40"/>
        <v>0</v>
      </c>
    </row>
    <row r="370" spans="1:29">
      <c r="A370" s="12" t="s">
        <v>673</v>
      </c>
      <c r="B370" s="12"/>
      <c r="C370" s="12" t="s">
        <v>63</v>
      </c>
      <c r="D370" s="12"/>
      <c r="E370" s="32">
        <v>50047</v>
      </c>
      <c r="G370" s="8">
        <v>11183388</v>
      </c>
      <c r="I370" s="8">
        <v>0</v>
      </c>
      <c r="K370" s="3">
        <f t="shared" si="37"/>
        <v>29924884</v>
      </c>
      <c r="M370" s="8">
        <v>41108272</v>
      </c>
      <c r="O370" s="3">
        <f t="shared" si="38"/>
        <v>4412985</v>
      </c>
      <c r="Q370" s="8">
        <v>26261974</v>
      </c>
      <c r="S370" s="8">
        <v>30674959</v>
      </c>
      <c r="U370" s="8">
        <f>895989+269950</f>
        <v>1165939</v>
      </c>
      <c r="W370" s="8">
        <v>52345</v>
      </c>
      <c r="Y370" s="8">
        <v>9215029</v>
      </c>
      <c r="AA370" s="14">
        <f t="shared" si="39"/>
        <v>10433313</v>
      </c>
      <c r="AB370" s="8"/>
      <c r="AC370" s="8">
        <f t="shared" si="40"/>
        <v>0</v>
      </c>
    </row>
    <row r="371" spans="1:29" s="8" customFormat="1">
      <c r="A371" s="13" t="s">
        <v>741</v>
      </c>
      <c r="B371" s="13"/>
      <c r="C371" s="13" t="s">
        <v>72</v>
      </c>
      <c r="D371" s="13"/>
      <c r="E371" s="13">
        <v>50708</v>
      </c>
      <c r="G371" s="8">
        <v>1323269</v>
      </c>
      <c r="I371" s="8">
        <v>0</v>
      </c>
      <c r="K371" s="3">
        <f t="shared" si="37"/>
        <v>2907345</v>
      </c>
      <c r="M371" s="8">
        <v>4230614</v>
      </c>
      <c r="O371" s="3">
        <f t="shared" si="38"/>
        <v>771969</v>
      </c>
      <c r="Q371" s="8">
        <v>2474637</v>
      </c>
      <c r="S371" s="8">
        <v>3246606</v>
      </c>
      <c r="U371" s="8">
        <f>21604+22287+304976</f>
        <v>348867</v>
      </c>
      <c r="W371" s="8">
        <v>0</v>
      </c>
      <c r="Y371" s="8">
        <v>635141</v>
      </c>
      <c r="AA371" s="14">
        <f t="shared" si="39"/>
        <v>984008</v>
      </c>
      <c r="AC371" s="8">
        <f t="shared" si="40"/>
        <v>0</v>
      </c>
    </row>
    <row r="372" spans="1:29" hidden="1">
      <c r="A372" s="12" t="s">
        <v>581</v>
      </c>
      <c r="B372" s="12"/>
      <c r="C372" s="12" t="s">
        <v>53</v>
      </c>
      <c r="D372" s="12"/>
      <c r="E372" s="32">
        <v>48967</v>
      </c>
      <c r="K372" s="3">
        <f t="shared" si="37"/>
        <v>0</v>
      </c>
      <c r="O372" s="3">
        <f t="shared" si="38"/>
        <v>0</v>
      </c>
      <c r="AA372" s="14">
        <f t="shared" si="39"/>
        <v>0</v>
      </c>
      <c r="AB372" s="8"/>
      <c r="AC372" s="8">
        <f t="shared" si="40"/>
        <v>0</v>
      </c>
    </row>
    <row r="373" spans="1:29">
      <c r="A373" s="12" t="s">
        <v>663</v>
      </c>
      <c r="B373" s="12"/>
      <c r="C373" s="12" t="s">
        <v>62</v>
      </c>
      <c r="D373" s="12"/>
      <c r="E373" s="32">
        <v>44503</v>
      </c>
      <c r="G373" s="8">
        <v>3011562</v>
      </c>
      <c r="I373" s="8">
        <v>0</v>
      </c>
      <c r="K373" s="3">
        <f t="shared" si="37"/>
        <v>21478263</v>
      </c>
      <c r="M373" s="8">
        <v>24489825</v>
      </c>
      <c r="O373" s="3">
        <f t="shared" si="38"/>
        <v>6422023</v>
      </c>
      <c r="Q373" s="8">
        <f>612340+19712890</f>
        <v>20325230</v>
      </c>
      <c r="S373" s="8">
        <v>26747253</v>
      </c>
      <c r="U373" s="8">
        <f>121119+63546+1015610+56503</f>
        <v>1256778</v>
      </c>
      <c r="W373" s="8">
        <v>0</v>
      </c>
      <c r="Y373" s="8">
        <v>-3514206</v>
      </c>
      <c r="AA373" s="14">
        <f t="shared" si="39"/>
        <v>-2257428</v>
      </c>
      <c r="AB373" s="8"/>
      <c r="AC373" s="8">
        <f t="shared" si="40"/>
        <v>0</v>
      </c>
    </row>
    <row r="374" spans="1:29" hidden="1">
      <c r="A374" s="12" t="s">
        <v>728</v>
      </c>
      <c r="B374" s="12"/>
      <c r="C374" s="12" t="s">
        <v>733</v>
      </c>
      <c r="D374" s="12"/>
      <c r="E374" s="32">
        <v>50641</v>
      </c>
      <c r="K374" s="3">
        <f t="shared" si="37"/>
        <v>0</v>
      </c>
      <c r="O374" s="3">
        <f t="shared" si="38"/>
        <v>0</v>
      </c>
      <c r="AA374" s="14">
        <f t="shared" si="39"/>
        <v>0</v>
      </c>
      <c r="AB374" s="8"/>
      <c r="AC374" s="8">
        <f t="shared" si="40"/>
        <v>0</v>
      </c>
    </row>
    <row r="375" spans="1:29" hidden="1">
      <c r="A375" s="12" t="s">
        <v>406</v>
      </c>
      <c r="B375" s="12"/>
      <c r="C375" s="12" t="s">
        <v>32</v>
      </c>
      <c r="D375" s="12"/>
      <c r="E375" s="32">
        <v>44511</v>
      </c>
      <c r="K375" s="3">
        <f t="shared" si="37"/>
        <v>0</v>
      </c>
      <c r="O375" s="3">
        <f t="shared" si="38"/>
        <v>0</v>
      </c>
      <c r="AA375" s="14">
        <f t="shared" si="39"/>
        <v>0</v>
      </c>
      <c r="AB375" s="8"/>
      <c r="AC375" s="8">
        <f t="shared" si="40"/>
        <v>0</v>
      </c>
    </row>
    <row r="376" spans="1:29">
      <c r="A376" s="12" t="s">
        <v>485</v>
      </c>
      <c r="B376" s="12"/>
      <c r="C376" s="12" t="s">
        <v>42</v>
      </c>
      <c r="D376" s="12"/>
      <c r="E376" s="32">
        <v>48025</v>
      </c>
      <c r="G376" s="8">
        <v>342389</v>
      </c>
      <c r="I376" s="8">
        <v>0</v>
      </c>
      <c r="K376" s="3">
        <f t="shared" si="37"/>
        <v>4060992</v>
      </c>
      <c r="M376" s="8">
        <v>4403381</v>
      </c>
      <c r="O376" s="3">
        <f t="shared" si="38"/>
        <v>1619883</v>
      </c>
      <c r="Q376" s="8">
        <f>120665+3477442</f>
        <v>3598107</v>
      </c>
      <c r="S376" s="8">
        <v>5217990</v>
      </c>
      <c r="U376" s="8">
        <f>61284+163300+49293+34607+166866</f>
        <v>475350</v>
      </c>
      <c r="W376" s="8">
        <v>0</v>
      </c>
      <c r="Y376" s="8">
        <v>-1289959</v>
      </c>
      <c r="AA376" s="14">
        <f t="shared" si="39"/>
        <v>-814609</v>
      </c>
      <c r="AB376" s="8"/>
      <c r="AC376" s="8">
        <f t="shared" si="40"/>
        <v>0</v>
      </c>
    </row>
    <row r="377" spans="1:29">
      <c r="A377" s="12" t="s">
        <v>317</v>
      </c>
      <c r="B377" s="12"/>
      <c r="C377" s="12" t="s">
        <v>20</v>
      </c>
      <c r="D377" s="12"/>
      <c r="E377" s="32">
        <v>44529</v>
      </c>
      <c r="G377" s="8">
        <v>9767258</v>
      </c>
      <c r="I377" s="8">
        <v>223073</v>
      </c>
      <c r="K377" s="3">
        <f t="shared" si="37"/>
        <v>38591981</v>
      </c>
      <c r="M377" s="8">
        <v>48582312</v>
      </c>
      <c r="O377" s="3">
        <f t="shared" si="38"/>
        <v>6957365</v>
      </c>
      <c r="Q377" s="8">
        <f>30168212+1435399</f>
        <v>31603611</v>
      </c>
      <c r="S377" s="8">
        <v>38560976</v>
      </c>
      <c r="U377" s="8">
        <f>223073+105639+5265330+268685</f>
        <v>5862727</v>
      </c>
      <c r="W377" s="8">
        <v>216000</v>
      </c>
      <c r="Y377" s="8">
        <v>3942609</v>
      </c>
      <c r="AA377" s="14">
        <f t="shared" si="39"/>
        <v>10021336</v>
      </c>
      <c r="AB377" s="8"/>
      <c r="AC377" s="8">
        <f t="shared" si="40"/>
        <v>0</v>
      </c>
    </row>
    <row r="378" spans="1:29">
      <c r="A378" s="12" t="s">
        <v>498</v>
      </c>
      <c r="B378" s="12"/>
      <c r="C378" s="12" t="s">
        <v>44</v>
      </c>
      <c r="D378" s="12"/>
      <c r="E378" s="32">
        <v>44537</v>
      </c>
      <c r="G378" s="8">
        <v>5458165</v>
      </c>
      <c r="I378" s="8">
        <v>0</v>
      </c>
      <c r="K378" s="3">
        <f t="shared" si="37"/>
        <v>16759035</v>
      </c>
      <c r="M378" s="8">
        <v>22217200</v>
      </c>
      <c r="O378" s="3">
        <f t="shared" si="38"/>
        <v>4696912</v>
      </c>
      <c r="Q378" s="8">
        <v>13672078</v>
      </c>
      <c r="S378" s="8">
        <v>18368990</v>
      </c>
      <c r="U378" s="8">
        <f>1587231+180020+141713</f>
        <v>1908964</v>
      </c>
      <c r="W378" s="8">
        <v>0</v>
      </c>
      <c r="Y378" s="8">
        <v>1939246</v>
      </c>
      <c r="AA378" s="14">
        <f t="shared" si="39"/>
        <v>3848210</v>
      </c>
      <c r="AB378" s="8"/>
      <c r="AC378" s="8">
        <f t="shared" si="40"/>
        <v>0</v>
      </c>
    </row>
    <row r="379" spans="1:29">
      <c r="A379" s="12" t="s">
        <v>318</v>
      </c>
      <c r="B379" s="12"/>
      <c r="C379" s="12" t="s">
        <v>20</v>
      </c>
      <c r="D379" s="12"/>
      <c r="E379" s="32">
        <v>44545</v>
      </c>
      <c r="G379" s="8">
        <v>6235255</v>
      </c>
      <c r="I379" s="8">
        <v>0</v>
      </c>
      <c r="K379" s="3">
        <f t="shared" si="37"/>
        <v>31949952</v>
      </c>
      <c r="M379" s="8">
        <v>38185207</v>
      </c>
      <c r="O379" s="3">
        <f t="shared" si="38"/>
        <v>5328260</v>
      </c>
      <c r="Q379" s="8">
        <v>27292979</v>
      </c>
      <c r="S379" s="8">
        <v>32621239</v>
      </c>
      <c r="U379" s="8">
        <f>503389+3998405+728</f>
        <v>4502522</v>
      </c>
      <c r="W379" s="8">
        <v>0</v>
      </c>
      <c r="Y379" s="8">
        <v>1061446</v>
      </c>
      <c r="AA379" s="14">
        <f t="shared" si="39"/>
        <v>5563968</v>
      </c>
      <c r="AB379" s="8"/>
      <c r="AC379" s="8">
        <f t="shared" si="40"/>
        <v>0</v>
      </c>
    </row>
    <row r="380" spans="1:29">
      <c r="A380" s="12" t="s">
        <v>709</v>
      </c>
      <c r="B380" s="12"/>
      <c r="C380" s="12" t="s">
        <v>66</v>
      </c>
      <c r="D380" s="12"/>
      <c r="E380" s="32">
        <v>50336</v>
      </c>
      <c r="G380" s="8">
        <v>10496625</v>
      </c>
      <c r="I380" s="8">
        <v>0</v>
      </c>
      <c r="K380" s="3">
        <f t="shared" si="37"/>
        <v>4288248</v>
      </c>
      <c r="M380" s="8">
        <v>14784873</v>
      </c>
      <c r="O380" s="3">
        <f t="shared" si="38"/>
        <v>1644069</v>
      </c>
      <c r="Q380" s="8">
        <v>3322140</v>
      </c>
      <c r="S380" s="8">
        <v>4966209</v>
      </c>
      <c r="U380" s="8">
        <f>337727+21464+1268947</f>
        <v>1628138</v>
      </c>
      <c r="W380" s="8">
        <v>0</v>
      </c>
      <c r="Y380" s="8">
        <v>8190526</v>
      </c>
      <c r="AA380" s="14">
        <f t="shared" si="39"/>
        <v>9818664</v>
      </c>
      <c r="AB380" s="8"/>
      <c r="AC380" s="8">
        <f t="shared" si="40"/>
        <v>0</v>
      </c>
    </row>
    <row r="381" spans="1:29">
      <c r="A381" s="12" t="s">
        <v>266</v>
      </c>
      <c r="B381" s="12"/>
      <c r="C381" s="12" t="s">
        <v>17</v>
      </c>
      <c r="D381" s="12"/>
      <c r="E381" s="32">
        <v>46250</v>
      </c>
      <c r="G381" s="8">
        <v>6545051</v>
      </c>
      <c r="I381" s="8">
        <v>0</v>
      </c>
      <c r="K381" s="3">
        <f t="shared" si="37"/>
        <v>13690117</v>
      </c>
      <c r="M381" s="8">
        <v>20235168</v>
      </c>
      <c r="O381" s="3">
        <f t="shared" si="38"/>
        <v>3652852</v>
      </c>
      <c r="Q381" s="8">
        <v>11429863</v>
      </c>
      <c r="S381" s="8">
        <v>15082715</v>
      </c>
      <c r="U381" s="8">
        <f>168799+102917+2119235</f>
        <v>2390951</v>
      </c>
      <c r="W381" s="8">
        <v>0</v>
      </c>
      <c r="Y381" s="8">
        <v>2761502</v>
      </c>
      <c r="AA381" s="14">
        <f t="shared" si="39"/>
        <v>5152453</v>
      </c>
      <c r="AB381" s="8"/>
      <c r="AC381" s="8">
        <f t="shared" si="40"/>
        <v>0</v>
      </c>
    </row>
    <row r="382" spans="1:29" hidden="1">
      <c r="A382" s="12" t="s">
        <v>266</v>
      </c>
      <c r="B382" s="12"/>
      <c r="C382" s="12" t="s">
        <v>22</v>
      </c>
      <c r="D382" s="12"/>
      <c r="E382" s="32">
        <v>46722</v>
      </c>
      <c r="K382" s="3">
        <f t="shared" si="37"/>
        <v>0</v>
      </c>
      <c r="O382" s="3">
        <f t="shared" si="38"/>
        <v>0</v>
      </c>
      <c r="AA382" s="14">
        <f t="shared" si="39"/>
        <v>0</v>
      </c>
      <c r="AB382" s="8"/>
      <c r="AC382" s="8">
        <f t="shared" si="40"/>
        <v>0</v>
      </c>
    </row>
    <row r="383" spans="1:29">
      <c r="A383" s="12" t="s">
        <v>561</v>
      </c>
      <c r="B383" s="12"/>
      <c r="C383" s="12" t="s">
        <v>50</v>
      </c>
      <c r="D383" s="12"/>
      <c r="E383" s="32">
        <v>48728</v>
      </c>
      <c r="G383" s="8">
        <v>10245799</v>
      </c>
      <c r="I383" s="8">
        <v>0</v>
      </c>
      <c r="K383" s="3">
        <f t="shared" si="37"/>
        <v>23488961</v>
      </c>
      <c r="M383" s="8">
        <v>33734760</v>
      </c>
      <c r="O383" s="3">
        <f t="shared" si="38"/>
        <v>6698887</v>
      </c>
      <c r="Q383" s="8">
        <v>21923282</v>
      </c>
      <c r="S383" s="8">
        <v>28622169</v>
      </c>
      <c r="U383" s="8">
        <f>771036+1530679</f>
        <v>2301715</v>
      </c>
      <c r="W383" s="8">
        <v>0</v>
      </c>
      <c r="Y383" s="8">
        <v>2810876</v>
      </c>
      <c r="AA383" s="14">
        <f t="shared" si="39"/>
        <v>5112591</v>
      </c>
      <c r="AB383" s="8"/>
      <c r="AC383" s="8">
        <f t="shared" si="40"/>
        <v>0</v>
      </c>
    </row>
    <row r="384" spans="1:29">
      <c r="A384" s="12" t="s">
        <v>570</v>
      </c>
      <c r="B384" s="12"/>
      <c r="C384" s="12" t="s">
        <v>78</v>
      </c>
      <c r="D384" s="12"/>
      <c r="E384" s="32">
        <v>48819</v>
      </c>
      <c r="G384" s="8">
        <v>1152481</v>
      </c>
      <c r="I384" s="8">
        <v>0</v>
      </c>
      <c r="K384" s="3">
        <f t="shared" si="37"/>
        <v>5438995</v>
      </c>
      <c r="M384" s="8">
        <v>6591476</v>
      </c>
      <c r="O384" s="3">
        <f t="shared" si="38"/>
        <v>1185823</v>
      </c>
      <c r="Q384" s="8">
        <f>287465+3596038</f>
        <v>3883503</v>
      </c>
      <c r="S384" s="8">
        <v>5069326</v>
      </c>
      <c r="U384" s="8">
        <f>36516+2117+48057+698168+16019+47763+28530</f>
        <v>877170</v>
      </c>
      <c r="W384" s="8">
        <v>0</v>
      </c>
      <c r="Y384" s="8">
        <v>644980</v>
      </c>
      <c r="AA384" s="14">
        <f t="shared" si="39"/>
        <v>1522150</v>
      </c>
      <c r="AB384" s="8"/>
      <c r="AC384" s="8">
        <f t="shared" si="40"/>
        <v>0</v>
      </c>
    </row>
    <row r="385" spans="1:29">
      <c r="A385" s="12" t="s">
        <v>486</v>
      </c>
      <c r="B385" s="12"/>
      <c r="C385" s="12" t="s">
        <v>50</v>
      </c>
      <c r="D385" s="12"/>
      <c r="E385" s="32">
        <v>48033</v>
      </c>
      <c r="G385" s="8">
        <v>7326788</v>
      </c>
      <c r="I385" s="8">
        <v>0</v>
      </c>
      <c r="K385" s="3">
        <f t="shared" si="37"/>
        <v>8548947</v>
      </c>
      <c r="M385" s="8">
        <v>15875735</v>
      </c>
      <c r="O385" s="3">
        <f t="shared" si="38"/>
        <v>1596954</v>
      </c>
      <c r="Q385" s="8">
        <v>7073953</v>
      </c>
      <c r="S385" s="8">
        <v>8670907</v>
      </c>
      <c r="U385" s="8">
        <f>412930+484880+918220+52637</f>
        <v>1868667</v>
      </c>
      <c r="W385" s="8">
        <v>0</v>
      </c>
      <c r="Y385" s="8">
        <v>5336161</v>
      </c>
      <c r="AA385" s="14">
        <f t="shared" si="39"/>
        <v>7204828</v>
      </c>
      <c r="AB385" s="8"/>
      <c r="AC385" s="8">
        <f t="shared" si="40"/>
        <v>0</v>
      </c>
    </row>
    <row r="386" spans="1:29">
      <c r="A386" s="12" t="s">
        <v>486</v>
      </c>
      <c r="B386" s="12"/>
      <c r="C386" s="12" t="s">
        <v>42</v>
      </c>
      <c r="D386" s="12"/>
      <c r="E386" s="32">
        <v>48736</v>
      </c>
      <c r="G386" s="8">
        <v>216140</v>
      </c>
      <c r="I386" s="8">
        <v>0</v>
      </c>
      <c r="K386" s="3">
        <f t="shared" si="37"/>
        <v>5003469</v>
      </c>
      <c r="M386" s="8">
        <v>5219609</v>
      </c>
      <c r="O386" s="3">
        <f t="shared" si="38"/>
        <v>1076056</v>
      </c>
      <c r="Q386" s="8">
        <v>3934024</v>
      </c>
      <c r="S386" s="8">
        <v>5010080</v>
      </c>
      <c r="U386" s="8">
        <f>30599+263296+6667</f>
        <v>300562</v>
      </c>
      <c r="W386" s="8">
        <v>0</v>
      </c>
      <c r="Y386" s="8">
        <v>-91033</v>
      </c>
      <c r="AA386" s="14">
        <f t="shared" si="39"/>
        <v>209529</v>
      </c>
      <c r="AB386" s="8"/>
      <c r="AC386" s="8">
        <f t="shared" si="40"/>
        <v>0</v>
      </c>
    </row>
    <row r="387" spans="1:29">
      <c r="A387" s="12" t="s">
        <v>407</v>
      </c>
      <c r="B387" s="12"/>
      <c r="C387" s="12" t="s">
        <v>32</v>
      </c>
      <c r="D387" s="12"/>
      <c r="E387" s="32">
        <v>47365</v>
      </c>
      <c r="G387" s="8">
        <v>11562011</v>
      </c>
      <c r="I387" s="8">
        <v>0</v>
      </c>
      <c r="K387" s="3">
        <f t="shared" ref="K387:K399" si="41">+M387-I387-G387</f>
        <v>46581588</v>
      </c>
      <c r="M387" s="8">
        <v>58143599</v>
      </c>
      <c r="O387" s="3">
        <f t="shared" ref="O387:O399" si="42">+S387-Q387</f>
        <v>8770672</v>
      </c>
      <c r="Q387" s="8">
        <v>28798567</v>
      </c>
      <c r="S387" s="8">
        <v>37569239</v>
      </c>
      <c r="U387" s="8">
        <f>217873+15098000</f>
        <v>15315873</v>
      </c>
      <c r="W387" s="8">
        <v>0</v>
      </c>
      <c r="Y387" s="8">
        <v>5258487</v>
      </c>
      <c r="AA387" s="14">
        <f t="shared" ref="AA387:AA399" si="43">+Y387+W387++U387</f>
        <v>20574360</v>
      </c>
      <c r="AB387" s="8"/>
      <c r="AC387" s="8">
        <f t="shared" si="40"/>
        <v>0</v>
      </c>
    </row>
    <row r="388" spans="1:29" ht="12" customHeight="1">
      <c r="A388" s="12" t="s">
        <v>407</v>
      </c>
      <c r="B388" s="12"/>
      <c r="C388" s="12" t="s">
        <v>59</v>
      </c>
      <c r="D388" s="12"/>
      <c r="E388" s="32">
        <v>49635</v>
      </c>
      <c r="G388" s="8">
        <v>3383450</v>
      </c>
      <c r="I388" s="8">
        <v>0</v>
      </c>
      <c r="K388" s="3">
        <f t="shared" si="41"/>
        <v>2267378</v>
      </c>
      <c r="M388" s="8">
        <v>5650828</v>
      </c>
      <c r="O388" s="3">
        <f t="shared" si="42"/>
        <v>1689771</v>
      </c>
      <c r="Q388" s="8">
        <v>2044599</v>
      </c>
      <c r="S388" s="8">
        <v>3734370</v>
      </c>
      <c r="U388" s="8">
        <f>49986+113165+87229</f>
        <v>250380</v>
      </c>
      <c r="W388" s="8">
        <v>0</v>
      </c>
      <c r="Y388" s="8">
        <v>1666078</v>
      </c>
      <c r="AA388" s="14">
        <f t="shared" si="43"/>
        <v>1916458</v>
      </c>
      <c r="AB388" s="8"/>
      <c r="AC388" s="8">
        <f t="shared" si="40"/>
        <v>0</v>
      </c>
    </row>
    <row r="389" spans="1:29">
      <c r="A389" s="12" t="s">
        <v>407</v>
      </c>
      <c r="B389" s="12"/>
      <c r="C389" s="12" t="s">
        <v>62</v>
      </c>
      <c r="D389" s="12"/>
      <c r="E389" s="32">
        <v>49908</v>
      </c>
      <c r="G389" s="8">
        <v>0</v>
      </c>
      <c r="I389" s="8">
        <v>0</v>
      </c>
      <c r="K389" s="3">
        <f t="shared" si="41"/>
        <v>6825284</v>
      </c>
      <c r="M389" s="8">
        <v>6825284</v>
      </c>
      <c r="O389" s="3">
        <f t="shared" si="42"/>
        <v>3803984</v>
      </c>
      <c r="Q389" s="8">
        <f>221784+6116157</f>
        <v>6337941</v>
      </c>
      <c r="S389" s="8">
        <v>10141925</v>
      </c>
      <c r="U389" s="8">
        <f>44237+3953+105250+363985+13599</f>
        <v>531024</v>
      </c>
      <c r="W389" s="8">
        <v>0</v>
      </c>
      <c r="Y389" s="8">
        <v>-3847665</v>
      </c>
      <c r="AA389" s="14">
        <f t="shared" si="43"/>
        <v>-3316641</v>
      </c>
      <c r="AB389" s="8"/>
      <c r="AC389" s="8">
        <f t="shared" si="40"/>
        <v>0</v>
      </c>
    </row>
    <row r="390" spans="1:29">
      <c r="A390" s="12" t="s">
        <v>267</v>
      </c>
      <c r="B390" s="12"/>
      <c r="C390" s="12" t="s">
        <v>17</v>
      </c>
      <c r="D390" s="12"/>
      <c r="E390" s="32">
        <v>46268</v>
      </c>
      <c r="G390" s="8">
        <v>3831997</v>
      </c>
      <c r="I390" s="8">
        <v>0</v>
      </c>
      <c r="K390" s="3">
        <f t="shared" si="41"/>
        <v>5096234</v>
      </c>
      <c r="M390" s="8">
        <v>8928231</v>
      </c>
      <c r="O390" s="3">
        <f t="shared" si="42"/>
        <v>1609522</v>
      </c>
      <c r="Q390" s="8">
        <v>4490051</v>
      </c>
      <c r="S390" s="8">
        <v>6099573</v>
      </c>
      <c r="U390" s="8">
        <f>20152+29079+474429+39318</f>
        <v>562978</v>
      </c>
      <c r="W390" s="8">
        <v>162113</v>
      </c>
      <c r="Y390" s="8">
        <v>2103567</v>
      </c>
      <c r="AA390" s="14">
        <f t="shared" si="43"/>
        <v>2828658</v>
      </c>
      <c r="AB390" s="8"/>
      <c r="AC390" s="8">
        <f t="shared" si="40"/>
        <v>0</v>
      </c>
    </row>
    <row r="391" spans="1:29">
      <c r="A391" s="12" t="s">
        <v>742</v>
      </c>
      <c r="B391" s="12"/>
      <c r="C391" s="12" t="s">
        <v>72</v>
      </c>
      <c r="D391" s="12"/>
      <c r="E391" s="32">
        <v>50716</v>
      </c>
      <c r="G391" s="8">
        <v>1282792</v>
      </c>
      <c r="I391" s="8">
        <v>0</v>
      </c>
      <c r="K391" s="3">
        <f t="shared" si="41"/>
        <v>6590709</v>
      </c>
      <c r="M391" s="8">
        <v>7873501</v>
      </c>
      <c r="O391" s="3">
        <f t="shared" si="42"/>
        <v>1064567</v>
      </c>
      <c r="Q391" s="8">
        <v>5769260</v>
      </c>
      <c r="S391" s="8">
        <v>6833827</v>
      </c>
      <c r="U391" s="8">
        <f>808576+3913+18158</f>
        <v>830647</v>
      </c>
      <c r="W391" s="8">
        <v>0</v>
      </c>
      <c r="Y391" s="8">
        <v>209027</v>
      </c>
      <c r="AA391" s="14">
        <f t="shared" si="43"/>
        <v>1039674</v>
      </c>
      <c r="AB391" s="8"/>
      <c r="AC391" s="8">
        <f t="shared" si="40"/>
        <v>0</v>
      </c>
    </row>
    <row r="392" spans="1:29">
      <c r="A392" s="12" t="s">
        <v>674</v>
      </c>
      <c r="B392" s="12"/>
      <c r="C392" s="12" t="s">
        <v>63</v>
      </c>
      <c r="D392" s="12"/>
      <c r="E392" s="32">
        <v>44552</v>
      </c>
      <c r="G392" s="8">
        <v>5980563</v>
      </c>
      <c r="I392" s="8">
        <v>0</v>
      </c>
      <c r="K392" s="3">
        <f t="shared" si="41"/>
        <v>9824147</v>
      </c>
      <c r="M392" s="8">
        <v>15804710</v>
      </c>
      <c r="O392" s="3">
        <f t="shared" si="42"/>
        <v>2047907</v>
      </c>
      <c r="Q392" s="8">
        <v>8552318</v>
      </c>
      <c r="S392" s="8">
        <v>10600225</v>
      </c>
      <c r="U392" s="8">
        <f>354828+5033+792309+272851+14560</f>
        <v>1439581</v>
      </c>
      <c r="W392" s="8">
        <v>0</v>
      </c>
      <c r="Y392" s="8">
        <v>3764904</v>
      </c>
      <c r="AA392" s="14">
        <f t="shared" si="43"/>
        <v>5204485</v>
      </c>
      <c r="AB392" s="8"/>
      <c r="AC392" s="8">
        <f t="shared" si="40"/>
        <v>0</v>
      </c>
    </row>
    <row r="393" spans="1:29">
      <c r="A393" s="12" t="s">
        <v>451</v>
      </c>
      <c r="B393" s="12"/>
      <c r="C393" s="12" t="s">
        <v>37</v>
      </c>
      <c r="D393" s="12"/>
      <c r="E393" s="32">
        <v>44560</v>
      </c>
      <c r="G393" s="8">
        <v>12638764</v>
      </c>
      <c r="I393" s="8">
        <v>0</v>
      </c>
      <c r="K393" s="3">
        <f t="shared" si="41"/>
        <v>9088867</v>
      </c>
      <c r="M393" s="8">
        <v>21727631</v>
      </c>
      <c r="O393" s="3">
        <f t="shared" si="42"/>
        <v>2611784</v>
      </c>
      <c r="Q393" s="8">
        <v>5988602</v>
      </c>
      <c r="S393" s="8">
        <v>8600386</v>
      </c>
      <c r="U393" s="8">
        <f>501778+811056+848932+32139+642743</f>
        <v>2836648</v>
      </c>
      <c r="W393" s="8">
        <v>0</v>
      </c>
      <c r="Y393" s="8">
        <v>10290597</v>
      </c>
      <c r="AA393" s="14">
        <f t="shared" si="43"/>
        <v>13127245</v>
      </c>
      <c r="AB393" s="8"/>
      <c r="AC393" s="8">
        <f t="shared" si="40"/>
        <v>0</v>
      </c>
    </row>
    <row r="394" spans="1:29">
      <c r="A394" s="12" t="s">
        <v>902</v>
      </c>
      <c r="B394" s="12"/>
      <c r="C394" s="12" t="s">
        <v>32</v>
      </c>
      <c r="D394" s="12"/>
      <c r="E394" s="32">
        <v>44578</v>
      </c>
      <c r="G394" s="8">
        <v>4346129</v>
      </c>
      <c r="I394" s="8">
        <v>0</v>
      </c>
      <c r="K394" s="3">
        <f t="shared" si="41"/>
        <v>12980917</v>
      </c>
      <c r="M394" s="8">
        <v>17327046</v>
      </c>
      <c r="O394" s="3">
        <f t="shared" si="42"/>
        <v>2730787</v>
      </c>
      <c r="Q394" s="8">
        <v>8203894</v>
      </c>
      <c r="S394" s="8">
        <v>10934681</v>
      </c>
      <c r="U394" s="8">
        <f>240280+4567950</f>
        <v>4808230</v>
      </c>
      <c r="W394" s="8">
        <v>0</v>
      </c>
      <c r="Y394" s="8">
        <v>1584135</v>
      </c>
      <c r="AA394" s="14">
        <f t="shared" si="43"/>
        <v>6392365</v>
      </c>
      <c r="AB394" s="8"/>
      <c r="AC394" s="8">
        <f t="shared" si="40"/>
        <v>0</v>
      </c>
    </row>
    <row r="395" spans="1:29">
      <c r="A395" s="12" t="s">
        <v>409</v>
      </c>
      <c r="B395" s="12"/>
      <c r="C395" s="12" t="s">
        <v>32</v>
      </c>
      <c r="D395" s="12"/>
      <c r="E395" s="32">
        <v>47373</v>
      </c>
      <c r="G395" s="8">
        <v>27653501</v>
      </c>
      <c r="I395" s="8">
        <v>0</v>
      </c>
      <c r="K395" s="3">
        <f t="shared" si="41"/>
        <v>26975216</v>
      </c>
      <c r="M395" s="8">
        <v>54628717</v>
      </c>
      <c r="O395" s="3">
        <f t="shared" si="42"/>
        <v>7821368</v>
      </c>
      <c r="Q395" s="8">
        <v>18376608</v>
      </c>
      <c r="S395" s="8">
        <v>26197976</v>
      </c>
      <c r="U395" s="8">
        <f>209930+8152000+380716</f>
        <v>8742646</v>
      </c>
      <c r="W395" s="8">
        <v>0</v>
      </c>
      <c r="Y395" s="8">
        <v>19688095</v>
      </c>
      <c r="AA395" s="14">
        <f t="shared" si="43"/>
        <v>28430741</v>
      </c>
      <c r="AB395" s="8"/>
      <c r="AC395" s="8">
        <f t="shared" si="40"/>
        <v>0</v>
      </c>
    </row>
    <row r="396" spans="1:29">
      <c r="A396" s="12" t="s">
        <v>562</v>
      </c>
      <c r="B396" s="12"/>
      <c r="C396" s="12" t="s">
        <v>50</v>
      </c>
      <c r="D396" s="12"/>
      <c r="E396" s="32">
        <v>44586</v>
      </c>
      <c r="G396" s="8">
        <v>2592817</v>
      </c>
      <c r="I396" s="8">
        <v>0</v>
      </c>
      <c r="K396" s="3">
        <f t="shared" si="41"/>
        <v>14337968</v>
      </c>
      <c r="M396" s="8">
        <v>16930785</v>
      </c>
      <c r="O396" s="3">
        <f t="shared" si="42"/>
        <v>4077000</v>
      </c>
      <c r="Q396" s="8">
        <v>13564523</v>
      </c>
      <c r="S396" s="8">
        <v>17641523</v>
      </c>
      <c r="U396" s="8">
        <f>513912+360027</f>
        <v>873939</v>
      </c>
      <c r="W396" s="8">
        <v>0</v>
      </c>
      <c r="Y396" s="8">
        <v>-1584677</v>
      </c>
      <c r="AA396" s="14">
        <f t="shared" si="43"/>
        <v>-710738</v>
      </c>
      <c r="AB396" s="8"/>
      <c r="AC396" s="8">
        <f t="shared" si="40"/>
        <v>0</v>
      </c>
    </row>
    <row r="397" spans="1:29" s="35" customFormat="1">
      <c r="A397" s="34" t="s">
        <v>499</v>
      </c>
      <c r="B397" s="34"/>
      <c r="C397" s="34" t="s">
        <v>44</v>
      </c>
      <c r="D397" s="34"/>
      <c r="E397" s="32">
        <v>44594</v>
      </c>
      <c r="G397" s="8">
        <v>312365</v>
      </c>
      <c r="H397" s="8"/>
      <c r="I397" s="8">
        <v>0</v>
      </c>
      <c r="J397" s="8"/>
      <c r="K397" s="3">
        <f t="shared" si="41"/>
        <v>5420397</v>
      </c>
      <c r="L397" s="8"/>
      <c r="M397" s="8">
        <v>5732762</v>
      </c>
      <c r="N397" s="8"/>
      <c r="O397" s="3">
        <f t="shared" si="42"/>
        <v>1768071</v>
      </c>
      <c r="P397" s="8"/>
      <c r="Q397" s="8">
        <v>3424989</v>
      </c>
      <c r="R397" s="8"/>
      <c r="S397" s="8">
        <v>5193060</v>
      </c>
      <c r="T397" s="8"/>
      <c r="U397" s="8">
        <f>646620+64254</f>
        <v>710874</v>
      </c>
      <c r="V397" s="8"/>
      <c r="W397" s="8">
        <v>0</v>
      </c>
      <c r="X397" s="8"/>
      <c r="Y397" s="8">
        <v>-171172</v>
      </c>
      <c r="Z397" s="8"/>
      <c r="AA397" s="14">
        <f t="shared" si="43"/>
        <v>539702</v>
      </c>
      <c r="AB397" s="8"/>
      <c r="AC397" s="8">
        <f t="shared" si="40"/>
        <v>0</v>
      </c>
    </row>
    <row r="398" spans="1:29" hidden="1">
      <c r="A398" s="12" t="s">
        <v>643</v>
      </c>
      <c r="B398" s="12"/>
      <c r="C398" s="12" t="s">
        <v>60</v>
      </c>
      <c r="D398" s="12"/>
      <c r="E398" s="32">
        <v>49726</v>
      </c>
      <c r="K398" s="3">
        <f t="shared" si="41"/>
        <v>0</v>
      </c>
      <c r="O398" s="3">
        <f t="shared" si="42"/>
        <v>0</v>
      </c>
      <c r="AA398" s="14">
        <f t="shared" si="43"/>
        <v>0</v>
      </c>
      <c r="AB398" s="8"/>
      <c r="AC398" s="8">
        <f t="shared" si="40"/>
        <v>0</v>
      </c>
    </row>
    <row r="399" spans="1:29">
      <c r="A399" s="12" t="s">
        <v>339</v>
      </c>
      <c r="B399" s="12"/>
      <c r="C399" s="12" t="s">
        <v>23</v>
      </c>
      <c r="D399" s="12"/>
      <c r="E399" s="32">
        <v>46763</v>
      </c>
      <c r="G399" s="8">
        <v>20096131</v>
      </c>
      <c r="I399" s="8">
        <v>0</v>
      </c>
      <c r="K399" s="3">
        <f t="shared" si="41"/>
        <v>99769567</v>
      </c>
      <c r="M399" s="8">
        <v>119865698</v>
      </c>
      <c r="O399" s="3">
        <f t="shared" si="42"/>
        <v>12712944</v>
      </c>
      <c r="Q399" s="8">
        <v>84862855</v>
      </c>
      <c r="S399" s="8">
        <v>97575799</v>
      </c>
      <c r="U399" s="8">
        <f>1061233+37050+13961000</f>
        <v>15059283</v>
      </c>
      <c r="W399" s="8">
        <v>0</v>
      </c>
      <c r="Y399" s="8">
        <v>7230616</v>
      </c>
      <c r="AA399" s="14">
        <f t="shared" si="43"/>
        <v>22289899</v>
      </c>
      <c r="AB399" s="8"/>
      <c r="AC399" s="8">
        <f t="shared" si="40"/>
        <v>0</v>
      </c>
    </row>
    <row r="400" spans="1:29" s="8" customFormat="1">
      <c r="A400" s="13" t="s">
        <v>319</v>
      </c>
      <c r="B400" s="13"/>
      <c r="C400" s="13" t="s">
        <v>20</v>
      </c>
      <c r="D400" s="13"/>
      <c r="E400" s="13">
        <v>46573</v>
      </c>
      <c r="G400" s="8">
        <v>7678923</v>
      </c>
      <c r="I400" s="8">
        <v>0</v>
      </c>
      <c r="K400" s="3">
        <f>+M400-I400-G400</f>
        <v>18900603</v>
      </c>
      <c r="M400" s="8">
        <v>26579526</v>
      </c>
      <c r="O400" s="3">
        <f>+S400-Q400</f>
        <v>5105783</v>
      </c>
      <c r="Q400" s="8">
        <v>16229606</v>
      </c>
      <c r="S400" s="8">
        <v>21335389</v>
      </c>
      <c r="U400" s="8">
        <f>707775+2106352+223918</f>
        <v>3038045</v>
      </c>
      <c r="W400" s="8">
        <v>0</v>
      </c>
      <c r="Y400" s="8">
        <v>2206092</v>
      </c>
      <c r="AA400" s="14">
        <f>+Y400+W400++U400</f>
        <v>5244137</v>
      </c>
      <c r="AC400" s="8">
        <f t="shared" ref="AC400:AC465" si="44">+G400+I400+K400-O400-Q400-Y400-W400-U400</f>
        <v>0</v>
      </c>
    </row>
    <row r="401" spans="1:29">
      <c r="A401" s="12" t="s">
        <v>618</v>
      </c>
      <c r="B401" s="12"/>
      <c r="C401" s="12" t="s">
        <v>113</v>
      </c>
      <c r="D401" s="12"/>
      <c r="E401" s="32">
        <v>49478</v>
      </c>
      <c r="G401" s="8">
        <v>5858247</v>
      </c>
      <c r="I401" s="8">
        <v>0</v>
      </c>
      <c r="K401" s="3">
        <f t="shared" ref="K401:K407" si="45">+M401-I401-G401</f>
        <v>10593492</v>
      </c>
      <c r="M401" s="8">
        <v>16451739</v>
      </c>
      <c r="O401" s="3">
        <f t="shared" ref="O401:O407" si="46">+S401-Q401</f>
        <v>2009009</v>
      </c>
      <c r="Q401" s="8">
        <f>7726770+682581</f>
        <v>8409351</v>
      </c>
      <c r="S401" s="8">
        <v>10418360</v>
      </c>
      <c r="U401" s="8">
        <f>14006+223993+8241+1734403+6728</f>
        <v>1987371</v>
      </c>
      <c r="W401" s="8">
        <v>0</v>
      </c>
      <c r="Y401" s="8">
        <v>4046008</v>
      </c>
      <c r="AA401" s="14">
        <f t="shared" ref="AA401:AA459" si="47">+Y401+W401++U401</f>
        <v>6033379</v>
      </c>
      <c r="AB401" s="8"/>
      <c r="AC401" s="8">
        <f t="shared" si="44"/>
        <v>0</v>
      </c>
    </row>
    <row r="402" spans="1:29">
      <c r="A402" s="12" t="s">
        <v>320</v>
      </c>
      <c r="B402" s="12"/>
      <c r="C402" s="12" t="s">
        <v>20</v>
      </c>
      <c r="D402" s="12"/>
      <c r="E402" s="32">
        <v>46581</v>
      </c>
      <c r="G402" s="8">
        <v>31369364</v>
      </c>
      <c r="I402" s="8">
        <v>0</v>
      </c>
      <c r="K402" s="3">
        <f t="shared" si="45"/>
        <v>40085324</v>
      </c>
      <c r="M402" s="8">
        <v>71454688</v>
      </c>
      <c r="O402" s="3">
        <f t="shared" si="46"/>
        <v>5610144</v>
      </c>
      <c r="Q402" s="8">
        <f>4275685+30384817</f>
        <v>34660502</v>
      </c>
      <c r="S402" s="8">
        <v>40270646</v>
      </c>
      <c r="U402" s="8">
        <f>428658+4720045</f>
        <v>5148703</v>
      </c>
      <c r="W402" s="8">
        <v>0</v>
      </c>
      <c r="Y402" s="8">
        <v>26035339</v>
      </c>
      <c r="AA402" s="14">
        <f t="shared" si="47"/>
        <v>31184042</v>
      </c>
      <c r="AB402" s="8"/>
      <c r="AC402" s="8">
        <f t="shared" si="44"/>
        <v>0</v>
      </c>
    </row>
    <row r="403" spans="1:29">
      <c r="A403" s="12" t="s">
        <v>504</v>
      </c>
      <c r="B403" s="12"/>
      <c r="C403" s="12" t="s">
        <v>118</v>
      </c>
      <c r="D403" s="12"/>
      <c r="E403" s="32">
        <v>44602</v>
      </c>
      <c r="G403" s="8">
        <v>2487290</v>
      </c>
      <c r="I403" s="8">
        <v>24819238</v>
      </c>
      <c r="K403" s="3">
        <f t="shared" si="45"/>
        <v>0</v>
      </c>
      <c r="M403" s="8">
        <v>27306528</v>
      </c>
      <c r="O403" s="3">
        <f t="shared" si="46"/>
        <v>5764019</v>
      </c>
      <c r="Q403" s="8">
        <v>23788632</v>
      </c>
      <c r="S403" s="8">
        <v>29552651</v>
      </c>
      <c r="U403" s="8">
        <v>747410</v>
      </c>
      <c r="W403" s="8">
        <v>0</v>
      </c>
      <c r="Y403" s="8">
        <v>-2993533</v>
      </c>
      <c r="AA403" s="14">
        <f t="shared" si="47"/>
        <v>-2246123</v>
      </c>
      <c r="AB403" s="8"/>
      <c r="AC403" s="8">
        <f t="shared" si="44"/>
        <v>0</v>
      </c>
    </row>
    <row r="404" spans="1:29">
      <c r="A404" s="12" t="s">
        <v>729</v>
      </c>
      <c r="B404" s="12"/>
      <c r="C404" s="12" t="s">
        <v>71</v>
      </c>
      <c r="D404" s="12"/>
      <c r="E404" s="32">
        <v>44610</v>
      </c>
      <c r="G404" s="8">
        <v>1999121</v>
      </c>
      <c r="I404" s="8">
        <v>0</v>
      </c>
      <c r="K404" s="3">
        <f t="shared" si="45"/>
        <v>6567941</v>
      </c>
      <c r="M404" s="8">
        <v>8567062</v>
      </c>
      <c r="O404" s="3">
        <f t="shared" si="46"/>
        <v>1919957</v>
      </c>
      <c r="Q404" s="8">
        <v>6154811</v>
      </c>
      <c r="S404" s="8">
        <v>8074768</v>
      </c>
      <c r="U404" s="8">
        <f>58964+5146+270+407484</f>
        <v>471864</v>
      </c>
      <c r="W404" s="8">
        <v>0</v>
      </c>
      <c r="Y404" s="8">
        <v>20430</v>
      </c>
      <c r="AA404" s="14">
        <f t="shared" si="47"/>
        <v>492294</v>
      </c>
      <c r="AB404" s="8"/>
      <c r="AC404" s="8">
        <f t="shared" si="44"/>
        <v>0</v>
      </c>
    </row>
    <row r="405" spans="1:29">
      <c r="A405" s="12" t="s">
        <v>664</v>
      </c>
      <c r="B405" s="12"/>
      <c r="C405" s="12" t="s">
        <v>62</v>
      </c>
      <c r="D405" s="12"/>
      <c r="E405" s="32">
        <v>49916</v>
      </c>
      <c r="G405" s="8">
        <v>4328782</v>
      </c>
      <c r="I405" s="8">
        <v>0</v>
      </c>
      <c r="K405" s="3">
        <f t="shared" si="45"/>
        <v>2705066</v>
      </c>
      <c r="M405" s="8">
        <v>7033848</v>
      </c>
      <c r="O405" s="3">
        <f t="shared" si="46"/>
        <v>1094638</v>
      </c>
      <c r="Q405" s="8">
        <f>288830+2112239</f>
        <v>2401069</v>
      </c>
      <c r="S405" s="8">
        <v>3495707</v>
      </c>
      <c r="U405" s="8">
        <f>72765+19564+137280+17165+26956</f>
        <v>273730</v>
      </c>
      <c r="W405" s="8">
        <v>0</v>
      </c>
      <c r="Y405" s="8">
        <v>3264411</v>
      </c>
      <c r="AA405" s="14">
        <f t="shared" si="47"/>
        <v>3538141</v>
      </c>
      <c r="AB405" s="8"/>
      <c r="AC405" s="8">
        <f t="shared" si="44"/>
        <v>0</v>
      </c>
    </row>
    <row r="406" spans="1:29">
      <c r="A406" s="12" t="s">
        <v>743</v>
      </c>
      <c r="B406" s="12"/>
      <c r="C406" s="12" t="s">
        <v>72</v>
      </c>
      <c r="D406" s="12"/>
      <c r="E406" s="32">
        <v>50724</v>
      </c>
      <c r="G406" s="8">
        <v>764228</v>
      </c>
      <c r="I406" s="8">
        <v>0</v>
      </c>
      <c r="K406" s="3">
        <f t="shared" si="45"/>
        <v>5306313</v>
      </c>
      <c r="M406" s="8">
        <v>6070541</v>
      </c>
      <c r="O406" s="3">
        <f t="shared" si="46"/>
        <v>1386031</v>
      </c>
      <c r="Q406" s="8">
        <v>3694580</v>
      </c>
      <c r="S406" s="8">
        <v>5080611</v>
      </c>
      <c r="U406" s="8">
        <f>549752+28121+61300</f>
        <v>639173</v>
      </c>
      <c r="W406" s="8">
        <v>0</v>
      </c>
      <c r="Y406" s="8">
        <v>350757</v>
      </c>
      <c r="AA406" s="14">
        <f t="shared" si="47"/>
        <v>989930</v>
      </c>
      <c r="AB406" s="8"/>
      <c r="AC406" s="8">
        <f t="shared" si="44"/>
        <v>0</v>
      </c>
    </row>
    <row r="407" spans="1:29">
      <c r="A407" s="12" t="s">
        <v>505</v>
      </c>
      <c r="B407" s="12"/>
      <c r="C407" s="12" t="s">
        <v>118</v>
      </c>
      <c r="D407" s="12"/>
      <c r="E407" s="32">
        <v>48215</v>
      </c>
      <c r="F407" s="10" t="s">
        <v>889</v>
      </c>
      <c r="G407" s="8">
        <f>2910211+3366926</f>
        <v>6277137</v>
      </c>
      <c r="I407" s="8">
        <v>0</v>
      </c>
      <c r="K407" s="3">
        <f t="shared" si="45"/>
        <v>8955379</v>
      </c>
      <c r="M407" s="8">
        <v>15232516</v>
      </c>
      <c r="O407" s="3">
        <f t="shared" si="46"/>
        <v>1235820</v>
      </c>
      <c r="Q407" s="8">
        <f>8498539+5761</f>
        <v>8504300</v>
      </c>
      <c r="S407" s="8">
        <v>9740120</v>
      </c>
      <c r="U407" s="8">
        <f>62423+90342+349110</f>
        <v>501875</v>
      </c>
      <c r="W407" s="8">
        <v>0</v>
      </c>
      <c r="Y407" s="8">
        <v>4990521</v>
      </c>
      <c r="AA407" s="14">
        <f t="shared" si="47"/>
        <v>5492396</v>
      </c>
      <c r="AB407" s="8"/>
      <c r="AC407" s="8">
        <f t="shared" si="44"/>
        <v>0</v>
      </c>
    </row>
    <row r="408" spans="1:29" hidden="1">
      <c r="A408" s="12" t="s">
        <v>611</v>
      </c>
      <c r="B408" s="12"/>
      <c r="C408" s="12" t="s">
        <v>608</v>
      </c>
      <c r="D408" s="12"/>
      <c r="E408" s="32">
        <v>49379</v>
      </c>
      <c r="K408" s="3">
        <f t="shared" ref="K408:K459" si="48">+M408-I408-G408</f>
        <v>0</v>
      </c>
      <c r="O408" s="3">
        <f t="shared" ref="O408:O459" si="49">+S408-Q408</f>
        <v>0</v>
      </c>
      <c r="AA408" s="14">
        <f t="shared" si="47"/>
        <v>0</v>
      </c>
      <c r="AB408" s="8"/>
      <c r="AC408" s="8">
        <f t="shared" si="44"/>
        <v>0</v>
      </c>
    </row>
    <row r="409" spans="1:29" hidden="1">
      <c r="A409" s="12" t="s">
        <v>612</v>
      </c>
      <c r="B409" s="12"/>
      <c r="C409" s="12" t="s">
        <v>608</v>
      </c>
      <c r="D409" s="12"/>
      <c r="E409" s="32">
        <v>49387</v>
      </c>
      <c r="K409" s="3">
        <f t="shared" si="48"/>
        <v>0</v>
      </c>
      <c r="O409" s="3">
        <f t="shared" si="49"/>
        <v>0</v>
      </c>
      <c r="AA409" s="14">
        <f t="shared" si="47"/>
        <v>0</v>
      </c>
      <c r="AB409" s="8"/>
      <c r="AC409" s="8">
        <f t="shared" si="44"/>
        <v>0</v>
      </c>
    </row>
    <row r="410" spans="1:29">
      <c r="A410" s="12" t="s">
        <v>466</v>
      </c>
      <c r="B410" s="12"/>
      <c r="C410" s="12" t="s">
        <v>41</v>
      </c>
      <c r="D410" s="12"/>
      <c r="E410" s="32">
        <v>44628</v>
      </c>
      <c r="G410" s="8">
        <f>5340590+538690</f>
        <v>5879280</v>
      </c>
      <c r="I410" s="8">
        <v>0</v>
      </c>
      <c r="K410" s="3">
        <f t="shared" si="48"/>
        <v>7667538</v>
      </c>
      <c r="M410" s="8">
        <v>13546818</v>
      </c>
      <c r="O410" s="3">
        <f t="shared" si="49"/>
        <v>3648038</v>
      </c>
      <c r="Q410" s="8">
        <v>7016190</v>
      </c>
      <c r="S410" s="8">
        <v>10664228</v>
      </c>
      <c r="U410" s="8">
        <f>684146+483571+105468</f>
        <v>1273185</v>
      </c>
      <c r="W410" s="8">
        <v>433222</v>
      </c>
      <c r="Y410" s="8">
        <f>1176183</f>
        <v>1176183</v>
      </c>
      <c r="AA410" s="14">
        <f t="shared" si="47"/>
        <v>2882590</v>
      </c>
      <c r="AB410" s="8"/>
      <c r="AC410" s="8">
        <f t="shared" si="44"/>
        <v>0</v>
      </c>
    </row>
    <row r="411" spans="1:29" hidden="1">
      <c r="A411" s="12" t="s">
        <v>467</v>
      </c>
      <c r="B411" s="12"/>
      <c r="C411" s="12" t="s">
        <v>41</v>
      </c>
      <c r="D411" s="12"/>
      <c r="E411" s="32">
        <v>47894</v>
      </c>
      <c r="K411" s="3">
        <f t="shared" si="48"/>
        <v>0</v>
      </c>
      <c r="O411" s="3">
        <f t="shared" si="49"/>
        <v>0</v>
      </c>
      <c r="AA411" s="14">
        <f t="shared" si="47"/>
        <v>0</v>
      </c>
      <c r="AB411" s="8"/>
      <c r="AC411" s="8">
        <f t="shared" si="44"/>
        <v>0</v>
      </c>
    </row>
    <row r="412" spans="1:29">
      <c r="A412" s="12" t="s">
        <v>624</v>
      </c>
      <c r="B412" s="12"/>
      <c r="C412" s="12" t="s">
        <v>58</v>
      </c>
      <c r="D412" s="12"/>
      <c r="E412" s="32">
        <v>49510</v>
      </c>
      <c r="G412" s="8">
        <f>450281+910346</f>
        <v>1360627</v>
      </c>
      <c r="I412" s="8">
        <v>0</v>
      </c>
      <c r="K412" s="3">
        <f t="shared" si="48"/>
        <v>1509580</v>
      </c>
      <c r="M412" s="8">
        <v>2870207</v>
      </c>
      <c r="O412" s="3">
        <f t="shared" si="49"/>
        <v>970098</v>
      </c>
      <c r="Q412" s="8">
        <v>1355637</v>
      </c>
      <c r="S412" s="8">
        <v>2325735</v>
      </c>
      <c r="U412" s="8">
        <f>341908+105267+84068+300000</f>
        <v>831243</v>
      </c>
      <c r="W412" s="8">
        <v>0</v>
      </c>
      <c r="Y412" s="8">
        <f>-286771</f>
        <v>-286771</v>
      </c>
      <c r="AA412" s="14">
        <f t="shared" si="47"/>
        <v>544472</v>
      </c>
      <c r="AB412" s="8"/>
      <c r="AC412" s="8">
        <f t="shared" si="44"/>
        <v>0</v>
      </c>
    </row>
    <row r="413" spans="1:29" hidden="1">
      <c r="A413" s="12" t="s">
        <v>613</v>
      </c>
      <c r="B413" s="12"/>
      <c r="C413" s="12" t="s">
        <v>608</v>
      </c>
      <c r="D413" s="12"/>
      <c r="E413" s="32">
        <v>49395</v>
      </c>
      <c r="K413" s="3">
        <f t="shared" si="48"/>
        <v>0</v>
      </c>
      <c r="O413" s="3">
        <f t="shared" si="49"/>
        <v>0</v>
      </c>
      <c r="AA413" s="14">
        <f t="shared" si="47"/>
        <v>0</v>
      </c>
      <c r="AB413" s="8"/>
      <c r="AC413" s="8">
        <f t="shared" si="44"/>
        <v>0</v>
      </c>
    </row>
    <row r="414" spans="1:29" hidden="1">
      <c r="A414" s="12" t="s">
        <v>541</v>
      </c>
      <c r="B414" s="12"/>
      <c r="C414" s="12" t="s">
        <v>540</v>
      </c>
      <c r="D414" s="12"/>
      <c r="E414" s="32">
        <v>48579</v>
      </c>
      <c r="K414" s="3">
        <f t="shared" si="48"/>
        <v>0</v>
      </c>
      <c r="O414" s="3">
        <f t="shared" si="49"/>
        <v>0</v>
      </c>
      <c r="AA414" s="14">
        <f t="shared" si="47"/>
        <v>0</v>
      </c>
      <c r="AB414" s="8"/>
      <c r="AC414" s="8">
        <f t="shared" si="44"/>
        <v>0</v>
      </c>
    </row>
    <row r="415" spans="1:29">
      <c r="A415" s="12" t="s">
        <v>321</v>
      </c>
      <c r="B415" s="12"/>
      <c r="C415" s="12" t="s">
        <v>20</v>
      </c>
      <c r="D415" s="12"/>
      <c r="E415" s="32">
        <v>44636</v>
      </c>
      <c r="G415" s="8">
        <v>12505449</v>
      </c>
      <c r="I415" s="8">
        <v>0</v>
      </c>
      <c r="K415" s="3">
        <f t="shared" si="48"/>
        <v>92820591</v>
      </c>
      <c r="M415" s="8">
        <v>105326040</v>
      </c>
      <c r="O415" s="3">
        <f t="shared" si="49"/>
        <v>14442031</v>
      </c>
      <c r="Q415" s="8">
        <v>75646125</v>
      </c>
      <c r="S415" s="8">
        <v>90088156</v>
      </c>
      <c r="U415" s="8">
        <f>1351764+11709615</f>
        <v>13061379</v>
      </c>
      <c r="W415" s="8">
        <v>0</v>
      </c>
      <c r="Y415" s="8">
        <v>2176505</v>
      </c>
      <c r="AA415" s="14">
        <f t="shared" si="47"/>
        <v>15237884</v>
      </c>
      <c r="AB415" s="8"/>
      <c r="AC415" s="8">
        <f t="shared" si="44"/>
        <v>0</v>
      </c>
    </row>
    <row r="416" spans="1:29">
      <c r="A416" s="12" t="s">
        <v>438</v>
      </c>
      <c r="B416" s="12"/>
      <c r="C416" s="12" t="s">
        <v>34</v>
      </c>
      <c r="D416" s="12"/>
      <c r="E416" s="32">
        <v>47597</v>
      </c>
      <c r="G416" s="8">
        <f>1848247+23745</f>
        <v>1871992</v>
      </c>
      <c r="I416" s="8">
        <v>0</v>
      </c>
      <c r="K416" s="3">
        <f t="shared" si="48"/>
        <v>5108397</v>
      </c>
      <c r="M416" s="8">
        <v>6980389</v>
      </c>
      <c r="O416" s="3">
        <f t="shared" si="49"/>
        <v>862627</v>
      </c>
      <c r="Q416" s="8">
        <v>4359880</v>
      </c>
      <c r="S416" s="8">
        <v>5222507</v>
      </c>
      <c r="U416" s="8">
        <f>386594+145050+23745</f>
        <v>555389</v>
      </c>
      <c r="W416" s="8">
        <v>0</v>
      </c>
      <c r="Y416" s="8">
        <v>1202493</v>
      </c>
      <c r="AA416" s="14">
        <f t="shared" si="47"/>
        <v>1757882</v>
      </c>
      <c r="AB416" s="8"/>
      <c r="AC416" s="8">
        <f t="shared" si="44"/>
        <v>0</v>
      </c>
    </row>
    <row r="417" spans="1:29" hidden="1">
      <c r="A417" s="12" t="s">
        <v>584</v>
      </c>
      <c r="B417" s="12"/>
      <c r="C417" s="12" t="s">
        <v>583</v>
      </c>
      <c r="D417" s="12"/>
      <c r="E417" s="32">
        <v>45575</v>
      </c>
      <c r="K417" s="3">
        <f t="shared" si="48"/>
        <v>0</v>
      </c>
      <c r="O417" s="3">
        <f t="shared" si="49"/>
        <v>0</v>
      </c>
      <c r="AA417" s="14">
        <f t="shared" si="47"/>
        <v>0</v>
      </c>
      <c r="AB417" s="8"/>
      <c r="AC417" s="8">
        <f t="shared" si="44"/>
        <v>0</v>
      </c>
    </row>
    <row r="418" spans="1:29">
      <c r="A418" s="12" t="s">
        <v>344</v>
      </c>
      <c r="B418" s="12"/>
      <c r="C418" s="12" t="s">
        <v>24</v>
      </c>
      <c r="D418" s="12"/>
      <c r="E418" s="32">
        <v>46813</v>
      </c>
      <c r="G418" s="8">
        <f>5448603</f>
        <v>5448603</v>
      </c>
      <c r="I418" s="8">
        <v>0</v>
      </c>
      <c r="K418" s="3">
        <f t="shared" si="48"/>
        <v>11453155</v>
      </c>
      <c r="M418" s="8">
        <v>16901758</v>
      </c>
      <c r="O418" s="3">
        <f t="shared" si="49"/>
        <v>2506956</v>
      </c>
      <c r="Q418" s="8">
        <f>988297+9040322</f>
        <v>10028619</v>
      </c>
      <c r="S418" s="8">
        <v>12535575</v>
      </c>
      <c r="U418" s="8">
        <f>379809+70881+1275876+42246</f>
        <v>1768812</v>
      </c>
      <c r="W418" s="8">
        <v>0</v>
      </c>
      <c r="Y418" s="8">
        <v>2597371</v>
      </c>
      <c r="AA418" s="14">
        <f t="shared" si="47"/>
        <v>4366183</v>
      </c>
      <c r="AB418" s="8"/>
      <c r="AC418" s="8">
        <f t="shared" si="44"/>
        <v>0</v>
      </c>
    </row>
    <row r="419" spans="1:29">
      <c r="A419" s="12" t="s">
        <v>213</v>
      </c>
      <c r="B419" s="12"/>
      <c r="C419" s="12" t="s">
        <v>41</v>
      </c>
      <c r="D419" s="12"/>
      <c r="E419" s="32">
        <v>47902</v>
      </c>
      <c r="G419" s="8">
        <v>14790615</v>
      </c>
      <c r="I419" s="8">
        <v>0</v>
      </c>
      <c r="K419" s="3">
        <f t="shared" si="48"/>
        <v>25706556</v>
      </c>
      <c r="M419" s="8">
        <v>40497171</v>
      </c>
      <c r="O419" s="3">
        <f t="shared" si="49"/>
        <v>2234907</v>
      </c>
      <c r="Q419" s="8">
        <v>24839380</v>
      </c>
      <c r="S419" s="8">
        <v>27074287</v>
      </c>
      <c r="U419" s="8">
        <f>25237+324516+91377</f>
        <v>441130</v>
      </c>
      <c r="W419" s="8">
        <v>0</v>
      </c>
      <c r="Y419" s="8">
        <v>12981754</v>
      </c>
      <c r="AA419" s="14">
        <f t="shared" si="47"/>
        <v>13422884</v>
      </c>
      <c r="AB419" s="8"/>
      <c r="AC419" s="8">
        <f t="shared" si="44"/>
        <v>0</v>
      </c>
    </row>
    <row r="420" spans="1:29">
      <c r="A420" s="12" t="s">
        <v>213</v>
      </c>
      <c r="B420" s="12"/>
      <c r="C420" s="12" t="s">
        <v>62</v>
      </c>
      <c r="D420" s="12"/>
      <c r="E420" s="32">
        <v>49924</v>
      </c>
      <c r="G420" s="8">
        <f>23468748+102503</f>
        <v>23571251</v>
      </c>
      <c r="I420" s="8">
        <v>0</v>
      </c>
      <c r="K420" s="3">
        <f t="shared" si="48"/>
        <v>19649935</v>
      </c>
      <c r="M420" s="8">
        <v>43221186</v>
      </c>
      <c r="O420" s="3">
        <f t="shared" si="49"/>
        <v>5473308</v>
      </c>
      <c r="Q420" s="8">
        <v>18365933</v>
      </c>
      <c r="S420" s="8">
        <v>23839241</v>
      </c>
      <c r="U420" s="8">
        <f>55385+956470+102503</f>
        <v>1114358</v>
      </c>
      <c r="W420" s="8">
        <v>0</v>
      </c>
      <c r="Y420" s="8">
        <v>18267587</v>
      </c>
      <c r="AA420" s="14">
        <f t="shared" si="47"/>
        <v>19381945</v>
      </c>
      <c r="AB420" s="8"/>
      <c r="AC420" s="8">
        <f t="shared" si="44"/>
        <v>0</v>
      </c>
    </row>
    <row r="421" spans="1:29">
      <c r="A421" s="12" t="s">
        <v>744</v>
      </c>
      <c r="B421" s="12"/>
      <c r="C421" s="12" t="s">
        <v>72</v>
      </c>
      <c r="D421" s="12"/>
      <c r="E421" s="32">
        <v>45583</v>
      </c>
      <c r="G421" s="8">
        <f>2128568+137211</f>
        <v>2265779</v>
      </c>
      <c r="I421" s="8">
        <v>0</v>
      </c>
      <c r="K421" s="3">
        <f t="shared" si="48"/>
        <v>24429590</v>
      </c>
      <c r="M421" s="8">
        <v>26695369</v>
      </c>
      <c r="O421" s="3">
        <f t="shared" si="49"/>
        <v>5319534</v>
      </c>
      <c r="Q421" s="8">
        <v>18735036</v>
      </c>
      <c r="S421" s="8">
        <v>24054570</v>
      </c>
      <c r="U421" s="8">
        <f>181860+137211+2796536+15724</f>
        <v>3131331</v>
      </c>
      <c r="W421" s="8">
        <v>0</v>
      </c>
      <c r="Y421" s="8">
        <f>-490532</f>
        <v>-490532</v>
      </c>
      <c r="AA421" s="14">
        <f t="shared" si="47"/>
        <v>2640799</v>
      </c>
      <c r="AB421" s="8"/>
      <c r="AC421" s="8">
        <f t="shared" si="44"/>
        <v>0</v>
      </c>
    </row>
    <row r="422" spans="1:29">
      <c r="A422" s="12" t="s">
        <v>375</v>
      </c>
      <c r="B422" s="12"/>
      <c r="C422" s="12" t="s">
        <v>28</v>
      </c>
      <c r="D422" s="12"/>
      <c r="E422" s="32">
        <v>47076</v>
      </c>
      <c r="G422" s="8">
        <v>948055</v>
      </c>
      <c r="I422" s="8">
        <v>0</v>
      </c>
      <c r="K422" s="3">
        <f t="shared" si="48"/>
        <v>1335607</v>
      </c>
      <c r="M422" s="8">
        <v>2283662</v>
      </c>
      <c r="O422" s="3">
        <f t="shared" si="49"/>
        <v>614109</v>
      </c>
      <c r="Q422" s="8">
        <v>1067983</v>
      </c>
      <c r="S422" s="8">
        <v>1682092</v>
      </c>
      <c r="U422" s="8">
        <f>3645+62449</f>
        <v>66094</v>
      </c>
      <c r="W422" s="8">
        <v>0</v>
      </c>
      <c r="Y422" s="8">
        <v>535476</v>
      </c>
      <c r="AA422" s="14">
        <f t="shared" si="47"/>
        <v>601570</v>
      </c>
      <c r="AB422" s="8"/>
      <c r="AC422" s="8">
        <f t="shared" si="44"/>
        <v>0</v>
      </c>
    </row>
    <row r="423" spans="1:29">
      <c r="A423" s="12" t="s">
        <v>353</v>
      </c>
      <c r="B423" s="12"/>
      <c r="C423" s="12" t="s">
        <v>25</v>
      </c>
      <c r="D423" s="12"/>
      <c r="E423" s="32">
        <v>46896</v>
      </c>
      <c r="G423" s="8">
        <f>15350696+5158+9372</f>
        <v>15365226</v>
      </c>
      <c r="I423" s="8">
        <v>0</v>
      </c>
      <c r="K423" s="3">
        <f t="shared" si="48"/>
        <v>33788239</v>
      </c>
      <c r="M423" s="8">
        <v>49153465</v>
      </c>
      <c r="O423" s="3">
        <f t="shared" si="49"/>
        <v>11707801</v>
      </c>
      <c r="Q423" s="8">
        <f>1601106+24220155</f>
        <v>25821261</v>
      </c>
      <c r="S423" s="8">
        <v>37529062</v>
      </c>
      <c r="U423" s="8">
        <f>1010146+9372+2930845+90017</f>
        <v>4040380</v>
      </c>
      <c r="W423" s="8">
        <v>2627993</v>
      </c>
      <c r="Y423" s="8">
        <v>4956030</v>
      </c>
      <c r="AA423" s="14">
        <f t="shared" si="47"/>
        <v>11624403</v>
      </c>
      <c r="AB423" s="8"/>
      <c r="AC423" s="8">
        <f t="shared" si="44"/>
        <v>0</v>
      </c>
    </row>
    <row r="424" spans="1:29">
      <c r="A424" s="12" t="s">
        <v>376</v>
      </c>
      <c r="B424" s="12"/>
      <c r="C424" s="12" t="s">
        <v>28</v>
      </c>
      <c r="D424" s="12"/>
      <c r="E424" s="32">
        <v>47084</v>
      </c>
      <c r="G424" s="8">
        <f>4441732+234414</f>
        <v>4676146</v>
      </c>
      <c r="I424" s="8">
        <v>0</v>
      </c>
      <c r="K424" s="3">
        <f t="shared" si="48"/>
        <v>5982542</v>
      </c>
      <c r="M424" s="8">
        <v>10658688</v>
      </c>
      <c r="O424" s="3">
        <f t="shared" si="49"/>
        <v>1639227</v>
      </c>
      <c r="Q424" s="8">
        <v>4854614</v>
      </c>
      <c r="S424" s="8">
        <v>6493841</v>
      </c>
      <c r="U424" s="8">
        <f>190659+225735+8679+96865</f>
        <v>521938</v>
      </c>
      <c r="W424" s="8">
        <v>0</v>
      </c>
      <c r="Y424" s="8">
        <v>3642909</v>
      </c>
      <c r="AA424" s="14">
        <f t="shared" si="47"/>
        <v>4164847</v>
      </c>
      <c r="AB424" s="8"/>
      <c r="AC424" s="8">
        <f t="shared" si="44"/>
        <v>0</v>
      </c>
    </row>
    <row r="425" spans="1:29">
      <c r="A425" s="12" t="s">
        <v>548</v>
      </c>
      <c r="B425" s="12"/>
      <c r="C425" s="12" t="s">
        <v>48</v>
      </c>
      <c r="D425" s="12"/>
      <c r="E425" s="32">
        <v>44644</v>
      </c>
      <c r="G425" s="8">
        <v>922579</v>
      </c>
      <c r="I425" s="8">
        <v>0</v>
      </c>
      <c r="K425" s="3">
        <f t="shared" si="48"/>
        <v>15717874</v>
      </c>
      <c r="M425" s="8">
        <v>16640453</v>
      </c>
      <c r="O425" s="3">
        <f t="shared" si="49"/>
        <v>3405338</v>
      </c>
      <c r="Q425" s="8">
        <v>11400258</v>
      </c>
      <c r="S425" s="8">
        <v>14805596</v>
      </c>
      <c r="U425" s="8">
        <f>605899+23197+452386</f>
        <v>1081482</v>
      </c>
      <c r="W425" s="8">
        <v>0</v>
      </c>
      <c r="Y425" s="8">
        <v>753375</v>
      </c>
      <c r="AA425" s="14">
        <f t="shared" si="47"/>
        <v>1834857</v>
      </c>
      <c r="AB425" s="8"/>
      <c r="AC425" s="8">
        <f t="shared" si="44"/>
        <v>0</v>
      </c>
    </row>
    <row r="426" spans="1:29" hidden="1">
      <c r="A426" s="12" t="s">
        <v>365</v>
      </c>
      <c r="B426" s="12"/>
      <c r="C426" s="12" t="s">
        <v>27</v>
      </c>
      <c r="D426" s="12"/>
      <c r="E426" s="32">
        <v>46995</v>
      </c>
      <c r="K426" s="3">
        <f t="shared" si="48"/>
        <v>0</v>
      </c>
      <c r="O426" s="3">
        <f t="shared" si="49"/>
        <v>0</v>
      </c>
      <c r="AA426" s="14">
        <f t="shared" si="47"/>
        <v>0</v>
      </c>
      <c r="AB426" s="8"/>
      <c r="AC426" s="8">
        <f t="shared" si="44"/>
        <v>0</v>
      </c>
    </row>
    <row r="427" spans="1:29">
      <c r="A427" s="12" t="s">
        <v>365</v>
      </c>
      <c r="B427" s="12"/>
      <c r="C427" s="12" t="s">
        <v>62</v>
      </c>
      <c r="D427" s="12"/>
      <c r="E427" s="32">
        <v>49932</v>
      </c>
      <c r="G427" s="8">
        <f>12713563</f>
        <v>12713563</v>
      </c>
      <c r="I427" s="8">
        <v>0</v>
      </c>
      <c r="K427" s="3">
        <f t="shared" si="48"/>
        <v>23385630</v>
      </c>
      <c r="M427" s="8">
        <v>36099193</v>
      </c>
      <c r="O427" s="3">
        <f t="shared" si="49"/>
        <v>6561091</v>
      </c>
      <c r="Q427" s="8">
        <f>1284385+20319908</f>
        <v>21604293</v>
      </c>
      <c r="S427" s="8">
        <v>28165384</v>
      </c>
      <c r="U427" s="8">
        <f>2526799+74829+29023+1212670+203450+60315</f>
        <v>4107086</v>
      </c>
      <c r="W427" s="8">
        <v>1485274</v>
      </c>
      <c r="Y427" s="8">
        <v>2341449</v>
      </c>
      <c r="AA427" s="14">
        <f t="shared" si="47"/>
        <v>7933809</v>
      </c>
      <c r="AB427" s="8"/>
      <c r="AC427" s="8">
        <f t="shared" si="44"/>
        <v>0</v>
      </c>
    </row>
    <row r="428" spans="1:29">
      <c r="A428" s="12"/>
      <c r="B428" s="12"/>
      <c r="C428" s="12"/>
      <c r="D428" s="12"/>
      <c r="E428" s="32"/>
      <c r="K428" s="3"/>
      <c r="O428" s="3"/>
      <c r="AA428" s="14"/>
      <c r="AB428" s="8"/>
    </row>
    <row r="429" spans="1:29">
      <c r="A429" s="12"/>
      <c r="B429" s="12"/>
      <c r="C429" s="12"/>
      <c r="D429" s="12"/>
      <c r="E429" s="32"/>
      <c r="K429" s="3"/>
      <c r="O429" s="3"/>
      <c r="AA429" s="14" t="s">
        <v>819</v>
      </c>
      <c r="AB429" s="8"/>
    </row>
    <row r="430" spans="1:29" s="35" customFormat="1">
      <c r="A430" s="34" t="s">
        <v>528</v>
      </c>
      <c r="B430" s="34"/>
      <c r="C430" s="34" t="s">
        <v>46</v>
      </c>
      <c r="D430" s="34"/>
      <c r="E430" s="34">
        <v>48421</v>
      </c>
      <c r="G430" s="35">
        <f>2711449+112409</f>
        <v>2823858</v>
      </c>
      <c r="I430" s="35">
        <v>0</v>
      </c>
      <c r="K430" s="42">
        <f t="shared" si="48"/>
        <v>4268483</v>
      </c>
      <c r="M430" s="35">
        <v>7092341</v>
      </c>
      <c r="O430" s="42">
        <f t="shared" si="49"/>
        <v>1283885</v>
      </c>
      <c r="Q430" s="35">
        <v>2722975</v>
      </c>
      <c r="S430" s="35">
        <v>4006860</v>
      </c>
      <c r="U430" s="35">
        <f>1427975+112409+15734</f>
        <v>1556118</v>
      </c>
      <c r="W430" s="35">
        <v>0</v>
      </c>
      <c r="Y430" s="35">
        <v>1529363</v>
      </c>
      <c r="AA430" s="71">
        <f t="shared" si="47"/>
        <v>3085481</v>
      </c>
      <c r="AC430" s="35">
        <f t="shared" si="44"/>
        <v>0</v>
      </c>
    </row>
    <row r="431" spans="1:29">
      <c r="A431" s="12" t="s">
        <v>619</v>
      </c>
      <c r="B431" s="12"/>
      <c r="C431" s="12" t="s">
        <v>113</v>
      </c>
      <c r="D431" s="12"/>
      <c r="E431" s="32">
        <v>49460</v>
      </c>
      <c r="G431" s="8">
        <f>2225521+301380</f>
        <v>2526901</v>
      </c>
      <c r="I431" s="8">
        <v>0</v>
      </c>
      <c r="K431" s="3">
        <f t="shared" si="48"/>
        <v>2238621</v>
      </c>
      <c r="M431" s="8">
        <v>4765522</v>
      </c>
      <c r="O431" s="3">
        <f t="shared" si="49"/>
        <v>967633</v>
      </c>
      <c r="Q431" s="8">
        <f>1064031+507657</f>
        <v>1571688</v>
      </c>
      <c r="S431" s="8">
        <v>2539321</v>
      </c>
      <c r="U431" s="8">
        <f>109631+24396+13553+276469+50385+14772</f>
        <v>489206</v>
      </c>
      <c r="W431" s="8">
        <v>0</v>
      </c>
      <c r="Y431" s="8">
        <v>1736995</v>
      </c>
      <c r="AA431" s="14">
        <f t="shared" si="47"/>
        <v>2226201</v>
      </c>
      <c r="AB431" s="8"/>
      <c r="AC431" s="8">
        <f t="shared" si="44"/>
        <v>0</v>
      </c>
    </row>
    <row r="432" spans="1:29">
      <c r="A432" s="12" t="s">
        <v>520</v>
      </c>
      <c r="B432" s="12"/>
      <c r="C432" s="12" t="s">
        <v>45</v>
      </c>
      <c r="D432" s="12"/>
      <c r="E432" s="32">
        <v>48348</v>
      </c>
      <c r="G432" s="8">
        <v>3887569</v>
      </c>
      <c r="I432" s="8">
        <v>0</v>
      </c>
      <c r="K432" s="3">
        <f t="shared" si="48"/>
        <v>12134616</v>
      </c>
      <c r="M432" s="8">
        <v>16022185</v>
      </c>
      <c r="O432" s="3">
        <f t="shared" si="49"/>
        <v>2597811</v>
      </c>
      <c r="Q432" s="8">
        <f>435962+11611783</f>
        <v>12047745</v>
      </c>
      <c r="S432" s="8">
        <v>14645556</v>
      </c>
      <c r="U432" s="8">
        <f>10939+17965+79552</f>
        <v>108456</v>
      </c>
      <c r="W432" s="8">
        <v>255198</v>
      </c>
      <c r="Y432" s="8">
        <v>1012975</v>
      </c>
      <c r="AA432" s="14">
        <f t="shared" si="47"/>
        <v>1376629</v>
      </c>
      <c r="AB432" s="8"/>
      <c r="AC432" s="8">
        <f t="shared" si="44"/>
        <v>0</v>
      </c>
    </row>
    <row r="433" spans="1:29">
      <c r="A433" s="12" t="s">
        <v>582</v>
      </c>
      <c r="B433" s="12"/>
      <c r="C433" s="12" t="s">
        <v>53</v>
      </c>
      <c r="D433" s="12"/>
      <c r="E433" s="32">
        <v>44651</v>
      </c>
      <c r="G433" s="8">
        <f>1437661+5164613</f>
        <v>6602274</v>
      </c>
      <c r="I433" s="8">
        <v>117490</v>
      </c>
      <c r="K433" s="3">
        <f t="shared" si="48"/>
        <v>15045916</v>
      </c>
      <c r="M433" s="8">
        <v>21765680</v>
      </c>
      <c r="O433" s="3">
        <f t="shared" si="49"/>
        <v>1966263</v>
      </c>
      <c r="Q433" s="8">
        <v>13354250</v>
      </c>
      <c r="S433" s="8">
        <v>15320513</v>
      </c>
      <c r="U433" s="8">
        <f>559161+143984+1464321+31104+86386</f>
        <v>2284956</v>
      </c>
      <c r="W433" s="8">
        <v>0</v>
      </c>
      <c r="Y433" s="8">
        <v>4160211</v>
      </c>
      <c r="AA433" s="14">
        <f t="shared" si="47"/>
        <v>6445167</v>
      </c>
      <c r="AB433" s="8"/>
      <c r="AC433" s="8">
        <f t="shared" si="44"/>
        <v>0</v>
      </c>
    </row>
    <row r="434" spans="1:29" s="8" customFormat="1">
      <c r="A434" s="13" t="s">
        <v>636</v>
      </c>
      <c r="B434" s="13"/>
      <c r="C434" s="13" t="s">
        <v>59</v>
      </c>
      <c r="D434" s="13"/>
      <c r="E434" s="13">
        <v>44669</v>
      </c>
      <c r="G434" s="8">
        <v>1887255</v>
      </c>
      <c r="I434" s="8">
        <v>0</v>
      </c>
      <c r="K434" s="3">
        <f t="shared" si="48"/>
        <v>5698765</v>
      </c>
      <c r="M434" s="8">
        <v>7586020</v>
      </c>
      <c r="O434" s="3">
        <f t="shared" si="49"/>
        <v>1840902</v>
      </c>
      <c r="Q434" s="8">
        <v>5215148</v>
      </c>
      <c r="S434" s="8">
        <v>7056050</v>
      </c>
      <c r="U434" s="8">
        <f>16391+223306+79182</f>
        <v>318879</v>
      </c>
      <c r="W434" s="8">
        <v>115237</v>
      </c>
      <c r="Y434" s="8">
        <v>95854</v>
      </c>
      <c r="AA434" s="14">
        <f t="shared" si="47"/>
        <v>529970</v>
      </c>
      <c r="AC434" s="8">
        <f t="shared" si="44"/>
        <v>0</v>
      </c>
    </row>
    <row r="435" spans="1:29" hidden="1">
      <c r="A435" s="12" t="s">
        <v>605</v>
      </c>
      <c r="B435" s="12"/>
      <c r="C435" s="12" t="s">
        <v>57</v>
      </c>
      <c r="D435" s="12"/>
      <c r="E435" s="32">
        <v>49288</v>
      </c>
      <c r="G435" s="8">
        <v>0</v>
      </c>
      <c r="I435" s="8">
        <v>0</v>
      </c>
      <c r="K435" s="3">
        <f t="shared" si="48"/>
        <v>0</v>
      </c>
      <c r="M435" s="8">
        <v>0</v>
      </c>
      <c r="O435" s="3">
        <f t="shared" si="49"/>
        <v>0</v>
      </c>
      <c r="Q435" s="8">
        <v>0</v>
      </c>
      <c r="S435" s="8">
        <v>0</v>
      </c>
      <c r="U435" s="8">
        <v>0</v>
      </c>
      <c r="W435" s="8">
        <v>0</v>
      </c>
      <c r="Y435" s="8">
        <v>0</v>
      </c>
      <c r="AA435" s="14">
        <f t="shared" si="47"/>
        <v>0</v>
      </c>
      <c r="AB435" s="8"/>
      <c r="AC435" s="8">
        <f t="shared" si="44"/>
        <v>0</v>
      </c>
    </row>
    <row r="436" spans="1:29">
      <c r="A436" s="12" t="s">
        <v>410</v>
      </c>
      <c r="B436" s="12"/>
      <c r="C436" s="12" t="s">
        <v>32</v>
      </c>
      <c r="D436" s="12"/>
      <c r="E436" s="32">
        <v>44677</v>
      </c>
      <c r="G436" s="8">
        <v>24301211</v>
      </c>
      <c r="I436" s="8">
        <v>0</v>
      </c>
      <c r="K436" s="3">
        <f t="shared" si="48"/>
        <v>64733834</v>
      </c>
      <c r="M436" s="8">
        <v>89035045</v>
      </c>
      <c r="O436" s="3">
        <f t="shared" si="49"/>
        <v>7463793</v>
      </c>
      <c r="Q436" s="8">
        <v>45768559</v>
      </c>
      <c r="S436" s="8">
        <v>53232352</v>
      </c>
      <c r="U436" s="8">
        <f>2070482+13221681+212907</f>
        <v>15505070</v>
      </c>
      <c r="W436" s="8">
        <v>0</v>
      </c>
      <c r="Y436" s="8">
        <v>20297623</v>
      </c>
      <c r="AA436" s="14">
        <f t="shared" si="47"/>
        <v>35802693</v>
      </c>
      <c r="AB436" s="8"/>
      <c r="AC436" s="8">
        <f t="shared" si="44"/>
        <v>0</v>
      </c>
    </row>
    <row r="437" spans="1:29">
      <c r="A437" s="12" t="s">
        <v>224</v>
      </c>
      <c r="B437" s="12"/>
      <c r="C437" s="12" t="s">
        <v>12</v>
      </c>
      <c r="D437" s="12"/>
      <c r="E437" s="32">
        <v>45880</v>
      </c>
      <c r="G437" s="8">
        <v>404380</v>
      </c>
      <c r="I437" s="8">
        <v>0</v>
      </c>
      <c r="K437" s="3">
        <f t="shared" si="48"/>
        <v>4469209</v>
      </c>
      <c r="M437" s="8">
        <v>4873589</v>
      </c>
      <c r="O437" s="3">
        <f t="shared" si="49"/>
        <v>1222301</v>
      </c>
      <c r="Q437" s="8">
        <v>2905579</v>
      </c>
      <c r="S437" s="8">
        <v>4127880</v>
      </c>
      <c r="U437" s="8">
        <f>21879+416774+1131808</f>
        <v>1570461</v>
      </c>
      <c r="W437" s="8">
        <v>0</v>
      </c>
      <c r="Y437" s="8">
        <v>-824752</v>
      </c>
      <c r="AA437" s="14">
        <f t="shared" si="47"/>
        <v>745709</v>
      </c>
      <c r="AB437" s="8"/>
      <c r="AC437" s="8">
        <f t="shared" si="44"/>
        <v>0</v>
      </c>
    </row>
    <row r="438" spans="1:29">
      <c r="A438" s="12" t="s">
        <v>903</v>
      </c>
      <c r="B438" s="12"/>
      <c r="C438" s="12" t="s">
        <v>56</v>
      </c>
      <c r="D438" s="12"/>
      <c r="E438" s="32"/>
      <c r="G438" s="8">
        <f>655015+2600000</f>
        <v>3255015</v>
      </c>
      <c r="I438" s="8">
        <v>180940</v>
      </c>
      <c r="K438" s="3">
        <f t="shared" si="48"/>
        <v>11343544</v>
      </c>
      <c r="M438" s="8">
        <v>14779499</v>
      </c>
      <c r="O438" s="3">
        <f t="shared" si="49"/>
        <v>3635888</v>
      </c>
      <c r="Q438" s="8">
        <v>10852659</v>
      </c>
      <c r="S438" s="8">
        <v>14488547</v>
      </c>
      <c r="U438" s="8">
        <f>25103+444981+180940</f>
        <v>651024</v>
      </c>
      <c r="W438" s="8">
        <v>0</v>
      </c>
      <c r="Y438" s="8">
        <v>-360072</v>
      </c>
      <c r="AA438" s="14">
        <f t="shared" si="47"/>
        <v>290952</v>
      </c>
      <c r="AB438" s="8"/>
      <c r="AC438" s="8">
        <f t="shared" si="44"/>
        <v>0</v>
      </c>
    </row>
    <row r="439" spans="1:29">
      <c r="A439" s="12" t="s">
        <v>411</v>
      </c>
      <c r="B439" s="12"/>
      <c r="C439" s="12" t="s">
        <v>32</v>
      </c>
      <c r="D439" s="12"/>
      <c r="E439" s="32">
        <v>44693</v>
      </c>
      <c r="G439" s="8">
        <v>1065691</v>
      </c>
      <c r="I439" s="8">
        <v>0</v>
      </c>
      <c r="K439" s="3">
        <f t="shared" si="48"/>
        <v>7652283</v>
      </c>
      <c r="M439" s="8">
        <v>8717974</v>
      </c>
      <c r="O439" s="3">
        <f t="shared" si="49"/>
        <v>1136107</v>
      </c>
      <c r="Q439" s="8">
        <v>5006282</v>
      </c>
      <c r="S439" s="8">
        <v>6142389</v>
      </c>
      <c r="U439" s="8">
        <f>85823+2501630+102848</f>
        <v>2690301</v>
      </c>
      <c r="W439" s="8">
        <v>0</v>
      </c>
      <c r="Y439" s="8">
        <v>-114716</v>
      </c>
      <c r="AA439" s="14">
        <f t="shared" si="47"/>
        <v>2575585</v>
      </c>
      <c r="AB439" s="8"/>
      <c r="AC439" s="8">
        <f t="shared" si="44"/>
        <v>0</v>
      </c>
    </row>
    <row r="440" spans="1:29">
      <c r="A440" s="12" t="s">
        <v>675</v>
      </c>
      <c r="B440" s="12"/>
      <c r="C440" s="12" t="s">
        <v>63</v>
      </c>
      <c r="D440" s="12"/>
      <c r="E440" s="32">
        <v>50054</v>
      </c>
      <c r="G440" s="8">
        <v>14611542</v>
      </c>
      <c r="I440" s="8">
        <v>0</v>
      </c>
      <c r="K440" s="3">
        <f t="shared" si="48"/>
        <v>23124157</v>
      </c>
      <c r="M440" s="8">
        <v>37735699</v>
      </c>
      <c r="O440" s="3">
        <f t="shared" si="49"/>
        <v>3634942</v>
      </c>
      <c r="Q440" s="8">
        <v>20974648</v>
      </c>
      <c r="S440" s="8">
        <v>24609590</v>
      </c>
      <c r="U440" s="8">
        <f>1045310+1991546</f>
        <v>3036856</v>
      </c>
      <c r="W440" s="8">
        <v>0</v>
      </c>
      <c r="Y440" s="8">
        <v>10089253</v>
      </c>
      <c r="AA440" s="14">
        <f t="shared" si="47"/>
        <v>13126109</v>
      </c>
      <c r="AB440" s="8"/>
      <c r="AC440" s="8">
        <f t="shared" si="44"/>
        <v>0</v>
      </c>
    </row>
    <row r="441" spans="1:29">
      <c r="A441" s="12" t="s">
        <v>366</v>
      </c>
      <c r="B441" s="12"/>
      <c r="C441" s="12" t="s">
        <v>27</v>
      </c>
      <c r="D441" s="12"/>
      <c r="E441" s="32">
        <v>47001</v>
      </c>
      <c r="G441" s="8">
        <v>8882327</v>
      </c>
      <c r="I441" s="8">
        <v>172006</v>
      </c>
      <c r="K441" s="3">
        <f t="shared" si="48"/>
        <v>20237910</v>
      </c>
      <c r="M441" s="8">
        <v>29292243</v>
      </c>
      <c r="O441" s="3">
        <f t="shared" si="49"/>
        <v>22081127</v>
      </c>
      <c r="Q441" s="8">
        <v>958761</v>
      </c>
      <c r="S441" s="8">
        <v>23039888</v>
      </c>
      <c r="U441" s="8">
        <f>157119+187286+3762632+172006</f>
        <v>4279043</v>
      </c>
      <c r="W441" s="8">
        <v>1170609</v>
      </c>
      <c r="Y441" s="8">
        <v>802703</v>
      </c>
      <c r="AA441" s="14">
        <f t="shared" si="47"/>
        <v>6252355</v>
      </c>
      <c r="AB441" s="8"/>
      <c r="AC441" s="8">
        <f t="shared" si="44"/>
        <v>0</v>
      </c>
    </row>
    <row r="442" spans="1:29" hidden="1">
      <c r="A442" s="12" t="s">
        <v>322</v>
      </c>
      <c r="B442" s="12"/>
      <c r="C442" s="12" t="s">
        <v>20</v>
      </c>
      <c r="D442" s="12"/>
      <c r="E442" s="32">
        <v>46599</v>
      </c>
      <c r="K442" s="3">
        <f t="shared" si="48"/>
        <v>0</v>
      </c>
      <c r="O442" s="3">
        <f t="shared" si="49"/>
        <v>0</v>
      </c>
      <c r="AA442" s="14">
        <f t="shared" si="47"/>
        <v>0</v>
      </c>
      <c r="AB442" s="8"/>
      <c r="AC442" s="8">
        <f t="shared" si="44"/>
        <v>0</v>
      </c>
    </row>
    <row r="443" spans="1:29">
      <c r="A443" s="12" t="s">
        <v>529</v>
      </c>
      <c r="B443" s="12"/>
      <c r="C443" s="12" t="s">
        <v>46</v>
      </c>
      <c r="D443" s="12"/>
      <c r="E443" s="32">
        <v>48439</v>
      </c>
      <c r="G443" s="8">
        <v>1685924</v>
      </c>
      <c r="I443" s="8">
        <v>0</v>
      </c>
      <c r="K443" s="3">
        <f t="shared" si="48"/>
        <v>3072109</v>
      </c>
      <c r="M443" s="8">
        <v>4758033</v>
      </c>
      <c r="O443" s="3">
        <f t="shared" si="49"/>
        <v>744046</v>
      </c>
      <c r="Q443" s="8">
        <f>200724+1758245</f>
        <v>1958969</v>
      </c>
      <c r="S443" s="8">
        <v>2703015</v>
      </c>
      <c r="U443" s="8">
        <f>64869+42376+739511+4790+308619</f>
        <v>1160165</v>
      </c>
      <c r="W443" s="8">
        <v>0</v>
      </c>
      <c r="Y443" s="8">
        <v>894853</v>
      </c>
      <c r="AA443" s="14">
        <f t="shared" si="47"/>
        <v>2055018</v>
      </c>
      <c r="AB443" s="8"/>
      <c r="AC443" s="8">
        <f t="shared" si="44"/>
        <v>0</v>
      </c>
    </row>
    <row r="444" spans="1:29">
      <c r="A444" s="12" t="s">
        <v>429</v>
      </c>
      <c r="B444" s="12"/>
      <c r="C444" s="12" t="s">
        <v>426</v>
      </c>
      <c r="D444" s="12"/>
      <c r="E444" s="32">
        <v>47506</v>
      </c>
      <c r="G444" s="8">
        <v>1216360</v>
      </c>
      <c r="I444" s="8">
        <v>0</v>
      </c>
      <c r="K444" s="3">
        <f t="shared" si="48"/>
        <v>1244329</v>
      </c>
      <c r="M444" s="8">
        <v>2460689</v>
      </c>
      <c r="O444" s="3">
        <f t="shared" si="49"/>
        <v>465478</v>
      </c>
      <c r="Q444" s="8">
        <v>880550</v>
      </c>
      <c r="S444" s="8">
        <v>1346028</v>
      </c>
      <c r="U444" s="8">
        <f>22763+89714+7102</f>
        <v>119579</v>
      </c>
      <c r="W444" s="8">
        <v>0</v>
      </c>
      <c r="Y444" s="8">
        <v>995082</v>
      </c>
      <c r="AA444" s="14">
        <f t="shared" si="47"/>
        <v>1114661</v>
      </c>
      <c r="AB444" s="8"/>
      <c r="AC444" s="8">
        <f t="shared" si="44"/>
        <v>0</v>
      </c>
    </row>
    <row r="445" spans="1:29">
      <c r="A445" s="12" t="s">
        <v>292</v>
      </c>
      <c r="B445" s="12"/>
      <c r="C445" s="12" t="s">
        <v>19</v>
      </c>
      <c r="D445" s="12"/>
      <c r="E445" s="32">
        <v>46474</v>
      </c>
      <c r="G445" s="8">
        <v>3743388</v>
      </c>
      <c r="I445" s="8">
        <v>0</v>
      </c>
      <c r="K445" s="3">
        <f t="shared" si="48"/>
        <v>2789412</v>
      </c>
      <c r="M445" s="8">
        <v>6532800</v>
      </c>
      <c r="O445" s="3">
        <f t="shared" si="49"/>
        <v>1077356</v>
      </c>
      <c r="Q445" s="8">
        <f>193201+2408525</f>
        <v>2601726</v>
      </c>
      <c r="S445" s="8">
        <v>3679082</v>
      </c>
      <c r="U445" s="8">
        <f>17949+12468+112875+42320+3744</f>
        <v>189356</v>
      </c>
      <c r="W445" s="8">
        <v>54777</v>
      </c>
      <c r="Y445" s="8">
        <v>2609585</v>
      </c>
      <c r="AA445" s="14">
        <f t="shared" si="47"/>
        <v>2853718</v>
      </c>
      <c r="AB445" s="8"/>
      <c r="AC445" s="8">
        <f t="shared" si="44"/>
        <v>0</v>
      </c>
    </row>
    <row r="446" spans="1:29">
      <c r="A446" s="12" t="s">
        <v>904</v>
      </c>
      <c r="B446" s="12"/>
      <c r="C446" s="12" t="s">
        <v>77</v>
      </c>
      <c r="D446" s="12"/>
      <c r="E446" s="32">
        <v>46078</v>
      </c>
      <c r="G446" s="8">
        <v>532759</v>
      </c>
      <c r="I446" s="8">
        <v>0</v>
      </c>
      <c r="K446" s="3">
        <f t="shared" si="48"/>
        <v>2114235</v>
      </c>
      <c r="M446" s="8">
        <v>2646994</v>
      </c>
      <c r="O446" s="3">
        <f t="shared" si="49"/>
        <v>1033282</v>
      </c>
      <c r="Q446" s="8">
        <v>1627143</v>
      </c>
      <c r="S446" s="8">
        <v>2660425</v>
      </c>
      <c r="U446" s="8">
        <f>63397+308704+9060</f>
        <v>381161</v>
      </c>
      <c r="W446" s="8">
        <v>0</v>
      </c>
      <c r="Y446" s="8">
        <v>-394592</v>
      </c>
      <c r="AA446" s="14">
        <f t="shared" si="47"/>
        <v>-13431</v>
      </c>
      <c r="AB446" s="8"/>
      <c r="AC446" s="8">
        <f t="shared" si="44"/>
        <v>0</v>
      </c>
    </row>
    <row r="447" spans="1:29">
      <c r="A447" s="12" t="s">
        <v>730</v>
      </c>
      <c r="B447" s="12"/>
      <c r="C447" s="12" t="s">
        <v>71</v>
      </c>
      <c r="D447" s="12"/>
      <c r="E447" s="32">
        <v>45591</v>
      </c>
      <c r="G447" s="8">
        <v>1281571</v>
      </c>
      <c r="I447" s="8">
        <v>0</v>
      </c>
      <c r="K447" s="3">
        <f t="shared" si="48"/>
        <v>4668694</v>
      </c>
      <c r="M447" s="8">
        <v>5950265</v>
      </c>
      <c r="O447" s="3">
        <f t="shared" si="49"/>
        <v>1218104</v>
      </c>
      <c r="Q447" s="8">
        <v>2968575</v>
      </c>
      <c r="S447" s="8">
        <v>4186679</v>
      </c>
      <c r="U447" s="8">
        <f>75523+9716+194474+96299+65585</f>
        <v>441597</v>
      </c>
      <c r="W447" s="8">
        <v>0</v>
      </c>
      <c r="Y447" s="8">
        <v>1321989</v>
      </c>
      <c r="AA447" s="14">
        <f t="shared" si="47"/>
        <v>1763586</v>
      </c>
      <c r="AB447" s="8"/>
      <c r="AC447" s="8">
        <f t="shared" si="44"/>
        <v>0</v>
      </c>
    </row>
    <row r="448" spans="1:29">
      <c r="A448" s="12" t="s">
        <v>530</v>
      </c>
      <c r="B448" s="12"/>
      <c r="C448" s="12" t="s">
        <v>46</v>
      </c>
      <c r="D448" s="12"/>
      <c r="E448" s="32">
        <v>48447</v>
      </c>
      <c r="G448" s="8">
        <v>2214596</v>
      </c>
      <c r="I448" s="8">
        <v>0</v>
      </c>
      <c r="K448" s="3">
        <f t="shared" si="48"/>
        <v>9792247</v>
      </c>
      <c r="M448" s="8">
        <v>12006843</v>
      </c>
      <c r="O448" s="3">
        <f t="shared" si="49"/>
        <v>1817856</v>
      </c>
      <c r="Q448" s="8">
        <v>7540222</v>
      </c>
      <c r="S448" s="8">
        <v>9358078</v>
      </c>
      <c r="U448" s="8">
        <f>1995279+11556+57054</f>
        <v>2063889</v>
      </c>
      <c r="W448" s="8">
        <v>85600</v>
      </c>
      <c r="Y448" s="8">
        <v>499276</v>
      </c>
      <c r="AA448" s="14">
        <f t="shared" si="47"/>
        <v>2648765</v>
      </c>
      <c r="AB448" s="8"/>
      <c r="AC448" s="8">
        <f t="shared" si="44"/>
        <v>0</v>
      </c>
    </row>
    <row r="449" spans="1:29">
      <c r="A449" s="12" t="s">
        <v>293</v>
      </c>
      <c r="B449" s="12"/>
      <c r="C449" s="12" t="s">
        <v>19</v>
      </c>
      <c r="D449" s="12"/>
      <c r="E449" s="32">
        <v>46482</v>
      </c>
      <c r="G449" s="8">
        <v>4227929</v>
      </c>
      <c r="I449" s="8">
        <v>0</v>
      </c>
      <c r="K449" s="3">
        <f t="shared" si="48"/>
        <v>8022122</v>
      </c>
      <c r="M449" s="8">
        <v>12250051</v>
      </c>
      <c r="O449" s="3">
        <f t="shared" si="49"/>
        <v>1820091</v>
      </c>
      <c r="Q449" s="8">
        <v>7311457</v>
      </c>
      <c r="S449" s="8">
        <v>9131548</v>
      </c>
      <c r="U449" s="8">
        <f>316617+231968+2600</f>
        <v>551185</v>
      </c>
      <c r="W449" s="8">
        <v>80351</v>
      </c>
      <c r="Y449" s="8">
        <v>2486967</v>
      </c>
      <c r="AA449" s="14">
        <f t="shared" si="47"/>
        <v>3118503</v>
      </c>
      <c r="AB449" s="8"/>
      <c r="AC449" s="8">
        <f t="shared" si="44"/>
        <v>0</v>
      </c>
    </row>
    <row r="450" spans="1:29">
      <c r="A450" s="12" t="s">
        <v>430</v>
      </c>
      <c r="B450" s="12"/>
      <c r="C450" s="12" t="s">
        <v>426</v>
      </c>
      <c r="D450" s="12"/>
      <c r="E450" s="32">
        <v>47514</v>
      </c>
      <c r="G450" s="8">
        <v>1711300</v>
      </c>
      <c r="I450" s="8">
        <v>0</v>
      </c>
      <c r="K450" s="3">
        <f t="shared" si="48"/>
        <v>2030520</v>
      </c>
      <c r="M450" s="8">
        <v>3741820</v>
      </c>
      <c r="O450" s="3">
        <f t="shared" si="49"/>
        <v>1041084</v>
      </c>
      <c r="Q450" s="8">
        <v>1444920</v>
      </c>
      <c r="S450" s="8">
        <v>2486004</v>
      </c>
      <c r="U450" s="8">
        <f>36420+98027+7186+78954+34136</f>
        <v>254723</v>
      </c>
      <c r="W450" s="8">
        <v>0</v>
      </c>
      <c r="Y450" s="8">
        <v>1001093</v>
      </c>
      <c r="AA450" s="14">
        <f t="shared" si="47"/>
        <v>1255816</v>
      </c>
      <c r="AB450" s="8"/>
      <c r="AC450" s="8">
        <f t="shared" si="44"/>
        <v>0</v>
      </c>
    </row>
    <row r="451" spans="1:29">
      <c r="A451" s="12" t="s">
        <v>488</v>
      </c>
      <c r="B451" s="12"/>
      <c r="C451" s="12" t="s">
        <v>41</v>
      </c>
      <c r="D451" s="12"/>
      <c r="E451" s="32"/>
      <c r="G451" s="8">
        <f>6261615+1165</f>
        <v>6262780</v>
      </c>
      <c r="I451" s="8">
        <v>0</v>
      </c>
      <c r="K451" s="3">
        <f t="shared" si="48"/>
        <v>32187781</v>
      </c>
      <c r="M451" s="8">
        <v>38450561</v>
      </c>
      <c r="O451" s="3">
        <f t="shared" si="49"/>
        <v>4466514</v>
      </c>
      <c r="Q451" s="8">
        <v>28635277</v>
      </c>
      <c r="S451" s="8">
        <v>33101791</v>
      </c>
      <c r="U451" s="8">
        <f>616581+211328+1692085</f>
        <v>2519994</v>
      </c>
      <c r="W451" s="8">
        <v>585565</v>
      </c>
      <c r="Y451" s="8">
        <v>2243211</v>
      </c>
      <c r="AA451" s="14">
        <f t="shared" si="47"/>
        <v>5348770</v>
      </c>
      <c r="AB451" s="8"/>
      <c r="AC451" s="8">
        <f t="shared" si="44"/>
        <v>0</v>
      </c>
    </row>
    <row r="452" spans="1:29">
      <c r="A452" s="12" t="s">
        <v>488</v>
      </c>
      <c r="B452" s="12"/>
      <c r="C452" s="12" t="s">
        <v>43</v>
      </c>
      <c r="D452" s="12"/>
      <c r="E452" s="32">
        <v>48090</v>
      </c>
      <c r="G452" s="8">
        <v>731569</v>
      </c>
      <c r="I452" s="8">
        <v>0</v>
      </c>
      <c r="K452" s="3">
        <f t="shared" si="48"/>
        <v>1872554</v>
      </c>
      <c r="M452" s="8">
        <v>2604123</v>
      </c>
      <c r="O452" s="3">
        <f t="shared" si="49"/>
        <v>637127</v>
      </c>
      <c r="Q452" s="8">
        <f>99288+1478491</f>
        <v>1577779</v>
      </c>
      <c r="S452" s="8">
        <v>2214906</v>
      </c>
      <c r="U452" s="8">
        <f>25079+10678+67558</f>
        <v>103315</v>
      </c>
      <c r="W452" s="8">
        <v>0</v>
      </c>
      <c r="Y452" s="8">
        <v>285902</v>
      </c>
      <c r="AA452" s="14">
        <f t="shared" si="47"/>
        <v>389217</v>
      </c>
      <c r="AB452" s="8"/>
      <c r="AC452" s="8">
        <f t="shared" si="44"/>
        <v>0</v>
      </c>
    </row>
    <row r="453" spans="1:29">
      <c r="A453" s="12" t="s">
        <v>475</v>
      </c>
      <c r="B453" s="12"/>
      <c r="C453" s="12" t="s">
        <v>471</v>
      </c>
      <c r="D453" s="12"/>
      <c r="E453" s="32">
        <v>47944</v>
      </c>
      <c r="G453" s="8">
        <v>3744456</v>
      </c>
      <c r="I453" s="8">
        <v>0</v>
      </c>
      <c r="K453" s="3">
        <f t="shared" si="48"/>
        <v>2181448</v>
      </c>
      <c r="M453" s="8">
        <v>5925904</v>
      </c>
      <c r="O453" s="3">
        <f t="shared" si="49"/>
        <v>1929918</v>
      </c>
      <c r="Q453" s="8">
        <v>1516645</v>
      </c>
      <c r="S453" s="8">
        <v>3446563</v>
      </c>
      <c r="U453" s="8">
        <f>582843+124918+300293+193808</f>
        <v>1201862</v>
      </c>
      <c r="W453" s="8">
        <v>0</v>
      </c>
      <c r="Y453" s="8">
        <v>1277479</v>
      </c>
      <c r="AA453" s="14">
        <f t="shared" si="47"/>
        <v>2479341</v>
      </c>
      <c r="AB453" s="8"/>
      <c r="AC453" s="8">
        <f t="shared" si="44"/>
        <v>0</v>
      </c>
    </row>
    <row r="454" spans="1:29">
      <c r="A454" s="12" t="s">
        <v>323</v>
      </c>
      <c r="B454" s="12"/>
      <c r="C454" s="12" t="s">
        <v>20</v>
      </c>
      <c r="D454" s="12"/>
      <c r="E454" s="32">
        <v>44701</v>
      </c>
      <c r="G454" s="8">
        <v>0</v>
      </c>
      <c r="I454" s="8">
        <v>0</v>
      </c>
      <c r="K454" s="3">
        <f t="shared" si="48"/>
        <v>25398150</v>
      </c>
      <c r="M454" s="8">
        <v>25398150</v>
      </c>
      <c r="O454" s="3">
        <f t="shared" si="49"/>
        <v>4830351</v>
      </c>
      <c r="Q454" s="8">
        <f>1427013+20811937</f>
        <v>22238950</v>
      </c>
      <c r="S454" s="8">
        <v>27069301</v>
      </c>
      <c r="U454" s="8">
        <f>224320+2798621+343553+11195</f>
        <v>3377689</v>
      </c>
      <c r="W454" s="8">
        <v>0</v>
      </c>
      <c r="Y454" s="8">
        <v>-5048840</v>
      </c>
      <c r="AA454" s="14">
        <f t="shared" si="47"/>
        <v>-1671151</v>
      </c>
      <c r="AB454" s="8"/>
      <c r="AC454" s="8">
        <f t="shared" si="44"/>
        <v>0</v>
      </c>
    </row>
    <row r="455" spans="1:29">
      <c r="A455" s="12" t="s">
        <v>395</v>
      </c>
      <c r="B455" s="12"/>
      <c r="C455" s="12" t="s">
        <v>31</v>
      </c>
      <c r="D455" s="12"/>
      <c r="E455" s="32">
        <v>47308</v>
      </c>
      <c r="G455" s="8">
        <v>646963</v>
      </c>
      <c r="I455" s="8">
        <v>750293</v>
      </c>
      <c r="K455" s="3">
        <f t="shared" si="48"/>
        <v>5950893</v>
      </c>
      <c r="M455" s="8">
        <v>7348149</v>
      </c>
      <c r="O455" s="3">
        <f t="shared" si="49"/>
        <v>1841967</v>
      </c>
      <c r="Q455" s="8">
        <v>4357901</v>
      </c>
      <c r="S455" s="8">
        <v>6199868</v>
      </c>
      <c r="U455" s="8">
        <f>296880+579436+149913+1339723+25906</f>
        <v>2391858</v>
      </c>
      <c r="W455" s="8">
        <v>0</v>
      </c>
      <c r="Y455" s="8">
        <v>-1243577</v>
      </c>
      <c r="AA455" s="14">
        <f t="shared" si="47"/>
        <v>1148281</v>
      </c>
      <c r="AB455" s="8"/>
      <c r="AC455" s="8">
        <f t="shared" si="44"/>
        <v>0</v>
      </c>
    </row>
    <row r="456" spans="1:29">
      <c r="A456" s="12" t="s">
        <v>600</v>
      </c>
      <c r="B456" s="12"/>
      <c r="C456" s="12" t="s">
        <v>56</v>
      </c>
      <c r="D456" s="12"/>
      <c r="E456" s="32">
        <v>49213</v>
      </c>
      <c r="G456" s="8">
        <v>248430</v>
      </c>
      <c r="I456" s="8">
        <v>0</v>
      </c>
      <c r="K456" s="3">
        <f t="shared" si="48"/>
        <v>5013825</v>
      </c>
      <c r="M456" s="8">
        <v>5262255</v>
      </c>
      <c r="O456" s="3">
        <f t="shared" si="49"/>
        <v>1345946</v>
      </c>
      <c r="Q456" s="8">
        <v>4763826</v>
      </c>
      <c r="S456" s="8">
        <v>6109772</v>
      </c>
      <c r="U456" s="8">
        <f>4114+56526+178986+5539</f>
        <v>245165</v>
      </c>
      <c r="W456" s="8">
        <v>0</v>
      </c>
      <c r="Y456" s="8">
        <v>-1092682</v>
      </c>
      <c r="AA456" s="14">
        <f t="shared" si="47"/>
        <v>-847517</v>
      </c>
      <c r="AB456" s="8"/>
      <c r="AC456" s="8">
        <f t="shared" si="44"/>
        <v>0</v>
      </c>
    </row>
    <row r="457" spans="1:29">
      <c r="A457" s="12" t="s">
        <v>254</v>
      </c>
      <c r="B457" s="12"/>
      <c r="C457" s="12" t="s">
        <v>246</v>
      </c>
      <c r="D457" s="12"/>
      <c r="E457" s="32">
        <v>46144</v>
      </c>
      <c r="G457" s="8">
        <v>2955019</v>
      </c>
      <c r="I457" s="8">
        <v>0</v>
      </c>
      <c r="K457" s="3">
        <f t="shared" si="48"/>
        <v>10998753</v>
      </c>
      <c r="M457" s="8">
        <v>13953772</v>
      </c>
      <c r="O457" s="3">
        <f t="shared" si="49"/>
        <v>2324271</v>
      </c>
      <c r="Q457" s="8">
        <v>9173898</v>
      </c>
      <c r="S457" s="8">
        <v>11498169</v>
      </c>
      <c r="U457" s="8">
        <f>484594+163085+1438</f>
        <v>649117</v>
      </c>
      <c r="W457" s="8">
        <v>392800</v>
      </c>
      <c r="Y457" s="8">
        <f>1413686</f>
        <v>1413686</v>
      </c>
      <c r="AA457" s="14">
        <f t="shared" si="47"/>
        <v>2455603</v>
      </c>
      <c r="AB457" s="8"/>
      <c r="AC457" s="8">
        <f t="shared" si="44"/>
        <v>0</v>
      </c>
    </row>
    <row r="458" spans="1:29">
      <c r="A458" s="12" t="s">
        <v>745</v>
      </c>
      <c r="B458" s="12"/>
      <c r="C458" s="12" t="s">
        <v>72</v>
      </c>
      <c r="D458" s="12"/>
      <c r="E458" s="32">
        <v>45609</v>
      </c>
      <c r="G458" s="8">
        <v>9942875</v>
      </c>
      <c r="I458" s="8">
        <v>0</v>
      </c>
      <c r="K458" s="3">
        <f t="shared" si="48"/>
        <v>40963030</v>
      </c>
      <c r="M458" s="8">
        <v>50905905</v>
      </c>
      <c r="O458" s="3">
        <f t="shared" si="49"/>
        <v>3041654</v>
      </c>
      <c r="Q458" s="8">
        <v>38175264</v>
      </c>
      <c r="S458" s="8">
        <v>41216918</v>
      </c>
      <c r="U458" s="8">
        <f>2060303+672270+15917+472941</f>
        <v>3221431</v>
      </c>
      <c r="W458" s="8">
        <v>0</v>
      </c>
      <c r="Y458" s="8">
        <v>6467556</v>
      </c>
      <c r="AA458" s="14">
        <f t="shared" si="47"/>
        <v>9688987</v>
      </c>
      <c r="AB458" s="8"/>
      <c r="AC458" s="8">
        <f t="shared" si="44"/>
        <v>0</v>
      </c>
    </row>
    <row r="459" spans="1:29">
      <c r="A459" s="12" t="s">
        <v>651</v>
      </c>
      <c r="B459" s="12"/>
      <c r="C459" s="12" t="s">
        <v>61</v>
      </c>
      <c r="D459" s="12"/>
      <c r="E459" s="32">
        <v>49817</v>
      </c>
      <c r="G459" s="8">
        <v>1226097</v>
      </c>
      <c r="I459" s="8">
        <v>0</v>
      </c>
      <c r="K459" s="3">
        <f t="shared" si="48"/>
        <v>1027043</v>
      </c>
      <c r="M459" s="8">
        <v>2253140</v>
      </c>
      <c r="O459" s="3">
        <f t="shared" si="49"/>
        <v>415187</v>
      </c>
      <c r="Q459" s="8">
        <v>823447</v>
      </c>
      <c r="S459" s="8">
        <v>1238634</v>
      </c>
      <c r="U459" s="8">
        <f>3759+73151+14017</f>
        <v>90927</v>
      </c>
      <c r="W459" s="8">
        <v>0</v>
      </c>
      <c r="Y459" s="8">
        <v>923579</v>
      </c>
      <c r="AA459" s="14">
        <f t="shared" si="47"/>
        <v>1014506</v>
      </c>
      <c r="AB459" s="8"/>
      <c r="AC459" s="8">
        <f t="shared" si="44"/>
        <v>0</v>
      </c>
    </row>
    <row r="460" spans="1:29">
      <c r="A460" s="12" t="s">
        <v>839</v>
      </c>
      <c r="B460" s="12"/>
      <c r="C460" s="12" t="s">
        <v>115</v>
      </c>
      <c r="D460" s="12"/>
      <c r="E460" s="32"/>
      <c r="G460" s="8">
        <v>666742</v>
      </c>
      <c r="I460" s="8">
        <v>0</v>
      </c>
      <c r="K460" s="3">
        <f>+M460-I460-G460</f>
        <v>11501692</v>
      </c>
      <c r="M460" s="8">
        <v>12168434</v>
      </c>
      <c r="O460" s="3">
        <f>+S460-Q460</f>
        <v>11783822</v>
      </c>
      <c r="Q460" s="8">
        <v>1019326</v>
      </c>
      <c r="S460" s="8">
        <v>12803148</v>
      </c>
      <c r="U460" s="8">
        <f>20099+11000+316651+11879+3033</f>
        <v>362662</v>
      </c>
      <c r="W460" s="8">
        <v>0</v>
      </c>
      <c r="Y460" s="8">
        <v>-997376</v>
      </c>
      <c r="AA460" s="14">
        <f>+Y460+W460++U460</f>
        <v>-634714</v>
      </c>
      <c r="AB460" s="8"/>
      <c r="AC460" s="8">
        <f t="shared" si="44"/>
        <v>0</v>
      </c>
    </row>
    <row r="461" spans="1:29">
      <c r="A461" s="12" t="s">
        <v>345</v>
      </c>
      <c r="B461" s="12"/>
      <c r="C461" s="12" t="s">
        <v>24</v>
      </c>
      <c r="D461" s="12"/>
      <c r="E461" s="32">
        <v>44743</v>
      </c>
      <c r="G461" s="8">
        <v>5505807</v>
      </c>
      <c r="I461" s="8">
        <v>0</v>
      </c>
      <c r="K461" s="3">
        <f>+M461-I461-G461</f>
        <v>20068483</v>
      </c>
      <c r="M461" s="8">
        <v>25574290</v>
      </c>
      <c r="O461" s="3">
        <f>+S461-Q461</f>
        <v>22211189</v>
      </c>
      <c r="Q461" s="8">
        <v>1800806</v>
      </c>
      <c r="S461" s="8">
        <v>24011995</v>
      </c>
      <c r="U461" s="8">
        <f>21464+232807+6128+1642647</f>
        <v>1903046</v>
      </c>
      <c r="W461" s="8">
        <v>0</v>
      </c>
      <c r="Y461" s="8">
        <v>-340751</v>
      </c>
      <c r="AA461" s="14">
        <f>+Y461+W461++U461</f>
        <v>1562295</v>
      </c>
      <c r="AB461" s="8"/>
      <c r="AC461" s="8">
        <f t="shared" si="44"/>
        <v>0</v>
      </c>
    </row>
    <row r="462" spans="1:29">
      <c r="A462" s="12" t="s">
        <v>665</v>
      </c>
      <c r="B462" s="12"/>
      <c r="C462" s="12" t="s">
        <v>62</v>
      </c>
      <c r="D462" s="12"/>
      <c r="E462" s="32">
        <v>49940</v>
      </c>
      <c r="G462" s="8">
        <v>2307391</v>
      </c>
      <c r="I462" s="8">
        <v>25788</v>
      </c>
      <c r="K462" s="3">
        <f>+M462-I462-G462</f>
        <v>3695959</v>
      </c>
      <c r="M462" s="8">
        <v>6029138</v>
      </c>
      <c r="O462" s="3">
        <f>+S462-Q462</f>
        <v>4924572</v>
      </c>
      <c r="Q462" s="8">
        <v>272446</v>
      </c>
      <c r="S462" s="8">
        <v>5197018</v>
      </c>
      <c r="U462" s="8">
        <f>62320+310315+8453+25788</f>
        <v>406876</v>
      </c>
      <c r="W462" s="8">
        <v>0</v>
      </c>
      <c r="Y462" s="8">
        <v>425244</v>
      </c>
      <c r="AA462" s="14">
        <f>+Y462+W462++U462</f>
        <v>832120</v>
      </c>
      <c r="AB462" s="8"/>
      <c r="AC462" s="8">
        <f t="shared" si="44"/>
        <v>0</v>
      </c>
    </row>
    <row r="463" spans="1:29">
      <c r="A463" s="12" t="s">
        <v>592</v>
      </c>
      <c r="B463" s="12"/>
      <c r="C463" s="12" t="s">
        <v>55</v>
      </c>
      <c r="D463" s="12"/>
      <c r="E463" s="32"/>
      <c r="G463" s="8">
        <v>7486372</v>
      </c>
      <c r="I463" s="8">
        <v>230226</v>
      </c>
      <c r="K463" s="3">
        <f>+M463-I463-G463</f>
        <v>3354357</v>
      </c>
      <c r="M463" s="8">
        <v>11070955</v>
      </c>
      <c r="O463" s="3">
        <f>+S463-Q463</f>
        <v>1527071</v>
      </c>
      <c r="Q463" s="8">
        <v>2930187</v>
      </c>
      <c r="S463" s="8">
        <v>4457258</v>
      </c>
      <c r="U463" s="8">
        <f>405041+166355+230226</f>
        <v>801622</v>
      </c>
      <c r="W463" s="8">
        <v>0</v>
      </c>
      <c r="Y463" s="8">
        <f>5812075</f>
        <v>5812075</v>
      </c>
      <c r="AA463" s="14">
        <f>+Y463+W463++U463</f>
        <v>6613697</v>
      </c>
      <c r="AB463" s="8"/>
      <c r="AC463" s="8">
        <f t="shared" si="44"/>
        <v>0</v>
      </c>
    </row>
    <row r="464" spans="1:29">
      <c r="A464" s="12" t="s">
        <v>521</v>
      </c>
      <c r="B464" s="12"/>
      <c r="C464" s="12" t="s">
        <v>45</v>
      </c>
      <c r="D464" s="12"/>
      <c r="E464" s="32">
        <v>48355</v>
      </c>
      <c r="G464" s="8">
        <v>855524</v>
      </c>
      <c r="I464" s="8">
        <v>25876</v>
      </c>
      <c r="K464" s="3">
        <f>+M464-I464-G464</f>
        <v>1581508</v>
      </c>
      <c r="M464" s="8">
        <v>2462908</v>
      </c>
      <c r="O464" s="3">
        <f>+S464-Q464</f>
        <v>456588</v>
      </c>
      <c r="Q464" s="8">
        <v>1391524</v>
      </c>
      <c r="S464" s="8">
        <v>1848112</v>
      </c>
      <c r="U464" s="8">
        <f>119135+1869+24007</f>
        <v>145011</v>
      </c>
      <c r="W464" s="8">
        <v>0</v>
      </c>
      <c r="Y464" s="8">
        <f>469785</f>
        <v>469785</v>
      </c>
      <c r="AA464" s="14">
        <f>+Y464+W464++U464</f>
        <v>614796</v>
      </c>
      <c r="AB464" s="8"/>
      <c r="AC464" s="8">
        <f t="shared" si="44"/>
        <v>0</v>
      </c>
    </row>
    <row r="465" spans="1:29" s="8" customFormat="1">
      <c r="A465" s="13" t="s">
        <v>644</v>
      </c>
      <c r="B465" s="13"/>
      <c r="C465" s="13" t="s">
        <v>60</v>
      </c>
      <c r="D465" s="13"/>
      <c r="E465" s="13">
        <v>49684</v>
      </c>
      <c r="G465" s="8">
        <v>1156759</v>
      </c>
      <c r="I465" s="8">
        <v>0</v>
      </c>
      <c r="K465" s="3">
        <f t="shared" ref="K465:K484" si="50">+M465-I465-G465</f>
        <v>1825819</v>
      </c>
      <c r="M465" s="8">
        <v>2982578</v>
      </c>
      <c r="O465" s="3">
        <f t="shared" ref="O465:O484" si="51">+S465-Q465</f>
        <v>2177851</v>
      </c>
      <c r="Q465" s="8">
        <v>37827</v>
      </c>
      <c r="S465" s="8">
        <v>2215678</v>
      </c>
      <c r="U465" s="8">
        <f>40107+41920+319755</f>
        <v>401782</v>
      </c>
      <c r="W465" s="8">
        <v>0</v>
      </c>
      <c r="Y465" s="8">
        <f>365118</f>
        <v>365118</v>
      </c>
      <c r="AA465" s="14">
        <f t="shared" ref="AA465:AA484" si="52">+Y465+W465++U465</f>
        <v>766900</v>
      </c>
      <c r="AC465" s="8">
        <f t="shared" si="44"/>
        <v>0</v>
      </c>
    </row>
    <row r="466" spans="1:29">
      <c r="A466" s="12" t="s">
        <v>237</v>
      </c>
      <c r="B466" s="12"/>
      <c r="C466" s="12" t="s">
        <v>15</v>
      </c>
      <c r="D466" s="12"/>
      <c r="E466" s="32">
        <v>46003</v>
      </c>
      <c r="G466" s="8">
        <v>1235291</v>
      </c>
      <c r="I466" s="8">
        <v>7997</v>
      </c>
      <c r="K466" s="3">
        <f t="shared" si="50"/>
        <v>2790653</v>
      </c>
      <c r="M466" s="8">
        <v>4033941</v>
      </c>
      <c r="O466" s="3">
        <f t="shared" si="51"/>
        <v>771111</v>
      </c>
      <c r="Q466" s="8">
        <v>2512025</v>
      </c>
      <c r="S466" s="8">
        <v>3283136</v>
      </c>
      <c r="U466" s="8">
        <f>12818+209827+7997</f>
        <v>230642</v>
      </c>
      <c r="W466" s="8">
        <v>0</v>
      </c>
      <c r="Y466" s="8">
        <v>520163</v>
      </c>
      <c r="AA466" s="14">
        <f t="shared" si="52"/>
        <v>750805</v>
      </c>
      <c r="AB466" s="8"/>
      <c r="AC466" s="8">
        <f t="shared" ref="AC466:AC476" si="53">+G466+I466+K466-O466-Q466-Y466-W466-U466</f>
        <v>0</v>
      </c>
    </row>
    <row r="467" spans="1:29">
      <c r="A467" s="12" t="s">
        <v>324</v>
      </c>
      <c r="B467" s="12"/>
      <c r="C467" s="12" t="s">
        <v>20</v>
      </c>
      <c r="D467" s="12"/>
      <c r="E467" s="32">
        <v>44750</v>
      </c>
      <c r="G467" s="8">
        <v>24342227</v>
      </c>
      <c r="I467" s="8">
        <v>353070</v>
      </c>
      <c r="K467" s="3">
        <f t="shared" si="50"/>
        <v>72416831</v>
      </c>
      <c r="M467" s="8">
        <v>97112128</v>
      </c>
      <c r="O467" s="3">
        <f t="shared" si="51"/>
        <v>10754320</v>
      </c>
      <c r="Q467" s="8">
        <f>65942720-3533372</f>
        <v>62409348</v>
      </c>
      <c r="S467" s="8">
        <f>78060587-4319390-577529</f>
        <v>73163668</v>
      </c>
      <c r="U467" s="8">
        <f>2759942+7856482+353070</f>
        <v>10969494</v>
      </c>
      <c r="W467" s="8">
        <v>0</v>
      </c>
      <c r="Y467" s="8">
        <v>12978966</v>
      </c>
      <c r="AA467" s="14">
        <f t="shared" si="52"/>
        <v>23948460</v>
      </c>
      <c r="AB467" s="8"/>
      <c r="AC467" s="8">
        <f t="shared" si="53"/>
        <v>0</v>
      </c>
    </row>
    <row r="468" spans="1:29">
      <c r="A468" s="12" t="s">
        <v>500</v>
      </c>
      <c r="B468" s="12"/>
      <c r="C468" s="12" t="s">
        <v>44</v>
      </c>
      <c r="D468" s="12"/>
      <c r="E468" s="32">
        <v>44768</v>
      </c>
      <c r="G468" s="8">
        <v>7781496</v>
      </c>
      <c r="I468" s="8">
        <v>0</v>
      </c>
      <c r="K468" s="3">
        <f t="shared" si="50"/>
        <v>12542350</v>
      </c>
      <c r="M468" s="8">
        <v>20323846</v>
      </c>
      <c r="O468" s="3">
        <f t="shared" si="51"/>
        <v>2251127</v>
      </c>
      <c r="Q468" s="8">
        <v>10948846</v>
      </c>
      <c r="S468" s="8">
        <v>13199973</v>
      </c>
      <c r="U468" s="8">
        <f>35113+1504917+356143</f>
        <v>1896173</v>
      </c>
      <c r="W468" s="8">
        <v>5227700</v>
      </c>
      <c r="Y468" s="8">
        <v>0</v>
      </c>
      <c r="AA468" s="14">
        <f t="shared" si="52"/>
        <v>7123873</v>
      </c>
      <c r="AB468" s="8"/>
      <c r="AC468" s="8">
        <f t="shared" si="53"/>
        <v>0</v>
      </c>
    </row>
    <row r="469" spans="1:29">
      <c r="A469" s="12" t="s">
        <v>620</v>
      </c>
      <c r="B469" s="12"/>
      <c r="C469" s="12" t="s">
        <v>113</v>
      </c>
      <c r="D469" s="12"/>
      <c r="E469" s="32">
        <v>44776</v>
      </c>
      <c r="G469" s="8">
        <v>3004222</v>
      </c>
      <c r="I469" s="8">
        <v>0</v>
      </c>
      <c r="K469" s="3">
        <f t="shared" si="50"/>
        <v>7417877</v>
      </c>
      <c r="M469" s="8">
        <v>10422099</v>
      </c>
      <c r="O469" s="3">
        <f t="shared" si="51"/>
        <v>2688467</v>
      </c>
      <c r="Q469" s="8">
        <v>5290126</v>
      </c>
      <c r="S469" s="8">
        <v>7978593</v>
      </c>
      <c r="U469" s="8">
        <f>235127+1065862</f>
        <v>1300989</v>
      </c>
      <c r="W469" s="8">
        <v>0</v>
      </c>
      <c r="Y469" s="8">
        <f>1142517</f>
        <v>1142517</v>
      </c>
      <c r="AA469" s="14">
        <f t="shared" si="52"/>
        <v>2443506</v>
      </c>
      <c r="AB469" s="8"/>
      <c r="AC469" s="8">
        <f t="shared" si="53"/>
        <v>0</v>
      </c>
    </row>
    <row r="470" spans="1:29" hidden="1">
      <c r="A470" s="12" t="s">
        <v>652</v>
      </c>
      <c r="B470" s="12"/>
      <c r="C470" s="12" t="s">
        <v>61</v>
      </c>
      <c r="D470" s="12"/>
      <c r="E470" s="32">
        <v>44784</v>
      </c>
      <c r="K470" s="3">
        <f t="shared" si="50"/>
        <v>0</v>
      </c>
      <c r="O470" s="3">
        <f t="shared" si="51"/>
        <v>0</v>
      </c>
      <c r="AA470" s="14">
        <f t="shared" si="52"/>
        <v>0</v>
      </c>
      <c r="AB470" s="8"/>
      <c r="AC470" s="8">
        <f t="shared" si="53"/>
        <v>0</v>
      </c>
    </row>
    <row r="471" spans="1:29">
      <c r="A471" s="12" t="s">
        <v>325</v>
      </c>
      <c r="B471" s="12"/>
      <c r="C471" s="12" t="s">
        <v>20</v>
      </c>
      <c r="D471" s="12"/>
      <c r="E471" s="32">
        <v>46607</v>
      </c>
      <c r="G471" s="8">
        <v>11665098</v>
      </c>
      <c r="I471" s="8">
        <v>0</v>
      </c>
      <c r="K471" s="3">
        <f t="shared" si="50"/>
        <v>46741557</v>
      </c>
      <c r="M471" s="8">
        <v>58406655</v>
      </c>
      <c r="O471" s="3">
        <f t="shared" si="51"/>
        <v>7909244</v>
      </c>
      <c r="Q471" s="8">
        <v>40216760</v>
      </c>
      <c r="S471" s="8">
        <v>48126004</v>
      </c>
      <c r="U471" s="8">
        <f>6220146+7806+31279+60303</f>
        <v>6319534</v>
      </c>
      <c r="W471" s="8">
        <v>0</v>
      </c>
      <c r="Y471" s="8">
        <f>3961117</f>
        <v>3961117</v>
      </c>
      <c r="AA471" s="14">
        <f t="shared" si="52"/>
        <v>10280651</v>
      </c>
      <c r="AB471" s="8"/>
      <c r="AC471" s="8">
        <f t="shared" si="53"/>
        <v>0</v>
      </c>
    </row>
    <row r="472" spans="1:29">
      <c r="A472" s="12" t="s">
        <v>905</v>
      </c>
      <c r="B472" s="12"/>
      <c r="C472" s="12" t="s">
        <v>37</v>
      </c>
      <c r="D472" s="12"/>
      <c r="E472" s="32"/>
      <c r="G472" s="8">
        <v>3500035</v>
      </c>
      <c r="I472" s="8">
        <v>0</v>
      </c>
      <c r="K472" s="3">
        <f t="shared" si="50"/>
        <v>2441016</v>
      </c>
      <c r="M472" s="8">
        <v>5941051</v>
      </c>
      <c r="O472" s="3">
        <f t="shared" si="51"/>
        <v>1693903</v>
      </c>
      <c r="Q472" s="8">
        <v>88767</v>
      </c>
      <c r="S472" s="8">
        <v>1782670</v>
      </c>
      <c r="U472" s="8">
        <f>539694+60000+11161+187476+143854+168961+22136+368837</f>
        <v>1502119</v>
      </c>
      <c r="W472" s="8">
        <v>447010</v>
      </c>
      <c r="Y472" s="8">
        <f>2209252</f>
        <v>2209252</v>
      </c>
      <c r="AA472" s="14">
        <f t="shared" si="52"/>
        <v>4158381</v>
      </c>
      <c r="AB472" s="8"/>
      <c r="AC472" s="8">
        <f t="shared" si="53"/>
        <v>0</v>
      </c>
    </row>
    <row r="473" spans="1:29" s="35" customFormat="1">
      <c r="A473" s="34" t="s">
        <v>326</v>
      </c>
      <c r="B473" s="34"/>
      <c r="C473" s="34" t="s">
        <v>20</v>
      </c>
      <c r="D473" s="34"/>
      <c r="E473" s="32">
        <v>44792</v>
      </c>
      <c r="G473" s="8">
        <v>3148371</v>
      </c>
      <c r="H473" s="8"/>
      <c r="I473" s="8">
        <v>534738</v>
      </c>
      <c r="J473" s="8"/>
      <c r="K473" s="3">
        <f t="shared" si="50"/>
        <v>49080664</v>
      </c>
      <c r="L473" s="8"/>
      <c r="M473" s="8">
        <v>52763773</v>
      </c>
      <c r="N473" s="8"/>
      <c r="O473" s="3">
        <f t="shared" si="51"/>
        <v>6256262</v>
      </c>
      <c r="P473" s="8"/>
      <c r="Q473" s="8">
        <v>36855569</v>
      </c>
      <c r="R473" s="8"/>
      <c r="S473" s="8">
        <v>43111831</v>
      </c>
      <c r="T473" s="8"/>
      <c r="U473" s="8">
        <f>648984+5104809+534738</f>
        <v>6288531</v>
      </c>
      <c r="V473" s="8"/>
      <c r="W473" s="8">
        <v>0</v>
      </c>
      <c r="X473" s="8"/>
      <c r="Y473" s="8">
        <v>3363411</v>
      </c>
      <c r="Z473" s="8"/>
      <c r="AA473" s="14">
        <f t="shared" si="52"/>
        <v>9651942</v>
      </c>
      <c r="AB473" s="8"/>
      <c r="AC473" s="8">
        <f t="shared" si="53"/>
        <v>0</v>
      </c>
    </row>
    <row r="474" spans="1:29" hidden="1">
      <c r="A474" s="12" t="s">
        <v>476</v>
      </c>
      <c r="B474" s="12"/>
      <c r="C474" s="12" t="s">
        <v>471</v>
      </c>
      <c r="D474" s="12"/>
      <c r="E474" s="32">
        <v>47951</v>
      </c>
      <c r="K474" s="3">
        <f t="shared" si="50"/>
        <v>0</v>
      </c>
      <c r="O474" s="3">
        <f t="shared" si="51"/>
        <v>0</v>
      </c>
      <c r="AA474" s="14">
        <f t="shared" si="52"/>
        <v>0</v>
      </c>
      <c r="AB474" s="8"/>
      <c r="AC474" s="8">
        <f t="shared" si="53"/>
        <v>0</v>
      </c>
    </row>
    <row r="475" spans="1:29">
      <c r="A475" s="12" t="s">
        <v>522</v>
      </c>
      <c r="B475" s="12"/>
      <c r="C475" s="12" t="s">
        <v>45</v>
      </c>
      <c r="D475" s="12"/>
      <c r="E475" s="32">
        <v>48363</v>
      </c>
      <c r="G475" s="8">
        <v>2971166</v>
      </c>
      <c r="I475" s="8">
        <v>0</v>
      </c>
      <c r="K475" s="3">
        <f t="shared" si="50"/>
        <v>5445749</v>
      </c>
      <c r="M475" s="8">
        <v>8416915</v>
      </c>
      <c r="O475" s="3">
        <f t="shared" si="51"/>
        <v>6071324</v>
      </c>
      <c r="Q475" s="8">
        <v>428443</v>
      </c>
      <c r="S475" s="8">
        <v>6499767</v>
      </c>
      <c r="U475" s="8">
        <f>46312+6113+33542</f>
        <v>85967</v>
      </c>
      <c r="W475" s="8">
        <v>0</v>
      </c>
      <c r="Y475" s="8">
        <v>1831181</v>
      </c>
      <c r="AA475" s="14">
        <f t="shared" si="52"/>
        <v>1917148</v>
      </c>
      <c r="AB475" s="8"/>
      <c r="AC475" s="8">
        <f t="shared" si="53"/>
        <v>0</v>
      </c>
    </row>
    <row r="476" spans="1:29">
      <c r="A476" s="12" t="s">
        <v>601</v>
      </c>
      <c r="B476" s="12"/>
      <c r="C476" s="12" t="s">
        <v>56</v>
      </c>
      <c r="D476" s="12"/>
      <c r="E476" s="32">
        <v>49221</v>
      </c>
      <c r="G476" s="8">
        <v>3164881</v>
      </c>
      <c r="I476" s="8">
        <v>281859</v>
      </c>
      <c r="K476" s="3">
        <f t="shared" si="50"/>
        <v>6088075</v>
      </c>
      <c r="M476" s="8">
        <v>9534815</v>
      </c>
      <c r="O476" s="3">
        <f t="shared" si="51"/>
        <v>2137898</v>
      </c>
      <c r="Q476" s="8">
        <v>5692117</v>
      </c>
      <c r="S476" s="8">
        <v>7830015</v>
      </c>
      <c r="U476" s="8">
        <f>29763+283921+281859</f>
        <v>595543</v>
      </c>
      <c r="W476" s="8">
        <v>0</v>
      </c>
      <c r="Y476" s="8">
        <f>1109257</f>
        <v>1109257</v>
      </c>
      <c r="AA476" s="14">
        <f t="shared" si="52"/>
        <v>1704800</v>
      </c>
      <c r="AB476" s="8"/>
      <c r="AC476" s="8">
        <f t="shared" si="53"/>
        <v>0</v>
      </c>
    </row>
    <row r="477" spans="1:29">
      <c r="A477" s="12" t="s">
        <v>601</v>
      </c>
      <c r="B477" s="12"/>
      <c r="C477" s="12" t="s">
        <v>71</v>
      </c>
      <c r="D477" s="12"/>
      <c r="E477" s="32">
        <v>50583</v>
      </c>
      <c r="G477" s="8">
        <v>2688213</v>
      </c>
      <c r="I477" s="8">
        <v>0</v>
      </c>
      <c r="K477" s="3">
        <f t="shared" si="50"/>
        <v>5487333</v>
      </c>
      <c r="M477" s="8">
        <v>8175546</v>
      </c>
      <c r="O477" s="3">
        <f t="shared" si="51"/>
        <v>1962577</v>
      </c>
      <c r="Q477" s="8">
        <v>5109278</v>
      </c>
      <c r="S477" s="8">
        <v>7071855</v>
      </c>
      <c r="U477" s="8">
        <f>63233+151361+226694</f>
        <v>441288</v>
      </c>
      <c r="W477" s="8">
        <v>0</v>
      </c>
      <c r="Y477" s="8">
        <f>662403</f>
        <v>662403</v>
      </c>
      <c r="AA477" s="14">
        <f t="shared" si="52"/>
        <v>1103691</v>
      </c>
      <c r="AB477" s="8"/>
      <c r="AC477" s="8">
        <f t="shared" ref="AC477:AC483" si="54">+G477+I477+K477-O477-Q477-Y477-W477-U477</f>
        <v>0</v>
      </c>
    </row>
    <row r="478" spans="1:29">
      <c r="A478" s="12" t="s">
        <v>268</v>
      </c>
      <c r="B478" s="12"/>
      <c r="C478" s="12" t="s">
        <v>17</v>
      </c>
      <c r="D478" s="12"/>
      <c r="E478" s="32">
        <v>46276</v>
      </c>
      <c r="G478" s="8">
        <v>4034643</v>
      </c>
      <c r="I478" s="8">
        <v>104317</v>
      </c>
      <c r="K478" s="3">
        <f t="shared" si="50"/>
        <v>2513711</v>
      </c>
      <c r="M478" s="8">
        <v>6652671</v>
      </c>
      <c r="O478" s="3">
        <f t="shared" si="51"/>
        <v>833806</v>
      </c>
      <c r="Q478" s="8">
        <v>1788376</v>
      </c>
      <c r="S478" s="8">
        <v>2622182</v>
      </c>
      <c r="U478" s="8">
        <f>28341+219248+81481+19052+3784</f>
        <v>351906</v>
      </c>
      <c r="W478" s="8">
        <v>83786</v>
      </c>
      <c r="Y478" s="8">
        <v>3594797</v>
      </c>
      <c r="AA478" s="14">
        <f t="shared" si="52"/>
        <v>4030489</v>
      </c>
      <c r="AB478" s="8"/>
      <c r="AC478" s="8">
        <f t="shared" si="54"/>
        <v>0</v>
      </c>
    </row>
    <row r="479" spans="1:29">
      <c r="A479" s="12" t="s">
        <v>268</v>
      </c>
      <c r="B479" s="12"/>
      <c r="C479" s="12" t="s">
        <v>58</v>
      </c>
      <c r="D479" s="12"/>
      <c r="E479" s="32">
        <v>49528</v>
      </c>
      <c r="G479" s="8">
        <v>4283890</v>
      </c>
      <c r="I479" s="8">
        <v>0</v>
      </c>
      <c r="K479" s="3">
        <f t="shared" si="50"/>
        <v>1651743</v>
      </c>
      <c r="M479" s="8">
        <v>5935633</v>
      </c>
      <c r="O479" s="3">
        <f t="shared" si="51"/>
        <v>937740</v>
      </c>
      <c r="Q479" s="8">
        <v>1385267</v>
      </c>
      <c r="S479" s="8">
        <v>2323007</v>
      </c>
      <c r="U479" s="8">
        <f>243060+154448</f>
        <v>397508</v>
      </c>
      <c r="W479" s="8">
        <v>0</v>
      </c>
      <c r="Y479" s="8">
        <v>3215118</v>
      </c>
      <c r="AA479" s="14">
        <f t="shared" si="52"/>
        <v>3612626</v>
      </c>
      <c r="AB479" s="8"/>
      <c r="AC479" s="8">
        <f t="shared" si="54"/>
        <v>0</v>
      </c>
    </row>
    <row r="480" spans="1:29">
      <c r="A480" s="12" t="s">
        <v>288</v>
      </c>
      <c r="B480" s="12"/>
      <c r="C480" s="12" t="s">
        <v>115</v>
      </c>
      <c r="D480" s="12"/>
      <c r="E480" s="32">
        <v>46441</v>
      </c>
      <c r="G480" s="8">
        <v>621102</v>
      </c>
      <c r="I480" s="8">
        <v>373701</v>
      </c>
      <c r="K480" s="3">
        <f t="shared" si="50"/>
        <v>1781165</v>
      </c>
      <c r="M480" s="8">
        <v>2775968</v>
      </c>
      <c r="O480" s="3">
        <f t="shared" si="51"/>
        <v>2154075</v>
      </c>
      <c r="Q480" s="8">
        <v>161965</v>
      </c>
      <c r="S480" s="8">
        <v>2316040</v>
      </c>
      <c r="U480" s="8">
        <f>14990+68+60627+24797+348904</f>
        <v>449386</v>
      </c>
      <c r="W480" s="8">
        <v>0</v>
      </c>
      <c r="Y480" s="8">
        <v>10542</v>
      </c>
      <c r="AA480" s="14">
        <f t="shared" si="52"/>
        <v>459928</v>
      </c>
      <c r="AB480" s="8"/>
      <c r="AC480" s="8">
        <f t="shared" si="54"/>
        <v>0</v>
      </c>
    </row>
    <row r="481" spans="1:29">
      <c r="A481" s="12" t="s">
        <v>288</v>
      </c>
      <c r="B481" s="12"/>
      <c r="C481" s="12" t="s">
        <v>537</v>
      </c>
      <c r="D481" s="12"/>
      <c r="E481" s="32">
        <v>46441</v>
      </c>
      <c r="G481" s="8">
        <v>1214878</v>
      </c>
      <c r="I481" s="8">
        <v>14919</v>
      </c>
      <c r="K481" s="3">
        <f t="shared" si="50"/>
        <v>1994349</v>
      </c>
      <c r="M481" s="8">
        <v>3224146</v>
      </c>
      <c r="O481" s="3">
        <f t="shared" si="51"/>
        <v>583085</v>
      </c>
      <c r="Q481" s="8">
        <v>1944844</v>
      </c>
      <c r="S481" s="8">
        <v>2527929</v>
      </c>
      <c r="U481" s="8">
        <f>13151+441+22540+17135</f>
        <v>53267</v>
      </c>
      <c r="W481" s="8">
        <v>0</v>
      </c>
      <c r="Y481" s="8">
        <v>642950</v>
      </c>
      <c r="AA481" s="14">
        <f t="shared" si="52"/>
        <v>696217</v>
      </c>
      <c r="AB481" s="8"/>
      <c r="AC481" s="8">
        <f t="shared" si="54"/>
        <v>0</v>
      </c>
    </row>
    <row r="482" spans="1:29">
      <c r="A482" s="12" t="s">
        <v>696</v>
      </c>
      <c r="B482" s="12"/>
      <c r="C482" s="12" t="s">
        <v>64</v>
      </c>
      <c r="D482" s="12"/>
      <c r="E482" s="32">
        <v>50237</v>
      </c>
      <c r="G482" s="8">
        <v>748571</v>
      </c>
      <c r="I482" s="8">
        <v>472533</v>
      </c>
      <c r="K482" s="3">
        <f t="shared" si="50"/>
        <v>2118923</v>
      </c>
      <c r="M482" s="8">
        <v>3340027</v>
      </c>
      <c r="O482" s="3">
        <f t="shared" si="51"/>
        <v>516336</v>
      </c>
      <c r="Q482" s="8">
        <v>1870732</v>
      </c>
      <c r="S482" s="8">
        <v>2387068</v>
      </c>
      <c r="U482" s="8">
        <f>57925+168573+4323+19406+8808+275746</f>
        <v>534781</v>
      </c>
      <c r="W482" s="8">
        <v>0</v>
      </c>
      <c r="Y482" s="8">
        <f>418178</f>
        <v>418178</v>
      </c>
      <c r="AA482" s="14">
        <f t="shared" si="52"/>
        <v>952959</v>
      </c>
      <c r="AB482" s="8"/>
      <c r="AC482" s="8">
        <f t="shared" si="54"/>
        <v>0</v>
      </c>
    </row>
    <row r="483" spans="1:29">
      <c r="A483" s="12" t="s">
        <v>487</v>
      </c>
      <c r="B483" s="12"/>
      <c r="C483" s="12" t="s">
        <v>42</v>
      </c>
      <c r="D483" s="12"/>
      <c r="E483" s="32">
        <v>48041</v>
      </c>
      <c r="G483" s="8">
        <v>6680423</v>
      </c>
      <c r="I483" s="8">
        <v>3897</v>
      </c>
      <c r="K483" s="3">
        <f t="shared" si="50"/>
        <v>15295765</v>
      </c>
      <c r="M483" s="8">
        <v>21980085</v>
      </c>
      <c r="O483" s="3">
        <f t="shared" si="51"/>
        <v>3525172</v>
      </c>
      <c r="Q483" s="8">
        <v>12731750</v>
      </c>
      <c r="S483" s="8">
        <v>16256922</v>
      </c>
      <c r="U483" s="8">
        <f>31175+3897+32382+602978+61410</f>
        <v>731842</v>
      </c>
      <c r="W483" s="8">
        <v>1100000</v>
      </c>
      <c r="Y483" s="8">
        <f>3891321</f>
        <v>3891321</v>
      </c>
      <c r="AA483" s="14">
        <f t="shared" si="52"/>
        <v>5723163</v>
      </c>
      <c r="AB483" s="8"/>
      <c r="AC483" s="8">
        <f t="shared" si="54"/>
        <v>0</v>
      </c>
    </row>
    <row r="484" spans="1:29" s="8" customFormat="1">
      <c r="A484" s="13" t="s">
        <v>412</v>
      </c>
      <c r="B484" s="13"/>
      <c r="C484" s="13" t="s">
        <v>32</v>
      </c>
      <c r="D484" s="13"/>
      <c r="E484" s="13">
        <v>47381</v>
      </c>
      <c r="G484" s="8">
        <v>602493</v>
      </c>
      <c r="I484" s="8">
        <v>177561</v>
      </c>
      <c r="K484" s="3">
        <f t="shared" si="50"/>
        <v>12272846</v>
      </c>
      <c r="M484" s="8">
        <v>13052900</v>
      </c>
      <c r="O484" s="3">
        <f t="shared" si="51"/>
        <v>4693238</v>
      </c>
      <c r="Q484" s="8">
        <v>7729171</v>
      </c>
      <c r="S484" s="8">
        <v>12422409</v>
      </c>
      <c r="U484" s="8">
        <f>61088+3475000+177561</f>
        <v>3713649</v>
      </c>
      <c r="W484" s="8">
        <v>0</v>
      </c>
      <c r="Y484" s="8">
        <f>-3083158</f>
        <v>-3083158</v>
      </c>
      <c r="AA484" s="14">
        <f t="shared" si="52"/>
        <v>630491</v>
      </c>
      <c r="AC484" s="8">
        <f>+G484+I484+K484-O484-Q484-Y484-W484-U484</f>
        <v>0</v>
      </c>
    </row>
    <row r="485" spans="1:29" s="8" customFormat="1">
      <c r="A485" s="13" t="s">
        <v>367</v>
      </c>
      <c r="B485" s="13"/>
      <c r="C485" s="13" t="s">
        <v>27</v>
      </c>
      <c r="D485" s="13"/>
      <c r="E485" s="13">
        <v>44800</v>
      </c>
      <c r="G485" s="8">
        <v>17833619</v>
      </c>
      <c r="I485" s="8">
        <v>0</v>
      </c>
      <c r="K485" s="3">
        <f t="shared" ref="K485:K510" si="55">+M485-I485-G485</f>
        <v>90361504</v>
      </c>
      <c r="M485" s="8">
        <v>108195123</v>
      </c>
      <c r="O485" s="3">
        <f t="shared" ref="O485:O510" si="56">+S485-Q485</f>
        <v>24475619</v>
      </c>
      <c r="Q485" s="8">
        <v>59720233</v>
      </c>
      <c r="S485" s="8">
        <v>84195852</v>
      </c>
      <c r="U485" s="8">
        <f>2390401+29255661</f>
        <v>31646062</v>
      </c>
      <c r="W485" s="8">
        <v>0</v>
      </c>
      <c r="Y485" s="8">
        <v>-7646791</v>
      </c>
      <c r="AA485" s="14">
        <f t="shared" ref="AA485:AA510" si="57">+Y485+W485++U485</f>
        <v>23999271</v>
      </c>
      <c r="AC485" s="8">
        <f t="shared" ref="AC485:AC547" si="58">+G485+I485+K485-O485-Q485-Y485-W485-U485</f>
        <v>0</v>
      </c>
    </row>
    <row r="486" spans="1:29" hidden="1">
      <c r="A486" s="12" t="s">
        <v>214</v>
      </c>
      <c r="B486" s="12"/>
      <c r="C486" s="12" t="s">
        <v>10</v>
      </c>
      <c r="D486" s="12"/>
      <c r="E486" s="32">
        <v>45807</v>
      </c>
      <c r="K486" s="3">
        <f t="shared" si="55"/>
        <v>0</v>
      </c>
      <c r="O486" s="3">
        <f t="shared" si="56"/>
        <v>0</v>
      </c>
      <c r="AA486" s="14">
        <f t="shared" si="57"/>
        <v>0</v>
      </c>
      <c r="AB486" s="8"/>
      <c r="AC486" s="8">
        <f t="shared" si="58"/>
        <v>0</v>
      </c>
    </row>
    <row r="487" spans="1:29">
      <c r="A487" s="12" t="s">
        <v>719</v>
      </c>
      <c r="B487" s="12"/>
      <c r="C487" s="12" t="s">
        <v>69</v>
      </c>
      <c r="D487" s="12"/>
      <c r="E487" s="32">
        <v>50427</v>
      </c>
      <c r="G487" s="8">
        <v>4377054</v>
      </c>
      <c r="I487" s="8">
        <v>96355</v>
      </c>
      <c r="K487" s="3">
        <f t="shared" si="55"/>
        <v>31386897</v>
      </c>
      <c r="M487" s="8">
        <v>35860306</v>
      </c>
      <c r="O487" s="3">
        <f t="shared" si="56"/>
        <v>5746220</v>
      </c>
      <c r="Q487" s="8">
        <v>30279913</v>
      </c>
      <c r="S487" s="8">
        <v>36026133</v>
      </c>
      <c r="U487" s="8">
        <f>235582+972807+96355</f>
        <v>1304744</v>
      </c>
      <c r="W487" s="8">
        <v>0</v>
      </c>
      <c r="Y487" s="8">
        <v>-1470571</v>
      </c>
      <c r="AA487" s="14">
        <f t="shared" si="57"/>
        <v>-165827</v>
      </c>
      <c r="AB487" s="8"/>
      <c r="AC487" s="8">
        <f t="shared" si="58"/>
        <v>0</v>
      </c>
    </row>
    <row r="488" spans="1:29">
      <c r="A488" s="12" t="s">
        <v>899</v>
      </c>
      <c r="B488" s="12"/>
      <c r="C488" s="12" t="s">
        <v>17</v>
      </c>
      <c r="D488" s="12"/>
      <c r="E488" s="32"/>
      <c r="G488" s="8">
        <v>12881603</v>
      </c>
      <c r="I488" s="8">
        <f>813448</f>
        <v>813448</v>
      </c>
      <c r="K488" s="3">
        <f t="shared" si="55"/>
        <v>26849372</v>
      </c>
      <c r="M488" s="8">
        <v>40544423</v>
      </c>
      <c r="O488" s="3">
        <f t="shared" si="56"/>
        <v>13548026</v>
      </c>
      <c r="Q488" s="8">
        <v>23185988</v>
      </c>
      <c r="S488" s="8">
        <v>36734014</v>
      </c>
      <c r="U488" s="8">
        <f>841314+3534714+726007+87441</f>
        <v>5189476</v>
      </c>
      <c r="W488" s="8">
        <v>0</v>
      </c>
      <c r="Y488" s="8">
        <f>-1379067</f>
        <v>-1379067</v>
      </c>
      <c r="AA488" s="14">
        <f t="shared" si="57"/>
        <v>3810409</v>
      </c>
      <c r="AB488" s="8"/>
      <c r="AC488" s="8">
        <f t="shared" si="58"/>
        <v>0</v>
      </c>
    </row>
    <row r="489" spans="1:29">
      <c r="A489" s="12" t="s">
        <v>506</v>
      </c>
      <c r="B489" s="12"/>
      <c r="C489" s="12" t="s">
        <v>118</v>
      </c>
      <c r="D489" s="12"/>
      <c r="E489" s="32">
        <v>48223</v>
      </c>
      <c r="G489" s="8">
        <v>1811884</v>
      </c>
      <c r="I489" s="8">
        <v>127901</v>
      </c>
      <c r="K489" s="3">
        <f t="shared" si="55"/>
        <v>23744638</v>
      </c>
      <c r="M489" s="8">
        <v>25684423</v>
      </c>
      <c r="O489" s="3">
        <f t="shared" si="56"/>
        <v>5023729</v>
      </c>
      <c r="Q489" s="8">
        <v>22420233</v>
      </c>
      <c r="S489" s="8">
        <v>27443962</v>
      </c>
      <c r="U489" s="8">
        <f>405399+10867+758535+127901</f>
        <v>1302702</v>
      </c>
      <c r="W489" s="8">
        <v>0</v>
      </c>
      <c r="Y489" s="8">
        <v>-3062241</v>
      </c>
      <c r="AA489" s="14">
        <f t="shared" si="57"/>
        <v>-1759539</v>
      </c>
      <c r="AB489" s="8"/>
      <c r="AC489" s="8">
        <f t="shared" si="58"/>
        <v>0</v>
      </c>
    </row>
    <row r="490" spans="1:29">
      <c r="A490" s="12" t="s">
        <v>506</v>
      </c>
      <c r="B490" s="12"/>
      <c r="C490" s="12" t="s">
        <v>45</v>
      </c>
      <c r="D490" s="12"/>
      <c r="E490" s="32">
        <v>48371</v>
      </c>
      <c r="G490" s="8">
        <v>2348229</v>
      </c>
      <c r="I490" s="8">
        <v>64874</v>
      </c>
      <c r="K490" s="3">
        <f t="shared" si="55"/>
        <v>4074383</v>
      </c>
      <c r="M490" s="8">
        <v>6487486</v>
      </c>
      <c r="O490" s="3">
        <f t="shared" si="56"/>
        <v>4164064</v>
      </c>
      <c r="Q490" s="8">
        <v>112259</v>
      </c>
      <c r="S490" s="8">
        <v>4276323</v>
      </c>
      <c r="U490" s="8">
        <f>244833+57162+7712</f>
        <v>309707</v>
      </c>
      <c r="W490" s="8">
        <v>0</v>
      </c>
      <c r="Y490" s="8">
        <v>1901456</v>
      </c>
      <c r="AA490" s="14">
        <f t="shared" si="57"/>
        <v>2211163</v>
      </c>
      <c r="AB490" s="8"/>
      <c r="AC490" s="8">
        <f t="shared" si="58"/>
        <v>0</v>
      </c>
    </row>
    <row r="491" spans="1:29">
      <c r="A491" s="12" t="s">
        <v>506</v>
      </c>
      <c r="B491" s="12"/>
      <c r="C491" s="12" t="s">
        <v>63</v>
      </c>
      <c r="D491" s="12"/>
      <c r="E491" s="32">
        <v>50062</v>
      </c>
      <c r="G491" s="8">
        <v>645328</v>
      </c>
      <c r="I491" s="8">
        <v>107978</v>
      </c>
      <c r="K491" s="3">
        <f t="shared" si="55"/>
        <v>11785358</v>
      </c>
      <c r="M491" s="8">
        <v>12538664</v>
      </c>
      <c r="O491" s="3">
        <f t="shared" si="56"/>
        <v>3747066</v>
      </c>
      <c r="Q491" s="8">
        <v>10653397</v>
      </c>
      <c r="S491" s="8">
        <v>14400463</v>
      </c>
      <c r="U491" s="8">
        <f>203992+948356+107978</f>
        <v>1260326</v>
      </c>
      <c r="W491" s="8">
        <v>0</v>
      </c>
      <c r="Y491" s="8">
        <v>-3122125</v>
      </c>
      <c r="AA491" s="14">
        <f t="shared" si="57"/>
        <v>-1861799</v>
      </c>
      <c r="AB491" s="8"/>
      <c r="AC491" s="8">
        <f t="shared" si="58"/>
        <v>0</v>
      </c>
    </row>
    <row r="492" spans="1:29">
      <c r="A492" s="12" t="s">
        <v>909</v>
      </c>
      <c r="B492" s="12"/>
      <c r="C492" s="12" t="s">
        <v>32</v>
      </c>
      <c r="D492" s="12"/>
      <c r="E492" s="32">
        <v>44719</v>
      </c>
      <c r="G492" s="8">
        <v>3101194</v>
      </c>
      <c r="I492" s="8">
        <v>0</v>
      </c>
      <c r="K492" s="3">
        <f t="shared" si="55"/>
        <v>9798077</v>
      </c>
      <c r="M492" s="8">
        <v>12899271</v>
      </c>
      <c r="O492" s="3">
        <f t="shared" si="56"/>
        <v>1539676</v>
      </c>
      <c r="Q492" s="8">
        <v>7938513</v>
      </c>
      <c r="S492" s="8">
        <v>9478189</v>
      </c>
      <c r="U492" s="8">
        <v>1535000</v>
      </c>
      <c r="W492" s="8">
        <v>0</v>
      </c>
      <c r="Y492" s="8">
        <v>1886082</v>
      </c>
      <c r="AA492" s="14">
        <f t="shared" si="57"/>
        <v>3421082</v>
      </c>
      <c r="AB492" s="8"/>
      <c r="AC492" s="8">
        <f t="shared" si="58"/>
        <v>0</v>
      </c>
    </row>
    <row r="493" spans="1:29">
      <c r="A493" s="12" t="s">
        <v>908</v>
      </c>
      <c r="B493" s="12"/>
      <c r="C493" s="12" t="s">
        <v>15</v>
      </c>
      <c r="D493" s="12"/>
      <c r="E493" s="32">
        <v>45997</v>
      </c>
      <c r="G493" s="8">
        <f>3084310+148245</f>
        <v>3232555</v>
      </c>
      <c r="I493" s="8">
        <v>81232</v>
      </c>
      <c r="K493" s="3">
        <f t="shared" si="55"/>
        <v>7100578</v>
      </c>
      <c r="M493" s="8">
        <v>10414365</v>
      </c>
      <c r="O493" s="3">
        <f t="shared" si="56"/>
        <v>1529750</v>
      </c>
      <c r="Q493" s="8">
        <v>6252741</v>
      </c>
      <c r="S493" s="8">
        <v>7782491</v>
      </c>
      <c r="U493" s="8">
        <f>313508+694733+70232+11000</f>
        <v>1089473</v>
      </c>
      <c r="W493" s="8">
        <v>0</v>
      </c>
      <c r="Y493" s="8">
        <v>1542401</v>
      </c>
      <c r="AA493" s="14">
        <f t="shared" si="57"/>
        <v>2631874</v>
      </c>
      <c r="AB493" s="8"/>
      <c r="AC493" s="8">
        <f t="shared" si="58"/>
        <v>0</v>
      </c>
    </row>
    <row r="494" spans="1:29" hidden="1">
      <c r="A494" s="12" t="s">
        <v>542</v>
      </c>
      <c r="B494" s="12"/>
      <c r="C494" s="12" t="s">
        <v>540</v>
      </c>
      <c r="D494" s="12"/>
      <c r="E494" s="32">
        <v>48587</v>
      </c>
      <c r="K494" s="3">
        <f t="shared" si="55"/>
        <v>0</v>
      </c>
      <c r="O494" s="3">
        <f t="shared" si="56"/>
        <v>0</v>
      </c>
      <c r="AA494" s="14">
        <f t="shared" si="57"/>
        <v>0</v>
      </c>
      <c r="AB494" s="8"/>
      <c r="AC494" s="8">
        <f t="shared" si="58"/>
        <v>0</v>
      </c>
    </row>
    <row r="495" spans="1:29" hidden="1">
      <c r="A495" s="12" t="s">
        <v>232</v>
      </c>
      <c r="B495" s="12"/>
      <c r="C495" s="12" t="s">
        <v>14</v>
      </c>
      <c r="D495" s="12"/>
      <c r="E495" s="32">
        <v>44727</v>
      </c>
      <c r="K495" s="3">
        <f t="shared" si="55"/>
        <v>0</v>
      </c>
      <c r="O495" s="3">
        <f t="shared" si="56"/>
        <v>0</v>
      </c>
      <c r="AA495" s="14">
        <f t="shared" si="57"/>
        <v>0</v>
      </c>
      <c r="AB495" s="8"/>
      <c r="AC495" s="8">
        <f t="shared" si="58"/>
        <v>0</v>
      </c>
    </row>
    <row r="496" spans="1:29">
      <c r="A496" s="12" t="s">
        <v>457</v>
      </c>
      <c r="B496" s="12"/>
      <c r="C496" s="12" t="s">
        <v>39</v>
      </c>
      <c r="D496" s="12"/>
      <c r="E496" s="32">
        <v>44826</v>
      </c>
      <c r="G496" s="8">
        <v>3683367</v>
      </c>
      <c r="I496" s="8">
        <v>162997</v>
      </c>
      <c r="K496" s="3">
        <f t="shared" si="55"/>
        <v>4984082</v>
      </c>
      <c r="M496" s="8">
        <v>8830446</v>
      </c>
      <c r="O496" s="3">
        <f t="shared" si="56"/>
        <v>1749615</v>
      </c>
      <c r="Q496" s="8">
        <v>4573926</v>
      </c>
      <c r="S496" s="8">
        <v>6323541</v>
      </c>
      <c r="U496" s="8">
        <f>298366+349009+85496+77501</f>
        <v>810372</v>
      </c>
      <c r="W496" s="8">
        <f>240065+785613+39900</f>
        <v>1065578</v>
      </c>
      <c r="Y496" s="8">
        <f>630955</f>
        <v>630955</v>
      </c>
      <c r="AA496" s="14">
        <f t="shared" si="57"/>
        <v>2506905</v>
      </c>
      <c r="AB496" s="8"/>
      <c r="AC496" s="8">
        <f t="shared" si="58"/>
        <v>0</v>
      </c>
    </row>
    <row r="497" spans="1:29">
      <c r="A497" s="12" t="s">
        <v>676</v>
      </c>
      <c r="B497" s="12"/>
      <c r="C497" s="12" t="s">
        <v>63</v>
      </c>
      <c r="D497" s="12"/>
      <c r="E497" s="32">
        <v>44834</v>
      </c>
      <c r="G497" s="8">
        <v>9624733</v>
      </c>
      <c r="I497" s="8">
        <v>175062</v>
      </c>
      <c r="K497" s="3">
        <f t="shared" si="55"/>
        <v>30203326</v>
      </c>
      <c r="M497" s="8">
        <v>40003121</v>
      </c>
      <c r="O497" s="3">
        <f t="shared" si="56"/>
        <v>33171486</v>
      </c>
      <c r="Q497" s="8">
        <v>818325</v>
      </c>
      <c r="S497" s="8">
        <v>33989811</v>
      </c>
      <c r="U497" s="8">
        <f>654292+49610+175062+12508+1840170</f>
        <v>2731642</v>
      </c>
      <c r="W497" s="8">
        <v>0</v>
      </c>
      <c r="Y497" s="8">
        <f>3281668</f>
        <v>3281668</v>
      </c>
      <c r="AA497" s="14">
        <f t="shared" si="57"/>
        <v>6013310</v>
      </c>
      <c r="AB497" s="8"/>
      <c r="AC497" s="8">
        <f t="shared" si="58"/>
        <v>0</v>
      </c>
    </row>
    <row r="498" spans="1:29" hidden="1">
      <c r="A498" s="12" t="s">
        <v>705</v>
      </c>
      <c r="B498" s="12"/>
      <c r="C498" s="12" t="s">
        <v>65</v>
      </c>
      <c r="D498" s="12"/>
      <c r="E498" s="32">
        <v>50294</v>
      </c>
      <c r="K498" s="3">
        <f t="shared" si="55"/>
        <v>0</v>
      </c>
      <c r="O498" s="3">
        <f t="shared" si="56"/>
        <v>0</v>
      </c>
      <c r="W498" s="8">
        <v>0</v>
      </c>
      <c r="AA498" s="14">
        <f t="shared" si="57"/>
        <v>0</v>
      </c>
      <c r="AB498" s="8"/>
      <c r="AC498" s="8">
        <f t="shared" si="58"/>
        <v>0</v>
      </c>
    </row>
    <row r="499" spans="1:29">
      <c r="A499" s="12" t="s">
        <v>602</v>
      </c>
      <c r="B499" s="12"/>
      <c r="C499" s="12" t="s">
        <v>56</v>
      </c>
      <c r="D499" s="12"/>
      <c r="E499" s="32">
        <v>49239</v>
      </c>
      <c r="G499" s="8">
        <v>1287451</v>
      </c>
      <c r="I499" s="8">
        <v>0</v>
      </c>
      <c r="K499" s="3">
        <f t="shared" si="55"/>
        <v>12425096</v>
      </c>
      <c r="M499" s="8">
        <v>13712547</v>
      </c>
      <c r="O499" s="3">
        <f t="shared" si="56"/>
        <v>3001194</v>
      </c>
      <c r="Q499" s="8">
        <v>11401958</v>
      </c>
      <c r="S499" s="8">
        <v>14403152</v>
      </c>
      <c r="U499" s="8">
        <f>193054+748429</f>
        <v>941483</v>
      </c>
      <c r="W499" s="8">
        <v>0</v>
      </c>
      <c r="Y499" s="8">
        <v>-1632088</v>
      </c>
      <c r="AA499" s="14">
        <f t="shared" si="57"/>
        <v>-690605</v>
      </c>
      <c r="AB499" s="8"/>
      <c r="AC499" s="8">
        <f t="shared" si="58"/>
        <v>0</v>
      </c>
    </row>
    <row r="500" spans="1:29">
      <c r="A500" s="12" t="s">
        <v>327</v>
      </c>
      <c r="B500" s="12"/>
      <c r="C500" s="12" t="s">
        <v>20</v>
      </c>
      <c r="D500" s="12"/>
      <c r="E500" s="32">
        <v>44842</v>
      </c>
      <c r="G500" s="8">
        <v>1250</v>
      </c>
      <c r="I500" s="8">
        <v>957022</v>
      </c>
      <c r="K500" s="3">
        <f t="shared" si="55"/>
        <v>50198284</v>
      </c>
      <c r="M500" s="8">
        <v>51156556</v>
      </c>
      <c r="O500" s="3">
        <f t="shared" si="56"/>
        <v>52475826</v>
      </c>
      <c r="Q500" s="8">
        <v>0</v>
      </c>
      <c r="S500" s="8">
        <v>52475826</v>
      </c>
      <c r="U500" s="8">
        <f>5391828+1978698+303562</f>
        <v>7674088</v>
      </c>
      <c r="W500" s="8">
        <v>0</v>
      </c>
      <c r="Y500" s="8">
        <v>-8993358</v>
      </c>
      <c r="AA500" s="14">
        <f t="shared" si="57"/>
        <v>-1319270</v>
      </c>
      <c r="AB500" s="8"/>
      <c r="AC500" s="8">
        <f t="shared" si="58"/>
        <v>0</v>
      </c>
    </row>
    <row r="501" spans="1:29">
      <c r="A501" s="12" t="s">
        <v>523</v>
      </c>
      <c r="B501" s="12"/>
      <c r="C501" s="12" t="s">
        <v>45</v>
      </c>
      <c r="D501" s="12"/>
      <c r="E501" s="32">
        <v>44859</v>
      </c>
      <c r="G501" s="8">
        <v>1439153</v>
      </c>
      <c r="I501" s="8">
        <v>31365</v>
      </c>
      <c r="K501" s="3">
        <f t="shared" si="55"/>
        <v>5626241</v>
      </c>
      <c r="M501" s="8">
        <v>7096759</v>
      </c>
      <c r="O501" s="3">
        <f t="shared" si="56"/>
        <v>1848225</v>
      </c>
      <c r="Q501" s="3">
        <v>5512542</v>
      </c>
      <c r="S501" s="8">
        <v>7360767</v>
      </c>
      <c r="U501" s="8">
        <f>243195+31365</f>
        <v>274560</v>
      </c>
      <c r="W501" s="8">
        <v>0</v>
      </c>
      <c r="Y501" s="8">
        <v>-538568</v>
      </c>
      <c r="AA501" s="14">
        <f t="shared" si="57"/>
        <v>-264008</v>
      </c>
      <c r="AB501" s="8"/>
      <c r="AC501" s="8">
        <f t="shared" si="58"/>
        <v>0</v>
      </c>
    </row>
    <row r="502" spans="1:29">
      <c r="A502" s="12" t="s">
        <v>738</v>
      </c>
      <c r="B502" s="12"/>
      <c r="C502" s="12" t="s">
        <v>733</v>
      </c>
      <c r="D502" s="12"/>
      <c r="E502" s="32">
        <v>50658</v>
      </c>
      <c r="G502" s="8">
        <v>813005</v>
      </c>
      <c r="I502" s="8">
        <v>0</v>
      </c>
      <c r="K502" s="3">
        <f t="shared" si="55"/>
        <v>1497055</v>
      </c>
      <c r="M502" s="8">
        <v>2310060</v>
      </c>
      <c r="O502" s="3">
        <f t="shared" si="56"/>
        <v>407537</v>
      </c>
      <c r="Q502" s="8">
        <v>1132314</v>
      </c>
      <c r="S502" s="8">
        <v>1539851</v>
      </c>
      <c r="U502" s="8">
        <f>38206+596+99590</f>
        <v>138392</v>
      </c>
      <c r="W502" s="8">
        <v>0</v>
      </c>
      <c r="Y502" s="8">
        <f>631817</f>
        <v>631817</v>
      </c>
      <c r="AA502" s="14">
        <f t="shared" si="57"/>
        <v>770209</v>
      </c>
      <c r="AB502" s="8"/>
      <c r="AC502" s="8">
        <f t="shared" si="58"/>
        <v>0</v>
      </c>
    </row>
    <row r="503" spans="1:29">
      <c r="A503" s="12" t="s">
        <v>391</v>
      </c>
      <c r="B503" s="12"/>
      <c r="C503" s="12" t="s">
        <v>117</v>
      </c>
      <c r="D503" s="12"/>
      <c r="E503" s="32">
        <v>47274</v>
      </c>
      <c r="G503" s="8">
        <f>301929</f>
        <v>301929</v>
      </c>
      <c r="I503" s="8">
        <v>0</v>
      </c>
      <c r="K503" s="3">
        <f t="shared" si="55"/>
        <v>12589688</v>
      </c>
      <c r="M503" s="8">
        <v>12891617</v>
      </c>
      <c r="O503" s="3">
        <f t="shared" si="56"/>
        <v>2854063</v>
      </c>
      <c r="Q503" s="8">
        <v>12033400</v>
      </c>
      <c r="S503" s="8">
        <v>14887463</v>
      </c>
      <c r="U503" s="8">
        <f>166075+509391</f>
        <v>675466</v>
      </c>
      <c r="W503" s="8">
        <v>0</v>
      </c>
      <c r="Y503" s="8">
        <v>-2671312</v>
      </c>
      <c r="AA503" s="14">
        <f t="shared" si="57"/>
        <v>-1995846</v>
      </c>
      <c r="AB503" s="8"/>
      <c r="AC503" s="8">
        <f t="shared" si="58"/>
        <v>0</v>
      </c>
    </row>
    <row r="504" spans="1:29">
      <c r="A504" s="12" t="s">
        <v>377</v>
      </c>
      <c r="B504" s="12"/>
      <c r="C504" s="12" t="s">
        <v>28</v>
      </c>
      <c r="D504" s="12"/>
      <c r="E504" s="32">
        <v>47092</v>
      </c>
      <c r="G504" s="8">
        <f>7287463+1484331</f>
        <v>8771794</v>
      </c>
      <c r="I504" s="8">
        <v>30214</v>
      </c>
      <c r="K504" s="3">
        <f t="shared" si="55"/>
        <v>8055397</v>
      </c>
      <c r="M504" s="8">
        <v>16857405</v>
      </c>
      <c r="O504" s="3">
        <f t="shared" si="56"/>
        <v>1957938</v>
      </c>
      <c r="Q504" s="8">
        <v>6635000</v>
      </c>
      <c r="S504" s="8">
        <v>8592938</v>
      </c>
      <c r="U504" s="8">
        <f>313666+30214+150941</f>
        <v>494821</v>
      </c>
      <c r="W504" s="8">
        <v>0</v>
      </c>
      <c r="Y504" s="8">
        <v>7769646</v>
      </c>
      <c r="AA504" s="14">
        <f t="shared" si="57"/>
        <v>8264467</v>
      </c>
      <c r="AB504" s="8"/>
      <c r="AC504" s="8">
        <f t="shared" si="58"/>
        <v>0</v>
      </c>
    </row>
    <row r="505" spans="1:29">
      <c r="A505" s="12" t="s">
        <v>897</v>
      </c>
      <c r="B505" s="12"/>
      <c r="C505" s="12" t="s">
        <v>49</v>
      </c>
      <c r="D505" s="12"/>
      <c r="E505" s="32">
        <v>48652</v>
      </c>
      <c r="G505" s="8">
        <v>870982</v>
      </c>
      <c r="I505" s="8">
        <v>5982</v>
      </c>
      <c r="K505" s="3">
        <f t="shared" si="55"/>
        <v>6872855</v>
      </c>
      <c r="M505" s="8">
        <v>7749819</v>
      </c>
      <c r="O505" s="3">
        <f t="shared" si="56"/>
        <v>2354535</v>
      </c>
      <c r="Q505" s="8">
        <v>6428176</v>
      </c>
      <c r="S505" s="8">
        <v>8782711</v>
      </c>
      <c r="U505" s="8">
        <f>150510+5982+17108+174656</f>
        <v>348256</v>
      </c>
      <c r="W505" s="8">
        <v>0</v>
      </c>
      <c r="Y505" s="8">
        <v>-1381148</v>
      </c>
      <c r="AA505" s="14">
        <f t="shared" si="57"/>
        <v>-1032892</v>
      </c>
      <c r="AB505" s="8"/>
      <c r="AC505" s="8">
        <f t="shared" si="58"/>
        <v>0</v>
      </c>
    </row>
    <row r="506" spans="1:29">
      <c r="A506" s="12" t="s">
        <v>414</v>
      </c>
      <c r="B506" s="12"/>
      <c r="C506" s="12" t="s">
        <v>32</v>
      </c>
      <c r="D506" s="12"/>
      <c r="E506" s="32">
        <v>44867</v>
      </c>
      <c r="G506" s="8">
        <f>37799767+999834</f>
        <v>38799601</v>
      </c>
      <c r="I506" s="8">
        <v>468958</v>
      </c>
      <c r="K506" s="3">
        <f t="shared" si="55"/>
        <v>55528466</v>
      </c>
      <c r="M506" s="8">
        <v>94797025</v>
      </c>
      <c r="O506" s="3">
        <f t="shared" si="56"/>
        <v>9744734</v>
      </c>
      <c r="Q506" s="8">
        <v>35782674</v>
      </c>
      <c r="S506" s="8">
        <v>45527408</v>
      </c>
      <c r="U506" s="8">
        <f>242728+31250+19616000+999834+468958</f>
        <v>21358770</v>
      </c>
      <c r="W506" s="8">
        <v>0</v>
      </c>
      <c r="Y506" s="8">
        <v>27910847</v>
      </c>
      <c r="AA506" s="14">
        <f t="shared" si="57"/>
        <v>49269617</v>
      </c>
      <c r="AB506" s="8"/>
      <c r="AC506" s="8">
        <f t="shared" si="58"/>
        <v>0</v>
      </c>
    </row>
    <row r="507" spans="1:29">
      <c r="A507" s="12" t="s">
        <v>507</v>
      </c>
      <c r="B507" s="12"/>
      <c r="C507" s="12" t="s">
        <v>118</v>
      </c>
      <c r="D507" s="12"/>
      <c r="E507" s="32">
        <v>44875</v>
      </c>
      <c r="G507" s="8">
        <v>18881142</v>
      </c>
      <c r="I507" s="8">
        <v>0</v>
      </c>
      <c r="K507" s="3">
        <f t="shared" si="55"/>
        <v>53254709</v>
      </c>
      <c r="M507" s="8">
        <v>72135851</v>
      </c>
      <c r="O507" s="3">
        <f t="shared" si="56"/>
        <v>60284831</v>
      </c>
      <c r="Q507" s="8">
        <v>1440875</v>
      </c>
      <c r="S507" s="8">
        <v>61725706</v>
      </c>
      <c r="U507" s="8">
        <f>1290910+1488703</f>
        <v>2779613</v>
      </c>
      <c r="W507" s="8">
        <v>0</v>
      </c>
      <c r="Y507" s="8">
        <v>7630532</v>
      </c>
      <c r="AA507" s="14">
        <f t="shared" si="57"/>
        <v>10410145</v>
      </c>
      <c r="AB507" s="8"/>
      <c r="AC507" s="8">
        <f t="shared" si="58"/>
        <v>0</v>
      </c>
    </row>
    <row r="508" spans="1:29">
      <c r="A508" s="12"/>
      <c r="B508" s="12"/>
      <c r="C508" s="12"/>
      <c r="D508" s="12"/>
      <c r="E508" s="32"/>
      <c r="K508" s="3"/>
      <c r="O508" s="3"/>
      <c r="AA508" s="14"/>
      <c r="AB508" s="8"/>
    </row>
    <row r="509" spans="1:29">
      <c r="A509" s="12"/>
      <c r="B509" s="12"/>
      <c r="C509" s="12"/>
      <c r="D509" s="12"/>
      <c r="E509" s="32"/>
      <c r="K509" s="3"/>
      <c r="O509" s="3"/>
      <c r="AA509" s="14" t="s">
        <v>819</v>
      </c>
      <c r="AB509" s="8"/>
    </row>
    <row r="510" spans="1:29" s="35" customFormat="1">
      <c r="A510" s="34" t="s">
        <v>477</v>
      </c>
      <c r="B510" s="34"/>
      <c r="C510" s="34" t="s">
        <v>471</v>
      </c>
      <c r="D510" s="34"/>
      <c r="E510" s="34">
        <v>47969</v>
      </c>
      <c r="G510" s="35">
        <v>5001231</v>
      </c>
      <c r="I510" s="35">
        <v>238260</v>
      </c>
      <c r="K510" s="42">
        <f t="shared" si="55"/>
        <v>1196373</v>
      </c>
      <c r="M510" s="35">
        <v>6435864</v>
      </c>
      <c r="O510" s="42">
        <f t="shared" si="56"/>
        <v>983650</v>
      </c>
      <c r="Q510" s="35">
        <v>1025377</v>
      </c>
      <c r="S510" s="35">
        <v>2009027</v>
      </c>
      <c r="U510" s="35">
        <f>16327+117411+185333+9986+42941</f>
        <v>371998</v>
      </c>
      <c r="W510" s="35">
        <v>0</v>
      </c>
      <c r="Y510" s="35">
        <v>4054839</v>
      </c>
      <c r="AA510" s="71">
        <f t="shared" si="57"/>
        <v>4426837</v>
      </c>
      <c r="AC510" s="35">
        <f t="shared" si="58"/>
        <v>0</v>
      </c>
    </row>
    <row r="511" spans="1:29">
      <c r="A511" s="12" t="s">
        <v>255</v>
      </c>
      <c r="B511" s="12"/>
      <c r="C511" s="12" t="s">
        <v>246</v>
      </c>
      <c r="D511" s="12"/>
      <c r="E511" s="32">
        <v>46151</v>
      </c>
      <c r="G511" s="8">
        <v>11174632</v>
      </c>
      <c r="I511" s="8">
        <v>0</v>
      </c>
      <c r="K511" s="3">
        <f t="shared" ref="K511:K551" si="59">+M511-I511-G511</f>
        <v>18100576</v>
      </c>
      <c r="M511" s="8">
        <v>29275208</v>
      </c>
      <c r="O511" s="3">
        <f t="shared" ref="O511:O551" si="60">+S511-Q511</f>
        <v>3795815</v>
      </c>
      <c r="Q511" s="8">
        <v>14710986</v>
      </c>
      <c r="S511" s="8">
        <v>18506801</v>
      </c>
      <c r="U511" s="8">
        <f>123329+202876+526000+93689</f>
        <v>945894</v>
      </c>
      <c r="W511" s="8">
        <v>0</v>
      </c>
      <c r="Y511" s="8">
        <v>9822513</v>
      </c>
      <c r="AA511" s="14">
        <f t="shared" ref="AA511:AA547" si="61">+Y511+W511++U511</f>
        <v>10768407</v>
      </c>
      <c r="AB511" s="8"/>
      <c r="AC511" s="8">
        <f t="shared" si="58"/>
        <v>0</v>
      </c>
    </row>
    <row r="512" spans="1:29">
      <c r="A512" s="12" t="s">
        <v>677</v>
      </c>
      <c r="B512" s="12"/>
      <c r="C512" s="12" t="s">
        <v>63</v>
      </c>
      <c r="D512" s="12"/>
      <c r="E512" s="32">
        <v>44883</v>
      </c>
      <c r="G512" s="8">
        <v>3386219</v>
      </c>
      <c r="I512" s="8">
        <v>0</v>
      </c>
      <c r="K512" s="3">
        <f t="shared" si="59"/>
        <v>14700082</v>
      </c>
      <c r="M512" s="8">
        <v>18086301</v>
      </c>
      <c r="O512" s="3">
        <f t="shared" si="60"/>
        <v>2877052</v>
      </c>
      <c r="Q512" s="8">
        <v>12889548</v>
      </c>
      <c r="S512" s="8">
        <v>15766600</v>
      </c>
      <c r="U512" s="8">
        <f>334826+980990+44456</f>
        <v>1360272</v>
      </c>
      <c r="W512" s="8">
        <v>0</v>
      </c>
      <c r="Y512" s="8">
        <v>959429</v>
      </c>
      <c r="AA512" s="14">
        <f t="shared" si="61"/>
        <v>2319701</v>
      </c>
      <c r="AB512" s="8"/>
      <c r="AC512" s="8">
        <f t="shared" si="58"/>
        <v>0</v>
      </c>
    </row>
    <row r="513" spans="1:29">
      <c r="A513" s="12" t="s">
        <v>590</v>
      </c>
      <c r="B513" s="12"/>
      <c r="C513" s="12" t="s">
        <v>54</v>
      </c>
      <c r="D513" s="12"/>
      <c r="E513" s="32">
        <v>49098</v>
      </c>
      <c r="G513" s="8">
        <v>7060321</v>
      </c>
      <c r="I513" s="8">
        <v>0</v>
      </c>
      <c r="K513" s="3">
        <f t="shared" si="59"/>
        <v>8416448</v>
      </c>
      <c r="M513" s="8">
        <v>15476769</v>
      </c>
      <c r="O513" s="3">
        <f t="shared" si="60"/>
        <v>3419348</v>
      </c>
      <c r="Q513" s="8">
        <f>422779+5970381</f>
        <v>6393160</v>
      </c>
      <c r="S513" s="8">
        <v>9812508</v>
      </c>
      <c r="U513" s="8">
        <f>649178+8129+857242</f>
        <v>1514549</v>
      </c>
      <c r="W513" s="8">
        <v>0</v>
      </c>
      <c r="Y513" s="8">
        <v>4149712</v>
      </c>
      <c r="AA513" s="14">
        <f t="shared" si="61"/>
        <v>5664261</v>
      </c>
      <c r="AB513" s="8"/>
      <c r="AC513" s="8">
        <f t="shared" si="58"/>
        <v>0</v>
      </c>
    </row>
    <row r="514" spans="1:29" s="8" customFormat="1">
      <c r="A514" s="13" t="s">
        <v>269</v>
      </c>
      <c r="B514" s="13"/>
      <c r="C514" s="13" t="s">
        <v>17</v>
      </c>
      <c r="D514" s="13"/>
      <c r="E514" s="13">
        <v>46243</v>
      </c>
      <c r="G514" s="8">
        <v>4058630</v>
      </c>
      <c r="I514" s="8">
        <v>0</v>
      </c>
      <c r="K514" s="3">
        <f t="shared" si="59"/>
        <v>8399727</v>
      </c>
      <c r="M514" s="8">
        <v>12458357</v>
      </c>
      <c r="O514" s="3">
        <f t="shared" si="60"/>
        <v>3683233</v>
      </c>
      <c r="Q514" s="8">
        <v>6930876</v>
      </c>
      <c r="S514" s="8">
        <v>10614109</v>
      </c>
      <c r="U514" s="8">
        <f>408098+1167831+80264</f>
        <v>1656193</v>
      </c>
      <c r="W514" s="8">
        <v>0</v>
      </c>
      <c r="Y514" s="8">
        <v>188055</v>
      </c>
      <c r="AA514" s="14">
        <f t="shared" si="61"/>
        <v>1844248</v>
      </c>
      <c r="AC514" s="8">
        <f t="shared" si="58"/>
        <v>0</v>
      </c>
    </row>
    <row r="515" spans="1:29">
      <c r="A515" s="12" t="s">
        <v>415</v>
      </c>
      <c r="B515" s="12"/>
      <c r="C515" s="12" t="s">
        <v>32</v>
      </c>
      <c r="D515" s="12"/>
      <c r="E515" s="32">
        <v>47399</v>
      </c>
      <c r="G515" s="8">
        <v>5338252</v>
      </c>
      <c r="I515" s="8">
        <v>0</v>
      </c>
      <c r="K515" s="3">
        <f t="shared" si="59"/>
        <v>12842625</v>
      </c>
      <c r="M515" s="8">
        <v>18180877</v>
      </c>
      <c r="O515" s="3">
        <f t="shared" si="60"/>
        <v>2023434</v>
      </c>
      <c r="Q515" s="8">
        <v>7911750</v>
      </c>
      <c r="S515" s="8">
        <v>9935184</v>
      </c>
      <c r="U515" s="8">
        <f>400643+4108000+417521</f>
        <v>4926164</v>
      </c>
      <c r="W515" s="8">
        <v>0</v>
      </c>
      <c r="Y515" s="8">
        <v>3319529</v>
      </c>
      <c r="AA515" s="14">
        <f t="shared" si="61"/>
        <v>8245693</v>
      </c>
      <c r="AB515" s="8"/>
      <c r="AC515" s="8">
        <f t="shared" si="58"/>
        <v>0</v>
      </c>
    </row>
    <row r="516" spans="1:29" hidden="1">
      <c r="A516" s="12" t="s">
        <v>645</v>
      </c>
      <c r="B516" s="12"/>
      <c r="C516" s="12" t="s">
        <v>60</v>
      </c>
      <c r="D516" s="12"/>
      <c r="E516" s="32">
        <v>44891</v>
      </c>
      <c r="K516" s="3">
        <f t="shared" si="59"/>
        <v>0</v>
      </c>
      <c r="O516" s="3">
        <f t="shared" si="60"/>
        <v>0</v>
      </c>
      <c r="W516" s="8">
        <v>0</v>
      </c>
      <c r="AA516" s="14">
        <f t="shared" si="61"/>
        <v>0</v>
      </c>
      <c r="AB516" s="8"/>
      <c r="AC516" s="8">
        <f t="shared" si="58"/>
        <v>0</v>
      </c>
    </row>
    <row r="517" spans="1:29">
      <c r="A517" s="12" t="s">
        <v>645</v>
      </c>
      <c r="B517" s="12"/>
      <c r="C517" s="12" t="s">
        <v>60</v>
      </c>
      <c r="D517" s="12"/>
      <c r="E517" s="32">
        <v>45617</v>
      </c>
      <c r="G517" s="8">
        <v>2672744</v>
      </c>
      <c r="I517" s="8">
        <v>235434</v>
      </c>
      <c r="K517" s="3">
        <f>+M517-I517-G517</f>
        <v>10189999</v>
      </c>
      <c r="M517" s="8">
        <v>13098177</v>
      </c>
      <c r="O517" s="3">
        <f>+S517-Q517</f>
        <v>9783470</v>
      </c>
      <c r="Q517" s="8">
        <v>273438</v>
      </c>
      <c r="S517" s="8">
        <v>10056908</v>
      </c>
      <c r="U517" s="8">
        <f>354155+235434+2061973+100236</f>
        <v>2751798</v>
      </c>
      <c r="W517" s="8">
        <v>0</v>
      </c>
      <c r="Y517" s="8">
        <v>289471</v>
      </c>
      <c r="AA517" s="14">
        <f>+Y517+W517++U517</f>
        <v>3041269</v>
      </c>
      <c r="AB517" s="8"/>
      <c r="AC517" s="8">
        <f>+G517+I517+K517-O517-Q517-Y517-W517-U517</f>
        <v>0</v>
      </c>
    </row>
    <row r="518" spans="1:29">
      <c r="A518" s="12" t="s">
        <v>549</v>
      </c>
      <c r="B518" s="12"/>
      <c r="C518" s="12" t="s">
        <v>48</v>
      </c>
      <c r="D518" s="12"/>
      <c r="E518" s="32">
        <v>45617</v>
      </c>
      <c r="G518" s="8">
        <v>1587519</v>
      </c>
      <c r="I518" s="8">
        <v>0</v>
      </c>
      <c r="K518" s="3">
        <f t="shared" si="59"/>
        <v>7155006</v>
      </c>
      <c r="M518" s="8">
        <v>8742525</v>
      </c>
      <c r="O518" s="3">
        <f t="shared" si="60"/>
        <v>2397308</v>
      </c>
      <c r="Q518" s="8">
        <v>6635084</v>
      </c>
      <c r="S518" s="8">
        <v>9032392</v>
      </c>
      <c r="U518" s="8">
        <f>28199+67003+393912</f>
        <v>489114</v>
      </c>
      <c r="W518" s="8">
        <v>0</v>
      </c>
      <c r="Y518" s="8">
        <v>-778981</v>
      </c>
      <c r="AA518" s="14">
        <f t="shared" si="61"/>
        <v>-289867</v>
      </c>
      <c r="AB518" s="8"/>
      <c r="AC518" s="8">
        <f t="shared" si="58"/>
        <v>0</v>
      </c>
    </row>
    <row r="519" spans="1:29">
      <c r="A519" s="12" t="s">
        <v>508</v>
      </c>
      <c r="B519" s="12"/>
      <c r="C519" s="12" t="s">
        <v>118</v>
      </c>
      <c r="D519" s="12"/>
      <c r="E519" s="32">
        <v>44909</v>
      </c>
      <c r="G519" s="8">
        <v>27810613</v>
      </c>
      <c r="I519" s="8">
        <v>0</v>
      </c>
      <c r="K519" s="3">
        <f t="shared" si="59"/>
        <v>131131332</v>
      </c>
      <c r="M519" s="8">
        <v>158941945</v>
      </c>
      <c r="O519" s="3">
        <f t="shared" si="60"/>
        <v>30964120</v>
      </c>
      <c r="Q519" s="8">
        <v>113968434</v>
      </c>
      <c r="S519" s="8">
        <v>144932554</v>
      </c>
      <c r="U519" s="8">
        <f>3633290+386024+6926245+3700671</f>
        <v>14646230</v>
      </c>
      <c r="W519" s="8">
        <v>0</v>
      </c>
      <c r="Y519" s="8">
        <v>-636839</v>
      </c>
      <c r="AA519" s="14">
        <f t="shared" si="61"/>
        <v>14009391</v>
      </c>
      <c r="AB519" s="8"/>
      <c r="AC519" s="8">
        <f t="shared" si="58"/>
        <v>0</v>
      </c>
    </row>
    <row r="520" spans="1:29">
      <c r="A520" s="12" t="s">
        <v>458</v>
      </c>
      <c r="B520" s="12"/>
      <c r="C520" s="12" t="s">
        <v>39</v>
      </c>
      <c r="D520" s="12"/>
      <c r="E520" s="32">
        <v>44917</v>
      </c>
      <c r="G520" s="8">
        <v>263184</v>
      </c>
      <c r="I520" s="8">
        <v>66828</v>
      </c>
      <c r="K520" s="3">
        <f t="shared" si="59"/>
        <v>5298826</v>
      </c>
      <c r="M520" s="8">
        <v>5628838</v>
      </c>
      <c r="O520" s="3">
        <f t="shared" si="60"/>
        <v>638162</v>
      </c>
      <c r="Q520" s="8">
        <v>2111656</v>
      </c>
      <c r="S520" s="8">
        <v>2749818</v>
      </c>
      <c r="U520" s="8">
        <f>146366+17051+149241+66828</f>
        <v>379486</v>
      </c>
      <c r="W520" s="8">
        <v>0</v>
      </c>
      <c r="Y520" s="8">
        <v>2499534</v>
      </c>
      <c r="AA520" s="14">
        <f t="shared" si="61"/>
        <v>2879020</v>
      </c>
      <c r="AB520" s="8"/>
      <c r="AC520" s="8">
        <f t="shared" si="58"/>
        <v>0</v>
      </c>
    </row>
    <row r="521" spans="1:29">
      <c r="A521" s="12" t="s">
        <v>261</v>
      </c>
      <c r="B521" s="12"/>
      <c r="C521" s="12" t="s">
        <v>259</v>
      </c>
      <c r="D521" s="12"/>
      <c r="E521" s="32">
        <v>46201</v>
      </c>
      <c r="G521" s="8">
        <v>1540166</v>
      </c>
      <c r="I521" s="8">
        <v>0</v>
      </c>
      <c r="K521" s="3">
        <f t="shared" si="59"/>
        <v>2437196</v>
      </c>
      <c r="M521" s="8">
        <v>3977362</v>
      </c>
      <c r="O521" s="3">
        <f t="shared" si="60"/>
        <v>946893</v>
      </c>
      <c r="Q521" s="8">
        <f>50449+1243088</f>
        <v>1293537</v>
      </c>
      <c r="S521" s="8">
        <v>2240430</v>
      </c>
      <c r="U521" s="8">
        <f>2500+504554+47354+8977</f>
        <v>563385</v>
      </c>
      <c r="W521" s="8">
        <v>0</v>
      </c>
      <c r="Y521" s="8">
        <v>1173547</v>
      </c>
      <c r="AA521" s="14">
        <f t="shared" si="61"/>
        <v>1736932</v>
      </c>
      <c r="AB521" s="8"/>
      <c r="AC521" s="8">
        <f t="shared" si="58"/>
        <v>0</v>
      </c>
    </row>
    <row r="522" spans="1:29">
      <c r="A522" s="12" t="s">
        <v>606</v>
      </c>
      <c r="B522" s="12"/>
      <c r="C522" s="12" t="s">
        <v>57</v>
      </c>
      <c r="D522" s="12"/>
      <c r="E522" s="32">
        <v>91397</v>
      </c>
      <c r="G522" s="8">
        <v>4483763</v>
      </c>
      <c r="I522" s="8">
        <v>0</v>
      </c>
      <c r="K522" s="3">
        <f t="shared" si="59"/>
        <v>4885531</v>
      </c>
      <c r="M522" s="8">
        <v>9369294</v>
      </c>
      <c r="O522" s="3">
        <f t="shared" si="60"/>
        <v>1049297</v>
      </c>
      <c r="Q522" s="8">
        <v>4277252</v>
      </c>
      <c r="S522" s="8">
        <v>5326549</v>
      </c>
      <c r="U522" s="8">
        <f>190121+223939+169200+36010+3798</f>
        <v>623068</v>
      </c>
      <c r="W522" s="8">
        <v>0</v>
      </c>
      <c r="Y522" s="8">
        <v>3419677</v>
      </c>
      <c r="AA522" s="14">
        <f t="shared" si="61"/>
        <v>4042745</v>
      </c>
      <c r="AB522" s="8"/>
      <c r="AC522" s="8">
        <f t="shared" si="58"/>
        <v>0</v>
      </c>
    </row>
    <row r="523" spans="1:29">
      <c r="A523" s="12" t="s">
        <v>228</v>
      </c>
      <c r="B523" s="12"/>
      <c r="C523" s="12" t="s">
        <v>13</v>
      </c>
      <c r="D523" s="12"/>
      <c r="E523" s="32">
        <v>45922</v>
      </c>
      <c r="G523" s="8">
        <v>320654</v>
      </c>
      <c r="I523" s="8">
        <v>0</v>
      </c>
      <c r="K523" s="3">
        <f t="shared" si="59"/>
        <v>1084548</v>
      </c>
      <c r="M523" s="8">
        <v>1405202</v>
      </c>
      <c r="O523" s="3">
        <f t="shared" si="60"/>
        <v>893799</v>
      </c>
      <c r="Q523" s="8">
        <v>1003790</v>
      </c>
      <c r="S523" s="8">
        <v>1897589</v>
      </c>
      <c r="U523" s="8">
        <f>18334+31812+14026+1476</f>
        <v>65648</v>
      </c>
      <c r="W523" s="8">
        <v>1959</v>
      </c>
      <c r="Y523" s="8">
        <v>-559994</v>
      </c>
      <c r="AA523" s="14">
        <f t="shared" si="61"/>
        <v>-492387</v>
      </c>
      <c r="AB523" s="8"/>
      <c r="AC523" s="8">
        <f t="shared" si="58"/>
        <v>0</v>
      </c>
    </row>
    <row r="524" spans="1:29">
      <c r="A524" s="12" t="s">
        <v>574</v>
      </c>
      <c r="B524" s="12"/>
      <c r="C524" s="12" t="s">
        <v>51</v>
      </c>
      <c r="D524" s="12"/>
      <c r="E524" s="32">
        <v>48876</v>
      </c>
      <c r="G524" s="8">
        <v>1229180</v>
      </c>
      <c r="I524" s="8">
        <v>0</v>
      </c>
      <c r="K524" s="3">
        <f t="shared" si="59"/>
        <v>6913487</v>
      </c>
      <c r="M524" s="8">
        <v>8142667</v>
      </c>
      <c r="O524" s="3">
        <f t="shared" si="60"/>
        <v>3280635</v>
      </c>
      <c r="Q524" s="8">
        <v>6495723</v>
      </c>
      <c r="S524" s="8">
        <v>9776358</v>
      </c>
      <c r="U524" s="8">
        <f>392832+189712+76359</f>
        <v>658903</v>
      </c>
      <c r="W524" s="8">
        <v>0</v>
      </c>
      <c r="Y524" s="8">
        <v>-2292594</v>
      </c>
      <c r="AA524" s="14">
        <f t="shared" si="61"/>
        <v>-1633691</v>
      </c>
      <c r="AB524" s="8"/>
      <c r="AC524" s="8">
        <f t="shared" si="58"/>
        <v>0</v>
      </c>
    </row>
    <row r="525" spans="1:29" hidden="1">
      <c r="A525" s="12" t="s">
        <v>333</v>
      </c>
      <c r="B525" s="12"/>
      <c r="C525" s="12" t="s">
        <v>21</v>
      </c>
      <c r="D525" s="12"/>
      <c r="E525" s="32">
        <v>46680</v>
      </c>
      <c r="K525" s="3">
        <f t="shared" si="59"/>
        <v>0</v>
      </c>
      <c r="O525" s="3">
        <f t="shared" si="60"/>
        <v>0</v>
      </c>
      <c r="AA525" s="14">
        <f t="shared" si="61"/>
        <v>0</v>
      </c>
      <c r="AB525" s="8"/>
      <c r="AC525" s="8">
        <f t="shared" si="58"/>
        <v>0</v>
      </c>
    </row>
    <row r="526" spans="1:29">
      <c r="A526" s="12" t="s">
        <v>731</v>
      </c>
      <c r="B526" s="12"/>
      <c r="C526" s="12" t="s">
        <v>71</v>
      </c>
      <c r="D526" s="12"/>
      <c r="E526" s="32">
        <v>50591</v>
      </c>
      <c r="G526" s="8">
        <v>2733187</v>
      </c>
      <c r="I526" s="8">
        <v>0</v>
      </c>
      <c r="K526" s="3">
        <f t="shared" si="59"/>
        <v>5499043</v>
      </c>
      <c r="M526" s="8">
        <v>8232230</v>
      </c>
      <c r="O526" s="3">
        <f t="shared" si="60"/>
        <v>2115725</v>
      </c>
      <c r="Q526" s="8">
        <f>226608+4867637</f>
        <v>5094245</v>
      </c>
      <c r="S526" s="8">
        <v>7209970</v>
      </c>
      <c r="U526" s="8">
        <f>13076+12234+362502+19104+10958</f>
        <v>417874</v>
      </c>
      <c r="W526" s="8">
        <v>0</v>
      </c>
      <c r="Y526" s="8">
        <v>604386</v>
      </c>
      <c r="AA526" s="14">
        <f t="shared" si="61"/>
        <v>1022260</v>
      </c>
      <c r="AB526" s="8"/>
      <c r="AC526" s="8">
        <f t="shared" si="58"/>
        <v>0</v>
      </c>
    </row>
    <row r="527" spans="1:29">
      <c r="A527" s="12" t="s">
        <v>563</v>
      </c>
      <c r="B527" s="12"/>
      <c r="C527" s="12" t="s">
        <v>50</v>
      </c>
      <c r="D527" s="12"/>
      <c r="E527" s="32">
        <v>48694</v>
      </c>
      <c r="G527" s="8">
        <v>6489905</v>
      </c>
      <c r="I527" s="8">
        <v>0</v>
      </c>
      <c r="K527" s="3">
        <f t="shared" si="59"/>
        <v>11112385</v>
      </c>
      <c r="M527" s="8">
        <v>17602290</v>
      </c>
      <c r="O527" s="3">
        <f t="shared" si="60"/>
        <v>2489533</v>
      </c>
      <c r="Q527" s="8">
        <v>9858592</v>
      </c>
      <c r="S527" s="8">
        <v>12348125</v>
      </c>
      <c r="U527" s="8">
        <f>151771+592975+81076</f>
        <v>825822</v>
      </c>
      <c r="W527" s="8">
        <v>0</v>
      </c>
      <c r="Y527" s="8">
        <v>4428343</v>
      </c>
      <c r="AA527" s="14">
        <f t="shared" si="61"/>
        <v>5254165</v>
      </c>
      <c r="AB527" s="8"/>
      <c r="AC527" s="8">
        <f t="shared" si="58"/>
        <v>0</v>
      </c>
    </row>
    <row r="528" spans="1:29">
      <c r="A528" s="12" t="s">
        <v>550</v>
      </c>
      <c r="B528" s="12"/>
      <c r="C528" s="12" t="s">
        <v>48</v>
      </c>
      <c r="D528" s="12"/>
      <c r="E528" s="32">
        <v>44925</v>
      </c>
      <c r="G528" s="8">
        <v>10257204</v>
      </c>
      <c r="I528" s="8">
        <v>0</v>
      </c>
      <c r="K528" s="3">
        <f t="shared" si="59"/>
        <v>18561373</v>
      </c>
      <c r="M528" s="8">
        <v>28818577</v>
      </c>
      <c r="O528" s="3">
        <f t="shared" si="60"/>
        <v>4220177</v>
      </c>
      <c r="Q528" s="8">
        <v>14062467</v>
      </c>
      <c r="S528" s="8">
        <v>18282644</v>
      </c>
      <c r="U528" s="8">
        <f>559331+103235+23364+709261</f>
        <v>1395191</v>
      </c>
      <c r="W528" s="8">
        <v>0</v>
      </c>
      <c r="Y528" s="8">
        <v>9140742</v>
      </c>
      <c r="AA528" s="14">
        <f t="shared" si="61"/>
        <v>10535933</v>
      </c>
      <c r="AB528" s="8"/>
      <c r="AC528" s="8">
        <f t="shared" si="58"/>
        <v>0</v>
      </c>
    </row>
    <row r="529" spans="1:29">
      <c r="A529" s="12" t="s">
        <v>706</v>
      </c>
      <c r="B529" s="12"/>
      <c r="C529" s="12" t="s">
        <v>65</v>
      </c>
      <c r="D529" s="12"/>
      <c r="E529" s="32">
        <v>50302</v>
      </c>
      <c r="G529" s="8">
        <v>2077303</v>
      </c>
      <c r="I529" s="8">
        <v>0</v>
      </c>
      <c r="K529" s="3">
        <f t="shared" si="59"/>
        <v>6366699</v>
      </c>
      <c r="M529" s="8">
        <v>8444002</v>
      </c>
      <c r="O529" s="3">
        <f t="shared" si="60"/>
        <v>1463972</v>
      </c>
      <c r="Q529" s="8">
        <f>522455+5198459</f>
        <v>5720914</v>
      </c>
      <c r="S529" s="8">
        <v>7184886</v>
      </c>
      <c r="U529" s="8">
        <f>3269+47387+21410+401041+38537+110689</f>
        <v>622333</v>
      </c>
      <c r="W529" s="8">
        <v>0</v>
      </c>
      <c r="Y529" s="8">
        <v>636783</v>
      </c>
      <c r="AA529" s="14">
        <f t="shared" si="61"/>
        <v>1259116</v>
      </c>
      <c r="AB529" s="8"/>
      <c r="AC529" s="8">
        <f t="shared" si="58"/>
        <v>0</v>
      </c>
    </row>
    <row r="530" spans="1:29">
      <c r="A530" s="12" t="s">
        <v>666</v>
      </c>
      <c r="B530" s="12"/>
      <c r="C530" s="12" t="s">
        <v>62</v>
      </c>
      <c r="D530" s="12"/>
      <c r="E530" s="32">
        <v>49957</v>
      </c>
      <c r="G530" s="8">
        <v>1097696</v>
      </c>
      <c r="I530" s="8">
        <v>0</v>
      </c>
      <c r="K530" s="3">
        <f t="shared" si="59"/>
        <v>3898555</v>
      </c>
      <c r="M530" s="8">
        <v>4996251</v>
      </c>
      <c r="O530" s="3">
        <f t="shared" si="60"/>
        <v>1340434</v>
      </c>
      <c r="Q530" s="8">
        <v>3658391</v>
      </c>
      <c r="S530" s="8">
        <v>4998825</v>
      </c>
      <c r="U530" s="8">
        <f>130320+217220+7512</f>
        <v>355052</v>
      </c>
      <c r="W530" s="8">
        <v>0</v>
      </c>
      <c r="Y530" s="8">
        <v>-357626</v>
      </c>
      <c r="AA530" s="14">
        <f t="shared" si="61"/>
        <v>-2574</v>
      </c>
      <c r="AB530" s="8"/>
      <c r="AC530" s="8">
        <f t="shared" si="58"/>
        <v>0</v>
      </c>
    </row>
    <row r="531" spans="1:29" hidden="1">
      <c r="A531" s="12" t="s">
        <v>607</v>
      </c>
      <c r="B531" s="12"/>
      <c r="C531" s="12" t="s">
        <v>57</v>
      </c>
      <c r="D531" s="12"/>
      <c r="E531" s="32">
        <v>49296</v>
      </c>
      <c r="K531" s="3">
        <f t="shared" si="59"/>
        <v>0</v>
      </c>
      <c r="O531" s="3">
        <f t="shared" si="60"/>
        <v>0</v>
      </c>
      <c r="AA531" s="14">
        <f t="shared" si="61"/>
        <v>0</v>
      </c>
      <c r="AB531" s="8"/>
      <c r="AC531" s="8">
        <f t="shared" si="58"/>
        <v>0</v>
      </c>
    </row>
    <row r="532" spans="1:29">
      <c r="A532" s="12" t="s">
        <v>678</v>
      </c>
      <c r="B532" s="12"/>
      <c r="C532" s="12" t="s">
        <v>63</v>
      </c>
      <c r="D532" s="12"/>
      <c r="E532" s="32">
        <v>50070</v>
      </c>
      <c r="G532" s="8">
        <v>22034071</v>
      </c>
      <c r="I532" s="8">
        <v>0</v>
      </c>
      <c r="K532" s="3">
        <f t="shared" si="59"/>
        <v>26108827</v>
      </c>
      <c r="M532" s="8">
        <v>48142898</v>
      </c>
      <c r="O532" s="3">
        <f t="shared" si="60"/>
        <v>5118595</v>
      </c>
      <c r="Q532" s="8">
        <v>23033642</v>
      </c>
      <c r="S532" s="8">
        <v>28152237</v>
      </c>
      <c r="U532" s="8">
        <v>363354</v>
      </c>
      <c r="W532" s="8">
        <v>0</v>
      </c>
      <c r="Y532" s="8">
        <v>19627307</v>
      </c>
      <c r="AA532" s="14">
        <f t="shared" si="61"/>
        <v>19990661</v>
      </c>
      <c r="AB532" s="8"/>
      <c r="AC532" s="8">
        <f t="shared" si="58"/>
        <v>0</v>
      </c>
    </row>
    <row r="533" spans="1:29">
      <c r="A533" s="12" t="s">
        <v>239</v>
      </c>
      <c r="B533" s="12"/>
      <c r="C533" s="12" t="s">
        <v>15</v>
      </c>
      <c r="D533" s="12"/>
      <c r="E533" s="32">
        <v>46011</v>
      </c>
      <c r="G533" s="8">
        <v>423360</v>
      </c>
      <c r="I533" s="8">
        <v>0</v>
      </c>
      <c r="K533" s="3">
        <f t="shared" si="59"/>
        <v>2397005</v>
      </c>
      <c r="M533" s="8">
        <v>2820365</v>
      </c>
      <c r="O533" s="3">
        <f t="shared" si="60"/>
        <v>1436115</v>
      </c>
      <c r="Q533" s="8">
        <v>1929884</v>
      </c>
      <c r="S533" s="8">
        <v>3365999</v>
      </c>
      <c r="U533" s="8">
        <f>43553+318071+41758+42731</f>
        <v>446113</v>
      </c>
      <c r="W533" s="8">
        <v>0</v>
      </c>
      <c r="Y533" s="8">
        <v>-991747</v>
      </c>
      <c r="AA533" s="14">
        <f t="shared" si="61"/>
        <v>-545634</v>
      </c>
      <c r="AB533" s="8"/>
      <c r="AC533" s="8">
        <f t="shared" si="58"/>
        <v>0</v>
      </c>
    </row>
    <row r="534" spans="1:29">
      <c r="A534" s="12" t="s">
        <v>625</v>
      </c>
      <c r="B534" s="12"/>
      <c r="C534" s="12" t="s">
        <v>58</v>
      </c>
      <c r="D534" s="12"/>
      <c r="E534" s="32">
        <v>49536</v>
      </c>
      <c r="G534" s="8">
        <v>6847111</v>
      </c>
      <c r="I534" s="8">
        <v>0</v>
      </c>
      <c r="K534" s="3">
        <f t="shared" si="59"/>
        <v>3549471</v>
      </c>
      <c r="M534" s="8">
        <v>10396582</v>
      </c>
      <c r="O534" s="3">
        <f t="shared" si="60"/>
        <v>1736194</v>
      </c>
      <c r="Q534" s="8">
        <v>2539527</v>
      </c>
      <c r="S534" s="8">
        <v>4275721</v>
      </c>
      <c r="U534" s="8">
        <f>4006+9080+147940+234311+64318</f>
        <v>459655</v>
      </c>
      <c r="W534" s="8">
        <v>0</v>
      </c>
      <c r="Y534" s="8">
        <v>5661206</v>
      </c>
      <c r="AA534" s="14">
        <f t="shared" si="61"/>
        <v>6120861</v>
      </c>
      <c r="AB534" s="8"/>
      <c r="AC534" s="8">
        <f t="shared" si="58"/>
        <v>0</v>
      </c>
    </row>
    <row r="535" spans="1:29" hidden="1">
      <c r="A535" s="12" t="s">
        <v>289</v>
      </c>
      <c r="B535" s="12"/>
      <c r="C535" s="12" t="s">
        <v>115</v>
      </c>
      <c r="D535" s="12"/>
      <c r="E535" s="32">
        <v>46458</v>
      </c>
      <c r="K535" s="3">
        <f t="shared" si="59"/>
        <v>0</v>
      </c>
      <c r="O535" s="3">
        <f t="shared" si="60"/>
        <v>0</v>
      </c>
      <c r="AA535" s="14">
        <f t="shared" si="61"/>
        <v>0</v>
      </c>
      <c r="AB535" s="8"/>
      <c r="AC535" s="8">
        <f t="shared" si="58"/>
        <v>0</v>
      </c>
    </row>
    <row r="536" spans="1:29">
      <c r="A536" s="12" t="s">
        <v>368</v>
      </c>
      <c r="B536" s="12"/>
      <c r="C536" s="12" t="s">
        <v>27</v>
      </c>
      <c r="D536" s="12"/>
      <c r="E536" s="32">
        <v>44933</v>
      </c>
      <c r="G536" s="8">
        <v>39507751</v>
      </c>
      <c r="I536" s="8">
        <v>0</v>
      </c>
      <c r="K536" s="3">
        <f t="shared" si="59"/>
        <v>48763038</v>
      </c>
      <c r="M536" s="8">
        <v>88270789</v>
      </c>
      <c r="O536" s="3">
        <f t="shared" si="60"/>
        <v>8400132</v>
      </c>
      <c r="Q536" s="8">
        <v>41664000</v>
      </c>
      <c r="S536" s="8">
        <v>50064132</v>
      </c>
      <c r="U536" s="8">
        <f>691990+28961+20148720+285453</f>
        <v>21155124</v>
      </c>
      <c r="W536" s="8">
        <v>926016</v>
      </c>
      <c r="Y536" s="8">
        <v>16125517</v>
      </c>
      <c r="AA536" s="14">
        <f t="shared" si="61"/>
        <v>38206657</v>
      </c>
      <c r="AB536" s="8"/>
      <c r="AC536" s="8">
        <f t="shared" si="58"/>
        <v>0</v>
      </c>
    </row>
    <row r="537" spans="1:29" hidden="1">
      <c r="A537" s="12" t="s">
        <v>749</v>
      </c>
      <c r="B537" s="12"/>
      <c r="C537" s="12" t="s">
        <v>747</v>
      </c>
      <c r="D537" s="12"/>
      <c r="E537" s="32">
        <v>45625</v>
      </c>
      <c r="K537" s="3">
        <f t="shared" si="59"/>
        <v>0</v>
      </c>
      <c r="O537" s="3">
        <f t="shared" si="60"/>
        <v>0</v>
      </c>
      <c r="AA537" s="14">
        <f t="shared" si="61"/>
        <v>0</v>
      </c>
      <c r="AB537" s="8"/>
      <c r="AC537" s="8">
        <f t="shared" si="58"/>
        <v>0</v>
      </c>
    </row>
    <row r="538" spans="1:29" hidden="1">
      <c r="A538" s="12" t="s">
        <v>431</v>
      </c>
      <c r="B538" s="12"/>
      <c r="C538" s="12" t="s">
        <v>426</v>
      </c>
      <c r="D538" s="12"/>
      <c r="E538" s="32">
        <v>47522</v>
      </c>
      <c r="K538" s="3">
        <f t="shared" si="59"/>
        <v>0</v>
      </c>
      <c r="O538" s="3">
        <f t="shared" si="60"/>
        <v>0</v>
      </c>
      <c r="AA538" s="14">
        <f t="shared" si="61"/>
        <v>0</v>
      </c>
      <c r="AB538" s="8"/>
      <c r="AC538" s="8">
        <f t="shared" si="58"/>
        <v>0</v>
      </c>
    </row>
    <row r="539" spans="1:29">
      <c r="A539" s="12" t="s">
        <v>262</v>
      </c>
      <c r="B539" s="12"/>
      <c r="C539" s="12" t="s">
        <v>259</v>
      </c>
      <c r="D539" s="12"/>
      <c r="E539" s="32">
        <v>44941</v>
      </c>
      <c r="G539" s="8">
        <v>4868465</v>
      </c>
      <c r="I539" s="8">
        <v>0</v>
      </c>
      <c r="K539" s="3">
        <f t="shared" si="59"/>
        <v>7756202</v>
      </c>
      <c r="M539" s="8">
        <v>12624667</v>
      </c>
      <c r="O539" s="3">
        <f t="shared" si="60"/>
        <v>3787701</v>
      </c>
      <c r="Q539" s="8">
        <f>327070+6031949</f>
        <v>6359019</v>
      </c>
      <c r="S539" s="8">
        <v>10146720</v>
      </c>
      <c r="U539" s="8">
        <f>371840+4625+692475+58854+113449+353970+33814</f>
        <v>1629027</v>
      </c>
      <c r="W539" s="8">
        <v>253159</v>
      </c>
      <c r="Y539" s="8">
        <v>595761</v>
      </c>
      <c r="AA539" s="14">
        <f t="shared" si="61"/>
        <v>2477947</v>
      </c>
      <c r="AB539" s="8"/>
      <c r="AC539" s="8">
        <f t="shared" si="58"/>
        <v>0</v>
      </c>
    </row>
    <row r="540" spans="1:29" hidden="1">
      <c r="A540" s="12" t="s">
        <v>637</v>
      </c>
      <c r="B540" s="12"/>
      <c r="C540" s="12" t="s">
        <v>59</v>
      </c>
      <c r="D540" s="12"/>
      <c r="E540" s="32">
        <v>49643</v>
      </c>
      <c r="K540" s="3">
        <f t="shared" si="59"/>
        <v>0</v>
      </c>
      <c r="O540" s="3">
        <f t="shared" si="60"/>
        <v>0</v>
      </c>
      <c r="AA540" s="14">
        <f t="shared" si="61"/>
        <v>0</v>
      </c>
      <c r="AB540" s="8"/>
      <c r="AC540" s="8">
        <f t="shared" si="58"/>
        <v>0</v>
      </c>
    </row>
    <row r="541" spans="1:29">
      <c r="A541" s="12" t="s">
        <v>564</v>
      </c>
      <c r="B541" s="12"/>
      <c r="C541" s="12" t="s">
        <v>50</v>
      </c>
      <c r="D541" s="12"/>
      <c r="E541" s="32">
        <v>48744</v>
      </c>
      <c r="G541" s="8">
        <v>7557159</v>
      </c>
      <c r="I541" s="8">
        <v>0</v>
      </c>
      <c r="K541" s="3">
        <f t="shared" si="59"/>
        <v>6056123</v>
      </c>
      <c r="M541" s="8">
        <v>13613282</v>
      </c>
      <c r="O541" s="3">
        <f t="shared" si="60"/>
        <v>2505982</v>
      </c>
      <c r="Q541" s="8">
        <f>137315+4371140</f>
        <v>4508455</v>
      </c>
      <c r="S541" s="8">
        <v>7014437</v>
      </c>
      <c r="U541" s="8">
        <f>332779+398855+9011+9630</f>
        <v>750275</v>
      </c>
      <c r="W541" s="8">
        <v>0</v>
      </c>
      <c r="Y541" s="8">
        <v>5848570</v>
      </c>
      <c r="AA541" s="14">
        <f t="shared" si="61"/>
        <v>6598845</v>
      </c>
      <c r="AB541" s="8"/>
      <c r="AC541" s="8">
        <f t="shared" si="58"/>
        <v>0</v>
      </c>
    </row>
    <row r="542" spans="1:29">
      <c r="A542" s="12" t="s">
        <v>424</v>
      </c>
      <c r="B542" s="12"/>
      <c r="C542" s="12" t="s">
        <v>33</v>
      </c>
      <c r="D542" s="12"/>
      <c r="E542" s="32">
        <v>47464</v>
      </c>
      <c r="G542" s="8">
        <v>4946831</v>
      </c>
      <c r="I542" s="8">
        <v>0</v>
      </c>
      <c r="K542" s="3">
        <f t="shared" si="59"/>
        <v>8982973</v>
      </c>
      <c r="M542" s="8">
        <v>13929804</v>
      </c>
      <c r="O542" s="3">
        <f t="shared" si="60"/>
        <v>943760</v>
      </c>
      <c r="Q542" s="8">
        <v>8185401</v>
      </c>
      <c r="S542" s="8">
        <v>9129161</v>
      </c>
      <c r="U542" s="8">
        <f>361000+352709+14119+77349</f>
        <v>805177</v>
      </c>
      <c r="W542" s="8">
        <v>0</v>
      </c>
      <c r="Y542" s="8">
        <v>3995466</v>
      </c>
      <c r="AA542" s="14">
        <f t="shared" si="61"/>
        <v>4800643</v>
      </c>
      <c r="AB542" s="8"/>
      <c r="AC542" s="8">
        <f t="shared" si="58"/>
        <v>0</v>
      </c>
    </row>
    <row r="543" spans="1:29">
      <c r="A543" s="12" t="s">
        <v>711</v>
      </c>
      <c r="B543" s="12"/>
      <c r="C543" s="12" t="s">
        <v>67</v>
      </c>
      <c r="D543" s="12"/>
      <c r="E543" s="32">
        <v>44966</v>
      </c>
      <c r="G543" s="8">
        <v>5537996</v>
      </c>
      <c r="I543" s="8">
        <v>0</v>
      </c>
      <c r="K543" s="3">
        <f t="shared" si="59"/>
        <v>8555836</v>
      </c>
      <c r="M543" s="8">
        <v>14093832</v>
      </c>
      <c r="O543" s="3">
        <f t="shared" si="60"/>
        <v>2082836</v>
      </c>
      <c r="Q543" s="8">
        <v>6664372</v>
      </c>
      <c r="S543" s="8">
        <v>8747208</v>
      </c>
      <c r="U543" s="8">
        <f>400000+374812+52993+4894+104653</f>
        <v>937352</v>
      </c>
      <c r="W543" s="8">
        <v>0</v>
      </c>
      <c r="Y543" s="8">
        <v>4409272</v>
      </c>
      <c r="AA543" s="14">
        <f t="shared" si="61"/>
        <v>5346624</v>
      </c>
      <c r="AB543" s="8"/>
      <c r="AC543" s="8">
        <f t="shared" si="58"/>
        <v>0</v>
      </c>
    </row>
    <row r="544" spans="1:29">
      <c r="A544" s="12" t="s">
        <v>565</v>
      </c>
      <c r="B544" s="12"/>
      <c r="C544" s="12" t="s">
        <v>50</v>
      </c>
      <c r="D544" s="12"/>
      <c r="E544" s="32">
        <v>44958</v>
      </c>
      <c r="G544" s="8">
        <v>15755084</v>
      </c>
      <c r="I544" s="8">
        <v>0</v>
      </c>
      <c r="K544" s="3">
        <f t="shared" si="59"/>
        <v>22604344</v>
      </c>
      <c r="M544" s="8">
        <v>38359428</v>
      </c>
      <c r="O544" s="3">
        <f t="shared" si="60"/>
        <v>5076851</v>
      </c>
      <c r="Q544" s="8">
        <v>20483622</v>
      </c>
      <c r="S544" s="8">
        <v>25560473</v>
      </c>
      <c r="U544" s="8">
        <f>682776+1685690</f>
        <v>2368466</v>
      </c>
      <c r="W544" s="8">
        <v>0</v>
      </c>
      <c r="Y544" s="8">
        <v>10430489</v>
      </c>
      <c r="AA544" s="14">
        <f t="shared" si="61"/>
        <v>12798955</v>
      </c>
      <c r="AB544" s="8"/>
      <c r="AC544" s="8">
        <f t="shared" si="58"/>
        <v>0</v>
      </c>
    </row>
    <row r="545" spans="1:29" hidden="1">
      <c r="A545" s="12" t="s">
        <v>425</v>
      </c>
      <c r="B545" s="12"/>
      <c r="C545" s="12" t="s">
        <v>33</v>
      </c>
      <c r="D545" s="12"/>
      <c r="E545" s="32">
        <v>47472</v>
      </c>
      <c r="K545" s="3">
        <f t="shared" si="59"/>
        <v>0</v>
      </c>
      <c r="O545" s="3">
        <f t="shared" si="60"/>
        <v>0</v>
      </c>
      <c r="AA545" s="14">
        <f t="shared" si="61"/>
        <v>0</v>
      </c>
      <c r="AB545" s="8"/>
      <c r="AC545" s="8">
        <f t="shared" si="58"/>
        <v>0</v>
      </c>
    </row>
    <row r="546" spans="1:29">
      <c r="A546" s="12" t="s">
        <v>346</v>
      </c>
      <c r="B546" s="12"/>
      <c r="C546" s="12" t="s">
        <v>24</v>
      </c>
      <c r="D546" s="12"/>
      <c r="E546" s="32">
        <v>46821</v>
      </c>
      <c r="G546" s="8">
        <f>9503574+530120</f>
        <v>10033694</v>
      </c>
      <c r="I546" s="8">
        <v>0</v>
      </c>
      <c r="K546" s="3">
        <f t="shared" si="59"/>
        <v>15177876</v>
      </c>
      <c r="M546" s="8">
        <v>25211570</v>
      </c>
      <c r="O546" s="3">
        <f t="shared" si="60"/>
        <v>2415380</v>
      </c>
      <c r="Q546" s="8">
        <f>5997869+1284023</f>
        <v>7281892</v>
      </c>
      <c r="S546" s="8">
        <v>9697272</v>
      </c>
      <c r="U546" s="8">
        <f>2138855+53621+7776844+39187</f>
        <v>10008507</v>
      </c>
      <c r="W546" s="8">
        <v>0</v>
      </c>
      <c r="Y546" s="8">
        <v>5505791</v>
      </c>
      <c r="AA546" s="14">
        <f t="shared" si="61"/>
        <v>15514298</v>
      </c>
      <c r="AB546" s="8"/>
      <c r="AC546" s="8">
        <f t="shared" si="58"/>
        <v>0</v>
      </c>
    </row>
    <row r="547" spans="1:29">
      <c r="A547" s="12" t="s">
        <v>712</v>
      </c>
      <c r="B547" s="12"/>
      <c r="C547" s="12" t="s">
        <v>68</v>
      </c>
      <c r="D547" s="12"/>
      <c r="E547" s="32">
        <v>50393</v>
      </c>
      <c r="G547" s="8">
        <v>11735589</v>
      </c>
      <c r="I547" s="8">
        <v>0</v>
      </c>
      <c r="K547" s="3">
        <f t="shared" si="59"/>
        <v>5170112</v>
      </c>
      <c r="M547" s="8">
        <v>16905701</v>
      </c>
      <c r="O547" s="3">
        <f t="shared" si="60"/>
        <v>2550586</v>
      </c>
      <c r="Q547" s="8">
        <v>3609748</v>
      </c>
      <c r="S547" s="8">
        <v>6160334</v>
      </c>
      <c r="U547" s="8">
        <f>1632370+410235+37458+912380+81319</f>
        <v>3073762</v>
      </c>
      <c r="W547" s="8">
        <v>0</v>
      </c>
      <c r="Y547" s="8">
        <v>7671605</v>
      </c>
      <c r="AA547" s="14">
        <f t="shared" si="61"/>
        <v>10745367</v>
      </c>
      <c r="AB547" s="8"/>
      <c r="AC547" s="8">
        <f t="shared" si="58"/>
        <v>0</v>
      </c>
    </row>
    <row r="548" spans="1:29">
      <c r="A548" s="12" t="s">
        <v>536</v>
      </c>
      <c r="B548" s="12"/>
      <c r="C548" s="12" t="s">
        <v>47</v>
      </c>
      <c r="D548" s="12"/>
      <c r="E548" s="32">
        <v>44974</v>
      </c>
      <c r="G548" s="8">
        <v>10758679</v>
      </c>
      <c r="I548" s="8">
        <v>0</v>
      </c>
      <c r="K548" s="3">
        <f t="shared" si="59"/>
        <v>17282994</v>
      </c>
      <c r="M548" s="8">
        <v>28041673</v>
      </c>
      <c r="O548" s="3">
        <f t="shared" si="60"/>
        <v>4151763</v>
      </c>
      <c r="Q548" s="8">
        <v>16360299</v>
      </c>
      <c r="S548" s="8">
        <v>20512062</v>
      </c>
      <c r="U548" s="8">
        <f>676328+382264</f>
        <v>1058592</v>
      </c>
      <c r="W548" s="8">
        <v>0</v>
      </c>
      <c r="Y548" s="8">
        <v>6471019</v>
      </c>
      <c r="AA548" s="14">
        <f>+Y548+W548++U548</f>
        <v>7529611</v>
      </c>
      <c r="AB548" s="8"/>
      <c r="AC548" s="8">
        <f>+G548+I548+K548-O548-Q548-Y548-W548-U548</f>
        <v>0</v>
      </c>
    </row>
    <row r="549" spans="1:29">
      <c r="A549" s="12" t="s">
        <v>697</v>
      </c>
      <c r="B549" s="12"/>
      <c r="C549" s="12" t="s">
        <v>64</v>
      </c>
      <c r="D549" s="12"/>
      <c r="E549" s="32">
        <v>44990</v>
      </c>
      <c r="G549" s="8">
        <v>18650886</v>
      </c>
      <c r="I549" s="8">
        <v>0</v>
      </c>
      <c r="K549" s="3">
        <f t="shared" si="59"/>
        <v>20408629</v>
      </c>
      <c r="M549" s="8">
        <v>39059515</v>
      </c>
      <c r="O549" s="3">
        <f t="shared" si="60"/>
        <v>7333022</v>
      </c>
      <c r="Q549" s="8">
        <f>4639031+15172272</f>
        <v>19811303</v>
      </c>
      <c r="S549" s="8">
        <v>27144325</v>
      </c>
      <c r="U549" s="8">
        <f>433358+104295+323647</f>
        <v>861300</v>
      </c>
      <c r="W549" s="8">
        <v>0</v>
      </c>
      <c r="Y549" s="8">
        <v>11053890</v>
      </c>
      <c r="AA549" s="14">
        <f t="shared" ref="AA549:AA566" si="62">+Y549+W549++U549</f>
        <v>11915190</v>
      </c>
      <c r="AB549" s="8"/>
      <c r="AC549" s="8">
        <f t="shared" ref="AC549:AC566" si="63">+G549+I549+K549-O549-Q549-Y549-W549-U549</f>
        <v>0</v>
      </c>
    </row>
    <row r="550" spans="1:29">
      <c r="A550" s="12" t="s">
        <v>725</v>
      </c>
      <c r="B550" s="12"/>
      <c r="C550" s="12" t="s">
        <v>70</v>
      </c>
      <c r="D550" s="12"/>
      <c r="E550" s="32">
        <v>50500</v>
      </c>
      <c r="G550" s="8">
        <v>1092912</v>
      </c>
      <c r="I550" s="8">
        <v>206547</v>
      </c>
      <c r="K550" s="3">
        <f t="shared" si="59"/>
        <v>7095177</v>
      </c>
      <c r="M550" s="8">
        <v>8394636</v>
      </c>
      <c r="O550" s="3">
        <f t="shared" si="60"/>
        <v>2161357</v>
      </c>
      <c r="Q550" s="8">
        <v>6647499</v>
      </c>
      <c r="S550" s="8">
        <v>8808856</v>
      </c>
      <c r="U550" s="8">
        <f>65196+137938+134360+82483+554</f>
        <v>420531</v>
      </c>
      <c r="W550" s="8">
        <v>0</v>
      </c>
      <c r="Y550" s="8">
        <v>-834751</v>
      </c>
      <c r="AA550" s="14">
        <f t="shared" si="62"/>
        <v>-414220</v>
      </c>
      <c r="AB550" s="8"/>
      <c r="AC550" s="8">
        <f t="shared" si="63"/>
        <v>0</v>
      </c>
    </row>
    <row r="551" spans="1:29">
      <c r="A551" s="12" t="s">
        <v>328</v>
      </c>
      <c r="B551" s="12"/>
      <c r="C551" s="12" t="s">
        <v>20</v>
      </c>
      <c r="D551" s="12"/>
      <c r="E551" s="32">
        <v>45005</v>
      </c>
      <c r="G551" s="8">
        <v>2859226</v>
      </c>
      <c r="I551" s="8">
        <v>262025</v>
      </c>
      <c r="K551" s="3">
        <f t="shared" si="59"/>
        <v>24535706</v>
      </c>
      <c r="M551" s="8">
        <v>27656957</v>
      </c>
      <c r="O551" s="3">
        <f t="shared" si="60"/>
        <v>4420026</v>
      </c>
      <c r="Q551" s="8">
        <v>20443317</v>
      </c>
      <c r="S551" s="8">
        <v>24863343</v>
      </c>
      <c r="U551" s="8">
        <f>1547696+2631434+262025</f>
        <v>4441155</v>
      </c>
      <c r="W551" s="8">
        <v>0</v>
      </c>
      <c r="Y551" s="8">
        <v>-1647541</v>
      </c>
      <c r="AA551" s="14">
        <f t="shared" si="62"/>
        <v>2793614</v>
      </c>
      <c r="AB551" s="8"/>
      <c r="AC551" s="8">
        <f t="shared" si="63"/>
        <v>0</v>
      </c>
    </row>
    <row r="552" spans="1:29">
      <c r="A552" s="12" t="s">
        <v>355</v>
      </c>
      <c r="B552" s="12"/>
      <c r="C552" s="12" t="s">
        <v>26</v>
      </c>
      <c r="D552" s="12"/>
      <c r="E552" s="32">
        <v>45013</v>
      </c>
      <c r="G552" s="8">
        <f>1321827+178507</f>
        <v>1500334</v>
      </c>
      <c r="I552" s="8">
        <v>25531</v>
      </c>
      <c r="K552" s="3">
        <f t="shared" ref="K552:K557" si="64">+M552-I552-G552</f>
        <v>4760969</v>
      </c>
      <c r="M552" s="8">
        <v>6286834</v>
      </c>
      <c r="O552" s="3">
        <f t="shared" ref="O552:O557" si="65">+S552-Q552</f>
        <v>2395187</v>
      </c>
      <c r="Q552" s="8">
        <v>4313821</v>
      </c>
      <c r="S552" s="8">
        <v>6709008</v>
      </c>
      <c r="U552" s="8">
        <f>172153+445252+25531</f>
        <v>642936</v>
      </c>
      <c r="W552" s="8">
        <v>0</v>
      </c>
      <c r="Y552" s="8">
        <v>-1065110</v>
      </c>
      <c r="AA552" s="14">
        <f t="shared" si="62"/>
        <v>-422174</v>
      </c>
      <c r="AB552" s="8"/>
      <c r="AC552" s="8">
        <f t="shared" si="63"/>
        <v>0</v>
      </c>
    </row>
    <row r="553" spans="1:29">
      <c r="A553" s="12" t="s">
        <v>509</v>
      </c>
      <c r="B553" s="12"/>
      <c r="C553" s="12" t="s">
        <v>118</v>
      </c>
      <c r="D553" s="12"/>
      <c r="E553" s="32">
        <v>48231</v>
      </c>
      <c r="G553" s="8">
        <f>36871058+2911</f>
        <v>36873969</v>
      </c>
      <c r="I553" s="8">
        <v>0</v>
      </c>
      <c r="K553" s="3">
        <f t="shared" si="64"/>
        <v>38115325</v>
      </c>
      <c r="M553" s="8">
        <v>74989294</v>
      </c>
      <c r="O553" s="3">
        <f t="shared" si="65"/>
        <v>10949790</v>
      </c>
      <c r="Q553" s="8">
        <f>4139816+32219643</f>
        <v>36359459</v>
      </c>
      <c r="S553" s="8">
        <v>47309249</v>
      </c>
      <c r="U553" s="8">
        <f>1131287+162104+455357+153045</f>
        <v>1901793</v>
      </c>
      <c r="W553" s="8">
        <v>1800000</v>
      </c>
      <c r="Y553" s="8">
        <v>23978252</v>
      </c>
      <c r="AA553" s="14">
        <f t="shared" si="62"/>
        <v>27680045</v>
      </c>
      <c r="AB553" s="8"/>
      <c r="AC553" s="8">
        <f t="shared" si="63"/>
        <v>0</v>
      </c>
    </row>
    <row r="554" spans="1:29" s="35" customFormat="1">
      <c r="A554" s="34" t="s">
        <v>638</v>
      </c>
      <c r="B554" s="34"/>
      <c r="C554" s="34" t="s">
        <v>59</v>
      </c>
      <c r="D554" s="34"/>
      <c r="E554" s="32">
        <v>49650</v>
      </c>
      <c r="G554" s="8">
        <v>3492203</v>
      </c>
      <c r="H554" s="8"/>
      <c r="I554" s="8">
        <v>0</v>
      </c>
      <c r="J554" s="8"/>
      <c r="K554" s="3">
        <f t="shared" si="64"/>
        <v>1798613</v>
      </c>
      <c r="L554" s="8"/>
      <c r="M554" s="8">
        <v>5290816</v>
      </c>
      <c r="N554" s="8"/>
      <c r="O554" s="3">
        <f t="shared" si="65"/>
        <v>1264505</v>
      </c>
      <c r="P554" s="8"/>
      <c r="Q554" s="8">
        <v>1438468</v>
      </c>
      <c r="R554" s="8"/>
      <c r="S554" s="8">
        <v>2702973</v>
      </c>
      <c r="T554" s="8"/>
      <c r="U554" s="8">
        <f>246879+80390+85740+37823</f>
        <v>450832</v>
      </c>
      <c r="V554" s="8"/>
      <c r="W554" s="8">
        <v>142203</v>
      </c>
      <c r="X554" s="8"/>
      <c r="Y554" s="8">
        <v>1994808</v>
      </c>
      <c r="Z554" s="8"/>
      <c r="AA554" s="14">
        <f t="shared" si="62"/>
        <v>2587843</v>
      </c>
      <c r="AB554" s="8"/>
      <c r="AC554" s="8">
        <f t="shared" si="63"/>
        <v>0</v>
      </c>
    </row>
    <row r="555" spans="1:29">
      <c r="A555" s="12" t="s">
        <v>603</v>
      </c>
      <c r="B555" s="12"/>
      <c r="C555" s="12" t="s">
        <v>56</v>
      </c>
      <c r="D555" s="12"/>
      <c r="E555" s="32">
        <v>49247</v>
      </c>
      <c r="G555" s="8">
        <v>2474470</v>
      </c>
      <c r="I555" s="8">
        <v>0</v>
      </c>
      <c r="K555" s="3">
        <f t="shared" si="64"/>
        <v>3330718</v>
      </c>
      <c r="M555" s="8">
        <v>5805188</v>
      </c>
      <c r="O555" s="3">
        <f t="shared" si="65"/>
        <v>1561758</v>
      </c>
      <c r="Q555" s="8">
        <f>142610+2950315</f>
        <v>3092925</v>
      </c>
      <c r="S555" s="8">
        <v>4654683</v>
      </c>
      <c r="U555" s="8">
        <f>252559+17870+140305+15062</f>
        <v>425796</v>
      </c>
      <c r="W555" s="8">
        <v>557799</v>
      </c>
      <c r="Y555" s="8">
        <v>166910</v>
      </c>
      <c r="AA555" s="14">
        <f t="shared" si="62"/>
        <v>1150505</v>
      </c>
      <c r="AB555" s="8"/>
      <c r="AC555" s="8">
        <f t="shared" si="63"/>
        <v>0</v>
      </c>
    </row>
    <row r="556" spans="1:29">
      <c r="A556" s="12" t="s">
        <v>378</v>
      </c>
      <c r="B556" s="12"/>
      <c r="C556" s="12" t="s">
        <v>28</v>
      </c>
      <c r="D556" s="12"/>
      <c r="E556" s="32">
        <v>45641</v>
      </c>
      <c r="G556" s="8">
        <v>5150463</v>
      </c>
      <c r="I556" s="8">
        <v>0</v>
      </c>
      <c r="K556" s="3">
        <f t="shared" si="64"/>
        <v>4505030</v>
      </c>
      <c r="M556" s="8">
        <v>9655493</v>
      </c>
      <c r="O556" s="3">
        <f t="shared" si="65"/>
        <v>2116913</v>
      </c>
      <c r="Q556" s="8">
        <f>161656+3865939</f>
        <v>4027595</v>
      </c>
      <c r="S556" s="8">
        <v>6144508</v>
      </c>
      <c r="U556" s="8">
        <f>10899+24208+57582+255323+18789</f>
        <v>366801</v>
      </c>
      <c r="W556" s="8">
        <v>0</v>
      </c>
      <c r="Y556" s="8">
        <v>3144184</v>
      </c>
      <c r="AA556" s="14">
        <f t="shared" si="62"/>
        <v>3510985</v>
      </c>
      <c r="AB556" s="8"/>
      <c r="AC556" s="8">
        <f t="shared" si="63"/>
        <v>0</v>
      </c>
    </row>
    <row r="557" spans="1:29">
      <c r="A557" s="12" t="s">
        <v>593</v>
      </c>
      <c r="B557" s="12"/>
      <c r="C557" s="12" t="s">
        <v>55</v>
      </c>
      <c r="D557" s="12"/>
      <c r="E557" s="32">
        <v>49148</v>
      </c>
      <c r="G557" s="8">
        <v>3100367</v>
      </c>
      <c r="I557" s="8">
        <v>0</v>
      </c>
      <c r="K557" s="3">
        <f t="shared" si="64"/>
        <v>4219613</v>
      </c>
      <c r="M557" s="8">
        <v>7319980</v>
      </c>
      <c r="O557" s="3">
        <f t="shared" si="65"/>
        <v>1494192</v>
      </c>
      <c r="Q557" s="8">
        <f>3744995</f>
        <v>3744995</v>
      </c>
      <c r="S557" s="8">
        <v>5239187</v>
      </c>
      <c r="U557" s="8">
        <f>174990+72254+353253+57076</f>
        <v>657573</v>
      </c>
      <c r="W557" s="8">
        <v>0</v>
      </c>
      <c r="Y557" s="8">
        <v>1423220</v>
      </c>
      <c r="AA557" s="14">
        <f t="shared" si="62"/>
        <v>2080793</v>
      </c>
      <c r="AB557" s="8"/>
      <c r="AC557" s="8">
        <f t="shared" si="63"/>
        <v>0</v>
      </c>
    </row>
    <row r="558" spans="1:29" hidden="1">
      <c r="A558" s="12" t="s">
        <v>720</v>
      </c>
      <c r="B558" s="12"/>
      <c r="C558" s="12" t="s">
        <v>69</v>
      </c>
      <c r="D558" s="12"/>
      <c r="E558" s="32">
        <v>50468</v>
      </c>
      <c r="K558" s="3">
        <f>+M558-I558-G558</f>
        <v>0</v>
      </c>
      <c r="O558" s="3">
        <f>+S558-Q558</f>
        <v>0</v>
      </c>
      <c r="W558" s="8">
        <v>0</v>
      </c>
      <c r="AA558" s="14">
        <f t="shared" si="62"/>
        <v>0</v>
      </c>
      <c r="AB558" s="8"/>
      <c r="AC558" s="8">
        <f t="shared" si="63"/>
        <v>0</v>
      </c>
    </row>
    <row r="559" spans="1:29" hidden="1">
      <c r="A559" s="12" t="s">
        <v>585</v>
      </c>
      <c r="B559" s="12"/>
      <c r="C559" s="12" t="s">
        <v>583</v>
      </c>
      <c r="D559" s="12"/>
      <c r="E559" s="32">
        <v>49031</v>
      </c>
      <c r="K559" s="3">
        <f>+M559-I559-G559</f>
        <v>0</v>
      </c>
      <c r="O559" s="3">
        <f>+S559-Q559</f>
        <v>0</v>
      </c>
      <c r="W559" s="8">
        <v>0</v>
      </c>
      <c r="AA559" s="14">
        <f t="shared" si="62"/>
        <v>0</v>
      </c>
      <c r="AB559" s="8"/>
      <c r="AC559" s="8">
        <f t="shared" si="63"/>
        <v>0</v>
      </c>
    </row>
    <row r="560" spans="1:29" s="35" customFormat="1" hidden="1">
      <c r="A560" s="34" t="s">
        <v>233</v>
      </c>
      <c r="B560" s="34"/>
      <c r="C560" s="34" t="s">
        <v>14</v>
      </c>
      <c r="D560" s="34"/>
      <c r="E560" s="34">
        <v>45971</v>
      </c>
      <c r="K560" s="42">
        <f t="shared" ref="K560:K567" si="66">+M560-I560-G560</f>
        <v>0</v>
      </c>
      <c r="O560" s="42">
        <f t="shared" ref="O560:O567" si="67">+S560-Q560</f>
        <v>0</v>
      </c>
      <c r="W560" s="8">
        <v>0</v>
      </c>
      <c r="AA560" s="71">
        <f t="shared" si="62"/>
        <v>0</v>
      </c>
      <c r="AC560" s="35">
        <f t="shared" si="63"/>
        <v>0</v>
      </c>
    </row>
    <row r="561" spans="1:29">
      <c r="A561" s="12" t="s">
        <v>698</v>
      </c>
      <c r="B561" s="12"/>
      <c r="C561" s="12" t="s">
        <v>64</v>
      </c>
      <c r="D561" s="12"/>
      <c r="E561" s="32">
        <v>50252</v>
      </c>
      <c r="G561" s="8">
        <f>2237196+6315</f>
        <v>2243511</v>
      </c>
      <c r="I561" s="8">
        <v>0</v>
      </c>
      <c r="K561" s="3">
        <f t="shared" si="66"/>
        <v>3910057</v>
      </c>
      <c r="M561" s="8">
        <v>6153568</v>
      </c>
      <c r="O561" s="3">
        <f t="shared" si="67"/>
        <v>976655</v>
      </c>
      <c r="Q561" s="8">
        <f>300495+3567890</f>
        <v>3868385</v>
      </c>
      <c r="S561" s="8">
        <v>4845040</v>
      </c>
      <c r="U561" s="8">
        <f>67701+34224+4804</f>
        <v>106729</v>
      </c>
      <c r="W561" s="8">
        <v>0</v>
      </c>
      <c r="Y561" s="8">
        <v>1201799</v>
      </c>
      <c r="AA561" s="14">
        <f t="shared" si="62"/>
        <v>1308528</v>
      </c>
      <c r="AB561" s="8"/>
      <c r="AC561" s="8">
        <f t="shared" si="63"/>
        <v>0</v>
      </c>
    </row>
    <row r="562" spans="1:29">
      <c r="A562" s="12" t="s">
        <v>501</v>
      </c>
      <c r="B562" s="12"/>
      <c r="C562" s="12" t="s">
        <v>44</v>
      </c>
      <c r="D562" s="12"/>
      <c r="E562" s="32">
        <v>45658</v>
      </c>
      <c r="G562" s="8">
        <v>4407868</v>
      </c>
      <c r="I562" s="8">
        <v>0</v>
      </c>
      <c r="K562" s="3">
        <f t="shared" si="66"/>
        <v>4416248</v>
      </c>
      <c r="M562" s="8">
        <v>8824116</v>
      </c>
      <c r="O562" s="3">
        <f t="shared" si="67"/>
        <v>1702256</v>
      </c>
      <c r="Q562" s="8">
        <v>3375734</v>
      </c>
      <c r="S562" s="8">
        <v>5077990</v>
      </c>
      <c r="U562" s="8">
        <f>106113+372543+66104</f>
        <v>544760</v>
      </c>
      <c r="W562" s="8">
        <v>0</v>
      </c>
      <c r="Y562" s="8">
        <v>3201366</v>
      </c>
      <c r="AA562" s="14">
        <f t="shared" si="62"/>
        <v>3746126</v>
      </c>
      <c r="AB562" s="8"/>
      <c r="AC562" s="8">
        <f t="shared" si="63"/>
        <v>0</v>
      </c>
    </row>
    <row r="563" spans="1:29">
      <c r="A563" s="12" t="s">
        <v>454</v>
      </c>
      <c r="B563" s="12"/>
      <c r="C563" s="12" t="s">
        <v>38</v>
      </c>
      <c r="D563" s="12"/>
      <c r="E563" s="32">
        <v>45021</v>
      </c>
      <c r="G563" s="8">
        <v>6364997</v>
      </c>
      <c r="I563" s="8">
        <v>90698</v>
      </c>
      <c r="K563" s="3">
        <f t="shared" si="66"/>
        <v>3326324</v>
      </c>
      <c r="M563" s="8">
        <v>9782019</v>
      </c>
      <c r="O563" s="3">
        <f t="shared" si="67"/>
        <v>1624887</v>
      </c>
      <c r="Q563" s="8">
        <v>2918635</v>
      </c>
      <c r="S563" s="8">
        <v>4543522</v>
      </c>
      <c r="U563" s="8">
        <f>88037+56688+41059+95170</f>
        <v>280954</v>
      </c>
      <c r="W563" s="8">
        <v>0</v>
      </c>
      <c r="Y563" s="8">
        <v>4957543</v>
      </c>
      <c r="AA563" s="14">
        <f t="shared" si="62"/>
        <v>5238497</v>
      </c>
      <c r="AB563" s="8"/>
      <c r="AC563" s="8">
        <f t="shared" si="63"/>
        <v>0</v>
      </c>
    </row>
    <row r="564" spans="1:29">
      <c r="A564" s="12" t="s">
        <v>290</v>
      </c>
      <c r="B564" s="12"/>
      <c r="C564" s="12" t="s">
        <v>115</v>
      </c>
      <c r="D564" s="12"/>
      <c r="E564" s="32">
        <v>45039</v>
      </c>
      <c r="G564" s="8">
        <v>498182</v>
      </c>
      <c r="I564" s="8">
        <f>2029390-498182</f>
        <v>1531208</v>
      </c>
      <c r="K564" s="3">
        <f t="shared" si="66"/>
        <v>0</v>
      </c>
      <c r="M564" s="8">
        <v>2029390</v>
      </c>
      <c r="O564" s="3">
        <f t="shared" si="67"/>
        <v>636249</v>
      </c>
      <c r="Q564" s="8">
        <v>806500</v>
      </c>
      <c r="S564" s="8">
        <v>1442749</v>
      </c>
      <c r="U564" s="8">
        <f>5938+935+19845+88283+269026+233389+70567</f>
        <v>687983</v>
      </c>
      <c r="W564" s="8">
        <v>0</v>
      </c>
      <c r="Y564" s="8">
        <v>-101342</v>
      </c>
      <c r="AA564" s="14">
        <f t="shared" si="62"/>
        <v>586641</v>
      </c>
      <c r="AB564" s="8"/>
      <c r="AC564" s="8">
        <f t="shared" si="63"/>
        <v>0</v>
      </c>
    </row>
    <row r="565" spans="1:29">
      <c r="A565" s="12" t="s">
        <v>524</v>
      </c>
      <c r="B565" s="12"/>
      <c r="C565" s="12" t="s">
        <v>45</v>
      </c>
      <c r="D565" s="12"/>
      <c r="E565" s="32">
        <v>48389</v>
      </c>
      <c r="G565" s="8">
        <v>3450150</v>
      </c>
      <c r="I565" s="8">
        <v>0</v>
      </c>
      <c r="K565" s="3">
        <f t="shared" si="66"/>
        <v>4639110</v>
      </c>
      <c r="M565" s="8">
        <v>8089260</v>
      </c>
      <c r="O565" s="3">
        <f t="shared" si="67"/>
        <v>2365197</v>
      </c>
      <c r="Q565" s="8">
        <f>495137+4065344</f>
        <v>4560481</v>
      </c>
      <c r="S565" s="8">
        <v>6925678</v>
      </c>
      <c r="U565" s="8">
        <f>67757+20999+52133</f>
        <v>140889</v>
      </c>
      <c r="W565" s="8">
        <v>0</v>
      </c>
      <c r="Y565" s="8">
        <v>1022693</v>
      </c>
      <c r="AA565" s="14">
        <f t="shared" si="62"/>
        <v>1163582</v>
      </c>
      <c r="AB565" s="8"/>
      <c r="AC565" s="8">
        <f t="shared" si="63"/>
        <v>0</v>
      </c>
    </row>
    <row r="566" spans="1:29">
      <c r="A566" s="12" t="s">
        <v>276</v>
      </c>
      <c r="B566" s="12"/>
      <c r="C566" s="12" t="s">
        <v>116</v>
      </c>
      <c r="D566" s="12"/>
      <c r="E566" s="32">
        <v>46359</v>
      </c>
      <c r="G566" s="8">
        <v>5286993</v>
      </c>
      <c r="I566" s="8">
        <v>0</v>
      </c>
      <c r="K566" s="3">
        <f t="shared" si="66"/>
        <v>39682634</v>
      </c>
      <c r="M566" s="8">
        <v>44969627</v>
      </c>
      <c r="O566" s="3">
        <f t="shared" si="67"/>
        <v>8788039</v>
      </c>
      <c r="Q566" s="8">
        <v>35746516</v>
      </c>
      <c r="S566" s="8">
        <v>44534555</v>
      </c>
      <c r="U566" s="8">
        <f>800182+3441200</f>
        <v>4241382</v>
      </c>
      <c r="W566" s="8">
        <v>0</v>
      </c>
      <c r="Y566" s="8">
        <v>-3806310</v>
      </c>
      <c r="AA566" s="14">
        <f t="shared" si="62"/>
        <v>435072</v>
      </c>
      <c r="AB566" s="8"/>
      <c r="AC566" s="8">
        <f t="shared" si="63"/>
        <v>0</v>
      </c>
    </row>
    <row r="567" spans="1:29" s="8" customFormat="1">
      <c r="A567" s="13" t="s">
        <v>387</v>
      </c>
      <c r="B567" s="13"/>
      <c r="C567" s="13" t="s">
        <v>30</v>
      </c>
      <c r="D567" s="13"/>
      <c r="E567" s="13">
        <v>47225</v>
      </c>
      <c r="G567" s="8">
        <v>5041335</v>
      </c>
      <c r="I567" s="8">
        <v>188696</v>
      </c>
      <c r="K567" s="3">
        <f t="shared" si="66"/>
        <v>16801845</v>
      </c>
      <c r="M567" s="8">
        <v>22031876</v>
      </c>
      <c r="O567" s="3">
        <f t="shared" si="67"/>
        <v>2583991</v>
      </c>
      <c r="Q567" s="8">
        <v>14664603</v>
      </c>
      <c r="S567" s="8">
        <v>17248594</v>
      </c>
      <c r="U567" s="8">
        <f>680913+1933856+188696</f>
        <v>2803465</v>
      </c>
      <c r="W567" s="8">
        <v>0</v>
      </c>
      <c r="Y567" s="8">
        <v>1979817</v>
      </c>
      <c r="AA567" s="14">
        <f>+Y567+W567++U567</f>
        <v>4783282</v>
      </c>
      <c r="AC567" s="8">
        <f>+G567+I567+K567-O567-Q567-Y567-W567-U567</f>
        <v>0</v>
      </c>
    </row>
    <row r="568" spans="1:29">
      <c r="A568" s="12" t="s">
        <v>447</v>
      </c>
      <c r="B568" s="12"/>
      <c r="C568" s="12" t="s">
        <v>36</v>
      </c>
      <c r="D568" s="12"/>
      <c r="E568" s="32">
        <v>47696</v>
      </c>
      <c r="G568" s="8">
        <v>8169377</v>
      </c>
      <c r="I568" s="8">
        <v>0</v>
      </c>
      <c r="K568" s="3">
        <f t="shared" ref="K568:K599" si="68">+M568-I568-G568</f>
        <v>7091829</v>
      </c>
      <c r="M568" s="8">
        <v>15261206</v>
      </c>
      <c r="O568" s="3">
        <f t="shared" ref="O568:O599" si="69">+S568-Q568</f>
        <v>2378132</v>
      </c>
      <c r="Q568" s="8">
        <v>6453598</v>
      </c>
      <c r="S568" s="8">
        <v>8831730</v>
      </c>
      <c r="U568" s="8">
        <f>248196+284958+250000</f>
        <v>783154</v>
      </c>
      <c r="W568" s="8">
        <v>0</v>
      </c>
      <c r="Y568" s="8">
        <v>5646322</v>
      </c>
      <c r="AA568" s="14">
        <f t="shared" ref="AA568:AA599" si="70">+Y568+W568++U568</f>
        <v>6429476</v>
      </c>
      <c r="AB568" s="8"/>
      <c r="AC568" s="8">
        <f t="shared" ref="AC568:AC599" si="71">+G568+I568+K568-O568-Q568-Y568-W568-U568</f>
        <v>0</v>
      </c>
    </row>
    <row r="569" spans="1:29">
      <c r="A569" s="12" t="s">
        <v>263</v>
      </c>
      <c r="B569" s="12"/>
      <c r="C569" s="12" t="s">
        <v>259</v>
      </c>
      <c r="D569" s="12"/>
      <c r="E569" s="32">
        <v>46219</v>
      </c>
      <c r="G569" s="8">
        <v>1952172</v>
      </c>
      <c r="I569" s="8">
        <v>47429</v>
      </c>
      <c r="K569" s="3">
        <f t="shared" si="68"/>
        <v>3809923</v>
      </c>
      <c r="M569" s="8">
        <v>5809524</v>
      </c>
      <c r="O569" s="3">
        <f t="shared" si="69"/>
        <v>3327345</v>
      </c>
      <c r="Q569" s="8">
        <v>293824</v>
      </c>
      <c r="S569" s="8">
        <v>3621169</v>
      </c>
      <c r="U569" s="8">
        <f>55142+11605+2214+216576+47429</f>
        <v>332966</v>
      </c>
      <c r="W569" s="8">
        <v>175700</v>
      </c>
      <c r="Y569" s="8">
        <v>1679689</v>
      </c>
      <c r="AA569" s="14">
        <f t="shared" si="70"/>
        <v>2188355</v>
      </c>
      <c r="AB569" s="8"/>
      <c r="AC569" s="8">
        <f t="shared" si="71"/>
        <v>0</v>
      </c>
    </row>
    <row r="570" spans="1:29">
      <c r="A570" s="12" t="s">
        <v>575</v>
      </c>
      <c r="B570" s="12"/>
      <c r="C570" s="12" t="s">
        <v>51</v>
      </c>
      <c r="D570" s="12"/>
      <c r="E570" s="32">
        <v>48884</v>
      </c>
      <c r="G570" s="8">
        <v>1236271</v>
      </c>
      <c r="I570" s="8">
        <f>50193+5624417</f>
        <v>5674610</v>
      </c>
      <c r="K570" s="3">
        <f t="shared" si="68"/>
        <v>261718</v>
      </c>
      <c r="M570" s="8">
        <v>7172599</v>
      </c>
      <c r="O570" s="3">
        <f t="shared" si="69"/>
        <v>1767012</v>
      </c>
      <c r="Q570" s="8">
        <v>5463911</v>
      </c>
      <c r="S570" s="8">
        <v>7230923</v>
      </c>
      <c r="U570" s="8">
        <f>416197+50193+6249+173359</f>
        <v>645998</v>
      </c>
      <c r="W570" s="8">
        <v>0</v>
      </c>
      <c r="Y570" s="8">
        <v>-704322</v>
      </c>
      <c r="AA570" s="14">
        <f t="shared" si="70"/>
        <v>-58324</v>
      </c>
      <c r="AB570" s="8"/>
      <c r="AC570" s="8">
        <f t="shared" si="71"/>
        <v>0</v>
      </c>
    </row>
    <row r="571" spans="1:29">
      <c r="A571" s="12" t="s">
        <v>244</v>
      </c>
      <c r="B571" s="12"/>
      <c r="C571" s="12" t="s">
        <v>77</v>
      </c>
      <c r="D571" s="12"/>
      <c r="E571" s="32">
        <v>46060</v>
      </c>
      <c r="G571" s="8">
        <v>2067514</v>
      </c>
      <c r="I571" s="8">
        <v>0</v>
      </c>
      <c r="K571" s="3">
        <f t="shared" si="68"/>
        <v>5307081</v>
      </c>
      <c r="M571" s="8">
        <v>7374595</v>
      </c>
      <c r="O571" s="3">
        <f t="shared" si="69"/>
        <v>2673471</v>
      </c>
      <c r="Q571" s="8">
        <v>3733484</v>
      </c>
      <c r="S571" s="8">
        <v>6406955</v>
      </c>
      <c r="U571" s="8">
        <f>284393+878313+634358+23646</f>
        <v>1820710</v>
      </c>
      <c r="W571" s="8">
        <v>0</v>
      </c>
      <c r="Y571" s="8">
        <v>-853070</v>
      </c>
      <c r="AA571" s="14">
        <f t="shared" si="70"/>
        <v>967640</v>
      </c>
      <c r="AB571" s="8"/>
      <c r="AC571" s="8">
        <f t="shared" si="71"/>
        <v>0</v>
      </c>
    </row>
    <row r="572" spans="1:29">
      <c r="A572" s="12" t="s">
        <v>594</v>
      </c>
      <c r="B572" s="12"/>
      <c r="C572" s="12" t="s">
        <v>55</v>
      </c>
      <c r="D572" s="12"/>
      <c r="E572" s="32">
        <v>49155</v>
      </c>
      <c r="G572" s="8">
        <v>5384267</v>
      </c>
      <c r="I572" s="8">
        <v>0</v>
      </c>
      <c r="K572" s="3">
        <f t="shared" si="68"/>
        <v>1253248</v>
      </c>
      <c r="M572" s="8">
        <v>6637515</v>
      </c>
      <c r="O572" s="3">
        <f t="shared" si="69"/>
        <v>656137</v>
      </c>
      <c r="Q572" s="8">
        <v>1137898</v>
      </c>
      <c r="S572" s="8">
        <v>1794035</v>
      </c>
      <c r="U572" s="8">
        <f>80933+59523</f>
        <v>140456</v>
      </c>
      <c r="W572" s="8">
        <v>0</v>
      </c>
      <c r="Y572" s="8">
        <v>4703024</v>
      </c>
      <c r="AA572" s="14">
        <f t="shared" si="70"/>
        <v>4843480</v>
      </c>
      <c r="AB572" s="8"/>
      <c r="AC572" s="8">
        <f t="shared" si="71"/>
        <v>0</v>
      </c>
    </row>
    <row r="573" spans="1:29">
      <c r="A573" s="12" t="s">
        <v>452</v>
      </c>
      <c r="B573" s="12"/>
      <c r="C573" s="12" t="s">
        <v>37</v>
      </c>
      <c r="D573" s="12"/>
      <c r="E573" s="32">
        <v>47746</v>
      </c>
      <c r="G573" s="8">
        <v>534287</v>
      </c>
      <c r="I573" s="8">
        <v>182849</v>
      </c>
      <c r="K573" s="3">
        <f t="shared" si="68"/>
        <v>2991197</v>
      </c>
      <c r="M573" s="8">
        <v>3708333</v>
      </c>
      <c r="O573" s="3">
        <f t="shared" si="69"/>
        <v>3158712</v>
      </c>
      <c r="Q573" s="8">
        <v>90834</v>
      </c>
      <c r="S573" s="8">
        <v>3249546</v>
      </c>
      <c r="U573" s="8">
        <f>24773+20848+277049+19552+163297</f>
        <v>505519</v>
      </c>
      <c r="W573" s="8">
        <v>0</v>
      </c>
      <c r="Y573" s="8">
        <v>-46732</v>
      </c>
      <c r="AA573" s="14">
        <f t="shared" si="70"/>
        <v>458787</v>
      </c>
      <c r="AB573" s="8"/>
      <c r="AC573" s="8">
        <f t="shared" si="71"/>
        <v>0</v>
      </c>
    </row>
    <row r="574" spans="1:29">
      <c r="A574" s="12" t="s">
        <v>452</v>
      </c>
      <c r="B574" s="12"/>
      <c r="C574" s="12" t="s">
        <v>45</v>
      </c>
      <c r="D574" s="12"/>
      <c r="E574" s="32">
        <v>48397</v>
      </c>
      <c r="G574" s="8">
        <v>1866072</v>
      </c>
      <c r="I574" s="8">
        <v>183783</v>
      </c>
      <c r="K574" s="3">
        <f t="shared" si="68"/>
        <v>2724722</v>
      </c>
      <c r="M574" s="8">
        <v>4774577</v>
      </c>
      <c r="O574" s="3">
        <f t="shared" si="69"/>
        <v>956457</v>
      </c>
      <c r="Q574" s="8">
        <v>2657596</v>
      </c>
      <c r="S574" s="8">
        <v>3614053</v>
      </c>
      <c r="U574" s="8">
        <f>8825+104899+11571+67313</f>
        <v>192608</v>
      </c>
      <c r="W574" s="8">
        <v>0</v>
      </c>
      <c r="Y574" s="8">
        <v>967916</v>
      </c>
      <c r="AA574" s="14">
        <f t="shared" si="70"/>
        <v>1160524</v>
      </c>
      <c r="AB574" s="8"/>
      <c r="AC574" s="8">
        <f t="shared" si="71"/>
        <v>0</v>
      </c>
    </row>
    <row r="575" spans="1:29">
      <c r="A575" s="12" t="s">
        <v>369</v>
      </c>
      <c r="B575" s="12"/>
      <c r="C575" s="12" t="s">
        <v>27</v>
      </c>
      <c r="D575" s="12"/>
      <c r="E575" s="32">
        <v>45047</v>
      </c>
      <c r="G575" s="8">
        <v>9706980</v>
      </c>
      <c r="I575" s="8">
        <v>536933</v>
      </c>
      <c r="K575" s="3">
        <f t="shared" si="68"/>
        <v>89063194</v>
      </c>
      <c r="M575" s="8">
        <v>99307107</v>
      </c>
      <c r="O575" s="3">
        <f t="shared" si="69"/>
        <v>18991983</v>
      </c>
      <c r="Q575" s="8">
        <v>65160512</v>
      </c>
      <c r="S575" s="8">
        <v>84152495</v>
      </c>
      <c r="U575" s="8">
        <f>23184229+220111+536933+380186+69333</f>
        <v>24390792</v>
      </c>
      <c r="W575" s="8">
        <v>-9236180</v>
      </c>
      <c r="Y575" s="8">
        <v>0</v>
      </c>
      <c r="AA575" s="14">
        <f t="shared" si="70"/>
        <v>15154612</v>
      </c>
      <c r="AB575" s="8"/>
      <c r="AC575" s="8">
        <f t="shared" si="71"/>
        <v>0</v>
      </c>
    </row>
    <row r="576" spans="1:29">
      <c r="A576" s="12" t="s">
        <v>591</v>
      </c>
      <c r="B576" s="12"/>
      <c r="C576" s="12" t="s">
        <v>54</v>
      </c>
      <c r="D576" s="12"/>
      <c r="E576" s="32">
        <v>49106</v>
      </c>
      <c r="G576" s="8">
        <v>251099</v>
      </c>
      <c r="I576" s="8">
        <v>199065</v>
      </c>
      <c r="K576" s="3">
        <f t="shared" si="68"/>
        <v>3438127</v>
      </c>
      <c r="M576" s="8">
        <v>3888291</v>
      </c>
      <c r="O576" s="3">
        <f t="shared" si="69"/>
        <v>1643527</v>
      </c>
      <c r="Q576" s="8">
        <v>2773704</v>
      </c>
      <c r="S576" s="8">
        <v>4417231</v>
      </c>
      <c r="U576" s="8">
        <f>64969+410300+199065</f>
        <v>674334</v>
      </c>
      <c r="W576" s="8">
        <v>0</v>
      </c>
      <c r="Y576" s="8">
        <v>-1203274</v>
      </c>
      <c r="AA576" s="14">
        <f t="shared" si="70"/>
        <v>-528940</v>
      </c>
      <c r="AB576" s="8"/>
      <c r="AC576" s="8">
        <f t="shared" si="71"/>
        <v>0</v>
      </c>
    </row>
    <row r="577" spans="1:29">
      <c r="A577" s="12" t="s">
        <v>329</v>
      </c>
      <c r="B577" s="12"/>
      <c r="C577" s="12" t="s">
        <v>20</v>
      </c>
      <c r="D577" s="12"/>
      <c r="E577" s="32">
        <v>45062</v>
      </c>
      <c r="G577" s="8">
        <v>14941299</v>
      </c>
      <c r="I577" s="8">
        <v>0</v>
      </c>
      <c r="K577" s="3">
        <f t="shared" si="68"/>
        <v>41674566</v>
      </c>
      <c r="M577" s="8">
        <v>56615865</v>
      </c>
      <c r="O577" s="3">
        <f t="shared" si="69"/>
        <v>39859635</v>
      </c>
      <c r="Q577" s="8">
        <v>2567448</v>
      </c>
      <c r="S577" s="8">
        <v>42427083</v>
      </c>
      <c r="U577" s="8">
        <f>2420509+5406198</f>
        <v>7826707</v>
      </c>
      <c r="W577" s="8">
        <v>0</v>
      </c>
      <c r="Y577" s="8">
        <v>6362075</v>
      </c>
      <c r="AA577" s="14">
        <f t="shared" si="70"/>
        <v>14188782</v>
      </c>
      <c r="AB577" s="8"/>
      <c r="AC577" s="8">
        <f t="shared" si="71"/>
        <v>0</v>
      </c>
    </row>
    <row r="578" spans="1:29">
      <c r="A578" s="12" t="s">
        <v>639</v>
      </c>
      <c r="B578" s="12"/>
      <c r="C578" s="12" t="s">
        <v>59</v>
      </c>
      <c r="D578" s="12"/>
      <c r="E578" s="32">
        <v>49668</v>
      </c>
      <c r="G578" s="8">
        <v>1577098</v>
      </c>
      <c r="I578" s="8">
        <v>14022</v>
      </c>
      <c r="K578" s="3">
        <f t="shared" si="68"/>
        <v>3264939</v>
      </c>
      <c r="M578" s="8">
        <v>4856059</v>
      </c>
      <c r="O578" s="3">
        <f t="shared" si="69"/>
        <v>1197844</v>
      </c>
      <c r="Q578" s="8">
        <v>2494177</v>
      </c>
      <c r="S578" s="8">
        <v>3692021</v>
      </c>
      <c r="U578" s="8">
        <f>143942+94063+14022</f>
        <v>252027</v>
      </c>
      <c r="W578" s="8">
        <v>163823</v>
      </c>
      <c r="Y578" s="8">
        <v>748188</v>
      </c>
      <c r="AA578" s="14">
        <f t="shared" si="70"/>
        <v>1164038</v>
      </c>
      <c r="AB578" s="8"/>
      <c r="AC578" s="8">
        <f t="shared" si="71"/>
        <v>0</v>
      </c>
    </row>
    <row r="579" spans="1:29">
      <c r="A579" s="12" t="s">
        <v>370</v>
      </c>
      <c r="B579" s="12"/>
      <c r="C579" s="12" t="s">
        <v>27</v>
      </c>
      <c r="D579" s="12"/>
      <c r="E579" s="32">
        <v>45070</v>
      </c>
      <c r="G579" s="8">
        <v>15105709</v>
      </c>
      <c r="I579" s="8">
        <v>158536</v>
      </c>
      <c r="K579" s="3">
        <f t="shared" si="68"/>
        <v>11269761</v>
      </c>
      <c r="M579" s="8">
        <v>26534006</v>
      </c>
      <c r="O579" s="3">
        <f t="shared" si="69"/>
        <v>2586481</v>
      </c>
      <c r="Q579" s="8">
        <v>10808738</v>
      </c>
      <c r="S579" s="8">
        <v>13395219</v>
      </c>
      <c r="U579" s="8">
        <f>20640+68999+168060+158536</f>
        <v>416235</v>
      </c>
      <c r="W579" s="8">
        <v>339359</v>
      </c>
      <c r="Y579" s="8">
        <v>12383193</v>
      </c>
      <c r="AA579" s="14">
        <f t="shared" si="70"/>
        <v>13138787</v>
      </c>
      <c r="AB579" s="8"/>
      <c r="AC579" s="8">
        <f t="shared" si="71"/>
        <v>0</v>
      </c>
    </row>
    <row r="580" spans="1:29" hidden="1">
      <c r="A580" s="12" t="s">
        <v>873</v>
      </c>
      <c r="B580" s="12"/>
      <c r="C580" s="12" t="s">
        <v>41</v>
      </c>
      <c r="D580" s="12"/>
      <c r="E580" s="32">
        <v>45088</v>
      </c>
      <c r="G580" s="8">
        <v>0</v>
      </c>
      <c r="I580" s="8">
        <v>0</v>
      </c>
      <c r="K580" s="3">
        <f t="shared" si="68"/>
        <v>0</v>
      </c>
      <c r="M580" s="8">
        <v>0</v>
      </c>
      <c r="O580" s="3">
        <f t="shared" si="69"/>
        <v>0</v>
      </c>
      <c r="Q580" s="8">
        <v>0</v>
      </c>
      <c r="S580" s="8">
        <v>0</v>
      </c>
      <c r="U580" s="8">
        <v>0</v>
      </c>
      <c r="W580" s="8">
        <v>0</v>
      </c>
      <c r="Y580" s="8">
        <v>0</v>
      </c>
      <c r="AA580" s="14">
        <f t="shared" si="70"/>
        <v>0</v>
      </c>
      <c r="AB580" s="8"/>
      <c r="AC580" s="8">
        <f t="shared" si="71"/>
        <v>0</v>
      </c>
    </row>
    <row r="581" spans="1:29">
      <c r="A581" s="12" t="s">
        <v>453</v>
      </c>
      <c r="B581" s="12"/>
      <c r="C581" s="12" t="s">
        <v>37</v>
      </c>
      <c r="D581" s="12"/>
      <c r="E581" s="32">
        <v>45096</v>
      </c>
      <c r="G581" s="8">
        <v>4207790</v>
      </c>
      <c r="I581" s="8">
        <v>0</v>
      </c>
      <c r="K581" s="3">
        <f t="shared" si="68"/>
        <v>5221355</v>
      </c>
      <c r="M581" s="8">
        <v>9429145</v>
      </c>
      <c r="O581" s="3">
        <f t="shared" si="69"/>
        <v>5951674</v>
      </c>
      <c r="Q581" s="8">
        <v>569180</v>
      </c>
      <c r="S581" s="8">
        <v>6520854</v>
      </c>
      <c r="U581" s="8">
        <f>338469+79773+706714+54686</f>
        <v>1179642</v>
      </c>
      <c r="W581" s="8">
        <v>0</v>
      </c>
      <c r="Y581" s="8">
        <v>1728649</v>
      </c>
      <c r="AA581" s="14">
        <f t="shared" si="70"/>
        <v>2908291</v>
      </c>
      <c r="AB581" s="8"/>
      <c r="AC581" s="8">
        <f t="shared" si="71"/>
        <v>0</v>
      </c>
    </row>
    <row r="582" spans="1:29">
      <c r="A582" s="12" t="s">
        <v>277</v>
      </c>
      <c r="B582" s="12"/>
      <c r="C582" s="12" t="s">
        <v>116</v>
      </c>
      <c r="D582" s="12"/>
      <c r="E582" s="32">
        <v>46367</v>
      </c>
      <c r="G582" s="8">
        <v>3405218</v>
      </c>
      <c r="I582" s="8">
        <v>163698</v>
      </c>
      <c r="K582" s="3">
        <f t="shared" si="68"/>
        <v>3279153</v>
      </c>
      <c r="M582" s="8">
        <v>6848069</v>
      </c>
      <c r="O582" s="3">
        <f t="shared" si="69"/>
        <v>953088</v>
      </c>
      <c r="Q582" s="8">
        <v>2983392</v>
      </c>
      <c r="S582" s="8">
        <v>3936480</v>
      </c>
      <c r="U582" s="8">
        <f>106287+241100+152932+10766</f>
        <v>511085</v>
      </c>
      <c r="W582" s="8">
        <v>0</v>
      </c>
      <c r="Y582" s="8">
        <v>2400504</v>
      </c>
      <c r="AA582" s="14">
        <f t="shared" si="70"/>
        <v>2911589</v>
      </c>
      <c r="AB582" s="8"/>
      <c r="AC582" s="8">
        <f t="shared" si="71"/>
        <v>0</v>
      </c>
    </row>
    <row r="583" spans="1:29">
      <c r="A583" s="12" t="s">
        <v>469</v>
      </c>
      <c r="B583" s="12"/>
      <c r="C583" s="12" t="s">
        <v>41</v>
      </c>
      <c r="D583" s="12"/>
      <c r="E583" s="32">
        <v>45104</v>
      </c>
      <c r="G583" s="8">
        <v>19326861</v>
      </c>
      <c r="I583" s="8">
        <v>1561414</v>
      </c>
      <c r="K583" s="3">
        <f t="shared" si="68"/>
        <v>55496176</v>
      </c>
      <c r="M583" s="8">
        <v>76384451</v>
      </c>
      <c r="O583" s="3">
        <f t="shared" si="69"/>
        <v>10667347</v>
      </c>
      <c r="Q583" s="8">
        <v>51010866</v>
      </c>
      <c r="S583" s="8">
        <v>61678213</v>
      </c>
      <c r="U583" s="8">
        <f>1233932+3856932+1561414</f>
        <v>6652278</v>
      </c>
      <c r="W583" s="8">
        <v>0</v>
      </c>
      <c r="Y583" s="8">
        <v>8053960</v>
      </c>
      <c r="AA583" s="14">
        <f t="shared" si="70"/>
        <v>14706238</v>
      </c>
      <c r="AB583" s="8"/>
      <c r="AC583" s="8">
        <f t="shared" si="71"/>
        <v>0</v>
      </c>
    </row>
    <row r="584" spans="1:29">
      <c r="A584" s="12" t="s">
        <v>281</v>
      </c>
      <c r="B584" s="12"/>
      <c r="C584" s="12" t="s">
        <v>18</v>
      </c>
      <c r="D584" s="12"/>
      <c r="E584" s="32">
        <v>45112</v>
      </c>
      <c r="G584" s="8">
        <v>4576654</v>
      </c>
      <c r="I584" s="8">
        <v>57982</v>
      </c>
      <c r="K584" s="3">
        <f t="shared" si="68"/>
        <v>18922749</v>
      </c>
      <c r="M584" s="8">
        <v>23557385</v>
      </c>
      <c r="O584" s="3">
        <f t="shared" si="69"/>
        <v>2545041</v>
      </c>
      <c r="Q584" s="8">
        <v>15983619</v>
      </c>
      <c r="S584" s="8">
        <v>18528660</v>
      </c>
      <c r="U584" s="8">
        <f>290745+933633+57982+300000</f>
        <v>1582360</v>
      </c>
      <c r="W584" s="8">
        <v>0</v>
      </c>
      <c r="Y584" s="8">
        <v>3446365</v>
      </c>
      <c r="AA584" s="14">
        <f t="shared" si="70"/>
        <v>5028725</v>
      </c>
      <c r="AB584" s="8"/>
      <c r="AC584" s="8">
        <f t="shared" si="71"/>
        <v>0</v>
      </c>
    </row>
    <row r="585" spans="1:29">
      <c r="A585" s="12" t="s">
        <v>604</v>
      </c>
      <c r="B585" s="12"/>
      <c r="C585" s="12" t="s">
        <v>56</v>
      </c>
      <c r="D585" s="12"/>
      <c r="E585" s="32">
        <v>45666</v>
      </c>
      <c r="G585" s="8">
        <v>389935</v>
      </c>
      <c r="I585" s="8">
        <v>19867</v>
      </c>
      <c r="K585" s="3">
        <f t="shared" si="68"/>
        <v>1618791</v>
      </c>
      <c r="M585" s="8">
        <v>2028593</v>
      </c>
      <c r="O585" s="3">
        <f t="shared" si="69"/>
        <v>2306821</v>
      </c>
      <c r="Q585" s="8">
        <v>115473</v>
      </c>
      <c r="S585" s="8">
        <v>2422294</v>
      </c>
      <c r="U585" s="8">
        <f>14732+19867+15240+48719</f>
        <v>98558</v>
      </c>
      <c r="W585" s="8">
        <v>0</v>
      </c>
      <c r="Y585" s="8">
        <v>-492259</v>
      </c>
      <c r="AA585" s="14">
        <f t="shared" si="70"/>
        <v>-393701</v>
      </c>
      <c r="AB585" s="8"/>
      <c r="AC585" s="8">
        <f t="shared" si="71"/>
        <v>0</v>
      </c>
    </row>
    <row r="586" spans="1:29">
      <c r="A586" s="12" t="s">
        <v>416</v>
      </c>
      <c r="B586" s="12"/>
      <c r="C586" s="12" t="s">
        <v>32</v>
      </c>
      <c r="D586" s="12"/>
      <c r="E586" s="32">
        <v>44081</v>
      </c>
      <c r="G586" s="8">
        <v>3776555</v>
      </c>
      <c r="I586" s="8">
        <v>0</v>
      </c>
      <c r="K586" s="3">
        <f t="shared" si="68"/>
        <v>20824985</v>
      </c>
      <c r="M586" s="8">
        <v>24601540</v>
      </c>
      <c r="O586" s="3">
        <f t="shared" si="69"/>
        <v>4902639</v>
      </c>
      <c r="Q586" s="8">
        <v>13473609</v>
      </c>
      <c r="S586" s="8">
        <v>18376248</v>
      </c>
      <c r="U586" s="8">
        <f>245104+7299000</f>
        <v>7544104</v>
      </c>
      <c r="W586" s="8">
        <v>0</v>
      </c>
      <c r="Y586" s="8">
        <v>-1318812</v>
      </c>
      <c r="AA586" s="14">
        <f t="shared" si="70"/>
        <v>6225292</v>
      </c>
      <c r="AB586" s="8"/>
      <c r="AC586" s="8">
        <f t="shared" si="71"/>
        <v>0</v>
      </c>
    </row>
    <row r="587" spans="1:29">
      <c r="A587" s="12" t="s">
        <v>726</v>
      </c>
      <c r="B587" s="12"/>
      <c r="C587" s="12" t="s">
        <v>70</v>
      </c>
      <c r="D587" s="12"/>
      <c r="E587" s="32">
        <v>50518</v>
      </c>
      <c r="G587" s="8">
        <v>3840031</v>
      </c>
      <c r="I587" s="8">
        <v>99860</v>
      </c>
      <c r="K587" s="3">
        <f t="shared" si="68"/>
        <v>4548781</v>
      </c>
      <c r="M587" s="8">
        <v>8488672</v>
      </c>
      <c r="O587" s="3">
        <f t="shared" si="69"/>
        <v>541377</v>
      </c>
      <c r="Q587" s="8">
        <v>4494460</v>
      </c>
      <c r="S587" s="8">
        <v>5035837</v>
      </c>
      <c r="U587" s="8">
        <f>122482+400+18475+17995+84046</f>
        <v>243398</v>
      </c>
      <c r="W587" s="8">
        <v>0</v>
      </c>
      <c r="Y587" s="8">
        <v>3209437</v>
      </c>
      <c r="AA587" s="14">
        <f t="shared" si="70"/>
        <v>3452835</v>
      </c>
      <c r="AB587" s="8"/>
      <c r="AC587" s="8">
        <f t="shared" si="71"/>
        <v>0</v>
      </c>
    </row>
    <row r="588" spans="1:29">
      <c r="A588" s="12" t="s">
        <v>630</v>
      </c>
      <c r="B588" s="12"/>
      <c r="C588" s="12" t="s">
        <v>79</v>
      </c>
      <c r="D588" s="12"/>
      <c r="E588" s="32">
        <v>49577</v>
      </c>
      <c r="G588" s="8">
        <v>740716</v>
      </c>
      <c r="I588" s="8">
        <v>0</v>
      </c>
      <c r="K588" s="3">
        <f t="shared" si="68"/>
        <v>3915400</v>
      </c>
      <c r="M588" s="8">
        <v>4656116</v>
      </c>
      <c r="O588" s="3">
        <f t="shared" si="69"/>
        <v>4315486</v>
      </c>
      <c r="Q588" s="8">
        <v>198186</v>
      </c>
      <c r="S588" s="8">
        <v>4513672</v>
      </c>
      <c r="U588" s="8">
        <f>86922+17867+14491+262696+1462</f>
        <v>383438</v>
      </c>
      <c r="W588" s="8">
        <v>0</v>
      </c>
      <c r="Y588" s="8">
        <v>-240994</v>
      </c>
      <c r="AA588" s="14">
        <f t="shared" si="70"/>
        <v>142444</v>
      </c>
      <c r="AB588" s="8"/>
      <c r="AC588" s="8">
        <f t="shared" si="71"/>
        <v>0</v>
      </c>
    </row>
    <row r="589" spans="1:29">
      <c r="A589" s="12" t="s">
        <v>679</v>
      </c>
      <c r="B589" s="12"/>
      <c r="C589" s="12" t="s">
        <v>63</v>
      </c>
      <c r="D589" s="12"/>
      <c r="E589" s="32">
        <v>49973</v>
      </c>
      <c r="G589" s="8">
        <v>10029965</v>
      </c>
      <c r="I589" s="8">
        <v>154344</v>
      </c>
      <c r="K589" s="3">
        <f t="shared" si="68"/>
        <v>15104250</v>
      </c>
      <c r="M589" s="8">
        <v>25288559</v>
      </c>
      <c r="O589" s="3">
        <f t="shared" si="69"/>
        <v>2268220</v>
      </c>
      <c r="Q589" s="8">
        <v>13832332</v>
      </c>
      <c r="S589" s="8">
        <v>16100552</v>
      </c>
      <c r="U589" s="8">
        <f>293682+154344</f>
        <v>448026</v>
      </c>
      <c r="W589" s="8">
        <v>0</v>
      </c>
      <c r="Y589" s="8">
        <v>8739981</v>
      </c>
      <c r="AA589" s="14">
        <f t="shared" si="70"/>
        <v>9188007</v>
      </c>
      <c r="AB589" s="8"/>
      <c r="AC589" s="8">
        <f t="shared" si="71"/>
        <v>0</v>
      </c>
    </row>
    <row r="590" spans="1:29">
      <c r="A590" s="12" t="s">
        <v>874</v>
      </c>
      <c r="B590" s="12"/>
      <c r="C590" s="12" t="s">
        <v>71</v>
      </c>
      <c r="D590" s="12"/>
      <c r="E590" s="32">
        <v>45138</v>
      </c>
      <c r="G590" s="8">
        <v>14989833</v>
      </c>
      <c r="I590" s="8">
        <v>0</v>
      </c>
      <c r="K590" s="3">
        <f t="shared" si="68"/>
        <v>27257470</v>
      </c>
      <c r="M590" s="8">
        <v>42247303</v>
      </c>
      <c r="O590" s="3">
        <f t="shared" si="69"/>
        <v>4066375</v>
      </c>
      <c r="Q590" s="8">
        <v>24094844</v>
      </c>
      <c r="S590" s="8">
        <v>28161219</v>
      </c>
      <c r="U590" s="8">
        <f>758568+2406130</f>
        <v>3164698</v>
      </c>
      <c r="W590" s="8">
        <v>0</v>
      </c>
      <c r="Y590" s="8">
        <v>10921386</v>
      </c>
      <c r="AA590" s="14">
        <f t="shared" si="70"/>
        <v>14086084</v>
      </c>
      <c r="AB590" s="8"/>
      <c r="AC590" s="8">
        <f t="shared" si="71"/>
        <v>0</v>
      </c>
    </row>
    <row r="591" spans="1:29">
      <c r="A591" s="12" t="s">
        <v>371</v>
      </c>
      <c r="B591" s="12"/>
      <c r="C591" s="12" t="s">
        <v>27</v>
      </c>
      <c r="D591" s="12"/>
      <c r="E591" s="32">
        <v>46524</v>
      </c>
      <c r="G591" s="8">
        <v>41274504</v>
      </c>
      <c r="I591" s="8">
        <v>0</v>
      </c>
      <c r="K591" s="3">
        <f t="shared" si="68"/>
        <v>68203858</v>
      </c>
      <c r="M591" s="8">
        <v>109478362</v>
      </c>
      <c r="O591" s="3">
        <f t="shared" si="69"/>
        <v>16461907</v>
      </c>
      <c r="Q591" s="8">
        <v>47430000</v>
      </c>
      <c r="S591" s="8">
        <v>63891907</v>
      </c>
      <c r="U591" s="8">
        <f>964007+159164+24989541</f>
        <v>26112712</v>
      </c>
      <c r="W591" s="8">
        <v>0</v>
      </c>
      <c r="Y591" s="8">
        <v>19473743</v>
      </c>
      <c r="AA591" s="14">
        <f t="shared" si="70"/>
        <v>45586455</v>
      </c>
      <c r="AB591" s="8"/>
      <c r="AC591" s="8">
        <f t="shared" si="71"/>
        <v>0</v>
      </c>
    </row>
    <row r="592" spans="1:29">
      <c r="A592" s="12" t="s">
        <v>299</v>
      </c>
      <c r="B592" s="12"/>
      <c r="C592" s="12" t="s">
        <v>114</v>
      </c>
      <c r="D592" s="12"/>
      <c r="E592" s="32">
        <v>45146</v>
      </c>
      <c r="G592" s="8">
        <v>1891684</v>
      </c>
      <c r="I592" s="8">
        <v>29912</v>
      </c>
      <c r="K592" s="3">
        <f t="shared" si="68"/>
        <v>3517544</v>
      </c>
      <c r="M592" s="8">
        <v>5439140</v>
      </c>
      <c r="O592" s="3">
        <f t="shared" si="69"/>
        <v>3045658</v>
      </c>
      <c r="Q592" s="8">
        <v>190049</v>
      </c>
      <c r="S592" s="8">
        <v>3235707</v>
      </c>
      <c r="U592" s="8">
        <f>113414+11089+1171285+29912</f>
        <v>1325700</v>
      </c>
      <c r="W592" s="8">
        <v>0</v>
      </c>
      <c r="Y592" s="8">
        <v>877733</v>
      </c>
      <c r="AA592" s="14">
        <f t="shared" si="70"/>
        <v>2203433</v>
      </c>
      <c r="AB592" s="8"/>
      <c r="AC592" s="8">
        <f t="shared" si="71"/>
        <v>0</v>
      </c>
    </row>
    <row r="593" spans="1:29">
      <c r="A593" s="12"/>
      <c r="B593" s="12"/>
      <c r="C593" s="12"/>
      <c r="D593" s="12"/>
      <c r="E593" s="32"/>
      <c r="K593" s="3"/>
      <c r="O593" s="3"/>
      <c r="AA593" s="14"/>
      <c r="AB593" s="8"/>
    </row>
    <row r="594" spans="1:29">
      <c r="A594" s="12"/>
      <c r="B594" s="12"/>
      <c r="C594" s="12"/>
      <c r="D594" s="12"/>
      <c r="E594" s="32"/>
      <c r="K594" s="3"/>
      <c r="O594" s="3"/>
      <c r="AA594" s="14" t="s">
        <v>819</v>
      </c>
      <c r="AB594" s="8"/>
    </row>
    <row r="595" spans="1:29" s="35" customFormat="1">
      <c r="A595" s="34" t="s">
        <v>417</v>
      </c>
      <c r="B595" s="34"/>
      <c r="C595" s="34" t="s">
        <v>32</v>
      </c>
      <c r="D595" s="34"/>
      <c r="E595" s="34">
        <v>45153</v>
      </c>
      <c r="G595" s="35">
        <v>8244540</v>
      </c>
      <c r="I595" s="35">
        <v>0</v>
      </c>
      <c r="K595" s="42">
        <f t="shared" si="68"/>
        <v>11545096</v>
      </c>
      <c r="M595" s="35">
        <v>19789636</v>
      </c>
      <c r="O595" s="42">
        <f t="shared" si="69"/>
        <v>3045490</v>
      </c>
      <c r="Q595" s="35">
        <v>5387815</v>
      </c>
      <c r="S595" s="35">
        <v>8433305</v>
      </c>
      <c r="U595" s="35">
        <f>256183+3208000</f>
        <v>3464183</v>
      </c>
      <c r="W595" s="35">
        <v>0</v>
      </c>
      <c r="Y595" s="35">
        <v>7892148</v>
      </c>
      <c r="AA595" s="71">
        <f t="shared" si="70"/>
        <v>11356331</v>
      </c>
      <c r="AC595" s="35">
        <f t="shared" si="71"/>
        <v>0</v>
      </c>
    </row>
    <row r="596" spans="1:29">
      <c r="A596" s="12" t="s">
        <v>392</v>
      </c>
      <c r="B596" s="12"/>
      <c r="C596" s="12" t="s">
        <v>117</v>
      </c>
      <c r="D596" s="12"/>
      <c r="E596" s="32">
        <v>45674</v>
      </c>
      <c r="G596" s="8">
        <v>3358513</v>
      </c>
      <c r="I596" s="8">
        <v>0</v>
      </c>
      <c r="K596" s="3">
        <f t="shared" si="68"/>
        <v>2970817</v>
      </c>
      <c r="M596" s="8">
        <v>6329330</v>
      </c>
      <c r="O596" s="3">
        <f t="shared" si="69"/>
        <v>918341</v>
      </c>
      <c r="Q596" s="8">
        <v>2217044</v>
      </c>
      <c r="S596" s="8">
        <v>3135385</v>
      </c>
      <c r="U596" s="8">
        <f>102340+1934+82510</f>
        <v>186784</v>
      </c>
      <c r="W596" s="8">
        <v>0</v>
      </c>
      <c r="Y596" s="8">
        <v>3007161</v>
      </c>
      <c r="AA596" s="14">
        <f t="shared" si="70"/>
        <v>3193945</v>
      </c>
      <c r="AB596" s="8"/>
      <c r="AC596" s="8">
        <f t="shared" si="71"/>
        <v>0</v>
      </c>
    </row>
    <row r="597" spans="1:29">
      <c r="A597" s="12" t="s">
        <v>525</v>
      </c>
      <c r="B597" s="12"/>
      <c r="C597" s="12" t="s">
        <v>45</v>
      </c>
      <c r="D597" s="12"/>
      <c r="E597" s="32">
        <v>45161</v>
      </c>
      <c r="G597" s="8">
        <v>921770</v>
      </c>
      <c r="I597" s="8">
        <v>565773</v>
      </c>
      <c r="K597" s="3">
        <f t="shared" si="68"/>
        <v>19183745</v>
      </c>
      <c r="M597" s="8">
        <v>20671288</v>
      </c>
      <c r="O597" s="3">
        <f t="shared" si="69"/>
        <v>25870728</v>
      </c>
      <c r="Q597" s="8">
        <v>18344932</v>
      </c>
      <c r="S597" s="8">
        <v>44215660</v>
      </c>
      <c r="U597" s="8">
        <f>240096+468439+97334</f>
        <v>805869</v>
      </c>
      <c r="W597" s="8">
        <v>0</v>
      </c>
      <c r="Y597" s="8">
        <v>-24350241</v>
      </c>
      <c r="AA597" s="14">
        <f t="shared" si="70"/>
        <v>-23544372</v>
      </c>
      <c r="AB597" s="8"/>
      <c r="AC597" s="8">
        <f t="shared" si="71"/>
        <v>0</v>
      </c>
    </row>
    <row r="598" spans="1:29">
      <c r="A598" s="12" t="s">
        <v>626</v>
      </c>
      <c r="B598" s="12"/>
      <c r="C598" s="12" t="s">
        <v>58</v>
      </c>
      <c r="D598" s="12"/>
      <c r="E598" s="32">
        <v>49544</v>
      </c>
      <c r="G598" s="8">
        <v>5845826</v>
      </c>
      <c r="I598" s="8">
        <v>576965</v>
      </c>
      <c r="K598" s="3">
        <f t="shared" si="68"/>
        <v>3835384</v>
      </c>
      <c r="M598" s="8">
        <v>10258175</v>
      </c>
      <c r="O598" s="3">
        <f t="shared" si="69"/>
        <v>1429502</v>
      </c>
      <c r="Q598" s="8">
        <v>3450987</v>
      </c>
      <c r="S598" s="8">
        <v>4880489</v>
      </c>
      <c r="U598" s="8">
        <f>148658+38996+309544+175458+184370+217137</f>
        <v>1074163</v>
      </c>
      <c r="W598" s="8">
        <v>0</v>
      </c>
      <c r="Y598" s="8">
        <v>4303523</v>
      </c>
      <c r="AA598" s="14">
        <f t="shared" si="70"/>
        <v>5377686</v>
      </c>
      <c r="AB598" s="8"/>
      <c r="AC598" s="8">
        <f t="shared" si="71"/>
        <v>0</v>
      </c>
    </row>
    <row r="599" spans="1:29">
      <c r="A599" s="12" t="s">
        <v>576</v>
      </c>
      <c r="B599" s="12"/>
      <c r="C599" s="12" t="s">
        <v>51</v>
      </c>
      <c r="D599" s="12"/>
      <c r="E599" s="32">
        <v>45179</v>
      </c>
      <c r="G599" s="8">
        <v>522806</v>
      </c>
      <c r="I599" s="8">
        <v>27007</v>
      </c>
      <c r="K599" s="3">
        <f t="shared" si="68"/>
        <v>10847756</v>
      </c>
      <c r="M599" s="8">
        <v>11397569</v>
      </c>
      <c r="O599" s="3">
        <f t="shared" si="69"/>
        <v>3172121</v>
      </c>
      <c r="Q599" s="8">
        <v>10087467</v>
      </c>
      <c r="S599" s="8">
        <v>13259588</v>
      </c>
      <c r="U599" s="8">
        <f>45621+8275+27503+372696</f>
        <v>454095</v>
      </c>
      <c r="W599" s="8">
        <v>0</v>
      </c>
      <c r="Y599" s="8">
        <v>-2316114</v>
      </c>
      <c r="AA599" s="14">
        <f t="shared" si="70"/>
        <v>-1862019</v>
      </c>
      <c r="AB599" s="8"/>
      <c r="AC599" s="8">
        <f t="shared" si="71"/>
        <v>0</v>
      </c>
    </row>
    <row r="600" spans="1:29">
      <c r="A600" s="12"/>
      <c r="B600" s="12"/>
      <c r="C600" s="12"/>
      <c r="D600" s="12"/>
    </row>
  </sheetData>
  <phoneticPr fontId="3" type="noConversion"/>
  <pageMargins left="0.75" right="0.75" top="0.5" bottom="0.75" header="0" footer="0.25"/>
  <pageSetup scale="74" firstPageNumber="70" pageOrder="overThenDown" orientation="portrait" useFirstPageNumber="1" r:id="rId1"/>
  <headerFooter alignWithMargins="0">
    <oddFooter>&amp;C&amp;"Times New Roman,Regular"&amp;12&amp;P</oddFooter>
  </headerFooter>
  <colBreaks count="1" manualBreakCount="1">
    <brk id="17" max="58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AO603"/>
  <sheetViews>
    <sheetView view="pageBreakPreview" zoomScale="110" zoomScaleNormal="70" zoomScaleSheetLayoutView="110" workbookViewId="0">
      <pane xSplit="5" ySplit="9" topLeftCell="U518" activePane="bottomRight" state="frozen"/>
      <selection sqref="A1:IV65536"/>
      <selection pane="topRight" sqref="A1:IV65536"/>
      <selection pane="bottomLeft" sqref="A1:IV65536"/>
      <selection pane="bottomRight" activeCell="AL520" sqref="AL520"/>
    </sheetView>
  </sheetViews>
  <sheetFormatPr defaultColWidth="9.109375" defaultRowHeight="12"/>
  <cols>
    <col min="1" max="1" width="28.109375" style="8" customWidth="1"/>
    <col min="2" max="2" width="1.6640625" style="8" customWidth="1"/>
    <col min="3" max="3" width="11.6640625" style="8" customWidth="1"/>
    <col min="4" max="4" width="1.6640625" style="8" hidden="1" customWidth="1"/>
    <col min="5" max="5" width="11.6640625" style="30" hidden="1" customWidth="1"/>
    <col min="6" max="6" width="1.6640625" style="8" customWidth="1"/>
    <col min="7" max="7" width="11.6640625" style="8" customWidth="1"/>
    <col min="8" max="8" width="1.6640625" style="8" customWidth="1"/>
    <col min="9" max="9" width="11.6640625" style="8" customWidth="1"/>
    <col min="10" max="10" width="1.6640625" style="8" customWidth="1"/>
    <col min="11" max="11" width="11.6640625" style="8" customWidth="1"/>
    <col min="12" max="12" width="1.6640625" style="8" customWidth="1"/>
    <col min="13" max="13" width="11.6640625" style="8" customWidth="1"/>
    <col min="14" max="14" width="1.6640625" style="8" customWidth="1"/>
    <col min="15" max="15" width="11.6640625" style="8" customWidth="1"/>
    <col min="16" max="16" width="1.6640625" style="8" customWidth="1"/>
    <col min="17" max="17" width="11.6640625" style="8" customWidth="1"/>
    <col min="18" max="18" width="1.6640625" style="8" customWidth="1"/>
    <col min="19" max="19" width="11.6640625" style="8" customWidth="1"/>
    <col min="20" max="20" width="1.6640625" style="8" customWidth="1"/>
    <col min="21" max="21" width="11.6640625" style="8" customWidth="1"/>
    <col min="22" max="22" width="1.6640625" style="8" customWidth="1"/>
    <col min="23" max="23" width="11.6640625" style="8" customWidth="1"/>
    <col min="24" max="24" width="1.6640625" style="8" customWidth="1"/>
    <col min="25" max="25" width="12" style="8" customWidth="1"/>
    <col min="26" max="26" width="1.6640625" style="8" customWidth="1"/>
    <col min="27" max="27" width="11.6640625" style="8" customWidth="1"/>
    <col min="28" max="28" width="1.6640625" style="8" customWidth="1"/>
    <col min="29" max="29" width="11.6640625" style="8" hidden="1" customWidth="1"/>
    <col min="30" max="30" width="1.6640625" style="8" hidden="1" customWidth="1"/>
    <col min="31" max="31" width="11.6640625" style="8" customWidth="1"/>
    <col min="32" max="32" width="1.6640625" style="8" customWidth="1"/>
    <col min="33" max="33" width="11.6640625" style="8" customWidth="1"/>
    <col min="34" max="34" width="1.6640625" style="8" customWidth="1"/>
    <col min="35" max="35" width="11.6640625" style="8" customWidth="1"/>
    <col min="36" max="36" width="1.6640625" style="8" hidden="1" customWidth="1"/>
    <col min="37" max="37" width="11.6640625" style="8" hidden="1" customWidth="1"/>
    <col min="38" max="38" width="1.6640625" style="8" customWidth="1"/>
    <col min="39" max="39" width="12" style="8" customWidth="1"/>
    <col min="40" max="40" width="9.33203125" style="8" bestFit="1" customWidth="1"/>
    <col min="41" max="16384" width="9.109375" style="8"/>
  </cols>
  <sheetData>
    <row r="1" spans="1:39" s="15" customFormat="1" ht="11.4">
      <c r="A1" s="27" t="s">
        <v>133</v>
      </c>
      <c r="B1" s="27"/>
      <c r="C1" s="27"/>
      <c r="D1" s="27"/>
      <c r="E1" s="57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7"/>
      <c r="AA1" s="27"/>
    </row>
    <row r="2" spans="1:39" s="15" customFormat="1" ht="11.4">
      <c r="A2" s="27" t="s">
        <v>912</v>
      </c>
      <c r="B2" s="27"/>
      <c r="C2" s="27"/>
      <c r="D2" s="27"/>
      <c r="E2" s="57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7"/>
      <c r="AA2" s="27"/>
    </row>
    <row r="3" spans="1:39" s="15" customFormat="1" ht="11.4">
      <c r="A3" s="27"/>
      <c r="B3" s="27"/>
      <c r="C3" s="27"/>
      <c r="D3" s="27"/>
      <c r="E3" s="57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7"/>
      <c r="AA3" s="27"/>
    </row>
    <row r="4" spans="1:39">
      <c r="A4" s="27" t="s">
        <v>177</v>
      </c>
      <c r="B4" s="27"/>
      <c r="C4" s="27"/>
      <c r="D4" s="27"/>
      <c r="E4" s="57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11"/>
      <c r="AA4" s="11"/>
      <c r="AM4" s="16" t="s">
        <v>3</v>
      </c>
    </row>
    <row r="5" spans="1:39">
      <c r="A5" s="15"/>
      <c r="AM5" s="16" t="s">
        <v>821</v>
      </c>
    </row>
    <row r="6" spans="1:39">
      <c r="A6" s="55" t="s">
        <v>819</v>
      </c>
      <c r="B6" s="58"/>
      <c r="C6" s="58"/>
      <c r="D6" s="58"/>
      <c r="E6" s="59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11"/>
      <c r="AA6" s="96" t="s">
        <v>196</v>
      </c>
      <c r="AB6" s="96"/>
      <c r="AC6" s="96"/>
      <c r="AD6" s="96"/>
      <c r="AE6" s="96"/>
      <c r="AF6" s="96"/>
      <c r="AG6" s="96"/>
      <c r="AH6" s="24"/>
      <c r="AI6" s="24"/>
      <c r="AK6" s="16" t="s">
        <v>3</v>
      </c>
      <c r="AL6" s="16"/>
      <c r="AM6" s="16" t="s">
        <v>880</v>
      </c>
    </row>
    <row r="7" spans="1:39">
      <c r="A7" s="58"/>
      <c r="B7" s="58"/>
      <c r="C7" s="58"/>
      <c r="D7" s="58"/>
      <c r="E7" s="59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 t="s">
        <v>180</v>
      </c>
      <c r="R7" s="5"/>
      <c r="S7" s="5" t="s">
        <v>182</v>
      </c>
      <c r="T7" s="5"/>
      <c r="U7" s="5" t="s">
        <v>112</v>
      </c>
      <c r="V7" s="5"/>
      <c r="W7" s="5"/>
      <c r="X7" s="5"/>
      <c r="Y7" s="5"/>
      <c r="Z7" s="11"/>
      <c r="AA7" s="16"/>
      <c r="AB7" s="16"/>
      <c r="AC7" s="16"/>
      <c r="AD7" s="16"/>
      <c r="AE7" s="16"/>
      <c r="AF7" s="16"/>
      <c r="AG7" s="16" t="s">
        <v>134</v>
      </c>
      <c r="AH7" s="16"/>
      <c r="AK7" s="16" t="s">
        <v>83</v>
      </c>
      <c r="AL7" s="16"/>
      <c r="AM7" s="16" t="s">
        <v>825</v>
      </c>
    </row>
    <row r="8" spans="1:39">
      <c r="A8" s="5"/>
      <c r="B8" s="5"/>
      <c r="C8" s="5"/>
      <c r="D8" s="5"/>
      <c r="E8" s="60"/>
      <c r="F8" s="5"/>
      <c r="G8" s="5" t="s">
        <v>108</v>
      </c>
      <c r="H8" s="5"/>
      <c r="I8" s="5" t="s">
        <v>764</v>
      </c>
      <c r="J8" s="5"/>
      <c r="K8" s="5" t="s">
        <v>1</v>
      </c>
      <c r="L8" s="5"/>
      <c r="M8" s="5" t="s">
        <v>816</v>
      </c>
      <c r="N8" s="5"/>
      <c r="O8" s="5" t="s">
        <v>178</v>
      </c>
      <c r="P8" s="5"/>
      <c r="Q8" s="5" t="s">
        <v>181</v>
      </c>
      <c r="R8" s="5"/>
      <c r="S8" s="5" t="s">
        <v>183</v>
      </c>
      <c r="T8" s="5"/>
      <c r="U8" s="5" t="s">
        <v>185</v>
      </c>
      <c r="V8" s="5"/>
      <c r="W8" s="5" t="s">
        <v>134</v>
      </c>
      <c r="X8" s="5"/>
      <c r="Y8" s="5" t="s">
        <v>3</v>
      </c>
      <c r="Z8" s="11"/>
      <c r="AA8" s="5"/>
      <c r="AB8" s="16"/>
      <c r="AC8" s="16"/>
      <c r="AD8" s="16"/>
      <c r="AE8" s="16" t="s">
        <v>824</v>
      </c>
      <c r="AF8" s="16"/>
      <c r="AG8" s="16" t="s">
        <v>201</v>
      </c>
      <c r="AH8" s="16"/>
      <c r="AI8" s="16" t="s">
        <v>769</v>
      </c>
      <c r="AK8" s="16" t="s">
        <v>201</v>
      </c>
      <c r="AL8" s="16"/>
      <c r="AM8" s="16" t="s">
        <v>769</v>
      </c>
    </row>
    <row r="9" spans="1:39">
      <c r="A9" s="1" t="s">
        <v>208</v>
      </c>
      <c r="B9" s="16"/>
      <c r="C9" s="1" t="s">
        <v>4</v>
      </c>
      <c r="D9" s="16"/>
      <c r="E9" s="61" t="s">
        <v>207</v>
      </c>
      <c r="F9" s="11"/>
      <c r="G9" s="1" t="s">
        <v>845</v>
      </c>
      <c r="H9" s="11"/>
      <c r="I9" s="1" t="s">
        <v>5</v>
      </c>
      <c r="J9" s="11"/>
      <c r="K9" s="1" t="s">
        <v>7</v>
      </c>
      <c r="L9" s="11"/>
      <c r="M9" s="1" t="s">
        <v>93</v>
      </c>
      <c r="N9" s="11"/>
      <c r="O9" s="1" t="s">
        <v>179</v>
      </c>
      <c r="P9" s="11"/>
      <c r="Q9" s="1" t="s">
        <v>168</v>
      </c>
      <c r="R9" s="11"/>
      <c r="S9" s="1" t="s">
        <v>184</v>
      </c>
      <c r="T9" s="5"/>
      <c r="U9" s="1" t="s">
        <v>186</v>
      </c>
      <c r="V9" s="11"/>
      <c r="W9" s="1" t="s">
        <v>8</v>
      </c>
      <c r="X9" s="11"/>
      <c r="Y9" s="1" t="s">
        <v>9</v>
      </c>
      <c r="Z9" s="11"/>
      <c r="AA9" s="1" t="s">
        <v>197</v>
      </c>
      <c r="AB9" s="16"/>
      <c r="AC9" s="1" t="s">
        <v>198</v>
      </c>
      <c r="AD9" s="16"/>
      <c r="AE9" s="1" t="s">
        <v>826</v>
      </c>
      <c r="AF9" s="16"/>
      <c r="AG9" s="1" t="s">
        <v>202</v>
      </c>
      <c r="AH9" s="16"/>
      <c r="AI9" s="1" t="s">
        <v>792</v>
      </c>
      <c r="AK9" s="1" t="s">
        <v>202</v>
      </c>
      <c r="AL9" s="16"/>
      <c r="AM9" s="1" t="s">
        <v>792</v>
      </c>
    </row>
    <row r="10" spans="1:39">
      <c r="A10" s="13"/>
      <c r="B10" s="13"/>
      <c r="C10" s="13"/>
      <c r="D10" s="13"/>
      <c r="E10" s="32"/>
      <c r="F10" s="11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14"/>
      <c r="X10" s="14"/>
      <c r="Y10" s="3"/>
      <c r="Z10" s="11"/>
      <c r="AA10" s="11"/>
    </row>
    <row r="11" spans="1:39" s="35" customFormat="1">
      <c r="A11" s="34" t="s">
        <v>784</v>
      </c>
      <c r="B11" s="34"/>
      <c r="C11" s="34" t="s">
        <v>44</v>
      </c>
      <c r="D11" s="34"/>
      <c r="E11" s="32">
        <v>45195</v>
      </c>
      <c r="F11" s="48"/>
      <c r="G11" s="35">
        <v>11160479</v>
      </c>
      <c r="I11" s="35">
        <v>0</v>
      </c>
      <c r="K11" s="35">
        <v>18097042</v>
      </c>
      <c r="M11" s="35">
        <v>435604</v>
      </c>
      <c r="O11" s="35">
        <v>283718</v>
      </c>
      <c r="Q11" s="35">
        <v>345348</v>
      </c>
      <c r="S11" s="35">
        <v>0</v>
      </c>
      <c r="U11" s="35">
        <v>0</v>
      </c>
      <c r="W11" s="35">
        <f>1650+266+1087+97621</f>
        <v>100624</v>
      </c>
      <c r="Y11" s="42">
        <f>SUM(G11:X11)</f>
        <v>30422815</v>
      </c>
      <c r="AA11" s="35">
        <v>0</v>
      </c>
      <c r="AC11" s="35">
        <v>0</v>
      </c>
      <c r="AE11" s="35">
        <v>0</v>
      </c>
      <c r="AG11" s="35">
        <v>0</v>
      </c>
      <c r="AI11" s="35">
        <v>0</v>
      </c>
      <c r="AK11" s="35">
        <f>SUM(AA11:AJ11)</f>
        <v>0</v>
      </c>
      <c r="AM11" s="35">
        <f>+AK11+Y11</f>
        <v>30422815</v>
      </c>
    </row>
    <row r="12" spans="1:39">
      <c r="A12" s="13" t="s">
        <v>209</v>
      </c>
      <c r="B12" s="13"/>
      <c r="C12" s="13" t="s">
        <v>210</v>
      </c>
      <c r="D12" s="13"/>
      <c r="E12" s="13">
        <v>61903</v>
      </c>
      <c r="F12" s="11"/>
      <c r="G12" s="8">
        <v>6041808</v>
      </c>
      <c r="I12" s="8">
        <v>0</v>
      </c>
      <c r="K12" s="8">
        <v>25534295</v>
      </c>
      <c r="M12" s="8">
        <v>444594</v>
      </c>
      <c r="O12" s="8">
        <v>1136632</v>
      </c>
      <c r="Q12" s="8">
        <v>30</v>
      </c>
      <c r="S12" s="8">
        <v>0</v>
      </c>
      <c r="U12" s="8">
        <v>0</v>
      </c>
      <c r="W12" s="8">
        <v>644268</v>
      </c>
      <c r="Y12" s="3">
        <f>SUM(G12:X12)</f>
        <v>33801627</v>
      </c>
      <c r="AA12" s="8">
        <v>0</v>
      </c>
      <c r="AE12" s="8">
        <v>0</v>
      </c>
      <c r="AG12" s="8">
        <v>21077</v>
      </c>
      <c r="AI12" s="8">
        <v>0</v>
      </c>
      <c r="AK12" s="8">
        <f>SUM(AA12:AJ12)</f>
        <v>21077</v>
      </c>
      <c r="AM12" s="8">
        <f>+AK12+Y12</f>
        <v>33822704</v>
      </c>
    </row>
    <row r="13" spans="1:39">
      <c r="A13" s="13" t="s">
        <v>621</v>
      </c>
      <c r="B13" s="13"/>
      <c r="C13" s="13" t="s">
        <v>58</v>
      </c>
      <c r="D13" s="13"/>
      <c r="E13" s="32">
        <v>49494</v>
      </c>
      <c r="G13" s="8">
        <v>2779442</v>
      </c>
      <c r="I13" s="8">
        <v>0</v>
      </c>
      <c r="K13" s="8">
        <v>7087365</v>
      </c>
      <c r="M13" s="8">
        <v>108368</v>
      </c>
      <c r="O13" s="8">
        <v>441070</v>
      </c>
      <c r="Q13" s="8">
        <v>83571</v>
      </c>
      <c r="S13" s="8">
        <v>0</v>
      </c>
      <c r="U13" s="8">
        <v>3355</v>
      </c>
      <c r="W13" s="8">
        <v>50723</v>
      </c>
      <c r="Y13" s="3">
        <f t="shared" ref="Y13:Y76" si="0">SUM(G13:X13)</f>
        <v>10553894</v>
      </c>
      <c r="AA13" s="8">
        <v>0</v>
      </c>
      <c r="AE13" s="8">
        <v>0</v>
      </c>
      <c r="AG13" s="8">
        <v>9804</v>
      </c>
      <c r="AI13" s="8">
        <v>0</v>
      </c>
      <c r="AK13" s="8">
        <f t="shared" ref="AK13:AK76" si="1">SUM(AA13:AJ13)</f>
        <v>9804</v>
      </c>
      <c r="AM13" s="8">
        <f t="shared" ref="AM13:AM76" si="2">+AK13+Y13</f>
        <v>10563698</v>
      </c>
    </row>
    <row r="14" spans="1:39">
      <c r="A14" s="13" t="s">
        <v>667</v>
      </c>
      <c r="B14" s="13"/>
      <c r="C14" s="13" t="s">
        <v>63</v>
      </c>
      <c r="D14" s="13"/>
      <c r="E14" s="32">
        <v>43489</v>
      </c>
      <c r="G14" s="8">
        <v>110402607</v>
      </c>
      <c r="I14" s="8">
        <v>0</v>
      </c>
      <c r="K14" s="8">
        <v>149331080</v>
      </c>
      <c r="M14" s="8">
        <v>3387705</v>
      </c>
      <c r="O14" s="8">
        <v>3541756</v>
      </c>
      <c r="Q14" s="8">
        <v>0</v>
      </c>
      <c r="S14" s="8">
        <v>938868</v>
      </c>
      <c r="U14" s="8">
        <v>330637</v>
      </c>
      <c r="W14" s="8">
        <f>100129+382592+5071367</f>
        <v>5554088</v>
      </c>
      <c r="Y14" s="3">
        <f t="shared" si="0"/>
        <v>273486741</v>
      </c>
      <c r="AA14" s="8">
        <v>20232</v>
      </c>
      <c r="AE14" s="8">
        <v>0</v>
      </c>
      <c r="AG14" s="8">
        <v>0</v>
      </c>
      <c r="AI14" s="8">
        <v>0</v>
      </c>
      <c r="AK14" s="8">
        <f t="shared" si="1"/>
        <v>20232</v>
      </c>
      <c r="AM14" s="8">
        <f t="shared" si="2"/>
        <v>273506973</v>
      </c>
    </row>
    <row r="15" spans="1:39" hidden="1">
      <c r="A15" s="13" t="s">
        <v>225</v>
      </c>
      <c r="B15" s="13"/>
      <c r="C15" s="13" t="s">
        <v>13</v>
      </c>
      <c r="D15" s="13"/>
      <c r="E15" s="32">
        <v>45906</v>
      </c>
      <c r="F15" s="11"/>
      <c r="Y15" s="3">
        <f t="shared" si="0"/>
        <v>0</v>
      </c>
      <c r="AE15" s="8">
        <v>0</v>
      </c>
      <c r="AI15" s="8">
        <v>0</v>
      </c>
      <c r="AK15" s="8">
        <f t="shared" si="1"/>
        <v>0</v>
      </c>
      <c r="AM15" s="8">
        <f t="shared" si="2"/>
        <v>0</v>
      </c>
    </row>
    <row r="16" spans="1:39">
      <c r="A16" s="13" t="s">
        <v>653</v>
      </c>
      <c r="B16" s="13"/>
      <c r="C16" s="13" t="s">
        <v>62</v>
      </c>
      <c r="D16" s="13"/>
      <c r="E16" s="32">
        <v>43497</v>
      </c>
      <c r="G16" s="8">
        <v>8093807</v>
      </c>
      <c r="I16" s="8">
        <v>0</v>
      </c>
      <c r="K16" s="8">
        <v>15996764</v>
      </c>
      <c r="M16" s="8">
        <v>268744</v>
      </c>
      <c r="O16" s="8">
        <v>176650</v>
      </c>
      <c r="Q16" s="8">
        <v>0</v>
      </c>
      <c r="S16" s="8">
        <v>0</v>
      </c>
      <c r="U16" s="8">
        <v>0</v>
      </c>
      <c r="W16" s="8">
        <f>5075+56373+37731</f>
        <v>99179</v>
      </c>
      <c r="Y16" s="3">
        <f t="shared" si="0"/>
        <v>24635144</v>
      </c>
      <c r="AA16" s="8">
        <v>60020</v>
      </c>
      <c r="AE16" s="8">
        <v>0</v>
      </c>
      <c r="AG16" s="8">
        <v>23595</v>
      </c>
      <c r="AI16" s="8">
        <v>0</v>
      </c>
      <c r="AK16" s="8">
        <f t="shared" si="1"/>
        <v>83615</v>
      </c>
      <c r="AM16" s="8">
        <f t="shared" si="2"/>
        <v>24718759</v>
      </c>
    </row>
    <row r="17" spans="1:39">
      <c r="A17" s="13" t="s">
        <v>347</v>
      </c>
      <c r="B17" s="13"/>
      <c r="C17" s="13" t="s">
        <v>25</v>
      </c>
      <c r="D17" s="13"/>
      <c r="E17" s="32">
        <v>46847</v>
      </c>
      <c r="G17" s="8">
        <v>2632469</v>
      </c>
      <c r="I17" s="8">
        <v>0</v>
      </c>
      <c r="K17" s="8">
        <v>9552438</v>
      </c>
      <c r="M17" s="8">
        <v>128581</v>
      </c>
      <c r="O17" s="8">
        <v>378886</v>
      </c>
      <c r="Q17" s="8">
        <v>0</v>
      </c>
      <c r="S17" s="8">
        <v>0</v>
      </c>
      <c r="U17" s="8">
        <v>0</v>
      </c>
      <c r="W17" s="8">
        <f>12678+591589</f>
        <v>604267</v>
      </c>
      <c r="Y17" s="3">
        <f t="shared" si="0"/>
        <v>13296641</v>
      </c>
      <c r="AA17" s="8">
        <v>0</v>
      </c>
      <c r="AE17" s="8">
        <v>0</v>
      </c>
      <c r="AG17" s="8">
        <v>4451</v>
      </c>
      <c r="AI17" s="8">
        <v>0</v>
      </c>
      <c r="AK17" s="8">
        <f t="shared" si="1"/>
        <v>4451</v>
      </c>
      <c r="AM17" s="8">
        <f t="shared" si="2"/>
        <v>13301092</v>
      </c>
    </row>
    <row r="18" spans="1:39">
      <c r="A18" s="13" t="s">
        <v>646</v>
      </c>
      <c r="B18" s="13"/>
      <c r="C18" s="13" t="s">
        <v>61</v>
      </c>
      <c r="D18" s="13"/>
      <c r="E18" s="32">
        <v>49759</v>
      </c>
      <c r="G18" s="8">
        <v>3616651</v>
      </c>
      <c r="I18" s="8">
        <v>623775</v>
      </c>
      <c r="K18" s="8">
        <v>4089533</v>
      </c>
      <c r="M18" s="8">
        <f>294324+22653</f>
        <v>316977</v>
      </c>
      <c r="O18" s="8">
        <f>323562</f>
        <v>323562</v>
      </c>
      <c r="Q18" s="8">
        <v>30583</v>
      </c>
      <c r="S18" s="8">
        <v>13754</v>
      </c>
      <c r="U18" s="8">
        <v>3377</v>
      </c>
      <c r="W18" s="8">
        <f>121710+25871</f>
        <v>147581</v>
      </c>
      <c r="Y18" s="3">
        <f t="shared" si="0"/>
        <v>9165793</v>
      </c>
      <c r="AA18" s="8">
        <v>0</v>
      </c>
      <c r="AE18" s="8">
        <v>0</v>
      </c>
      <c r="AG18" s="8">
        <v>0</v>
      </c>
      <c r="AI18" s="8">
        <v>0</v>
      </c>
      <c r="AK18" s="8">
        <f t="shared" si="1"/>
        <v>0</v>
      </c>
      <c r="AM18" s="8">
        <f t="shared" si="2"/>
        <v>9165793</v>
      </c>
    </row>
    <row r="19" spans="1:39">
      <c r="A19" s="13" t="s">
        <v>502</v>
      </c>
      <c r="B19" s="13"/>
      <c r="C19" s="13" t="s">
        <v>118</v>
      </c>
      <c r="D19" s="13"/>
      <c r="E19" s="32">
        <v>48207</v>
      </c>
      <c r="G19" s="8">
        <v>22179547</v>
      </c>
      <c r="I19" s="8">
        <v>0</v>
      </c>
      <c r="K19" s="8">
        <v>10789602</v>
      </c>
      <c r="M19" s="8">
        <v>318306</v>
      </c>
      <c r="O19" s="8">
        <f>403001+7820</f>
        <v>410821</v>
      </c>
      <c r="Q19" s="8">
        <v>0</v>
      </c>
      <c r="S19" s="8">
        <v>0</v>
      </c>
      <c r="U19" s="8">
        <v>0</v>
      </c>
      <c r="W19" s="8">
        <v>284250</v>
      </c>
      <c r="Y19" s="3">
        <f t="shared" si="0"/>
        <v>33982526</v>
      </c>
      <c r="AA19" s="8">
        <v>0</v>
      </c>
      <c r="AE19" s="8">
        <v>0</v>
      </c>
      <c r="AG19" s="8">
        <v>9716</v>
      </c>
      <c r="AI19" s="8">
        <v>0</v>
      </c>
      <c r="AK19" s="8">
        <f t="shared" si="1"/>
        <v>9716</v>
      </c>
      <c r="AM19" s="8">
        <f t="shared" si="2"/>
        <v>33992242</v>
      </c>
    </row>
    <row r="20" spans="1:39">
      <c r="A20" s="13" t="s">
        <v>418</v>
      </c>
      <c r="B20" s="13"/>
      <c r="C20" s="13" t="s">
        <v>33</v>
      </c>
      <c r="D20" s="13"/>
      <c r="E20" s="32">
        <v>47415</v>
      </c>
      <c r="G20" s="8">
        <v>2130982</v>
      </c>
      <c r="I20" s="8">
        <v>747434</v>
      </c>
      <c r="K20" s="8">
        <v>2298568</v>
      </c>
      <c r="M20" s="8">
        <v>116738</v>
      </c>
      <c r="O20" s="8">
        <v>623097</v>
      </c>
      <c r="Q20" s="8">
        <v>0</v>
      </c>
      <c r="S20" s="8">
        <v>0</v>
      </c>
      <c r="U20" s="8">
        <v>10050</v>
      </c>
      <c r="W20" s="8">
        <v>6477</v>
      </c>
      <c r="Y20" s="3">
        <f t="shared" si="0"/>
        <v>5933346</v>
      </c>
      <c r="AA20" s="8">
        <v>0</v>
      </c>
      <c r="AE20" s="8">
        <v>0</v>
      </c>
      <c r="AG20" s="8">
        <v>0</v>
      </c>
      <c r="AI20" s="8">
        <v>0</v>
      </c>
      <c r="AK20" s="8">
        <f t="shared" si="1"/>
        <v>0</v>
      </c>
      <c r="AM20" s="8">
        <f t="shared" si="2"/>
        <v>5933346</v>
      </c>
    </row>
    <row r="21" spans="1:39" hidden="1">
      <c r="A21" s="13" t="s">
        <v>828</v>
      </c>
      <c r="B21" s="13"/>
      <c r="C21" s="13" t="s">
        <v>21</v>
      </c>
      <c r="D21" s="13"/>
      <c r="E21" s="32">
        <v>46631</v>
      </c>
      <c r="Y21" s="3">
        <f t="shared" si="0"/>
        <v>0</v>
      </c>
      <c r="AA21" s="8">
        <v>0</v>
      </c>
      <c r="AE21" s="8">
        <v>0</v>
      </c>
      <c r="AG21" s="8">
        <v>0</v>
      </c>
      <c r="AI21" s="8">
        <v>0</v>
      </c>
      <c r="AK21" s="8">
        <f t="shared" si="1"/>
        <v>0</v>
      </c>
      <c r="AM21" s="8">
        <f t="shared" si="2"/>
        <v>0</v>
      </c>
    </row>
    <row r="22" spans="1:39">
      <c r="A22" s="13" t="s">
        <v>372</v>
      </c>
      <c r="B22" s="13"/>
      <c r="C22" s="13" t="s">
        <v>28</v>
      </c>
      <c r="D22" s="13"/>
      <c r="E22" s="32">
        <v>47043</v>
      </c>
      <c r="G22" s="8">
        <v>6241759</v>
      </c>
      <c r="I22" s="8">
        <v>0</v>
      </c>
      <c r="K22" s="8">
        <v>4973746</v>
      </c>
      <c r="M22" s="8">
        <v>332512</v>
      </c>
      <c r="O22" s="8">
        <v>319327</v>
      </c>
      <c r="Q22" s="8">
        <v>0</v>
      </c>
      <c r="S22" s="8">
        <v>427714</v>
      </c>
      <c r="U22" s="8">
        <v>9700</v>
      </c>
      <c r="W22" s="8">
        <f>5182+126317</f>
        <v>131499</v>
      </c>
      <c r="Y22" s="3">
        <f t="shared" si="0"/>
        <v>12436257</v>
      </c>
      <c r="AA22" s="8">
        <v>1242</v>
      </c>
      <c r="AE22" s="8">
        <v>0</v>
      </c>
      <c r="AG22" s="8">
        <v>0</v>
      </c>
      <c r="AI22" s="8">
        <v>0</v>
      </c>
      <c r="AK22" s="8">
        <f t="shared" si="1"/>
        <v>1242</v>
      </c>
      <c r="AM22" s="8">
        <f t="shared" si="2"/>
        <v>12437499</v>
      </c>
    </row>
    <row r="23" spans="1:39">
      <c r="A23" s="13" t="s">
        <v>419</v>
      </c>
      <c r="B23" s="13"/>
      <c r="C23" s="13" t="s">
        <v>33</v>
      </c>
      <c r="D23" s="13"/>
      <c r="E23" s="32">
        <v>47423</v>
      </c>
      <c r="G23" s="8">
        <v>1167237</v>
      </c>
      <c r="I23" s="8">
        <v>943142</v>
      </c>
      <c r="K23" s="8">
        <v>3183512</v>
      </c>
      <c r="M23" s="8">
        <v>155212</v>
      </c>
      <c r="O23" s="8">
        <v>167758</v>
      </c>
      <c r="Q23" s="8">
        <v>1639</v>
      </c>
      <c r="S23" s="8">
        <v>0</v>
      </c>
      <c r="U23" s="8">
        <v>14217</v>
      </c>
      <c r="W23" s="8">
        <v>9211</v>
      </c>
      <c r="Y23" s="3">
        <f t="shared" si="0"/>
        <v>5641928</v>
      </c>
      <c r="AA23" s="8">
        <v>0</v>
      </c>
      <c r="AE23" s="8">
        <v>0</v>
      </c>
      <c r="AG23" s="8">
        <v>0</v>
      </c>
      <c r="AI23" s="8">
        <v>0</v>
      </c>
      <c r="AK23" s="8">
        <f t="shared" si="1"/>
        <v>0</v>
      </c>
      <c r="AM23" s="8">
        <f t="shared" si="2"/>
        <v>5641928</v>
      </c>
    </row>
    <row r="24" spans="1:39">
      <c r="A24" s="13" t="s">
        <v>215</v>
      </c>
      <c r="B24" s="13"/>
      <c r="C24" s="13" t="s">
        <v>11</v>
      </c>
      <c r="D24" s="13"/>
      <c r="E24" s="32">
        <v>43505</v>
      </c>
      <c r="F24" s="11"/>
      <c r="G24" s="8">
        <v>12096385</v>
      </c>
      <c r="I24" s="8">
        <v>0</v>
      </c>
      <c r="K24" s="8">
        <v>13877695</v>
      </c>
      <c r="M24" s="8">
        <v>581138</v>
      </c>
      <c r="O24" s="8">
        <v>701094</v>
      </c>
      <c r="Q24" s="8">
        <v>64380</v>
      </c>
      <c r="S24" s="8">
        <v>0</v>
      </c>
      <c r="U24" s="8">
        <v>0</v>
      </c>
      <c r="W24" s="8">
        <f>37643+5515+365855</f>
        <v>409013</v>
      </c>
      <c r="Y24" s="3">
        <f t="shared" si="0"/>
        <v>27729705</v>
      </c>
      <c r="AA24" s="8">
        <v>0</v>
      </c>
      <c r="AE24" s="8">
        <v>0</v>
      </c>
      <c r="AG24" s="8">
        <v>0</v>
      </c>
      <c r="AI24" s="8">
        <v>0</v>
      </c>
      <c r="AK24" s="8">
        <f t="shared" si="1"/>
        <v>0</v>
      </c>
      <c r="AM24" s="8">
        <f t="shared" si="2"/>
        <v>27729705</v>
      </c>
    </row>
    <row r="25" spans="1:39" hidden="1">
      <c r="A25" s="13" t="s">
        <v>768</v>
      </c>
      <c r="B25" s="13"/>
      <c r="C25" s="13" t="s">
        <v>12</v>
      </c>
      <c r="D25" s="13"/>
      <c r="E25" s="32">
        <v>43513</v>
      </c>
      <c r="F25" s="11"/>
      <c r="U25" s="8">
        <v>0</v>
      </c>
      <c r="Y25" s="3">
        <f t="shared" si="0"/>
        <v>0</v>
      </c>
      <c r="AA25" s="8">
        <v>0</v>
      </c>
      <c r="AE25" s="8">
        <v>0</v>
      </c>
      <c r="AG25" s="8">
        <v>0</v>
      </c>
      <c r="AI25" s="8">
        <v>0</v>
      </c>
      <c r="AK25" s="8">
        <f t="shared" si="1"/>
        <v>0</v>
      </c>
      <c r="AM25" s="8">
        <f t="shared" si="2"/>
        <v>0</v>
      </c>
    </row>
    <row r="26" spans="1:39">
      <c r="A26" s="13" t="s">
        <v>226</v>
      </c>
      <c r="B26" s="13"/>
      <c r="C26" s="13" t="s">
        <v>13</v>
      </c>
      <c r="D26" s="13"/>
      <c r="E26" s="32">
        <v>43521</v>
      </c>
      <c r="F26" s="11"/>
      <c r="G26" s="8">
        <v>15438095</v>
      </c>
      <c r="I26" s="8">
        <v>0</v>
      </c>
      <c r="K26" s="8">
        <v>8886610</v>
      </c>
      <c r="M26" s="8">
        <v>520923</v>
      </c>
      <c r="O26" s="8">
        <v>2300030</v>
      </c>
      <c r="Q26" s="8">
        <v>0</v>
      </c>
      <c r="S26" s="8">
        <v>148701</v>
      </c>
      <c r="U26" s="8">
        <v>0</v>
      </c>
      <c r="W26" s="8">
        <f>5277+24500</f>
        <v>29777</v>
      </c>
      <c r="Y26" s="3">
        <f t="shared" si="0"/>
        <v>27324136</v>
      </c>
      <c r="AA26" s="8">
        <v>0</v>
      </c>
      <c r="AE26" s="8">
        <v>0</v>
      </c>
      <c r="AG26" s="8">
        <f>1875+12711</f>
        <v>14586</v>
      </c>
      <c r="AI26" s="8">
        <v>0</v>
      </c>
      <c r="AK26" s="8">
        <f t="shared" si="1"/>
        <v>14586</v>
      </c>
      <c r="AM26" s="8">
        <f t="shared" si="2"/>
        <v>27338722</v>
      </c>
    </row>
    <row r="27" spans="1:39">
      <c r="A27" s="13" t="s">
        <v>595</v>
      </c>
      <c r="B27" s="13"/>
      <c r="C27" s="13" t="s">
        <v>56</v>
      </c>
      <c r="D27" s="13"/>
      <c r="E27" s="32">
        <v>49171</v>
      </c>
      <c r="G27" s="8">
        <v>18609715</v>
      </c>
      <c r="I27" s="8">
        <v>0</v>
      </c>
      <c r="K27" s="8">
        <v>6756789</v>
      </c>
      <c r="M27" s="8">
        <v>279931</v>
      </c>
      <c r="O27" s="8">
        <v>301624</v>
      </c>
      <c r="Q27" s="8">
        <v>0</v>
      </c>
      <c r="S27" s="8">
        <v>0</v>
      </c>
      <c r="U27" s="8">
        <v>0</v>
      </c>
      <c r="W27" s="8">
        <f>47251+210085</f>
        <v>257336</v>
      </c>
      <c r="Y27" s="3">
        <f t="shared" si="0"/>
        <v>26205395</v>
      </c>
      <c r="AA27" s="8">
        <v>0</v>
      </c>
      <c r="AE27" s="8">
        <v>0</v>
      </c>
      <c r="AG27" s="8">
        <v>0</v>
      </c>
      <c r="AI27" s="8">
        <v>0</v>
      </c>
      <c r="AK27" s="8">
        <f t="shared" si="1"/>
        <v>0</v>
      </c>
      <c r="AM27" s="8">
        <f t="shared" si="2"/>
        <v>26205395</v>
      </c>
    </row>
    <row r="28" spans="1:39">
      <c r="A28" s="13" t="s">
        <v>514</v>
      </c>
      <c r="B28" s="13"/>
      <c r="C28" s="13" t="s">
        <v>45</v>
      </c>
      <c r="D28" s="13"/>
      <c r="E28" s="32">
        <v>48298</v>
      </c>
      <c r="G28" s="8">
        <v>17630370</v>
      </c>
      <c r="I28" s="8">
        <v>0</v>
      </c>
      <c r="K28" s="8">
        <v>21800027</v>
      </c>
      <c r="M28" s="8">
        <v>224685</v>
      </c>
      <c r="O28" s="8">
        <f>87513+68143</f>
        <v>155656</v>
      </c>
      <c r="Q28" s="8">
        <v>4915</v>
      </c>
      <c r="S28" s="8">
        <v>0</v>
      </c>
      <c r="U28" s="8">
        <v>0</v>
      </c>
      <c r="W28" s="8">
        <f>614+72105</f>
        <v>72719</v>
      </c>
      <c r="Y28" s="3">
        <f t="shared" si="0"/>
        <v>39888372</v>
      </c>
      <c r="AA28" s="8">
        <v>0</v>
      </c>
      <c r="AE28" s="8">
        <v>0</v>
      </c>
      <c r="AG28" s="8">
        <v>16989</v>
      </c>
      <c r="AI28" s="8">
        <v>0</v>
      </c>
      <c r="AK28" s="8">
        <f t="shared" si="1"/>
        <v>16989</v>
      </c>
      <c r="AM28" s="8">
        <f t="shared" si="2"/>
        <v>39905361</v>
      </c>
    </row>
    <row r="29" spans="1:39">
      <c r="A29" s="13" t="s">
        <v>489</v>
      </c>
      <c r="B29" s="13"/>
      <c r="C29" s="13" t="s">
        <v>44</v>
      </c>
      <c r="D29" s="13"/>
      <c r="E29" s="32">
        <v>48124</v>
      </c>
      <c r="G29" s="8">
        <v>25549696</v>
      </c>
      <c r="I29" s="8">
        <v>0</v>
      </c>
      <c r="K29" s="8">
        <v>8773809</v>
      </c>
      <c r="M29" s="8">
        <v>903893</v>
      </c>
      <c r="O29" s="8">
        <v>371767</v>
      </c>
      <c r="Q29" s="8">
        <v>0</v>
      </c>
      <c r="S29" s="8">
        <v>0</v>
      </c>
      <c r="U29" s="8">
        <v>0</v>
      </c>
      <c r="W29" s="8">
        <f>190395+76319</f>
        <v>266714</v>
      </c>
      <c r="Y29" s="3">
        <f t="shared" si="0"/>
        <v>35865879</v>
      </c>
      <c r="AA29" s="8">
        <v>0</v>
      </c>
      <c r="AE29" s="8">
        <v>0</v>
      </c>
      <c r="AG29" s="8">
        <v>0</v>
      </c>
      <c r="AI29" s="8">
        <v>0</v>
      </c>
      <c r="AK29" s="8">
        <f t="shared" si="1"/>
        <v>0</v>
      </c>
      <c r="AM29" s="8">
        <f t="shared" si="2"/>
        <v>35865879</v>
      </c>
    </row>
    <row r="30" spans="1:39">
      <c r="A30" s="13" t="s">
        <v>490</v>
      </c>
      <c r="B30" s="13"/>
      <c r="C30" s="13" t="s">
        <v>44</v>
      </c>
      <c r="D30" s="13"/>
      <c r="E30" s="32">
        <v>48116</v>
      </c>
      <c r="G30" s="8">
        <v>17530690</v>
      </c>
      <c r="I30" s="8">
        <v>0</v>
      </c>
      <c r="K30" s="8">
        <v>6390189</v>
      </c>
      <c r="M30" s="8">
        <v>436830</v>
      </c>
      <c r="O30" s="8">
        <v>620566</v>
      </c>
      <c r="Q30" s="8">
        <v>-2726</v>
      </c>
      <c r="S30" s="8">
        <v>0</v>
      </c>
      <c r="U30" s="8">
        <v>0</v>
      </c>
      <c r="W30" s="8">
        <v>57452</v>
      </c>
      <c r="Y30" s="3">
        <f t="shared" si="0"/>
        <v>25033001</v>
      </c>
      <c r="AA30" s="8">
        <v>0</v>
      </c>
      <c r="AE30" s="8">
        <v>0</v>
      </c>
      <c r="AG30" s="8">
        <v>0</v>
      </c>
      <c r="AI30" s="8">
        <v>0</v>
      </c>
      <c r="AK30" s="8">
        <f t="shared" si="1"/>
        <v>0</v>
      </c>
      <c r="AM30" s="8">
        <f t="shared" si="2"/>
        <v>25033001</v>
      </c>
    </row>
    <row r="31" spans="1:39">
      <c r="A31" s="13" t="s">
        <v>334</v>
      </c>
      <c r="B31" s="13"/>
      <c r="C31" s="13" t="s">
        <v>22</v>
      </c>
      <c r="D31" s="13"/>
      <c r="E31" s="32">
        <v>46706</v>
      </c>
      <c r="G31" s="8">
        <v>2899845</v>
      </c>
      <c r="I31" s="8">
        <v>0</v>
      </c>
      <c r="K31" s="8">
        <v>2847954</v>
      </c>
      <c r="M31" s="8">
        <v>140056</v>
      </c>
      <c r="O31" s="8">
        <f>1093011+41743</f>
        <v>1134754</v>
      </c>
      <c r="Q31" s="8">
        <v>0</v>
      </c>
      <c r="S31" s="8">
        <v>186822</v>
      </c>
      <c r="U31" s="8">
        <v>0</v>
      </c>
      <c r="W31" s="8">
        <v>61724</v>
      </c>
      <c r="Y31" s="3">
        <f t="shared" si="0"/>
        <v>7271155</v>
      </c>
      <c r="AA31" s="8">
        <v>0</v>
      </c>
      <c r="AE31" s="8">
        <v>0</v>
      </c>
      <c r="AG31" s="8">
        <f>147490+13211</f>
        <v>160701</v>
      </c>
      <c r="AI31" s="8">
        <v>0</v>
      </c>
      <c r="AK31" s="8">
        <f t="shared" si="1"/>
        <v>160701</v>
      </c>
      <c r="AM31" s="8">
        <f t="shared" si="2"/>
        <v>7431856</v>
      </c>
    </row>
    <row r="32" spans="1:39">
      <c r="A32" s="13" t="s">
        <v>668</v>
      </c>
      <c r="B32" s="13"/>
      <c r="C32" s="13" t="s">
        <v>63</v>
      </c>
      <c r="D32" s="13"/>
      <c r="E32" s="32">
        <v>43539</v>
      </c>
      <c r="G32" s="8">
        <v>13859386</v>
      </c>
      <c r="I32" s="8">
        <v>0</v>
      </c>
      <c r="K32" s="8">
        <f>20517477+45602</f>
        <v>20563079</v>
      </c>
      <c r="M32" s="8">
        <v>642793</v>
      </c>
      <c r="O32" s="8">
        <f>718527+10754</f>
        <v>729281</v>
      </c>
      <c r="Q32" s="8">
        <v>13451</v>
      </c>
      <c r="S32" s="8">
        <v>0</v>
      </c>
      <c r="U32" s="8">
        <v>0</v>
      </c>
      <c r="W32" s="8">
        <v>100471</v>
      </c>
      <c r="Y32" s="3">
        <f t="shared" si="0"/>
        <v>35908461</v>
      </c>
      <c r="AA32" s="8">
        <v>0</v>
      </c>
      <c r="AE32" s="8">
        <v>0</v>
      </c>
      <c r="AG32" s="8">
        <v>0</v>
      </c>
      <c r="AI32" s="8">
        <v>0</v>
      </c>
      <c r="AK32" s="8">
        <f t="shared" si="1"/>
        <v>0</v>
      </c>
      <c r="AM32" s="8">
        <f t="shared" si="2"/>
        <v>35908461</v>
      </c>
    </row>
    <row r="33" spans="1:39">
      <c r="A33" s="13" t="s">
        <v>831</v>
      </c>
      <c r="B33" s="13"/>
      <c r="C33" s="13" t="s">
        <v>15</v>
      </c>
      <c r="D33" s="13"/>
      <c r="E33" s="32"/>
      <c r="G33" s="8">
        <v>2098398</v>
      </c>
      <c r="I33" s="8">
        <v>0</v>
      </c>
      <c r="K33" s="8">
        <v>5983793</v>
      </c>
      <c r="M33" s="8">
        <v>94904</v>
      </c>
      <c r="O33" s="8">
        <v>576741</v>
      </c>
      <c r="Q33" s="8">
        <v>0</v>
      </c>
      <c r="S33" s="8">
        <v>0</v>
      </c>
      <c r="U33" s="8">
        <v>0</v>
      </c>
      <c r="W33" s="8">
        <f>1400+100+22615</f>
        <v>24115</v>
      </c>
      <c r="Y33" s="3">
        <f t="shared" si="0"/>
        <v>8777951</v>
      </c>
      <c r="AA33" s="8">
        <v>48324</v>
      </c>
      <c r="AE33" s="8">
        <v>0</v>
      </c>
      <c r="AG33" s="8">
        <v>0</v>
      </c>
      <c r="AI33" s="8">
        <v>0</v>
      </c>
      <c r="AK33" s="8">
        <f t="shared" si="1"/>
        <v>48324</v>
      </c>
      <c r="AM33" s="8">
        <f t="shared" si="2"/>
        <v>8826275</v>
      </c>
    </row>
    <row r="34" spans="1:39" hidden="1">
      <c r="A34" s="13" t="s">
        <v>270</v>
      </c>
      <c r="B34" s="13"/>
      <c r="C34" s="13" t="s">
        <v>116</v>
      </c>
      <c r="D34" s="13"/>
      <c r="E34" s="32">
        <v>46300</v>
      </c>
      <c r="F34" s="11"/>
      <c r="Y34" s="3">
        <f t="shared" si="0"/>
        <v>0</v>
      </c>
      <c r="AA34" s="8">
        <v>0</v>
      </c>
      <c r="AE34" s="8">
        <v>0</v>
      </c>
      <c r="AG34" s="8">
        <v>0</v>
      </c>
      <c r="AI34" s="8">
        <v>0</v>
      </c>
      <c r="AK34" s="8">
        <f t="shared" si="1"/>
        <v>0</v>
      </c>
      <c r="AM34" s="8">
        <f t="shared" si="2"/>
        <v>0</v>
      </c>
    </row>
    <row r="35" spans="1:39" hidden="1">
      <c r="A35" s="13" t="s">
        <v>211</v>
      </c>
      <c r="B35" s="13"/>
      <c r="C35" s="13" t="s">
        <v>10</v>
      </c>
      <c r="D35" s="13"/>
      <c r="E35" s="32">
        <v>45765</v>
      </c>
      <c r="F35" s="11"/>
      <c r="Y35" s="3">
        <f t="shared" si="0"/>
        <v>0</v>
      </c>
      <c r="AA35" s="8">
        <v>0</v>
      </c>
      <c r="AE35" s="8">
        <v>0</v>
      </c>
      <c r="AG35" s="8">
        <v>0</v>
      </c>
      <c r="AI35" s="8">
        <v>0</v>
      </c>
      <c r="AK35" s="8">
        <f t="shared" si="1"/>
        <v>0</v>
      </c>
      <c r="AM35" s="8">
        <f t="shared" si="2"/>
        <v>0</v>
      </c>
    </row>
    <row r="36" spans="1:39">
      <c r="A36" s="13" t="s">
        <v>300</v>
      </c>
      <c r="B36" s="13"/>
      <c r="C36" s="13" t="s">
        <v>20</v>
      </c>
      <c r="D36" s="13"/>
      <c r="E36" s="32">
        <v>43547</v>
      </c>
      <c r="G36" s="8">
        <v>19021118</v>
      </c>
      <c r="I36" s="8">
        <v>0</v>
      </c>
      <c r="K36" s="8">
        <v>7362552</v>
      </c>
      <c r="M36" s="8">
        <v>455309</v>
      </c>
      <c r="O36" s="8">
        <v>147389</v>
      </c>
      <c r="Q36" s="8">
        <v>0</v>
      </c>
      <c r="S36" s="8">
        <v>0</v>
      </c>
      <c r="U36" s="8">
        <v>0</v>
      </c>
      <c r="W36" s="8">
        <v>124425</v>
      </c>
      <c r="Y36" s="3">
        <f t="shared" si="0"/>
        <v>27110793</v>
      </c>
      <c r="AA36" s="8">
        <v>0</v>
      </c>
      <c r="AE36" s="8">
        <v>0</v>
      </c>
      <c r="AG36" s="8">
        <v>0</v>
      </c>
      <c r="AI36" s="8">
        <v>0</v>
      </c>
      <c r="AK36" s="8">
        <f t="shared" si="1"/>
        <v>0</v>
      </c>
      <c r="AM36" s="8">
        <f t="shared" si="2"/>
        <v>27110793</v>
      </c>
    </row>
    <row r="37" spans="1:39">
      <c r="A37" s="13" t="s">
        <v>301</v>
      </c>
      <c r="B37" s="13"/>
      <c r="C37" s="13" t="s">
        <v>20</v>
      </c>
      <c r="D37" s="13"/>
      <c r="E37" s="32">
        <v>43554</v>
      </c>
      <c r="G37" s="8">
        <v>25736935</v>
      </c>
      <c r="I37" s="8">
        <v>0</v>
      </c>
      <c r="K37" s="8">
        <v>5443493</v>
      </c>
      <c r="M37" s="8">
        <f>723447-96837</f>
        <v>626610</v>
      </c>
      <c r="O37" s="8">
        <v>650417</v>
      </c>
      <c r="Q37" s="8">
        <v>0</v>
      </c>
      <c r="S37" s="8">
        <v>0</v>
      </c>
      <c r="U37" s="8">
        <v>1700</v>
      </c>
      <c r="W37" s="8">
        <f>200194+169800+246427</f>
        <v>616421</v>
      </c>
      <c r="Y37" s="3">
        <f t="shared" si="0"/>
        <v>33075576</v>
      </c>
      <c r="AA37" s="8">
        <v>0</v>
      </c>
      <c r="AE37" s="8">
        <v>0</v>
      </c>
      <c r="AG37" s="8">
        <v>0</v>
      </c>
      <c r="AI37" s="8">
        <v>0</v>
      </c>
      <c r="AK37" s="8">
        <f t="shared" si="1"/>
        <v>0</v>
      </c>
      <c r="AM37" s="8">
        <f t="shared" si="2"/>
        <v>33075576</v>
      </c>
    </row>
    <row r="38" spans="1:39">
      <c r="A38" s="13" t="s">
        <v>282</v>
      </c>
      <c r="B38" s="13"/>
      <c r="C38" s="13" t="s">
        <v>115</v>
      </c>
      <c r="D38" s="13"/>
      <c r="E38" s="32">
        <v>46425</v>
      </c>
      <c r="F38" s="11"/>
      <c r="G38" s="8">
        <v>4996486</v>
      </c>
      <c r="I38" s="8">
        <v>0</v>
      </c>
      <c r="K38" s="8">
        <v>10593934</v>
      </c>
      <c r="M38" s="8">
        <v>52433</v>
      </c>
      <c r="O38" s="8">
        <v>1640632</v>
      </c>
      <c r="Q38" s="8">
        <v>42707</v>
      </c>
      <c r="S38" s="8">
        <v>0</v>
      </c>
      <c r="U38" s="8">
        <v>0</v>
      </c>
      <c r="W38" s="8">
        <f>3449+89925</f>
        <v>93374</v>
      </c>
      <c r="Y38" s="3">
        <f t="shared" si="0"/>
        <v>17419566</v>
      </c>
      <c r="AA38" s="8">
        <v>0</v>
      </c>
      <c r="AE38" s="8">
        <v>500000</v>
      </c>
      <c r="AG38" s="8">
        <v>11278</v>
      </c>
      <c r="AI38" s="8">
        <v>0</v>
      </c>
      <c r="AK38" s="8">
        <f t="shared" si="1"/>
        <v>511278</v>
      </c>
      <c r="AM38" s="8">
        <f t="shared" si="2"/>
        <v>17930844</v>
      </c>
    </row>
    <row r="39" spans="1:39">
      <c r="A39" s="13" t="s">
        <v>388</v>
      </c>
      <c r="B39" s="13"/>
      <c r="C39" s="13" t="s">
        <v>117</v>
      </c>
      <c r="D39" s="13"/>
      <c r="E39" s="32">
        <v>47241</v>
      </c>
      <c r="G39" s="8">
        <v>45148840</v>
      </c>
      <c r="I39" s="8">
        <v>0</v>
      </c>
      <c r="K39" s="8">
        <v>18960184</v>
      </c>
      <c r="M39" s="8">
        <v>1991150</v>
      </c>
      <c r="O39" s="8">
        <v>753401</v>
      </c>
      <c r="Q39" s="8">
        <v>0</v>
      </c>
      <c r="S39" s="8">
        <v>0</v>
      </c>
      <c r="U39" s="8">
        <v>0</v>
      </c>
      <c r="W39" s="8">
        <f>13213+87006+40815</f>
        <v>141034</v>
      </c>
      <c r="Y39" s="3">
        <f t="shared" si="0"/>
        <v>66994609</v>
      </c>
      <c r="AA39" s="8">
        <v>0</v>
      </c>
      <c r="AE39" s="8">
        <v>0</v>
      </c>
      <c r="AG39" s="8">
        <v>0</v>
      </c>
      <c r="AI39" s="8">
        <v>0</v>
      </c>
      <c r="AK39" s="8">
        <f t="shared" si="1"/>
        <v>0</v>
      </c>
      <c r="AM39" s="8">
        <f t="shared" si="2"/>
        <v>66994609</v>
      </c>
    </row>
    <row r="40" spans="1:39">
      <c r="A40" s="13" t="s">
        <v>302</v>
      </c>
      <c r="B40" s="13"/>
      <c r="C40" s="13" t="s">
        <v>20</v>
      </c>
      <c r="D40" s="13"/>
      <c r="E40" s="32">
        <v>43562</v>
      </c>
      <c r="G40" s="8">
        <v>31136845</v>
      </c>
      <c r="I40" s="8">
        <v>0</v>
      </c>
      <c r="K40" s="8">
        <v>11817104</v>
      </c>
      <c r="M40" s="8">
        <v>890620</v>
      </c>
      <c r="O40" s="8">
        <v>1611711</v>
      </c>
      <c r="Q40" s="8">
        <v>0</v>
      </c>
      <c r="S40" s="8">
        <v>0</v>
      </c>
      <c r="U40" s="8">
        <v>0</v>
      </c>
      <c r="W40" s="8">
        <f>15151+8618+528838</f>
        <v>552607</v>
      </c>
      <c r="Y40" s="3">
        <f t="shared" si="0"/>
        <v>46008887</v>
      </c>
      <c r="AA40" s="8">
        <v>0</v>
      </c>
      <c r="AE40" s="8">
        <v>0</v>
      </c>
      <c r="AG40" s="8">
        <v>3547</v>
      </c>
      <c r="AI40" s="8">
        <v>0</v>
      </c>
      <c r="AK40" s="8">
        <f t="shared" si="1"/>
        <v>3547</v>
      </c>
      <c r="AM40" s="8">
        <f t="shared" si="2"/>
        <v>46012434</v>
      </c>
    </row>
    <row r="41" spans="1:39">
      <c r="A41" s="13" t="s">
        <v>234</v>
      </c>
      <c r="B41" s="13"/>
      <c r="C41" s="13" t="s">
        <v>15</v>
      </c>
      <c r="D41" s="13"/>
      <c r="E41" s="32">
        <v>43570</v>
      </c>
      <c r="F41" s="11"/>
      <c r="G41" s="8">
        <v>1958290</v>
      </c>
      <c r="I41" s="8">
        <v>0</v>
      </c>
      <c r="K41" s="8">
        <v>8970539</v>
      </c>
      <c r="M41" s="8">
        <v>68972</v>
      </c>
      <c r="O41" s="8">
        <v>870566</v>
      </c>
      <c r="Q41" s="8">
        <v>0</v>
      </c>
      <c r="S41" s="8">
        <v>0</v>
      </c>
      <c r="U41" s="8">
        <v>0</v>
      </c>
      <c r="W41" s="8">
        <f>2364+16567+17163</f>
        <v>36094</v>
      </c>
      <c r="Y41" s="3">
        <f t="shared" si="0"/>
        <v>11904461</v>
      </c>
      <c r="AA41" s="8">
        <v>0</v>
      </c>
      <c r="AE41" s="8">
        <v>0</v>
      </c>
      <c r="AG41" s="8">
        <v>0</v>
      </c>
      <c r="AI41" s="8">
        <v>0</v>
      </c>
      <c r="AK41" s="8">
        <f t="shared" si="1"/>
        <v>0</v>
      </c>
      <c r="AM41" s="8">
        <f t="shared" si="2"/>
        <v>11904461</v>
      </c>
    </row>
    <row r="42" spans="1:39">
      <c r="A42" s="13" t="s">
        <v>448</v>
      </c>
      <c r="B42" s="13"/>
      <c r="C42" s="13" t="s">
        <v>37</v>
      </c>
      <c r="D42" s="13"/>
      <c r="E42" s="32">
        <v>43596</v>
      </c>
      <c r="G42" s="8">
        <v>8790045</v>
      </c>
      <c r="I42" s="8">
        <v>0</v>
      </c>
      <c r="K42" s="8">
        <f>9904547+2875</f>
        <v>9907422</v>
      </c>
      <c r="M42" s="8">
        <v>180439</v>
      </c>
      <c r="O42" s="8">
        <f>266691+65758</f>
        <v>332449</v>
      </c>
      <c r="Q42" s="8">
        <v>21006</v>
      </c>
      <c r="S42" s="8">
        <v>0</v>
      </c>
      <c r="U42" s="8">
        <v>0</v>
      </c>
      <c r="W42" s="8">
        <v>257389</v>
      </c>
      <c r="Y42" s="3">
        <f t="shared" si="0"/>
        <v>19488750</v>
      </c>
      <c r="AA42" s="8">
        <v>0</v>
      </c>
      <c r="AE42" s="8">
        <v>0</v>
      </c>
      <c r="AG42" s="8">
        <v>178097</v>
      </c>
      <c r="AI42" s="8">
        <v>0</v>
      </c>
      <c r="AK42" s="8">
        <f t="shared" si="1"/>
        <v>178097</v>
      </c>
      <c r="AM42" s="8">
        <f t="shared" si="2"/>
        <v>19666847</v>
      </c>
    </row>
    <row r="43" spans="1:39">
      <c r="A43" s="13" t="s">
        <v>721</v>
      </c>
      <c r="B43" s="13"/>
      <c r="C43" s="13" t="s">
        <v>70</v>
      </c>
      <c r="D43" s="13"/>
      <c r="E43" s="32">
        <v>43604</v>
      </c>
      <c r="G43" s="8">
        <v>4357042</v>
      </c>
      <c r="I43" s="8">
        <v>0</v>
      </c>
      <c r="K43" s="8">
        <v>4485207</v>
      </c>
      <c r="M43" s="8">
        <v>92846</v>
      </c>
      <c r="O43" s="8">
        <v>333133</v>
      </c>
      <c r="Q43" s="8">
        <v>0</v>
      </c>
      <c r="S43" s="8">
        <v>0</v>
      </c>
      <c r="U43" s="8">
        <v>0</v>
      </c>
      <c r="W43" s="8">
        <v>30709</v>
      </c>
      <c r="Y43" s="3">
        <f t="shared" si="0"/>
        <v>9298937</v>
      </c>
      <c r="AA43" s="8">
        <v>6642</v>
      </c>
      <c r="AE43" s="8">
        <v>0</v>
      </c>
      <c r="AG43" s="8">
        <v>0</v>
      </c>
      <c r="AI43" s="8">
        <v>0</v>
      </c>
      <c r="AK43" s="8">
        <f t="shared" si="1"/>
        <v>6642</v>
      </c>
      <c r="AM43" s="8">
        <f t="shared" si="2"/>
        <v>9305579</v>
      </c>
    </row>
    <row r="44" spans="1:39">
      <c r="A44" s="13" t="s">
        <v>579</v>
      </c>
      <c r="B44" s="13"/>
      <c r="C44" s="13" t="s">
        <v>53</v>
      </c>
      <c r="D44" s="13"/>
      <c r="E44" s="32">
        <v>48926</v>
      </c>
      <c r="G44" s="8">
        <v>8423090</v>
      </c>
      <c r="I44" s="8">
        <v>0</v>
      </c>
      <c r="K44" s="8">
        <f>9339793+6528</f>
        <v>9346321</v>
      </c>
      <c r="M44" s="8">
        <v>532761</v>
      </c>
      <c r="O44" s="8">
        <f>439797+237</f>
        <v>440034</v>
      </c>
      <c r="Q44" s="8">
        <v>13757</v>
      </c>
      <c r="S44" s="8">
        <v>0</v>
      </c>
      <c r="U44" s="8">
        <v>0</v>
      </c>
      <c r="W44" s="8">
        <v>9599</v>
      </c>
      <c r="Y44" s="3">
        <f t="shared" si="0"/>
        <v>18765562</v>
      </c>
      <c r="AA44" s="8">
        <v>0</v>
      </c>
      <c r="AE44" s="8">
        <v>0</v>
      </c>
      <c r="AG44" s="8">
        <v>0</v>
      </c>
      <c r="AI44" s="8">
        <v>0</v>
      </c>
      <c r="AK44" s="8">
        <f t="shared" si="1"/>
        <v>0</v>
      </c>
      <c r="AM44" s="8">
        <f t="shared" si="2"/>
        <v>18765562</v>
      </c>
    </row>
    <row r="45" spans="1:39">
      <c r="A45" s="13" t="s">
        <v>303</v>
      </c>
      <c r="B45" s="13"/>
      <c r="C45" s="13" t="s">
        <v>20</v>
      </c>
      <c r="D45" s="13"/>
      <c r="E45" s="32">
        <v>43612</v>
      </c>
      <c r="G45" s="8">
        <v>55986666</v>
      </c>
      <c r="I45" s="8">
        <v>0</v>
      </c>
      <c r="K45" s="8">
        <v>22960374</v>
      </c>
      <c r="M45" s="8">
        <v>1932199</v>
      </c>
      <c r="O45" s="8">
        <v>3040286</v>
      </c>
      <c r="Q45" s="8">
        <v>0</v>
      </c>
      <c r="S45" s="8">
        <v>0</v>
      </c>
      <c r="U45" s="8">
        <v>0</v>
      </c>
      <c r="W45" s="8">
        <f>595517+26170+126960</f>
        <v>748647</v>
      </c>
      <c r="Y45" s="3">
        <f t="shared" si="0"/>
        <v>84668172</v>
      </c>
      <c r="AA45" s="8">
        <v>0</v>
      </c>
      <c r="AE45" s="8">
        <v>0</v>
      </c>
      <c r="AG45" s="8">
        <v>0</v>
      </c>
      <c r="AI45" s="8">
        <v>0</v>
      </c>
      <c r="AK45" s="8">
        <f t="shared" si="1"/>
        <v>0</v>
      </c>
      <c r="AM45" s="8">
        <f t="shared" si="2"/>
        <v>84668172</v>
      </c>
    </row>
    <row r="46" spans="1:39">
      <c r="A46" s="13" t="s">
        <v>381</v>
      </c>
      <c r="B46" s="13"/>
      <c r="C46" s="13" t="s">
        <v>30</v>
      </c>
      <c r="D46" s="13"/>
      <c r="E46" s="32">
        <v>47167</v>
      </c>
      <c r="G46" s="8">
        <v>4204133</v>
      </c>
      <c r="I46" s="8">
        <v>1605512</v>
      </c>
      <c r="K46" s="8">
        <v>4237285</v>
      </c>
      <c r="M46" s="8">
        <v>124954</v>
      </c>
      <c r="O46" s="8">
        <v>174242</v>
      </c>
      <c r="Q46" s="8">
        <v>145668</v>
      </c>
      <c r="S46" s="8">
        <v>0</v>
      </c>
      <c r="U46" s="8">
        <v>4100</v>
      </c>
      <c r="W46" s="8">
        <f>308+5314+9358</f>
        <v>14980</v>
      </c>
      <c r="Y46" s="3">
        <f t="shared" si="0"/>
        <v>10510874</v>
      </c>
      <c r="AA46" s="8">
        <v>0</v>
      </c>
      <c r="AE46" s="8">
        <v>0</v>
      </c>
      <c r="AG46" s="8">
        <v>0</v>
      </c>
      <c r="AI46" s="8">
        <v>0</v>
      </c>
      <c r="AK46" s="8">
        <f t="shared" si="1"/>
        <v>0</v>
      </c>
      <c r="AM46" s="8">
        <f t="shared" si="2"/>
        <v>10510874</v>
      </c>
    </row>
    <row r="47" spans="1:39">
      <c r="A47" s="13" t="s">
        <v>340</v>
      </c>
      <c r="B47" s="13"/>
      <c r="C47" s="13" t="s">
        <v>24</v>
      </c>
      <c r="D47" s="13"/>
      <c r="E47" s="32">
        <v>46789</v>
      </c>
      <c r="G47" s="8">
        <v>6184825</v>
      </c>
      <c r="I47" s="8">
        <v>0</v>
      </c>
      <c r="K47" s="8">
        <v>7490416</v>
      </c>
      <c r="M47" s="8">
        <v>229536</v>
      </c>
      <c r="O47" s="8">
        <f>248360+41429</f>
        <v>289789</v>
      </c>
      <c r="Q47" s="8">
        <v>0</v>
      </c>
      <c r="S47" s="8">
        <v>0</v>
      </c>
      <c r="U47" s="8">
        <v>0</v>
      </c>
      <c r="W47" s="8">
        <v>71145</v>
      </c>
      <c r="Y47" s="3">
        <f t="shared" si="0"/>
        <v>14265711</v>
      </c>
      <c r="AA47" s="8">
        <v>0</v>
      </c>
      <c r="AE47" s="8">
        <v>0</v>
      </c>
      <c r="AG47" s="8">
        <v>735</v>
      </c>
      <c r="AI47" s="8">
        <v>0</v>
      </c>
      <c r="AK47" s="8">
        <f t="shared" si="1"/>
        <v>735</v>
      </c>
      <c r="AM47" s="8">
        <f t="shared" si="2"/>
        <v>14266446</v>
      </c>
    </row>
    <row r="48" spans="1:39">
      <c r="A48" s="13" t="s">
        <v>348</v>
      </c>
      <c r="B48" s="13"/>
      <c r="C48" s="13" t="s">
        <v>25</v>
      </c>
      <c r="D48" s="13"/>
      <c r="E48" s="32">
        <v>46854</v>
      </c>
      <c r="G48" s="8">
        <v>2649714</v>
      </c>
      <c r="I48" s="8">
        <v>857583</v>
      </c>
      <c r="K48" s="8">
        <v>3911412</v>
      </c>
      <c r="M48" s="8">
        <v>128049</v>
      </c>
      <c r="O48" s="8">
        <v>725451</v>
      </c>
      <c r="Q48" s="8">
        <v>44900</v>
      </c>
      <c r="S48" s="8">
        <v>0</v>
      </c>
      <c r="U48" s="8">
        <v>0</v>
      </c>
      <c r="W48" s="8">
        <v>9386</v>
      </c>
      <c r="Y48" s="3">
        <f t="shared" si="0"/>
        <v>8326495</v>
      </c>
      <c r="AA48" s="8">
        <v>0</v>
      </c>
      <c r="AE48" s="8">
        <f>1055000+158922</f>
        <v>1213922</v>
      </c>
      <c r="AG48" s="8">
        <v>0</v>
      </c>
      <c r="AI48" s="8">
        <v>0</v>
      </c>
      <c r="AK48" s="8">
        <f t="shared" si="1"/>
        <v>1213922</v>
      </c>
      <c r="AM48" s="8">
        <f t="shared" si="2"/>
        <v>9540417</v>
      </c>
    </row>
    <row r="49" spans="1:40">
      <c r="A49" s="13" t="s">
        <v>543</v>
      </c>
      <c r="B49" s="13"/>
      <c r="C49" s="13" t="s">
        <v>48</v>
      </c>
      <c r="D49" s="13"/>
      <c r="E49" s="32">
        <v>48611</v>
      </c>
      <c r="G49" s="8">
        <v>3284801</v>
      </c>
      <c r="I49" s="8">
        <v>0</v>
      </c>
      <c r="K49" s="8">
        <v>3295120</v>
      </c>
      <c r="M49" s="8">
        <v>141204</v>
      </c>
      <c r="O49" s="8">
        <v>294867</v>
      </c>
      <c r="Q49" s="8">
        <v>192</v>
      </c>
      <c r="S49" s="8">
        <v>0</v>
      </c>
      <c r="U49" s="8">
        <v>0</v>
      </c>
      <c r="W49" s="8">
        <v>32614</v>
      </c>
      <c r="Y49" s="3">
        <f t="shared" si="0"/>
        <v>7048798</v>
      </c>
      <c r="AA49" s="8">
        <v>0</v>
      </c>
      <c r="AE49" s="8">
        <v>0</v>
      </c>
      <c r="AG49" s="8">
        <v>0</v>
      </c>
      <c r="AI49" s="8">
        <v>0</v>
      </c>
      <c r="AK49" s="8">
        <f t="shared" si="1"/>
        <v>0</v>
      </c>
      <c r="AM49" s="8">
        <f t="shared" si="2"/>
        <v>7048798</v>
      </c>
    </row>
    <row r="50" spans="1:40">
      <c r="A50" s="13" t="s">
        <v>271</v>
      </c>
      <c r="B50" s="13"/>
      <c r="C50" s="13" t="s">
        <v>116</v>
      </c>
      <c r="D50" s="13"/>
      <c r="E50" s="32">
        <v>46318</v>
      </c>
      <c r="F50" s="11"/>
      <c r="G50" s="8">
        <v>2817649</v>
      </c>
      <c r="I50" s="8">
        <v>0</v>
      </c>
      <c r="K50" s="8">
        <v>9968588</v>
      </c>
      <c r="M50" s="8">
        <v>192557</v>
      </c>
      <c r="O50" s="8">
        <v>959665</v>
      </c>
      <c r="Q50" s="8">
        <v>0</v>
      </c>
      <c r="S50" s="8">
        <v>0</v>
      </c>
      <c r="U50" s="8">
        <v>0</v>
      </c>
      <c r="W50" s="8">
        <f>6440+35119</f>
        <v>41559</v>
      </c>
      <c r="Y50" s="3">
        <f t="shared" si="0"/>
        <v>13980018</v>
      </c>
      <c r="AA50" s="8">
        <v>0</v>
      </c>
      <c r="AE50" s="8">
        <v>222118</v>
      </c>
      <c r="AG50" s="8">
        <v>8950</v>
      </c>
      <c r="AI50" s="8">
        <v>0</v>
      </c>
      <c r="AK50" s="8">
        <f t="shared" si="1"/>
        <v>231068</v>
      </c>
      <c r="AM50" s="8">
        <f t="shared" si="2"/>
        <v>14211086</v>
      </c>
    </row>
    <row r="51" spans="1:40" hidden="1">
      <c r="A51" s="13" t="s">
        <v>640</v>
      </c>
      <c r="B51" s="13"/>
      <c r="C51" s="13" t="s">
        <v>60</v>
      </c>
      <c r="D51" s="13"/>
      <c r="E51" s="32">
        <v>49692</v>
      </c>
      <c r="G51" s="8">
        <v>0</v>
      </c>
      <c r="I51" s="8">
        <v>0</v>
      </c>
      <c r="K51" s="8">
        <v>0</v>
      </c>
      <c r="M51" s="8">
        <v>0</v>
      </c>
      <c r="O51" s="8">
        <v>0</v>
      </c>
      <c r="Q51" s="8">
        <v>0</v>
      </c>
      <c r="S51" s="8">
        <v>0</v>
      </c>
      <c r="U51" s="8">
        <v>0</v>
      </c>
      <c r="W51" s="8">
        <v>0</v>
      </c>
      <c r="Y51" s="3">
        <f t="shared" si="0"/>
        <v>0</v>
      </c>
      <c r="AA51" s="8">
        <v>0</v>
      </c>
      <c r="AE51" s="8">
        <v>0</v>
      </c>
      <c r="AG51" s="8">
        <v>0</v>
      </c>
      <c r="AK51" s="8">
        <f t="shared" si="1"/>
        <v>0</v>
      </c>
      <c r="AM51" s="8">
        <f t="shared" si="2"/>
        <v>0</v>
      </c>
    </row>
    <row r="52" spans="1:40">
      <c r="A52" s="13" t="s">
        <v>356</v>
      </c>
      <c r="B52" s="13"/>
      <c r="C52" s="13" t="s">
        <v>27</v>
      </c>
      <c r="D52" s="13"/>
      <c r="E52" s="32">
        <v>43620</v>
      </c>
      <c r="G52" s="8">
        <v>16085448</v>
      </c>
      <c r="I52" s="8">
        <v>6624746</v>
      </c>
      <c r="K52" s="8">
        <f>61451+6745140+14658</f>
        <v>6821249</v>
      </c>
      <c r="M52" s="8">
        <v>886760</v>
      </c>
      <c r="O52" s="8">
        <v>48743</v>
      </c>
      <c r="Q52" s="8">
        <v>0</v>
      </c>
      <c r="S52" s="8">
        <v>0</v>
      </c>
      <c r="U52" s="8">
        <v>0</v>
      </c>
      <c r="W52" s="8">
        <v>148995</v>
      </c>
      <c r="Y52" s="3">
        <f t="shared" si="0"/>
        <v>30615941</v>
      </c>
      <c r="AA52" s="8">
        <v>0</v>
      </c>
      <c r="AE52" s="8">
        <v>0</v>
      </c>
      <c r="AG52" s="8">
        <v>43926</v>
      </c>
      <c r="AI52" s="8">
        <v>0</v>
      </c>
      <c r="AK52" s="8">
        <f t="shared" si="1"/>
        <v>43926</v>
      </c>
      <c r="AM52" s="8">
        <f t="shared" si="2"/>
        <v>30659867</v>
      </c>
    </row>
    <row r="53" spans="1:40">
      <c r="A53" s="13" t="s">
        <v>336</v>
      </c>
      <c r="B53" s="13"/>
      <c r="C53" s="13" t="s">
        <v>23</v>
      </c>
      <c r="D53" s="13"/>
      <c r="E53" s="32">
        <v>46748</v>
      </c>
      <c r="G53" s="8">
        <v>12241359</v>
      </c>
      <c r="I53" s="8">
        <v>4454107</v>
      </c>
      <c r="K53" s="8">
        <v>6920368</v>
      </c>
      <c r="M53" s="8">
        <v>84923</v>
      </c>
      <c r="O53" s="8">
        <v>224087</v>
      </c>
      <c r="Q53" s="8">
        <v>1166</v>
      </c>
      <c r="S53" s="8">
        <v>21099</v>
      </c>
      <c r="U53" s="8">
        <v>4050</v>
      </c>
      <c r="W53" s="8">
        <f>77625+3420</f>
        <v>81045</v>
      </c>
      <c r="Y53" s="3">
        <f t="shared" si="0"/>
        <v>24032204</v>
      </c>
      <c r="AA53" s="8">
        <v>274</v>
      </c>
      <c r="AE53" s="8">
        <v>129090</v>
      </c>
      <c r="AG53" s="8">
        <v>0</v>
      </c>
      <c r="AI53" s="8">
        <v>0</v>
      </c>
      <c r="AK53" s="8">
        <f t="shared" si="1"/>
        <v>129364</v>
      </c>
      <c r="AM53" s="8">
        <f t="shared" si="2"/>
        <v>24161568</v>
      </c>
    </row>
    <row r="54" spans="1:40">
      <c r="A54" s="13" t="s">
        <v>531</v>
      </c>
      <c r="B54" s="13"/>
      <c r="C54" s="13" t="s">
        <v>47</v>
      </c>
      <c r="D54" s="13"/>
      <c r="E54" s="32">
        <v>48462</v>
      </c>
      <c r="G54" s="8">
        <v>3135572</v>
      </c>
      <c r="I54" s="8">
        <v>0</v>
      </c>
      <c r="K54" s="8">
        <v>8181128</v>
      </c>
      <c r="M54" s="8">
        <v>241332</v>
      </c>
      <c r="O54" s="8">
        <f>150880+116180</f>
        <v>267060</v>
      </c>
      <c r="Q54" s="8">
        <v>0</v>
      </c>
      <c r="S54" s="8">
        <v>0</v>
      </c>
      <c r="U54" s="8">
        <v>0</v>
      </c>
      <c r="W54" s="8">
        <f>60894</f>
        <v>60894</v>
      </c>
      <c r="Y54" s="3">
        <f t="shared" si="0"/>
        <v>11885986</v>
      </c>
      <c r="AA54" s="8">
        <v>0</v>
      </c>
      <c r="AE54" s="8">
        <v>63036</v>
      </c>
      <c r="AG54" s="8">
        <v>0</v>
      </c>
      <c r="AI54" s="8">
        <v>0</v>
      </c>
      <c r="AK54" s="8">
        <f t="shared" si="1"/>
        <v>63036</v>
      </c>
      <c r="AM54" s="8">
        <f t="shared" si="2"/>
        <v>11949022</v>
      </c>
    </row>
    <row r="55" spans="1:40">
      <c r="A55" s="13" t="s">
        <v>278</v>
      </c>
      <c r="B55" s="13"/>
      <c r="C55" s="13" t="s">
        <v>18</v>
      </c>
      <c r="D55" s="13"/>
      <c r="E55" s="32">
        <v>46383</v>
      </c>
      <c r="F55" s="11"/>
      <c r="G55" s="8">
        <v>2780807</v>
      </c>
      <c r="I55" s="8">
        <v>0</v>
      </c>
      <c r="K55" s="8">
        <v>9076443</v>
      </c>
      <c r="M55" s="8">
        <v>145691</v>
      </c>
      <c r="O55" s="8">
        <v>836562</v>
      </c>
      <c r="Q55" s="8">
        <v>0</v>
      </c>
      <c r="S55" s="8">
        <v>0</v>
      </c>
      <c r="U55" s="8">
        <v>0</v>
      </c>
      <c r="W55" s="8">
        <v>50312</v>
      </c>
      <c r="Y55" s="3">
        <f t="shared" si="0"/>
        <v>12889815</v>
      </c>
      <c r="AA55" s="8">
        <v>0</v>
      </c>
      <c r="AE55" s="8">
        <v>0</v>
      </c>
      <c r="AG55" s="8">
        <v>0</v>
      </c>
      <c r="AI55" s="8">
        <v>0</v>
      </c>
      <c r="AK55" s="8">
        <f t="shared" si="1"/>
        <v>0</v>
      </c>
      <c r="AM55" s="8">
        <f t="shared" si="2"/>
        <v>12889815</v>
      </c>
    </row>
    <row r="56" spans="1:40">
      <c r="A56" s="13" t="s">
        <v>349</v>
      </c>
      <c r="B56" s="13"/>
      <c r="C56" s="13" t="s">
        <v>25</v>
      </c>
      <c r="D56" s="13"/>
      <c r="E56" s="32">
        <v>46862</v>
      </c>
      <c r="G56" s="8">
        <v>5470615</v>
      </c>
      <c r="I56" s="8">
        <v>3492070</v>
      </c>
      <c r="K56" s="8">
        <v>4203770</v>
      </c>
      <c r="M56" s="8">
        <v>103571</v>
      </c>
      <c r="O56" s="8">
        <v>672834</v>
      </c>
      <c r="Q56" s="8">
        <v>0</v>
      </c>
      <c r="S56" s="8">
        <v>0</v>
      </c>
      <c r="U56" s="8">
        <v>0</v>
      </c>
      <c r="W56" s="8">
        <f>4566+27885</f>
        <v>32451</v>
      </c>
      <c r="Y56" s="3">
        <f t="shared" si="0"/>
        <v>13975311</v>
      </c>
      <c r="AA56" s="8">
        <v>0</v>
      </c>
      <c r="AE56" s="8">
        <v>0</v>
      </c>
      <c r="AG56" s="8">
        <f>500+3251</f>
        <v>3751</v>
      </c>
      <c r="AI56" s="8">
        <v>0</v>
      </c>
      <c r="AK56" s="8">
        <f t="shared" si="1"/>
        <v>3751</v>
      </c>
      <c r="AM56" s="8">
        <f t="shared" si="2"/>
        <v>13979062</v>
      </c>
    </row>
    <row r="57" spans="1:40">
      <c r="A57" s="13" t="s">
        <v>680</v>
      </c>
      <c r="B57" s="13"/>
      <c r="C57" s="13" t="s">
        <v>64</v>
      </c>
      <c r="D57" s="13"/>
      <c r="E57" s="32">
        <v>50096</v>
      </c>
      <c r="G57" s="8">
        <v>963486</v>
      </c>
      <c r="I57" s="8">
        <v>0</v>
      </c>
      <c r="K57" s="8">
        <v>1647327</v>
      </c>
      <c r="M57" s="8">
        <v>34162</v>
      </c>
      <c r="O57" s="8">
        <f>167641+4845</f>
        <v>172486</v>
      </c>
      <c r="Q57" s="8">
        <v>0</v>
      </c>
      <c r="S57" s="8">
        <v>0</v>
      </c>
      <c r="U57" s="8">
        <v>0</v>
      </c>
      <c r="W57" s="8">
        <v>22002</v>
      </c>
      <c r="Y57" s="3">
        <f t="shared" si="0"/>
        <v>2839463</v>
      </c>
      <c r="AA57" s="8">
        <v>0</v>
      </c>
      <c r="AE57" s="8">
        <v>0</v>
      </c>
      <c r="AG57" s="8">
        <v>1558</v>
      </c>
      <c r="AI57" s="8">
        <v>0</v>
      </c>
      <c r="AK57" s="8">
        <f t="shared" si="1"/>
        <v>1558</v>
      </c>
      <c r="AM57" s="8">
        <f t="shared" si="2"/>
        <v>2841021</v>
      </c>
    </row>
    <row r="58" spans="1:40" hidden="1">
      <c r="A58" s="12" t="s">
        <v>916</v>
      </c>
      <c r="B58" s="12"/>
      <c r="C58" s="12" t="s">
        <v>10</v>
      </c>
      <c r="D58" s="13"/>
      <c r="E58" s="32">
        <v>49593</v>
      </c>
      <c r="Y58" s="3">
        <f>SUM(G58:X58)</f>
        <v>0</v>
      </c>
      <c r="AK58" s="8">
        <f>SUM(AA58:AJ58)</f>
        <v>0</v>
      </c>
      <c r="AM58" s="8">
        <f>+AK58+Y58</f>
        <v>0</v>
      </c>
      <c r="AN58" s="10" t="s">
        <v>917</v>
      </c>
    </row>
    <row r="59" spans="1:40">
      <c r="A59" s="13" t="s">
        <v>631</v>
      </c>
      <c r="B59" s="13"/>
      <c r="C59" s="13" t="s">
        <v>59</v>
      </c>
      <c r="D59" s="13"/>
      <c r="E59" s="32">
        <v>49593</v>
      </c>
      <c r="G59" s="8">
        <v>964708</v>
      </c>
      <c r="I59" s="8">
        <v>0</v>
      </c>
      <c r="K59" s="8">
        <v>5827000</v>
      </c>
      <c r="M59" s="8">
        <v>27773</v>
      </c>
      <c r="O59" s="8">
        <v>758564</v>
      </c>
      <c r="Q59" s="8">
        <v>0</v>
      </c>
      <c r="S59" s="8">
        <v>0</v>
      </c>
      <c r="U59" s="8">
        <v>4700</v>
      </c>
      <c r="W59" s="8">
        <f>1100+88711</f>
        <v>89811</v>
      </c>
      <c r="Y59" s="3">
        <f t="shared" si="0"/>
        <v>7672556</v>
      </c>
      <c r="AA59" s="8">
        <v>7323</v>
      </c>
      <c r="AE59" s="8">
        <v>0</v>
      </c>
      <c r="AG59" s="8">
        <v>0</v>
      </c>
      <c r="AI59" s="8">
        <v>0</v>
      </c>
      <c r="AK59" s="8">
        <f t="shared" si="1"/>
        <v>7323</v>
      </c>
      <c r="AM59" s="8">
        <f t="shared" si="2"/>
        <v>7679879</v>
      </c>
    </row>
    <row r="60" spans="1:40">
      <c r="A60" s="13" t="s">
        <v>515</v>
      </c>
      <c r="B60" s="13"/>
      <c r="C60" s="13" t="s">
        <v>45</v>
      </c>
      <c r="D60" s="13"/>
      <c r="E60" s="32">
        <v>48306</v>
      </c>
      <c r="G60" s="8">
        <v>28574272</v>
      </c>
      <c r="I60" s="8">
        <v>0</v>
      </c>
      <c r="K60" s="8">
        <v>11704831</v>
      </c>
      <c r="M60" s="8">
        <v>684924</v>
      </c>
      <c r="O60" s="8">
        <v>382834</v>
      </c>
      <c r="Q60" s="8">
        <v>37715</v>
      </c>
      <c r="S60" s="8">
        <v>0</v>
      </c>
      <c r="U60" s="8">
        <v>150</v>
      </c>
      <c r="W60" s="8">
        <f>18334+206317</f>
        <v>224651</v>
      </c>
      <c r="Y60" s="3">
        <f t="shared" si="0"/>
        <v>41609377</v>
      </c>
      <c r="AA60" s="8">
        <v>0</v>
      </c>
      <c r="AE60" s="8">
        <v>0</v>
      </c>
      <c r="AG60" s="8">
        <v>0</v>
      </c>
      <c r="AI60" s="8">
        <v>0</v>
      </c>
      <c r="AK60" s="8">
        <f t="shared" si="1"/>
        <v>0</v>
      </c>
      <c r="AM60" s="8">
        <f t="shared" si="2"/>
        <v>41609377</v>
      </c>
    </row>
    <row r="61" spans="1:40">
      <c r="A61" s="13" t="s">
        <v>647</v>
      </c>
      <c r="B61" s="13"/>
      <c r="C61" s="13" t="s">
        <v>61</v>
      </c>
      <c r="D61" s="13"/>
      <c r="E61" s="32">
        <v>49767</v>
      </c>
      <c r="G61" s="8">
        <v>923405</v>
      </c>
      <c r="I61" s="8">
        <v>0</v>
      </c>
      <c r="K61" s="8">
        <v>2492563</v>
      </c>
      <c r="M61" s="8">
        <v>74687</v>
      </c>
      <c r="O61" s="8">
        <v>581978</v>
      </c>
      <c r="Q61" s="8">
        <v>0</v>
      </c>
      <c r="S61" s="8">
        <v>0</v>
      </c>
      <c r="U61" s="8">
        <v>1633</v>
      </c>
      <c r="W61" s="8">
        <f>6201+21560</f>
        <v>27761</v>
      </c>
      <c r="Y61" s="3">
        <f t="shared" si="0"/>
        <v>4102027</v>
      </c>
      <c r="AA61" s="8">
        <v>0</v>
      </c>
      <c r="AE61" s="8">
        <v>0</v>
      </c>
      <c r="AG61" s="8">
        <v>1624</v>
      </c>
      <c r="AI61" s="8">
        <v>0</v>
      </c>
      <c r="AK61" s="8">
        <f t="shared" si="1"/>
        <v>1624</v>
      </c>
      <c r="AM61" s="8">
        <f t="shared" si="2"/>
        <v>4103651</v>
      </c>
    </row>
    <row r="62" spans="1:40">
      <c r="A62" s="13" t="s">
        <v>739</v>
      </c>
      <c r="B62" s="13"/>
      <c r="C62" s="13" t="s">
        <v>72</v>
      </c>
      <c r="D62" s="13"/>
      <c r="E62" s="32">
        <v>43638</v>
      </c>
      <c r="G62" s="8">
        <v>18373271</v>
      </c>
      <c r="I62" s="8">
        <v>0</v>
      </c>
      <c r="K62" s="8">
        <v>10145515</v>
      </c>
      <c r="M62" s="8">
        <v>738388</v>
      </c>
      <c r="O62" s="8">
        <v>529999</v>
      </c>
      <c r="Q62" s="8">
        <v>0</v>
      </c>
      <c r="S62" s="8">
        <v>0</v>
      </c>
      <c r="U62" s="8">
        <v>0</v>
      </c>
      <c r="W62" s="8">
        <f>32899+8555</f>
        <v>41454</v>
      </c>
      <c r="Y62" s="3">
        <f t="shared" si="0"/>
        <v>29828627</v>
      </c>
      <c r="AA62" s="8">
        <v>0</v>
      </c>
      <c r="AE62" s="8">
        <v>113</v>
      </c>
      <c r="AG62" s="8">
        <v>22655</v>
      </c>
      <c r="AI62" s="8">
        <v>0</v>
      </c>
      <c r="AK62" s="8">
        <f t="shared" si="1"/>
        <v>22768</v>
      </c>
      <c r="AM62" s="8">
        <f t="shared" si="2"/>
        <v>29851395</v>
      </c>
    </row>
    <row r="63" spans="1:40" hidden="1">
      <c r="A63" s="13" t="s">
        <v>922</v>
      </c>
      <c r="B63" s="13"/>
      <c r="C63" s="13" t="s">
        <v>48</v>
      </c>
      <c r="D63" s="13"/>
      <c r="E63" s="32">
        <v>43646</v>
      </c>
      <c r="Y63" s="3">
        <f>SUM(G63:X63)</f>
        <v>0</v>
      </c>
      <c r="AK63" s="8">
        <f>SUM(AA63:AJ63)</f>
        <v>0</v>
      </c>
      <c r="AM63" s="8">
        <f>+AK63+Y63</f>
        <v>0</v>
      </c>
    </row>
    <row r="64" spans="1:40">
      <c r="A64" s="12" t="s">
        <v>984</v>
      </c>
      <c r="B64" s="13"/>
      <c r="C64" s="13" t="s">
        <v>20</v>
      </c>
      <c r="D64" s="13"/>
      <c r="E64" s="32">
        <v>43646</v>
      </c>
      <c r="G64" s="8">
        <v>37363456</v>
      </c>
      <c r="I64" s="8">
        <v>0</v>
      </c>
      <c r="K64" s="8">
        <v>11724868</v>
      </c>
      <c r="M64" s="8">
        <v>1065086</v>
      </c>
      <c r="O64" s="8">
        <v>113186</v>
      </c>
      <c r="Q64" s="8">
        <v>455171</v>
      </c>
      <c r="S64" s="8">
        <v>28250</v>
      </c>
      <c r="U64" s="8">
        <v>36753</v>
      </c>
      <c r="W64" s="8">
        <f>149873+34442+42154</f>
        <v>226469</v>
      </c>
      <c r="Y64" s="3">
        <f t="shared" si="0"/>
        <v>51013239</v>
      </c>
      <c r="AA64" s="8">
        <v>0</v>
      </c>
      <c r="AE64" s="8">
        <v>0</v>
      </c>
      <c r="AG64" s="8">
        <v>250</v>
      </c>
      <c r="AI64" s="8">
        <v>0</v>
      </c>
      <c r="AK64" s="8">
        <f t="shared" si="1"/>
        <v>250</v>
      </c>
      <c r="AM64" s="8">
        <f t="shared" si="2"/>
        <v>51013489</v>
      </c>
    </row>
    <row r="65" spans="1:40">
      <c r="A65" s="13" t="s">
        <v>235</v>
      </c>
      <c r="B65" s="13"/>
      <c r="C65" s="13" t="s">
        <v>15</v>
      </c>
      <c r="D65" s="13"/>
      <c r="E65" s="32">
        <v>45237</v>
      </c>
      <c r="F65" s="11"/>
      <c r="G65" s="8">
        <v>1478372</v>
      </c>
      <c r="I65" s="8">
        <v>0</v>
      </c>
      <c r="K65" s="8">
        <f>4228932+5064</f>
        <v>4233996</v>
      </c>
      <c r="M65" s="8">
        <v>10193</v>
      </c>
      <c r="O65" s="8">
        <f>262108+12603</f>
        <v>274711</v>
      </c>
      <c r="Q65" s="8">
        <v>0</v>
      </c>
      <c r="S65" s="8">
        <v>0</v>
      </c>
      <c r="U65" s="8">
        <v>0</v>
      </c>
      <c r="W65" s="8">
        <v>9997</v>
      </c>
      <c r="Y65" s="3">
        <f t="shared" si="0"/>
        <v>6007269</v>
      </c>
      <c r="AA65" s="8">
        <v>0</v>
      </c>
      <c r="AE65" s="8">
        <v>0</v>
      </c>
      <c r="AG65" s="8">
        <v>0</v>
      </c>
      <c r="AI65" s="8">
        <v>0</v>
      </c>
      <c r="AK65" s="8">
        <f t="shared" si="1"/>
        <v>0</v>
      </c>
      <c r="AM65" s="8">
        <f t="shared" si="2"/>
        <v>6007269</v>
      </c>
    </row>
    <row r="66" spans="1:40">
      <c r="A66" s="13" t="s">
        <v>439</v>
      </c>
      <c r="B66" s="13"/>
      <c r="C66" s="13" t="s">
        <v>440</v>
      </c>
      <c r="D66" s="13"/>
      <c r="E66" s="32">
        <v>47613</v>
      </c>
      <c r="G66" s="8">
        <v>1268951</v>
      </c>
      <c r="I66" s="8">
        <v>0</v>
      </c>
      <c r="K66" s="8">
        <v>5015962</v>
      </c>
      <c r="M66" s="8">
        <v>116611</v>
      </c>
      <c r="O66" s="8">
        <v>342005</v>
      </c>
      <c r="Q66" s="8">
        <v>0</v>
      </c>
      <c r="S66" s="8">
        <v>0</v>
      </c>
      <c r="U66" s="8">
        <v>0</v>
      </c>
      <c r="W66" s="8">
        <f>6712+8160</f>
        <v>14872</v>
      </c>
      <c r="Y66" s="3">
        <f t="shared" si="0"/>
        <v>6758401</v>
      </c>
      <c r="AA66" s="8">
        <v>0</v>
      </c>
      <c r="AE66" s="8">
        <v>0</v>
      </c>
      <c r="AG66" s="8">
        <v>2654</v>
      </c>
      <c r="AI66" s="8">
        <v>0</v>
      </c>
      <c r="AK66" s="8">
        <f t="shared" si="1"/>
        <v>2654</v>
      </c>
      <c r="AM66" s="8">
        <f t="shared" si="2"/>
        <v>6761055</v>
      </c>
    </row>
    <row r="67" spans="1:40">
      <c r="A67" s="13" t="s">
        <v>681</v>
      </c>
      <c r="B67" s="13"/>
      <c r="C67" s="13" t="s">
        <v>64</v>
      </c>
      <c r="D67" s="13"/>
      <c r="E67" s="32">
        <v>50112</v>
      </c>
      <c r="G67" s="8">
        <v>1599387</v>
      </c>
      <c r="I67" s="8">
        <v>0</v>
      </c>
      <c r="K67" s="8">
        <v>3803171</v>
      </c>
      <c r="M67" s="8">
        <v>78225</v>
      </c>
      <c r="O67" s="8">
        <f>220701+0</f>
        <v>220701</v>
      </c>
      <c r="Q67" s="8">
        <v>0</v>
      </c>
      <c r="S67" s="8">
        <v>0</v>
      </c>
      <c r="U67" s="8">
        <v>0</v>
      </c>
      <c r="W67" s="8">
        <v>518036</v>
      </c>
      <c r="Y67" s="3">
        <f t="shared" si="0"/>
        <v>6219520</v>
      </c>
      <c r="AA67" s="8">
        <v>0</v>
      </c>
      <c r="AE67" s="8">
        <v>0</v>
      </c>
      <c r="AG67" s="8">
        <v>0</v>
      </c>
      <c r="AI67" s="8">
        <v>0</v>
      </c>
      <c r="AK67" s="8">
        <f t="shared" si="1"/>
        <v>0</v>
      </c>
      <c r="AM67" s="8">
        <f t="shared" si="2"/>
        <v>6219520</v>
      </c>
    </row>
    <row r="68" spans="1:40">
      <c r="A68" s="13" t="s">
        <v>682</v>
      </c>
      <c r="B68" s="13"/>
      <c r="C68" s="13" t="s">
        <v>64</v>
      </c>
      <c r="D68" s="13"/>
      <c r="E68" s="32">
        <v>50120</v>
      </c>
      <c r="G68" s="8">
        <v>2936331</v>
      </c>
      <c r="I68" s="8">
        <v>0</v>
      </c>
      <c r="K68" s="8">
        <f>6294390+52863</f>
        <v>6347253</v>
      </c>
      <c r="M68" s="8">
        <v>26031</v>
      </c>
      <c r="O68" s="8">
        <f>195873+8255+39</f>
        <v>204167</v>
      </c>
      <c r="Q68" s="8">
        <v>0</v>
      </c>
      <c r="S68" s="8">
        <v>0</v>
      </c>
      <c r="U68" s="8">
        <v>0</v>
      </c>
      <c r="W68" s="8">
        <v>89993</v>
      </c>
      <c r="Y68" s="3">
        <f t="shared" si="0"/>
        <v>9603775</v>
      </c>
      <c r="AA68" s="8">
        <v>0</v>
      </c>
      <c r="AE68" s="8">
        <v>0</v>
      </c>
      <c r="AG68" s="8">
        <v>0</v>
      </c>
      <c r="AI68" s="8">
        <v>0</v>
      </c>
      <c r="AK68" s="8">
        <f t="shared" si="1"/>
        <v>0</v>
      </c>
      <c r="AM68" s="8">
        <f t="shared" si="2"/>
        <v>9603775</v>
      </c>
    </row>
    <row r="69" spans="1:40">
      <c r="A69" s="13" t="s">
        <v>305</v>
      </c>
      <c r="B69" s="13"/>
      <c r="C69" s="13" t="s">
        <v>20</v>
      </c>
      <c r="D69" s="13"/>
      <c r="E69" s="32">
        <v>43653</v>
      </c>
      <c r="G69" s="8">
        <v>10483103</v>
      </c>
      <c r="I69" s="8">
        <v>0</v>
      </c>
      <c r="K69" s="8">
        <v>3332222</v>
      </c>
      <c r="M69" s="8">
        <v>100176</v>
      </c>
      <c r="O69" s="8">
        <v>213059</v>
      </c>
      <c r="Q69" s="8">
        <v>0</v>
      </c>
      <c r="S69" s="8">
        <v>0</v>
      </c>
      <c r="U69" s="8">
        <v>0</v>
      </c>
      <c r="W69" s="8">
        <f>2520+93585</f>
        <v>96105</v>
      </c>
      <c r="Y69" s="3">
        <f t="shared" si="0"/>
        <v>14224665</v>
      </c>
      <c r="AA69" s="8">
        <v>27572</v>
      </c>
      <c r="AE69" s="8">
        <v>0</v>
      </c>
      <c r="AG69" s="8">
        <v>0</v>
      </c>
      <c r="AI69" s="8">
        <v>0</v>
      </c>
      <c r="AK69" s="8">
        <f t="shared" si="1"/>
        <v>27572</v>
      </c>
      <c r="AM69" s="8">
        <f t="shared" si="2"/>
        <v>14252237</v>
      </c>
    </row>
    <row r="70" spans="1:40">
      <c r="A70" s="13" t="s">
        <v>552</v>
      </c>
      <c r="B70" s="13"/>
      <c r="C70" s="13" t="s">
        <v>50</v>
      </c>
      <c r="D70" s="13"/>
      <c r="E70" s="32">
        <v>48678</v>
      </c>
      <c r="G70" s="8">
        <v>4903192</v>
      </c>
      <c r="I70" s="8">
        <v>0</v>
      </c>
      <c r="K70" s="8">
        <v>6084929</v>
      </c>
      <c r="M70" s="8">
        <v>0</v>
      </c>
      <c r="O70" s="8">
        <v>219080</v>
      </c>
      <c r="Q70" s="8">
        <v>151381</v>
      </c>
      <c r="S70" s="8">
        <v>0</v>
      </c>
      <c r="U70" s="8">
        <v>0</v>
      </c>
      <c r="W70" s="8">
        <f>70768+0</f>
        <v>70768</v>
      </c>
      <c r="Y70" s="3">
        <f t="shared" si="0"/>
        <v>11429350</v>
      </c>
      <c r="AA70" s="8">
        <v>0</v>
      </c>
      <c r="AE70" s="8">
        <v>0</v>
      </c>
      <c r="AG70" s="8">
        <v>1786</v>
      </c>
      <c r="AI70" s="8">
        <v>0</v>
      </c>
      <c r="AK70" s="8">
        <f t="shared" si="1"/>
        <v>1786</v>
      </c>
      <c r="AM70" s="8">
        <f t="shared" si="2"/>
        <v>11431136</v>
      </c>
    </row>
    <row r="71" spans="1:40">
      <c r="A71" s="13" t="s">
        <v>256</v>
      </c>
      <c r="B71" s="13"/>
      <c r="C71" s="13" t="s">
        <v>16</v>
      </c>
      <c r="D71" s="13"/>
      <c r="E71" s="32">
        <v>46177</v>
      </c>
      <c r="F71" s="11"/>
      <c r="G71" s="8">
        <v>4193914</v>
      </c>
      <c r="I71" s="8">
        <v>0</v>
      </c>
      <c r="K71" s="8">
        <v>3015502</v>
      </c>
      <c r="M71" s="8">
        <v>91879</v>
      </c>
      <c r="O71" s="8">
        <f>273930+4925</f>
        <v>278855</v>
      </c>
      <c r="Q71" s="8">
        <v>0</v>
      </c>
      <c r="S71" s="8">
        <v>68986</v>
      </c>
      <c r="U71" s="8">
        <v>0</v>
      </c>
      <c r="W71" s="8">
        <v>18289</v>
      </c>
      <c r="Y71" s="3">
        <f t="shared" si="0"/>
        <v>7667425</v>
      </c>
      <c r="AA71" s="8">
        <v>0</v>
      </c>
      <c r="AE71" s="8">
        <v>0</v>
      </c>
      <c r="AG71" s="8">
        <v>193</v>
      </c>
      <c r="AI71" s="8">
        <v>0</v>
      </c>
      <c r="AK71" s="8">
        <f t="shared" si="1"/>
        <v>193</v>
      </c>
      <c r="AM71" s="8">
        <f t="shared" si="2"/>
        <v>7667618</v>
      </c>
    </row>
    <row r="72" spans="1:40">
      <c r="A72" s="13" t="s">
        <v>532</v>
      </c>
      <c r="B72" s="13"/>
      <c r="C72" s="13" t="s">
        <v>47</v>
      </c>
      <c r="D72" s="13"/>
      <c r="E72" s="32">
        <v>43661</v>
      </c>
      <c r="G72" s="8">
        <v>26881073</v>
      </c>
      <c r="I72" s="8">
        <v>0</v>
      </c>
      <c r="K72" s="8">
        <v>27618447</v>
      </c>
      <c r="M72" s="8">
        <v>380159</v>
      </c>
      <c r="O72" s="8">
        <v>638830</v>
      </c>
      <c r="Q72" s="8">
        <v>150715</v>
      </c>
      <c r="S72" s="8">
        <v>0</v>
      </c>
      <c r="U72" s="8">
        <v>5500</v>
      </c>
      <c r="W72" s="8">
        <f>32801+307027</f>
        <v>339828</v>
      </c>
      <c r="Y72" s="3">
        <f t="shared" si="0"/>
        <v>56014552</v>
      </c>
      <c r="AA72" s="8">
        <v>0</v>
      </c>
      <c r="AE72" s="8">
        <v>2000000</v>
      </c>
      <c r="AG72" s="8">
        <v>0</v>
      </c>
      <c r="AI72" s="8">
        <v>0</v>
      </c>
      <c r="AK72" s="8">
        <f t="shared" si="1"/>
        <v>2000000</v>
      </c>
      <c r="AM72" s="8">
        <f t="shared" si="2"/>
        <v>58014552</v>
      </c>
    </row>
    <row r="73" spans="1:40" hidden="1">
      <c r="A73" s="13" t="s">
        <v>732</v>
      </c>
      <c r="B73" s="13"/>
      <c r="C73" s="13" t="s">
        <v>733</v>
      </c>
      <c r="D73" s="13"/>
      <c r="E73" s="32">
        <v>43679</v>
      </c>
      <c r="Y73" s="3">
        <f t="shared" si="0"/>
        <v>0</v>
      </c>
      <c r="AK73" s="8">
        <f t="shared" si="1"/>
        <v>0</v>
      </c>
      <c r="AM73" s="8">
        <f t="shared" si="2"/>
        <v>0</v>
      </c>
      <c r="AN73" s="8" t="s">
        <v>917</v>
      </c>
    </row>
    <row r="74" spans="1:40">
      <c r="A74" s="13" t="s">
        <v>294</v>
      </c>
      <c r="B74" s="13"/>
      <c r="C74" s="13" t="s">
        <v>114</v>
      </c>
      <c r="D74" s="13"/>
      <c r="E74" s="32">
        <v>46508</v>
      </c>
      <c r="F74" s="11"/>
      <c r="G74" s="8">
        <v>3217729</v>
      </c>
      <c r="I74" s="8">
        <v>0</v>
      </c>
      <c r="K74" s="8">
        <v>4777604</v>
      </c>
      <c r="M74" s="8">
        <v>105709</v>
      </c>
      <c r="O74" s="8">
        <f>200469+17092</f>
        <v>217561</v>
      </c>
      <c r="Q74" s="8">
        <v>0</v>
      </c>
      <c r="S74" s="8">
        <v>0</v>
      </c>
      <c r="U74" s="8">
        <v>0</v>
      </c>
      <c r="W74" s="8">
        <v>34037</v>
      </c>
      <c r="Y74" s="3">
        <f t="shared" si="0"/>
        <v>8352640</v>
      </c>
      <c r="AA74" s="8">
        <v>0</v>
      </c>
      <c r="AE74" s="8">
        <v>0</v>
      </c>
      <c r="AG74" s="8">
        <v>0</v>
      </c>
      <c r="AI74" s="8">
        <v>0</v>
      </c>
      <c r="AK74" s="8">
        <f t="shared" si="1"/>
        <v>0</v>
      </c>
      <c r="AM74" s="8">
        <f t="shared" si="2"/>
        <v>8352640</v>
      </c>
    </row>
    <row r="75" spans="1:40">
      <c r="A75" s="13" t="s">
        <v>219</v>
      </c>
      <c r="B75" s="13"/>
      <c r="C75" s="13" t="s">
        <v>12</v>
      </c>
      <c r="D75" s="13"/>
      <c r="E75" s="32">
        <v>45856</v>
      </c>
      <c r="F75" s="11"/>
      <c r="G75" s="8">
        <v>8220119</v>
      </c>
      <c r="I75" s="8">
        <v>0</v>
      </c>
      <c r="K75" s="8">
        <v>9052532</v>
      </c>
      <c r="M75" s="8">
        <v>220168</v>
      </c>
      <c r="O75" s="8">
        <v>1267171</v>
      </c>
      <c r="Q75" s="8">
        <v>0</v>
      </c>
      <c r="S75" s="8">
        <v>0</v>
      </c>
      <c r="U75" s="8">
        <v>0</v>
      </c>
      <c r="W75" s="8">
        <f>48461+4574</f>
        <v>53035</v>
      </c>
      <c r="Y75" s="3">
        <f t="shared" si="0"/>
        <v>18813025</v>
      </c>
      <c r="AA75" s="8">
        <v>72789</v>
      </c>
      <c r="AE75" s="8">
        <v>0</v>
      </c>
      <c r="AG75" s="8">
        <v>3453</v>
      </c>
      <c r="AI75" s="8">
        <v>0</v>
      </c>
      <c r="AK75" s="8">
        <f t="shared" si="1"/>
        <v>76242</v>
      </c>
      <c r="AM75" s="8">
        <f t="shared" si="2"/>
        <v>18889267</v>
      </c>
    </row>
    <row r="76" spans="1:40">
      <c r="A76" s="13" t="s">
        <v>219</v>
      </c>
      <c r="B76" s="13"/>
      <c r="C76" s="13" t="s">
        <v>39</v>
      </c>
      <c r="D76" s="13"/>
      <c r="E76" s="32">
        <v>47787</v>
      </c>
      <c r="G76" s="8">
        <v>5879095</v>
      </c>
      <c r="I76" s="8">
        <v>0</v>
      </c>
      <c r="K76" s="8">
        <v>10448122</v>
      </c>
      <c r="M76" s="8">
        <v>102519</v>
      </c>
      <c r="O76" s="8">
        <v>507430</v>
      </c>
      <c r="Q76" s="8">
        <v>0</v>
      </c>
      <c r="S76" s="8">
        <v>0</v>
      </c>
      <c r="U76" s="8">
        <v>7725</v>
      </c>
      <c r="W76" s="8">
        <v>23240</v>
      </c>
      <c r="Y76" s="3">
        <f t="shared" si="0"/>
        <v>16968131</v>
      </c>
      <c r="AA76" s="8">
        <v>0</v>
      </c>
      <c r="AE76" s="8">
        <v>0</v>
      </c>
      <c r="AG76" s="8">
        <v>250</v>
      </c>
      <c r="AI76" s="8">
        <v>0</v>
      </c>
      <c r="AK76" s="8">
        <f t="shared" si="1"/>
        <v>250</v>
      </c>
      <c r="AM76" s="8">
        <f t="shared" si="2"/>
        <v>16968381</v>
      </c>
    </row>
    <row r="77" spans="1:40" hidden="1">
      <c r="A77" s="13" t="s">
        <v>219</v>
      </c>
      <c r="B77" s="13"/>
      <c r="C77" s="13" t="s">
        <v>47</v>
      </c>
      <c r="D77" s="13"/>
      <c r="E77" s="32">
        <v>48470</v>
      </c>
      <c r="Y77" s="3">
        <f>SUM(G77:X77)</f>
        <v>0</v>
      </c>
      <c r="AK77" s="8">
        <f>SUM(AA77:AJ77)</f>
        <v>0</v>
      </c>
      <c r="AM77" s="8">
        <f>+AK77+Y77</f>
        <v>0</v>
      </c>
    </row>
    <row r="78" spans="1:40" hidden="1">
      <c r="A78" s="13" t="s">
        <v>918</v>
      </c>
      <c r="B78" s="13"/>
      <c r="C78" s="13" t="s">
        <v>115</v>
      </c>
      <c r="D78" s="13"/>
      <c r="E78" s="32">
        <v>46755</v>
      </c>
      <c r="Y78" s="3">
        <f>SUM(G78:X78)</f>
        <v>0</v>
      </c>
      <c r="AK78" s="8">
        <f>SUM(AA78:AJ78)</f>
        <v>0</v>
      </c>
      <c r="AM78" s="8">
        <f>+AK78+Y78</f>
        <v>0</v>
      </c>
      <c r="AN78" s="10" t="s">
        <v>926</v>
      </c>
    </row>
    <row r="79" spans="1:40">
      <c r="A79" s="13" t="s">
        <v>337</v>
      </c>
      <c r="B79" s="13"/>
      <c r="C79" s="13" t="s">
        <v>23</v>
      </c>
      <c r="D79" s="13"/>
      <c r="E79" s="32">
        <v>46755</v>
      </c>
      <c r="G79" s="8">
        <v>8842446</v>
      </c>
      <c r="I79" s="8">
        <v>4932111</v>
      </c>
      <c r="K79" s="8">
        <v>6284720</v>
      </c>
      <c r="M79" s="8">
        <v>244911</v>
      </c>
      <c r="O79" s="8">
        <f>531240+51165</f>
        <v>582405</v>
      </c>
      <c r="Q79" s="8">
        <v>31352</v>
      </c>
      <c r="S79" s="8">
        <v>0</v>
      </c>
      <c r="U79" s="8">
        <v>0</v>
      </c>
      <c r="W79" s="8">
        <v>51912</v>
      </c>
      <c r="Y79" s="3">
        <f>SUM(G79:X79)</f>
        <v>20969857</v>
      </c>
      <c r="AA79" s="8">
        <v>0</v>
      </c>
      <c r="AE79" s="8">
        <v>18934</v>
      </c>
      <c r="AG79" s="8">
        <v>0</v>
      </c>
      <c r="AI79" s="8">
        <v>0</v>
      </c>
      <c r="AK79" s="8">
        <f>SUM(AA79:AJ79)</f>
        <v>18934</v>
      </c>
      <c r="AM79" s="8">
        <f>+AK79+Y79</f>
        <v>20988791</v>
      </c>
    </row>
    <row r="80" spans="1:40">
      <c r="A80" s="13" t="s">
        <v>295</v>
      </c>
      <c r="B80" s="13"/>
      <c r="C80" s="13" t="s">
        <v>114</v>
      </c>
      <c r="D80" s="13"/>
      <c r="E80" s="32">
        <v>43687</v>
      </c>
      <c r="F80" s="11"/>
      <c r="G80" s="8">
        <v>4528886</v>
      </c>
      <c r="I80" s="8">
        <v>0</v>
      </c>
      <c r="K80" s="8">
        <f>8834382+20826+70723</f>
        <v>8925931</v>
      </c>
      <c r="M80" s="8">
        <v>334885</v>
      </c>
      <c r="O80" s="8">
        <f>369858+47487</f>
        <v>417345</v>
      </c>
      <c r="Q80" s="8">
        <v>0</v>
      </c>
      <c r="S80" s="8">
        <v>0</v>
      </c>
      <c r="U80" s="8">
        <v>0</v>
      </c>
      <c r="W80" s="8">
        <f>0+60684</f>
        <v>60684</v>
      </c>
      <c r="Y80" s="3">
        <f>SUM(G80:X80)</f>
        <v>14267731</v>
      </c>
      <c r="AA80" s="8">
        <v>0</v>
      </c>
      <c r="AE80" s="8">
        <v>0</v>
      </c>
      <c r="AG80" s="8">
        <v>0</v>
      </c>
      <c r="AI80" s="8">
        <v>0</v>
      </c>
      <c r="AK80" s="8">
        <f>SUM(AA80:AJ80)</f>
        <v>0</v>
      </c>
      <c r="AM80" s="8">
        <f>+AK80+Y80</f>
        <v>14267731</v>
      </c>
    </row>
    <row r="81" spans="1:41">
      <c r="A81" s="13" t="s">
        <v>577</v>
      </c>
      <c r="B81" s="13"/>
      <c r="C81" s="13" t="s">
        <v>52</v>
      </c>
      <c r="D81" s="13"/>
      <c r="E81" s="32">
        <v>45252</v>
      </c>
      <c r="G81" s="8">
        <v>2008656</v>
      </c>
      <c r="I81" s="8">
        <v>0</v>
      </c>
      <c r="K81" s="8">
        <v>4395594</v>
      </c>
      <c r="M81" s="8">
        <v>101446</v>
      </c>
      <c r="O81" s="8">
        <v>304217</v>
      </c>
      <c r="Q81" s="8">
        <v>0</v>
      </c>
      <c r="S81" s="8">
        <v>0</v>
      </c>
      <c r="U81" s="8">
        <v>2030</v>
      </c>
      <c r="W81" s="8">
        <f>120+46+5130</f>
        <v>5296</v>
      </c>
      <c r="Y81" s="3">
        <f t="shared" ref="Y81:Y100" si="3">SUM(G81:X81)</f>
        <v>6817239</v>
      </c>
      <c r="AA81" s="8">
        <v>0</v>
      </c>
      <c r="AE81" s="8">
        <v>0</v>
      </c>
      <c r="AG81" s="8">
        <v>1652</v>
      </c>
      <c r="AI81" s="8">
        <v>0</v>
      </c>
      <c r="AK81" s="8">
        <f t="shared" ref="AK81:AK100" si="4">SUM(AA81:AJ81)</f>
        <v>1652</v>
      </c>
      <c r="AM81" s="8">
        <f t="shared" ref="AM81:AM100" si="5">+AK81+Y81</f>
        <v>6818891</v>
      </c>
    </row>
    <row r="82" spans="1:41">
      <c r="A82" s="13" t="s">
        <v>393</v>
      </c>
      <c r="B82" s="13"/>
      <c r="C82" s="13" t="s">
        <v>31</v>
      </c>
      <c r="D82" s="13"/>
      <c r="E82" s="32">
        <v>43695</v>
      </c>
      <c r="G82" s="8">
        <v>5370081</v>
      </c>
      <c r="I82" s="8">
        <v>0</v>
      </c>
      <c r="K82" s="8">
        <v>12752850</v>
      </c>
      <c r="M82" s="8">
        <v>156380</v>
      </c>
      <c r="O82" s="8">
        <v>782671</v>
      </c>
      <c r="Q82" s="8">
        <v>26120</v>
      </c>
      <c r="S82" s="8">
        <v>0</v>
      </c>
      <c r="U82" s="8">
        <v>10970</v>
      </c>
      <c r="W82" s="8">
        <v>27005</v>
      </c>
      <c r="Y82" s="3">
        <f t="shared" si="3"/>
        <v>19126077</v>
      </c>
      <c r="AA82" s="8">
        <v>0</v>
      </c>
      <c r="AE82" s="8">
        <v>0</v>
      </c>
      <c r="AG82" s="8">
        <v>0</v>
      </c>
      <c r="AI82" s="8">
        <v>0</v>
      </c>
      <c r="AK82" s="8">
        <f t="shared" si="4"/>
        <v>0</v>
      </c>
      <c r="AM82" s="8">
        <f t="shared" si="5"/>
        <v>19126077</v>
      </c>
    </row>
    <row r="83" spans="1:41" hidden="1">
      <c r="A83" s="13" t="s">
        <v>516</v>
      </c>
      <c r="B83" s="13"/>
      <c r="C83" s="13" t="s">
        <v>45</v>
      </c>
      <c r="D83" s="13"/>
      <c r="E83" s="32">
        <v>43703</v>
      </c>
      <c r="S83" s="8">
        <v>0</v>
      </c>
      <c r="Y83" s="3">
        <f t="shared" si="3"/>
        <v>0</v>
      </c>
      <c r="AA83" s="8">
        <v>0</v>
      </c>
      <c r="AE83" s="8">
        <v>0</v>
      </c>
      <c r="AG83" s="8">
        <v>0</v>
      </c>
      <c r="AI83" s="8">
        <v>0</v>
      </c>
      <c r="AK83" s="8">
        <f t="shared" si="4"/>
        <v>0</v>
      </c>
      <c r="AM83" s="8">
        <f t="shared" si="5"/>
        <v>0</v>
      </c>
    </row>
    <row r="84" spans="1:41">
      <c r="A84" s="13" t="s">
        <v>357</v>
      </c>
      <c r="B84" s="13"/>
      <c r="C84" s="13" t="s">
        <v>27</v>
      </c>
      <c r="D84" s="13"/>
      <c r="E84" s="32">
        <v>46946</v>
      </c>
      <c r="G84" s="8">
        <v>13379150</v>
      </c>
      <c r="I84" s="8">
        <v>0</v>
      </c>
      <c r="K84" s="8">
        <v>14452961</v>
      </c>
      <c r="M84" s="8">
        <v>530231</v>
      </c>
      <c r="O84" s="8">
        <f>127378+88367+204594</f>
        <v>420339</v>
      </c>
      <c r="Q84" s="8">
        <v>70058</v>
      </c>
      <c r="S84" s="8">
        <v>0</v>
      </c>
      <c r="U84" s="8">
        <v>0</v>
      </c>
      <c r="W84" s="8">
        <f>199550</f>
        <v>199550</v>
      </c>
      <c r="Y84" s="3">
        <f t="shared" si="3"/>
        <v>29052289</v>
      </c>
      <c r="AA84" s="8">
        <v>0</v>
      </c>
      <c r="AE84" s="8">
        <v>0</v>
      </c>
      <c r="AG84" s="8">
        <v>175000</v>
      </c>
      <c r="AI84" s="8">
        <v>0</v>
      </c>
      <c r="AK84" s="8">
        <f t="shared" si="4"/>
        <v>175000</v>
      </c>
      <c r="AM84" s="8">
        <f t="shared" si="5"/>
        <v>29227289</v>
      </c>
    </row>
    <row r="85" spans="1:41">
      <c r="A85" s="13" t="s">
        <v>517</v>
      </c>
      <c r="B85" s="13"/>
      <c r="C85" s="13" t="s">
        <v>45</v>
      </c>
      <c r="D85" s="13"/>
      <c r="E85" s="32">
        <v>48314</v>
      </c>
      <c r="G85" s="8">
        <v>14691078</v>
      </c>
      <c r="I85" s="8">
        <v>0</v>
      </c>
      <c r="K85" s="8">
        <v>8895551</v>
      </c>
      <c r="M85" s="8">
        <v>409694</v>
      </c>
      <c r="O85" s="8">
        <v>144833</v>
      </c>
      <c r="Q85" s="8">
        <v>237</v>
      </c>
      <c r="S85" s="8">
        <v>0</v>
      </c>
      <c r="U85" s="8">
        <v>72</v>
      </c>
      <c r="W85" s="8">
        <f>31246+13698</f>
        <v>44944</v>
      </c>
      <c r="Y85" s="3">
        <f t="shared" si="3"/>
        <v>24186409</v>
      </c>
      <c r="AA85" s="8">
        <v>0</v>
      </c>
      <c r="AE85" s="8">
        <v>0</v>
      </c>
      <c r="AG85" s="8">
        <v>0</v>
      </c>
      <c r="AI85" s="8">
        <v>0</v>
      </c>
      <c r="AK85" s="8">
        <f t="shared" si="4"/>
        <v>0</v>
      </c>
      <c r="AM85" s="8">
        <f t="shared" si="5"/>
        <v>24186409</v>
      </c>
    </row>
    <row r="86" spans="1:41">
      <c r="A86" s="13" t="s">
        <v>655</v>
      </c>
      <c r="B86" s="13"/>
      <c r="C86" s="13" t="s">
        <v>62</v>
      </c>
      <c r="D86" s="13"/>
      <c r="E86" s="32">
        <v>43711</v>
      </c>
      <c r="G86" s="8">
        <v>10170008</v>
      </c>
      <c r="I86" s="8">
        <v>0</v>
      </c>
      <c r="K86" s="8">
        <f>10603060</f>
        <v>10603060</v>
      </c>
      <c r="M86" s="8">
        <v>88205</v>
      </c>
      <c r="O86" s="8">
        <f>416214+124</f>
        <v>416338</v>
      </c>
      <c r="Q86" s="8">
        <v>0</v>
      </c>
      <c r="S86" s="8">
        <v>0</v>
      </c>
      <c r="U86" s="8">
        <v>0</v>
      </c>
      <c r="W86" s="8">
        <f>474192</f>
        <v>474192</v>
      </c>
      <c r="Y86" s="3">
        <f t="shared" si="3"/>
        <v>21751803</v>
      </c>
      <c r="AA86" s="8">
        <v>0</v>
      </c>
      <c r="AE86" s="8">
        <v>0</v>
      </c>
      <c r="AG86" s="8">
        <v>0</v>
      </c>
      <c r="AI86" s="8">
        <v>0</v>
      </c>
      <c r="AK86" s="8">
        <f t="shared" si="4"/>
        <v>0</v>
      </c>
      <c r="AM86" s="8">
        <f t="shared" si="5"/>
        <v>21751803</v>
      </c>
    </row>
    <row r="87" spans="1:41">
      <c r="A87" s="13" t="s">
        <v>654</v>
      </c>
      <c r="B87" s="13"/>
      <c r="C87" s="13" t="s">
        <v>62</v>
      </c>
      <c r="D87" s="13"/>
      <c r="E87" s="32">
        <v>49833</v>
      </c>
      <c r="G87" s="8">
        <v>27649</v>
      </c>
      <c r="I87" s="8">
        <v>0</v>
      </c>
      <c r="K87" s="8">
        <f>62982+42</f>
        <v>63024</v>
      </c>
      <c r="M87" s="8">
        <v>854</v>
      </c>
      <c r="O87" s="8">
        <f>519+30</f>
        <v>549</v>
      </c>
      <c r="Q87" s="8">
        <v>39</v>
      </c>
      <c r="S87" s="8">
        <v>0</v>
      </c>
      <c r="U87" s="8">
        <v>0</v>
      </c>
      <c r="W87" s="8">
        <f>804+157+768</f>
        <v>1729</v>
      </c>
      <c r="Y87" s="3">
        <f t="shared" si="3"/>
        <v>93844</v>
      </c>
      <c r="AA87" s="8">
        <v>38</v>
      </c>
      <c r="AE87" s="8">
        <v>0</v>
      </c>
      <c r="AG87" s="8">
        <v>0</v>
      </c>
      <c r="AI87" s="8">
        <v>0</v>
      </c>
      <c r="AK87" s="8">
        <f t="shared" si="4"/>
        <v>38</v>
      </c>
      <c r="AM87" s="8">
        <f t="shared" si="5"/>
        <v>93882</v>
      </c>
    </row>
    <row r="88" spans="1:41">
      <c r="A88" s="13" t="s">
        <v>382</v>
      </c>
      <c r="B88" s="13"/>
      <c r="C88" s="13" t="s">
        <v>30</v>
      </c>
      <c r="D88" s="13"/>
      <c r="E88" s="32">
        <v>47175</v>
      </c>
      <c r="G88" s="8">
        <v>6776748</v>
      </c>
      <c r="I88" s="8">
        <v>0</v>
      </c>
      <c r="K88" s="8">
        <v>4792066</v>
      </c>
      <c r="M88" s="8">
        <v>158857</v>
      </c>
      <c r="O88" s="8">
        <v>500649</v>
      </c>
      <c r="Q88" s="8">
        <v>161475</v>
      </c>
      <c r="S88" s="8">
        <v>0</v>
      </c>
      <c r="U88" s="8">
        <v>4000</v>
      </c>
      <c r="W88" s="8">
        <f>90891+21376</f>
        <v>112267</v>
      </c>
      <c r="Y88" s="3">
        <f t="shared" si="3"/>
        <v>12506062</v>
      </c>
      <c r="AA88" s="8">
        <v>0</v>
      </c>
      <c r="AE88" s="8">
        <v>0</v>
      </c>
      <c r="AG88" s="8">
        <v>0</v>
      </c>
      <c r="AI88" s="8">
        <v>0</v>
      </c>
      <c r="AK88" s="8">
        <f t="shared" si="4"/>
        <v>0</v>
      </c>
      <c r="AM88" s="8">
        <f t="shared" si="5"/>
        <v>12506062</v>
      </c>
    </row>
    <row r="89" spans="1:41">
      <c r="A89" s="13" t="s">
        <v>568</v>
      </c>
      <c r="B89" s="13"/>
      <c r="C89" s="13" t="s">
        <v>78</v>
      </c>
      <c r="D89" s="13"/>
      <c r="E89" s="32">
        <v>48793</v>
      </c>
      <c r="G89" s="8">
        <v>2467359</v>
      </c>
      <c r="I89" s="8">
        <v>0</v>
      </c>
      <c r="K89" s="8">
        <v>7395067</v>
      </c>
      <c r="M89" s="8">
        <v>153883</v>
      </c>
      <c r="O89" s="8">
        <v>580767</v>
      </c>
      <c r="Q89" s="8">
        <v>0</v>
      </c>
      <c r="S89" s="8">
        <v>285923</v>
      </c>
      <c r="U89" s="8">
        <v>0</v>
      </c>
      <c r="W89" s="8">
        <f>71834</f>
        <v>71834</v>
      </c>
      <c r="Y89" s="3">
        <f t="shared" si="3"/>
        <v>10954833</v>
      </c>
      <c r="AA89" s="8">
        <v>0</v>
      </c>
      <c r="AE89" s="8">
        <v>118210</v>
      </c>
      <c r="AG89" s="8">
        <v>0</v>
      </c>
      <c r="AI89" s="8">
        <v>0</v>
      </c>
      <c r="AK89" s="8">
        <f t="shared" si="4"/>
        <v>118210</v>
      </c>
      <c r="AM89" s="8">
        <f t="shared" si="5"/>
        <v>11073043</v>
      </c>
    </row>
    <row r="90" spans="1:41" hidden="1">
      <c r="A90" s="13" t="s">
        <v>746</v>
      </c>
      <c r="B90" s="13"/>
      <c r="C90" s="13" t="s">
        <v>747</v>
      </c>
      <c r="D90" s="13"/>
      <c r="E90" s="32">
        <v>45260</v>
      </c>
      <c r="Q90" s="8">
        <v>0</v>
      </c>
      <c r="S90" s="8">
        <v>0</v>
      </c>
      <c r="U90" s="8">
        <v>0</v>
      </c>
      <c r="W90" s="8">
        <v>0</v>
      </c>
      <c r="Y90" s="3">
        <f t="shared" si="3"/>
        <v>0</v>
      </c>
      <c r="AA90" s="8">
        <v>0</v>
      </c>
      <c r="AE90" s="8">
        <v>0</v>
      </c>
      <c r="AG90" s="8">
        <v>0</v>
      </c>
      <c r="AI90" s="8">
        <v>0</v>
      </c>
      <c r="AK90" s="8">
        <f t="shared" si="4"/>
        <v>0</v>
      </c>
      <c r="AM90" s="8">
        <f t="shared" si="5"/>
        <v>0</v>
      </c>
    </row>
    <row r="91" spans="1:41" hidden="1">
      <c r="A91" s="13" t="s">
        <v>713</v>
      </c>
      <c r="B91" s="13"/>
      <c r="C91" s="13" t="s">
        <v>69</v>
      </c>
      <c r="D91" s="13"/>
      <c r="E91" s="32">
        <v>50419</v>
      </c>
      <c r="Q91" s="8">
        <v>0</v>
      </c>
      <c r="S91" s="8">
        <v>0</v>
      </c>
      <c r="U91" s="8">
        <v>0</v>
      </c>
      <c r="W91" s="8">
        <v>0</v>
      </c>
      <c r="Y91" s="3">
        <f t="shared" si="3"/>
        <v>0</v>
      </c>
      <c r="AA91" s="8">
        <v>0</v>
      </c>
      <c r="AE91" s="8">
        <v>0</v>
      </c>
      <c r="AG91" s="8">
        <v>0</v>
      </c>
      <c r="AI91" s="8">
        <v>0</v>
      </c>
      <c r="AK91" s="8">
        <f t="shared" si="4"/>
        <v>0</v>
      </c>
      <c r="AM91" s="8">
        <f t="shared" si="5"/>
        <v>0</v>
      </c>
    </row>
    <row r="92" spans="1:41">
      <c r="A92" s="13" t="s">
        <v>713</v>
      </c>
      <c r="B92" s="13"/>
      <c r="C92" s="13" t="s">
        <v>69</v>
      </c>
      <c r="D92" s="13"/>
      <c r="E92" s="32">
        <v>48793</v>
      </c>
      <c r="G92" s="8">
        <v>4349771</v>
      </c>
      <c r="I92" s="8">
        <v>1821810</v>
      </c>
      <c r="K92" s="8">
        <v>8281764</v>
      </c>
      <c r="M92" s="8">
        <v>38566</v>
      </c>
      <c r="O92" s="8">
        <v>116175</v>
      </c>
      <c r="Q92" s="8">
        <v>16568</v>
      </c>
      <c r="S92" s="8">
        <v>0</v>
      </c>
      <c r="U92" s="8">
        <v>333</v>
      </c>
      <c r="W92" s="8">
        <f>10122+4415</f>
        <v>14537</v>
      </c>
      <c r="Y92" s="3">
        <f>SUM(G92:X92)</f>
        <v>14639524</v>
      </c>
      <c r="AA92" s="8">
        <v>0</v>
      </c>
      <c r="AE92" s="8">
        <v>0</v>
      </c>
      <c r="AG92" s="8">
        <v>9835</v>
      </c>
      <c r="AI92" s="8">
        <v>0</v>
      </c>
      <c r="AK92" s="8">
        <f>SUM(AA92:AJ92)</f>
        <v>9835</v>
      </c>
      <c r="AM92" s="8">
        <f>+AK92+Y92</f>
        <v>14649359</v>
      </c>
    </row>
    <row r="93" spans="1:41">
      <c r="A93" s="13" t="s">
        <v>257</v>
      </c>
      <c r="B93" s="13"/>
      <c r="C93" s="13" t="s">
        <v>16</v>
      </c>
      <c r="D93" s="13"/>
      <c r="E93" s="32">
        <v>45278</v>
      </c>
      <c r="F93" s="11"/>
      <c r="G93" s="8">
        <v>7254646</v>
      </c>
      <c r="I93" s="8">
        <v>0</v>
      </c>
      <c r="K93" s="8">
        <v>12754749</v>
      </c>
      <c r="M93" s="8">
        <v>106689</v>
      </c>
      <c r="O93" s="8">
        <v>565345</v>
      </c>
      <c r="Q93" s="8">
        <v>8052</v>
      </c>
      <c r="S93" s="8">
        <v>0</v>
      </c>
      <c r="U93" s="8">
        <v>14618</v>
      </c>
      <c r="W93" s="8">
        <f>3195+5653+73838</f>
        <v>82686</v>
      </c>
      <c r="Y93" s="3">
        <f t="shared" si="3"/>
        <v>20786785</v>
      </c>
      <c r="AA93" s="8">
        <v>0</v>
      </c>
      <c r="AE93" s="8">
        <v>4690</v>
      </c>
      <c r="AG93" s="8">
        <v>0</v>
      </c>
      <c r="AI93" s="8">
        <v>0</v>
      </c>
      <c r="AK93" s="8">
        <f t="shared" si="4"/>
        <v>4690</v>
      </c>
      <c r="AM93" s="8">
        <f t="shared" si="5"/>
        <v>20791475</v>
      </c>
    </row>
    <row r="94" spans="1:41">
      <c r="A94" s="13" t="s">
        <v>389</v>
      </c>
      <c r="B94" s="13"/>
      <c r="C94" s="13" t="s">
        <v>117</v>
      </c>
      <c r="D94" s="13"/>
      <c r="E94" s="32">
        <v>47258</v>
      </c>
      <c r="G94" s="8">
        <v>1686512</v>
      </c>
      <c r="I94" s="8">
        <v>751112</v>
      </c>
      <c r="K94" s="8">
        <v>3047747</v>
      </c>
      <c r="M94" s="8">
        <v>75331</v>
      </c>
      <c r="O94" s="8">
        <v>149293</v>
      </c>
      <c r="Q94" s="8">
        <v>0</v>
      </c>
      <c r="S94" s="8">
        <v>0</v>
      </c>
      <c r="U94" s="8">
        <v>254</v>
      </c>
      <c r="W94" s="8">
        <f>700+30032</f>
        <v>30732</v>
      </c>
      <c r="Y94" s="3">
        <f t="shared" si="3"/>
        <v>5740981</v>
      </c>
      <c r="AA94" s="8">
        <v>0</v>
      </c>
      <c r="AE94" s="8">
        <v>263</v>
      </c>
      <c r="AG94" s="8">
        <v>0</v>
      </c>
      <c r="AI94" s="8">
        <v>0</v>
      </c>
      <c r="AK94" s="8">
        <f t="shared" si="4"/>
        <v>263</v>
      </c>
      <c r="AM94" s="8">
        <f t="shared" si="5"/>
        <v>5741244</v>
      </c>
    </row>
    <row r="95" spans="1:41" hidden="1">
      <c r="A95" s="13" t="s">
        <v>539</v>
      </c>
      <c r="B95" s="13"/>
      <c r="C95" s="13" t="s">
        <v>540</v>
      </c>
      <c r="D95" s="13"/>
      <c r="E95" s="32">
        <v>43729</v>
      </c>
      <c r="Q95" s="8">
        <v>0</v>
      </c>
      <c r="S95" s="8">
        <v>0</v>
      </c>
      <c r="U95" s="8">
        <v>0</v>
      </c>
      <c r="W95" s="8">
        <v>0</v>
      </c>
      <c r="Y95" s="3">
        <f t="shared" si="3"/>
        <v>0</v>
      </c>
      <c r="AA95" s="8">
        <v>0</v>
      </c>
      <c r="AE95" s="8">
        <v>0</v>
      </c>
      <c r="AG95" s="8">
        <v>0</v>
      </c>
      <c r="AI95" s="8">
        <v>0</v>
      </c>
      <c r="AK95" s="8">
        <f t="shared" si="4"/>
        <v>0</v>
      </c>
      <c r="AM95" s="8">
        <f t="shared" si="5"/>
        <v>0</v>
      </c>
    </row>
    <row r="96" spans="1:41">
      <c r="A96" s="13" t="s">
        <v>459</v>
      </c>
      <c r="B96" s="13"/>
      <c r="C96" s="13" t="s">
        <v>40</v>
      </c>
      <c r="D96" s="13"/>
      <c r="E96" s="32">
        <v>47829</v>
      </c>
      <c r="G96" s="8">
        <v>1733959</v>
      </c>
      <c r="I96" s="8">
        <v>823331</v>
      </c>
      <c r="K96" s="8">
        <v>5719543</v>
      </c>
      <c r="M96" s="8">
        <v>218401</v>
      </c>
      <c r="O96" s="8">
        <v>46100</v>
      </c>
      <c r="Q96" s="8">
        <v>0</v>
      </c>
      <c r="S96" s="8">
        <v>0</v>
      </c>
      <c r="U96" s="8">
        <v>5538</v>
      </c>
      <c r="W96" s="8">
        <f>4200+14369</f>
        <v>18569</v>
      </c>
      <c r="Y96" s="3">
        <f t="shared" si="3"/>
        <v>8565441</v>
      </c>
      <c r="AA96" s="8">
        <v>0</v>
      </c>
      <c r="AE96" s="8">
        <v>0</v>
      </c>
      <c r="AG96" s="8">
        <v>0</v>
      </c>
      <c r="AI96" s="8">
        <v>0</v>
      </c>
      <c r="AK96" s="8">
        <f t="shared" si="4"/>
        <v>0</v>
      </c>
      <c r="AM96" s="8">
        <f t="shared" si="5"/>
        <v>8565441</v>
      </c>
      <c r="AO96" s="16"/>
    </row>
    <row r="97" spans="1:39">
      <c r="A97" s="13"/>
      <c r="B97" s="13"/>
      <c r="C97" s="13"/>
      <c r="D97" s="13"/>
      <c r="E97" s="32"/>
      <c r="Y97" s="3"/>
    </row>
    <row r="98" spans="1:39">
      <c r="A98" s="13"/>
      <c r="B98" s="13"/>
      <c r="C98" s="13"/>
      <c r="D98" s="13"/>
      <c r="E98" s="32"/>
      <c r="Y98" s="3"/>
      <c r="AM98" s="8" t="s">
        <v>819</v>
      </c>
    </row>
    <row r="99" spans="1:39" s="52" customFormat="1">
      <c r="A99" s="51" t="s">
        <v>553</v>
      </c>
      <c r="B99" s="51"/>
      <c r="C99" s="51" t="s">
        <v>50</v>
      </c>
      <c r="D99" s="51"/>
      <c r="E99" s="51">
        <v>43737</v>
      </c>
      <c r="G99" s="52">
        <v>50983821</v>
      </c>
      <c r="I99" s="52">
        <v>0</v>
      </c>
      <c r="K99" s="52">
        <v>19889484</v>
      </c>
      <c r="M99" s="52">
        <v>1722058</v>
      </c>
      <c r="O99" s="52">
        <v>605479</v>
      </c>
      <c r="Q99" s="52">
        <v>197077</v>
      </c>
      <c r="S99" s="52">
        <v>0</v>
      </c>
      <c r="U99" s="52">
        <v>0</v>
      </c>
      <c r="W99" s="52">
        <v>173379</v>
      </c>
      <c r="Y99" s="88">
        <f t="shared" si="3"/>
        <v>73571298</v>
      </c>
      <c r="AA99" s="52">
        <v>0</v>
      </c>
      <c r="AE99" s="52">
        <v>0</v>
      </c>
      <c r="AG99" s="52">
        <v>0</v>
      </c>
      <c r="AI99" s="52">
        <v>0</v>
      </c>
      <c r="AK99" s="52">
        <f t="shared" si="4"/>
        <v>0</v>
      </c>
      <c r="AM99" s="52">
        <f t="shared" si="5"/>
        <v>73571298</v>
      </c>
    </row>
    <row r="100" spans="1:39">
      <c r="A100" s="13" t="s">
        <v>807</v>
      </c>
      <c r="B100" s="13"/>
      <c r="C100" s="13" t="s">
        <v>22</v>
      </c>
      <c r="D100" s="13"/>
      <c r="E100" s="32">
        <v>46714</v>
      </c>
      <c r="G100" s="8">
        <v>2186079</v>
      </c>
      <c r="I100" s="8">
        <v>827126</v>
      </c>
      <c r="K100" s="8">
        <v>6395488</v>
      </c>
      <c r="M100" s="8">
        <v>143501</v>
      </c>
      <c r="O100" s="8">
        <v>1849</v>
      </c>
      <c r="Q100" s="8">
        <v>0</v>
      </c>
      <c r="S100" s="8">
        <v>0</v>
      </c>
      <c r="U100" s="8">
        <v>15783</v>
      </c>
      <c r="W100" s="8">
        <f>1046+415+17394</f>
        <v>18855</v>
      </c>
      <c r="Y100" s="3">
        <f t="shared" si="3"/>
        <v>9588681</v>
      </c>
      <c r="AA100" s="8">
        <v>0</v>
      </c>
      <c r="AE100" s="8">
        <v>0</v>
      </c>
      <c r="AG100" s="8">
        <v>0</v>
      </c>
      <c r="AI100" s="8">
        <v>0</v>
      </c>
      <c r="AK100" s="8">
        <f t="shared" si="4"/>
        <v>0</v>
      </c>
      <c r="AM100" s="8">
        <f t="shared" si="5"/>
        <v>9588681</v>
      </c>
    </row>
    <row r="101" spans="1:39">
      <c r="A101" s="13" t="s">
        <v>306</v>
      </c>
      <c r="B101" s="13"/>
      <c r="C101" s="13" t="s">
        <v>20</v>
      </c>
      <c r="D101" s="13"/>
      <c r="E101" s="13">
        <v>45286</v>
      </c>
      <c r="G101" s="8">
        <v>17091455</v>
      </c>
      <c r="I101" s="8">
        <v>0</v>
      </c>
      <c r="K101" s="8">
        <v>4589261</v>
      </c>
      <c r="M101" s="8">
        <v>232816</v>
      </c>
      <c r="O101" s="8">
        <v>108321</v>
      </c>
      <c r="Q101" s="8">
        <v>0</v>
      </c>
      <c r="S101" s="8">
        <v>0</v>
      </c>
      <c r="U101" s="8">
        <v>2000</v>
      </c>
      <c r="W101" s="8">
        <f>29053+35151</f>
        <v>64204</v>
      </c>
      <c r="Y101" s="3">
        <f>SUM(G101:X101)</f>
        <v>22088057</v>
      </c>
      <c r="AA101" s="8">
        <v>0</v>
      </c>
      <c r="AE101" s="8">
        <v>400</v>
      </c>
      <c r="AG101" s="8">
        <v>0</v>
      </c>
      <c r="AI101" s="8">
        <v>0</v>
      </c>
      <c r="AK101" s="8">
        <f>SUM(AA101:AJ101)</f>
        <v>400</v>
      </c>
      <c r="AM101" s="8">
        <f>+AK101+Y101</f>
        <v>22088457</v>
      </c>
    </row>
    <row r="102" spans="1:39">
      <c r="A102" s="13" t="s">
        <v>683</v>
      </c>
      <c r="B102" s="13"/>
      <c r="C102" s="13" t="s">
        <v>64</v>
      </c>
      <c r="D102" s="13"/>
      <c r="E102" s="32">
        <v>50138</v>
      </c>
      <c r="G102" s="8">
        <v>3235814</v>
      </c>
      <c r="I102" s="8">
        <v>0</v>
      </c>
      <c r="K102" s="8">
        <v>7428465</v>
      </c>
      <c r="M102" s="8">
        <v>37939</v>
      </c>
      <c r="O102" s="8">
        <v>804488</v>
      </c>
      <c r="Q102" s="8">
        <v>0</v>
      </c>
      <c r="S102" s="8">
        <v>0</v>
      </c>
      <c r="U102" s="8">
        <v>0</v>
      </c>
      <c r="W102" s="8">
        <v>75093</v>
      </c>
      <c r="Y102" s="3">
        <f t="shared" ref="Y102:Y148" si="6">SUM(G102:X102)</f>
        <v>11581799</v>
      </c>
      <c r="AA102" s="8">
        <v>0</v>
      </c>
      <c r="AE102" s="8">
        <v>3135</v>
      </c>
      <c r="AG102" s="8">
        <v>0</v>
      </c>
      <c r="AI102" s="8">
        <v>0</v>
      </c>
      <c r="AK102" s="8">
        <f t="shared" ref="AK102:AK144" si="7">SUM(AA102:AJ102)</f>
        <v>3135</v>
      </c>
      <c r="AM102" s="8">
        <f t="shared" ref="AM102:AM145" si="8">+AK102+Y102</f>
        <v>11584934</v>
      </c>
    </row>
    <row r="103" spans="1:39">
      <c r="A103" s="13" t="s">
        <v>383</v>
      </c>
      <c r="B103" s="13"/>
      <c r="C103" s="13" t="s">
        <v>30</v>
      </c>
      <c r="D103" s="13"/>
      <c r="E103" s="32">
        <v>47183</v>
      </c>
      <c r="G103" s="8">
        <v>19018274</v>
      </c>
      <c r="I103" s="8">
        <v>0</v>
      </c>
      <c r="K103" s="8">
        <v>9444002</v>
      </c>
      <c r="M103" s="8">
        <v>294733</v>
      </c>
      <c r="O103" s="8">
        <v>204792</v>
      </c>
      <c r="Q103" s="8">
        <v>49884</v>
      </c>
      <c r="S103" s="8">
        <v>12081</v>
      </c>
      <c r="U103" s="8">
        <v>0</v>
      </c>
      <c r="W103" s="8">
        <f>9856+192770</f>
        <v>202626</v>
      </c>
      <c r="Y103" s="3">
        <f t="shared" si="6"/>
        <v>29226392</v>
      </c>
      <c r="AA103" s="8">
        <v>0</v>
      </c>
      <c r="AE103" s="8">
        <v>3292</v>
      </c>
      <c r="AG103" s="8">
        <v>0</v>
      </c>
      <c r="AI103" s="8">
        <v>0</v>
      </c>
      <c r="AK103" s="8">
        <f t="shared" si="7"/>
        <v>3292</v>
      </c>
      <c r="AM103" s="8">
        <f t="shared" si="8"/>
        <v>29229684</v>
      </c>
    </row>
    <row r="104" spans="1:39">
      <c r="A104" s="13" t="s">
        <v>470</v>
      </c>
      <c r="B104" s="13"/>
      <c r="C104" s="13" t="s">
        <v>471</v>
      </c>
      <c r="D104" s="13"/>
      <c r="E104" s="32">
        <v>45294</v>
      </c>
      <c r="G104" s="8">
        <v>1635352</v>
      </c>
      <c r="I104" s="8">
        <v>0</v>
      </c>
      <c r="K104" s="8">
        <v>7228434</v>
      </c>
      <c r="M104" s="8">
        <v>128567</v>
      </c>
      <c r="O104" s="8">
        <v>862997</v>
      </c>
      <c r="Q104" s="8">
        <v>0</v>
      </c>
      <c r="S104" s="8">
        <v>0</v>
      </c>
      <c r="U104" s="8">
        <v>14000</v>
      </c>
      <c r="W104" s="8">
        <v>30824</v>
      </c>
      <c r="Y104" s="3">
        <f t="shared" si="6"/>
        <v>9900174</v>
      </c>
      <c r="AA104" s="8">
        <v>0</v>
      </c>
      <c r="AE104" s="8">
        <v>0</v>
      </c>
      <c r="AG104" s="8">
        <v>0</v>
      </c>
      <c r="AI104" s="8">
        <v>0</v>
      </c>
      <c r="AK104" s="8">
        <f t="shared" si="7"/>
        <v>0</v>
      </c>
      <c r="AM104" s="8">
        <f t="shared" si="8"/>
        <v>9900174</v>
      </c>
    </row>
    <row r="105" spans="1:39" ht="11.4" customHeight="1">
      <c r="A105" s="13" t="s">
        <v>622</v>
      </c>
      <c r="B105" s="13"/>
      <c r="C105" s="13" t="s">
        <v>58</v>
      </c>
      <c r="D105" s="13"/>
      <c r="E105" s="32">
        <v>43745</v>
      </c>
      <c r="G105" s="8">
        <v>11796099</v>
      </c>
      <c r="I105" s="8">
        <v>0</v>
      </c>
      <c r="K105" s="8">
        <v>11711686</v>
      </c>
      <c r="M105" s="8">
        <v>413216</v>
      </c>
      <c r="O105" s="8">
        <v>977482</v>
      </c>
      <c r="Q105" s="8">
        <v>18755</v>
      </c>
      <c r="S105" s="8">
        <v>51903</v>
      </c>
      <c r="U105" s="8">
        <v>32500</v>
      </c>
      <c r="W105" s="8">
        <f>81908+83094+48910</f>
        <v>213912</v>
      </c>
      <c r="Y105" s="3">
        <f t="shared" si="6"/>
        <v>25215553</v>
      </c>
      <c r="AA105" s="8">
        <v>0</v>
      </c>
      <c r="AE105" s="8">
        <v>0</v>
      </c>
      <c r="AG105" s="8">
        <v>0</v>
      </c>
      <c r="AI105" s="8">
        <v>0</v>
      </c>
      <c r="AK105" s="8">
        <f t="shared" si="7"/>
        <v>0</v>
      </c>
      <c r="AM105" s="8">
        <f t="shared" si="8"/>
        <v>25215553</v>
      </c>
    </row>
    <row r="106" spans="1:39" hidden="1">
      <c r="A106" s="13" t="s">
        <v>727</v>
      </c>
      <c r="B106" s="13"/>
      <c r="C106" s="13" t="s">
        <v>71</v>
      </c>
      <c r="D106" s="13"/>
      <c r="E106" s="32">
        <v>50534</v>
      </c>
      <c r="Y106" s="3">
        <f t="shared" si="6"/>
        <v>0</v>
      </c>
      <c r="AA106" s="8">
        <v>0</v>
      </c>
      <c r="AE106" s="8">
        <v>0</v>
      </c>
      <c r="AG106" s="8">
        <v>0</v>
      </c>
      <c r="AI106" s="8">
        <v>0</v>
      </c>
      <c r="AK106" s="8">
        <f t="shared" si="7"/>
        <v>0</v>
      </c>
      <c r="AM106" s="8">
        <f t="shared" si="8"/>
        <v>0</v>
      </c>
    </row>
    <row r="107" spans="1:39">
      <c r="A107" s="13" t="s">
        <v>727</v>
      </c>
      <c r="B107" s="13"/>
      <c r="C107" s="13" t="s">
        <v>71</v>
      </c>
      <c r="D107" s="13"/>
      <c r="E107" s="32">
        <v>43752</v>
      </c>
      <c r="G107" s="8">
        <v>4162931</v>
      </c>
      <c r="I107" s="8">
        <v>272853</v>
      </c>
      <c r="K107" s="8">
        <f>8569+5637329</f>
        <v>5645898</v>
      </c>
      <c r="M107" s="8">
        <v>125111</v>
      </c>
      <c r="O107" s="8">
        <v>0</v>
      </c>
      <c r="Q107" s="8">
        <v>0</v>
      </c>
      <c r="S107" s="8">
        <v>0</v>
      </c>
      <c r="U107" s="8">
        <v>0</v>
      </c>
      <c r="W107" s="8">
        <v>21672</v>
      </c>
      <c r="Y107" s="3">
        <f>SUM(G107:X107)</f>
        <v>10228465</v>
      </c>
      <c r="AA107" s="8">
        <v>506129</v>
      </c>
      <c r="AE107" s="8">
        <v>0</v>
      </c>
      <c r="AG107" s="8">
        <v>0</v>
      </c>
      <c r="AI107" s="8">
        <v>0</v>
      </c>
      <c r="AK107" s="8">
        <f>SUM(AA107:AJ107)</f>
        <v>506129</v>
      </c>
      <c r="AM107" s="8">
        <f>+AK107+Y107</f>
        <v>10734594</v>
      </c>
    </row>
    <row r="108" spans="1:39">
      <c r="A108" s="13" t="s">
        <v>396</v>
      </c>
      <c r="B108" s="13"/>
      <c r="C108" s="13" t="s">
        <v>32</v>
      </c>
      <c r="D108" s="13"/>
      <c r="E108" s="32">
        <v>43752</v>
      </c>
      <c r="G108" s="8">
        <v>212873538</v>
      </c>
      <c r="I108" s="8">
        <v>0</v>
      </c>
      <c r="K108" s="8">
        <f>153637758+1932309</f>
        <v>155570067</v>
      </c>
      <c r="M108" s="8">
        <v>4019795</v>
      </c>
      <c r="O108" s="8">
        <v>1561674</v>
      </c>
      <c r="Q108" s="8">
        <v>0</v>
      </c>
      <c r="S108" s="8">
        <v>5949847</v>
      </c>
      <c r="U108" s="8">
        <v>0</v>
      </c>
      <c r="W108" s="8">
        <v>601165</v>
      </c>
      <c r="Y108" s="3">
        <f t="shared" si="6"/>
        <v>380576086</v>
      </c>
      <c r="AA108" s="8">
        <v>0</v>
      </c>
      <c r="AE108" s="8">
        <v>0</v>
      </c>
      <c r="AG108" s="8">
        <v>0</v>
      </c>
      <c r="AI108" s="8">
        <v>0</v>
      </c>
      <c r="AK108" s="8">
        <f t="shared" si="7"/>
        <v>0</v>
      </c>
      <c r="AM108" s="8">
        <f t="shared" si="8"/>
        <v>380576086</v>
      </c>
    </row>
    <row r="109" spans="1:39">
      <c r="A109" s="13" t="s">
        <v>588</v>
      </c>
      <c r="B109" s="13"/>
      <c r="C109" s="13" t="s">
        <v>54</v>
      </c>
      <c r="D109" s="13"/>
      <c r="E109" s="32">
        <v>43760</v>
      </c>
      <c r="G109" s="8">
        <v>10289761</v>
      </c>
      <c r="I109" s="8">
        <v>0</v>
      </c>
      <c r="K109" s="8">
        <v>9752246</v>
      </c>
      <c r="M109" s="8">
        <v>566031</v>
      </c>
      <c r="O109" s="8">
        <f>372226+54652</f>
        <v>426878</v>
      </c>
      <c r="Q109" s="8">
        <v>11110</v>
      </c>
      <c r="S109" s="8">
        <v>123421</v>
      </c>
      <c r="U109" s="8">
        <v>0</v>
      </c>
      <c r="W109" s="8">
        <f>103022</f>
        <v>103022</v>
      </c>
      <c r="Y109" s="3">
        <f t="shared" si="6"/>
        <v>21272469</v>
      </c>
      <c r="AA109" s="8">
        <v>0</v>
      </c>
      <c r="AE109" s="8">
        <v>352555</v>
      </c>
      <c r="AG109" s="8">
        <v>0</v>
      </c>
      <c r="AI109" s="8">
        <v>0</v>
      </c>
      <c r="AK109" s="8">
        <f t="shared" si="7"/>
        <v>352555</v>
      </c>
      <c r="AM109" s="8">
        <f t="shared" si="8"/>
        <v>21625024</v>
      </c>
    </row>
    <row r="110" spans="1:39">
      <c r="A110" s="13" t="s">
        <v>264</v>
      </c>
      <c r="B110" s="13"/>
      <c r="C110" s="13" t="s">
        <v>17</v>
      </c>
      <c r="D110" s="13"/>
      <c r="E110" s="32">
        <v>46284</v>
      </c>
      <c r="F110" s="11"/>
      <c r="G110" s="8">
        <v>7571143</v>
      </c>
      <c r="I110" s="8">
        <v>0</v>
      </c>
      <c r="K110" s="8">
        <v>7049454</v>
      </c>
      <c r="M110" s="8">
        <v>237065</v>
      </c>
      <c r="O110" s="8">
        <v>2519540</v>
      </c>
      <c r="Q110" s="8">
        <v>0</v>
      </c>
      <c r="S110" s="8">
        <v>172236</v>
      </c>
      <c r="U110" s="8">
        <v>0</v>
      </c>
      <c r="W110" s="8">
        <f>23410+8278+29647</f>
        <v>61335</v>
      </c>
      <c r="Y110" s="3">
        <f t="shared" si="6"/>
        <v>17610773</v>
      </c>
      <c r="AA110" s="8">
        <v>0</v>
      </c>
      <c r="AE110" s="8">
        <v>113601</v>
      </c>
      <c r="AG110" s="8">
        <v>0</v>
      </c>
      <c r="AI110" s="8">
        <v>0</v>
      </c>
      <c r="AK110" s="8">
        <f t="shared" si="7"/>
        <v>113601</v>
      </c>
      <c r="AM110" s="8">
        <f t="shared" si="8"/>
        <v>17724374</v>
      </c>
    </row>
    <row r="111" spans="1:39">
      <c r="A111" s="13" t="s">
        <v>632</v>
      </c>
      <c r="B111" s="13"/>
      <c r="C111" s="13" t="s">
        <v>59</v>
      </c>
      <c r="D111" s="13"/>
      <c r="E111" s="13">
        <v>49601</v>
      </c>
      <c r="G111" s="8">
        <v>948076</v>
      </c>
      <c r="I111" s="8">
        <v>0</v>
      </c>
      <c r="K111" s="8">
        <v>2661458</v>
      </c>
      <c r="M111" s="8">
        <v>46398</v>
      </c>
      <c r="O111" s="8">
        <v>1096993</v>
      </c>
      <c r="Q111" s="8">
        <v>25640</v>
      </c>
      <c r="S111" s="8">
        <v>0</v>
      </c>
      <c r="U111" s="8">
        <v>10679</v>
      </c>
      <c r="W111" s="8">
        <v>122833</v>
      </c>
      <c r="Y111" s="3">
        <f t="shared" si="6"/>
        <v>4912077</v>
      </c>
      <c r="AA111" s="8">
        <v>0</v>
      </c>
      <c r="AE111" s="8">
        <v>400</v>
      </c>
      <c r="AG111" s="8">
        <v>0</v>
      </c>
      <c r="AI111" s="8">
        <v>0</v>
      </c>
      <c r="AK111" s="8">
        <f t="shared" si="7"/>
        <v>400</v>
      </c>
      <c r="AM111" s="8">
        <f t="shared" si="8"/>
        <v>4912477</v>
      </c>
    </row>
    <row r="112" spans="1:39">
      <c r="A112" s="13" t="s">
        <v>699</v>
      </c>
      <c r="B112" s="13"/>
      <c r="C112" s="13" t="s">
        <v>65</v>
      </c>
      <c r="D112" s="13"/>
      <c r="E112" s="13">
        <v>43778</v>
      </c>
      <c r="G112" s="8">
        <v>2943892</v>
      </c>
      <c r="I112" s="8">
        <v>0</v>
      </c>
      <c r="K112" s="8">
        <f>11730900+17306</f>
        <v>11748206</v>
      </c>
      <c r="M112" s="8">
        <v>199927</v>
      </c>
      <c r="O112" s="8">
        <f>780206+13468+48744</f>
        <v>842418</v>
      </c>
      <c r="Q112" s="8">
        <v>0</v>
      </c>
      <c r="S112" s="8">
        <v>0</v>
      </c>
      <c r="U112" s="8">
        <v>0</v>
      </c>
      <c r="W112" s="8">
        <f>77538+47985</f>
        <v>125523</v>
      </c>
      <c r="Y112" s="3">
        <f t="shared" si="6"/>
        <v>15859966</v>
      </c>
      <c r="AA112" s="8">
        <v>0</v>
      </c>
      <c r="AE112" s="8">
        <v>0</v>
      </c>
      <c r="AG112" s="8">
        <v>0</v>
      </c>
      <c r="AI112" s="8">
        <v>0</v>
      </c>
      <c r="AK112" s="8">
        <f t="shared" si="7"/>
        <v>0</v>
      </c>
      <c r="AM112" s="8">
        <f t="shared" si="8"/>
        <v>15859966</v>
      </c>
    </row>
    <row r="113" spans="1:39">
      <c r="A113" s="13" t="s">
        <v>614</v>
      </c>
      <c r="B113" s="13"/>
      <c r="C113" s="13" t="s">
        <v>113</v>
      </c>
      <c r="D113" s="13"/>
      <c r="E113" s="32">
        <v>49411</v>
      </c>
      <c r="G113" s="8">
        <v>3984454</v>
      </c>
      <c r="I113" s="8">
        <v>0</v>
      </c>
      <c r="K113" s="8">
        <v>8945699</v>
      </c>
      <c r="M113" s="8">
        <v>313567</v>
      </c>
      <c r="O113" s="8">
        <v>508366</v>
      </c>
      <c r="Q113" s="8">
        <v>0</v>
      </c>
      <c r="S113" s="8">
        <v>0</v>
      </c>
      <c r="U113" s="8">
        <v>0</v>
      </c>
      <c r="W113" s="8">
        <f>67434+39472</f>
        <v>106906</v>
      </c>
      <c r="Y113" s="3">
        <f t="shared" si="6"/>
        <v>13858992</v>
      </c>
      <c r="AA113" s="8">
        <v>0</v>
      </c>
      <c r="AE113" s="8">
        <v>0</v>
      </c>
      <c r="AG113" s="8">
        <v>0</v>
      </c>
      <c r="AI113" s="8">
        <v>0</v>
      </c>
      <c r="AK113" s="8">
        <f t="shared" si="7"/>
        <v>0</v>
      </c>
      <c r="AM113" s="8">
        <f t="shared" si="8"/>
        <v>13858992</v>
      </c>
    </row>
    <row r="114" spans="1:39">
      <c r="A114" s="13" t="s">
        <v>491</v>
      </c>
      <c r="B114" s="13"/>
      <c r="C114" s="13" t="s">
        <v>44</v>
      </c>
      <c r="D114" s="13"/>
      <c r="E114" s="32">
        <v>48132</v>
      </c>
      <c r="G114" s="8">
        <v>2219590</v>
      </c>
      <c r="I114" s="8">
        <v>0</v>
      </c>
      <c r="K114" s="8">
        <v>7566010</v>
      </c>
      <c r="M114" s="8">
        <v>45803</v>
      </c>
      <c r="O114" s="8">
        <v>2859504</v>
      </c>
      <c r="Q114" s="8">
        <v>0</v>
      </c>
      <c r="S114" s="8">
        <v>0</v>
      </c>
      <c r="U114" s="8">
        <v>0</v>
      </c>
      <c r="W114" s="8">
        <v>80702</v>
      </c>
      <c r="Y114" s="3">
        <f t="shared" si="6"/>
        <v>12771609</v>
      </c>
      <c r="AA114" s="8">
        <v>0</v>
      </c>
      <c r="AE114" s="8">
        <v>99667</v>
      </c>
      <c r="AG114" s="8">
        <v>0</v>
      </c>
      <c r="AI114" s="8">
        <v>0</v>
      </c>
      <c r="AK114" s="8">
        <f t="shared" si="7"/>
        <v>99667</v>
      </c>
      <c r="AM114" s="8">
        <f t="shared" si="8"/>
        <v>12871276</v>
      </c>
    </row>
    <row r="115" spans="1:39">
      <c r="A115" s="13" t="s">
        <v>970</v>
      </c>
      <c r="B115" s="13"/>
      <c r="C115" s="13" t="s">
        <v>116</v>
      </c>
      <c r="D115" s="13"/>
      <c r="E115" s="32"/>
      <c r="G115" s="8">
        <v>8321083</v>
      </c>
      <c r="I115" s="8">
        <v>0</v>
      </c>
      <c r="K115" s="8">
        <v>6651253</v>
      </c>
      <c r="M115" s="8">
        <v>240551</v>
      </c>
      <c r="O115" s="8">
        <v>454697</v>
      </c>
      <c r="Q115" s="8">
        <v>0</v>
      </c>
      <c r="S115" s="8">
        <v>0</v>
      </c>
      <c r="U115" s="8">
        <v>0</v>
      </c>
      <c r="W115" s="8">
        <v>227568</v>
      </c>
      <c r="Y115" s="3">
        <f t="shared" si="6"/>
        <v>15895152</v>
      </c>
      <c r="AA115" s="8">
        <v>0</v>
      </c>
      <c r="AE115" s="8">
        <v>0</v>
      </c>
      <c r="AG115" s="8">
        <v>0</v>
      </c>
      <c r="AI115" s="8">
        <v>0</v>
      </c>
      <c r="AK115" s="8">
        <f t="shared" si="7"/>
        <v>0</v>
      </c>
      <c r="AM115" s="8">
        <f t="shared" si="8"/>
        <v>15895152</v>
      </c>
    </row>
    <row r="116" spans="1:39">
      <c r="A116" s="13" t="s">
        <v>307</v>
      </c>
      <c r="B116" s="13"/>
      <c r="C116" s="13" t="s">
        <v>20</v>
      </c>
      <c r="D116" s="13"/>
      <c r="E116" s="32">
        <v>43794</v>
      </c>
      <c r="G116" s="8">
        <v>66392483</v>
      </c>
      <c r="I116" s="8">
        <v>0</v>
      </c>
      <c r="K116" s="8">
        <v>27275330</v>
      </c>
      <c r="M116" s="8">
        <v>1676022</v>
      </c>
      <c r="O116" s="8">
        <v>718184</v>
      </c>
      <c r="Q116" s="8">
        <v>0</v>
      </c>
      <c r="S116" s="8">
        <v>85089</v>
      </c>
      <c r="U116" s="8">
        <v>0</v>
      </c>
      <c r="W116" s="8">
        <v>634635</v>
      </c>
      <c r="Y116" s="3">
        <f t="shared" si="6"/>
        <v>96781743</v>
      </c>
      <c r="AA116" s="8">
        <v>0</v>
      </c>
      <c r="AE116" s="8">
        <v>796303</v>
      </c>
      <c r="AG116" s="8">
        <v>0</v>
      </c>
      <c r="AI116" s="8">
        <v>0</v>
      </c>
      <c r="AK116" s="8">
        <f t="shared" si="7"/>
        <v>796303</v>
      </c>
      <c r="AM116" s="8">
        <f t="shared" si="8"/>
        <v>97578046</v>
      </c>
    </row>
    <row r="117" spans="1:39">
      <c r="A117" s="13" t="s">
        <v>308</v>
      </c>
      <c r="B117" s="13"/>
      <c r="C117" s="13" t="s">
        <v>20</v>
      </c>
      <c r="D117" s="13"/>
      <c r="E117" s="32">
        <v>43786</v>
      </c>
      <c r="G117" s="8">
        <v>181071438</v>
      </c>
      <c r="I117" s="8">
        <v>0</v>
      </c>
      <c r="K117" s="8">
        <f>399139185+3111752+4570644</f>
        <v>406821581</v>
      </c>
      <c r="M117" s="8">
        <v>8004425</v>
      </c>
      <c r="O117" s="8">
        <v>1366998</v>
      </c>
      <c r="Q117" s="8">
        <v>0</v>
      </c>
      <c r="S117" s="8">
        <v>0</v>
      </c>
      <c r="U117" s="8">
        <v>2375489</v>
      </c>
      <c r="W117" s="8">
        <v>4633313</v>
      </c>
      <c r="Y117" s="3">
        <f t="shared" si="6"/>
        <v>604273244</v>
      </c>
      <c r="AA117" s="8">
        <v>0</v>
      </c>
      <c r="AE117" s="8">
        <v>0</v>
      </c>
      <c r="AG117" s="8">
        <v>0</v>
      </c>
      <c r="AI117" s="8">
        <v>0</v>
      </c>
      <c r="AK117" s="8">
        <f t="shared" si="7"/>
        <v>0</v>
      </c>
      <c r="AM117" s="8">
        <f t="shared" si="8"/>
        <v>604273244</v>
      </c>
    </row>
    <row r="118" spans="1:39">
      <c r="A118" s="13" t="s">
        <v>279</v>
      </c>
      <c r="B118" s="13"/>
      <c r="C118" s="13" t="s">
        <v>18</v>
      </c>
      <c r="D118" s="13"/>
      <c r="E118" s="32">
        <v>46391</v>
      </c>
      <c r="F118" s="11"/>
      <c r="G118" s="8">
        <v>3951315</v>
      </c>
      <c r="I118" s="8">
        <v>0</v>
      </c>
      <c r="K118" s="8">
        <v>9542558</v>
      </c>
      <c r="M118" s="8">
        <v>363204</v>
      </c>
      <c r="O118" s="8">
        <v>54303</v>
      </c>
      <c r="Q118" s="8">
        <v>0</v>
      </c>
      <c r="S118" s="8">
        <v>0</v>
      </c>
      <c r="U118" s="8">
        <v>0</v>
      </c>
      <c r="W118" s="8">
        <f>4134+41896</f>
        <v>46030</v>
      </c>
      <c r="Y118" s="3">
        <f t="shared" si="6"/>
        <v>13957410</v>
      </c>
      <c r="AA118" s="8">
        <v>514653</v>
      </c>
      <c r="AE118" s="8">
        <v>0</v>
      </c>
      <c r="AG118" s="8">
        <v>0</v>
      </c>
      <c r="AI118" s="8">
        <v>0</v>
      </c>
      <c r="AK118" s="8">
        <f t="shared" si="7"/>
        <v>514653</v>
      </c>
      <c r="AM118" s="8">
        <f t="shared" si="8"/>
        <v>14472063</v>
      </c>
    </row>
    <row r="119" spans="1:39">
      <c r="A119" s="13" t="s">
        <v>533</v>
      </c>
      <c r="B119" s="13"/>
      <c r="C119" s="13" t="s">
        <v>47</v>
      </c>
      <c r="D119" s="13"/>
      <c r="E119" s="13">
        <v>48488</v>
      </c>
      <c r="G119" s="8">
        <v>12825356</v>
      </c>
      <c r="I119" s="8">
        <v>0</v>
      </c>
      <c r="K119" s="8">
        <v>12247502</v>
      </c>
      <c r="M119" s="8">
        <v>133705</v>
      </c>
      <c r="O119" s="8">
        <v>447451</v>
      </c>
      <c r="Q119" s="8">
        <v>91909</v>
      </c>
      <c r="S119" s="8">
        <v>0</v>
      </c>
      <c r="U119" s="8">
        <v>96</v>
      </c>
      <c r="W119" s="8">
        <f>986+78350</f>
        <v>79336</v>
      </c>
      <c r="Y119" s="3">
        <f t="shared" si="6"/>
        <v>25825355</v>
      </c>
      <c r="AA119" s="8">
        <v>0</v>
      </c>
      <c r="AE119" s="8">
        <v>214</v>
      </c>
      <c r="AG119" s="8">
        <v>0</v>
      </c>
      <c r="AI119" s="8">
        <v>0</v>
      </c>
      <c r="AK119" s="8">
        <f t="shared" si="7"/>
        <v>214</v>
      </c>
      <c r="AM119" s="8">
        <f t="shared" si="8"/>
        <v>25825569</v>
      </c>
    </row>
    <row r="120" spans="1:39">
      <c r="A120" s="13" t="s">
        <v>627</v>
      </c>
      <c r="B120" s="13"/>
      <c r="C120" s="13" t="s">
        <v>79</v>
      </c>
      <c r="D120" s="13"/>
      <c r="E120" s="32">
        <v>45302</v>
      </c>
      <c r="G120" s="8">
        <v>6988241</v>
      </c>
      <c r="I120" s="8">
        <v>0</v>
      </c>
      <c r="K120" s="8">
        <v>10855784</v>
      </c>
      <c r="M120" s="8">
        <v>171531</v>
      </c>
      <c r="O120" s="8">
        <f>542123+61069</f>
        <v>603192</v>
      </c>
      <c r="Q120" s="8">
        <v>19395</v>
      </c>
      <c r="S120" s="8">
        <v>0</v>
      </c>
      <c r="U120" s="8">
        <v>0</v>
      </c>
      <c r="W120" s="8">
        <f>391648</f>
        <v>391648</v>
      </c>
      <c r="Y120" s="3">
        <f t="shared" si="6"/>
        <v>19029791</v>
      </c>
      <c r="AA120" s="8">
        <v>0</v>
      </c>
      <c r="AE120" s="8">
        <f>972375+2460</f>
        <v>974835</v>
      </c>
      <c r="AG120" s="8">
        <v>0</v>
      </c>
      <c r="AI120" s="8">
        <v>0</v>
      </c>
      <c r="AK120" s="8">
        <f t="shared" si="7"/>
        <v>974835</v>
      </c>
      <c r="AM120" s="8">
        <f t="shared" si="8"/>
        <v>20004626</v>
      </c>
    </row>
    <row r="121" spans="1:39">
      <c r="A121" s="13" t="s">
        <v>296</v>
      </c>
      <c r="B121" s="13"/>
      <c r="C121" s="13" t="s">
        <v>114</v>
      </c>
      <c r="D121" s="13"/>
      <c r="E121" s="32">
        <v>46516</v>
      </c>
      <c r="F121" s="11"/>
      <c r="G121" s="8">
        <v>3364531</v>
      </c>
      <c r="I121" s="8">
        <v>0</v>
      </c>
      <c r="K121" s="8">
        <f>12624+3339706+111034</f>
        <v>3463364</v>
      </c>
      <c r="M121" s="8">
        <v>117599</v>
      </c>
      <c r="O121" s="8">
        <v>823059</v>
      </c>
      <c r="Q121" s="8">
        <v>22212</v>
      </c>
      <c r="S121" s="8">
        <v>0</v>
      </c>
      <c r="U121" s="8">
        <v>0</v>
      </c>
      <c r="W121" s="8">
        <f>62504+37336</f>
        <v>99840</v>
      </c>
      <c r="Y121" s="3">
        <f t="shared" si="6"/>
        <v>7890605</v>
      </c>
      <c r="AA121" s="8">
        <v>0</v>
      </c>
      <c r="AE121" s="8">
        <v>0</v>
      </c>
      <c r="AG121" s="8">
        <v>0</v>
      </c>
      <c r="AI121" s="8">
        <v>0</v>
      </c>
      <c r="AK121" s="8">
        <f t="shared" si="7"/>
        <v>0</v>
      </c>
      <c r="AM121" s="8">
        <f t="shared" si="8"/>
        <v>7890605</v>
      </c>
    </row>
    <row r="122" spans="1:39">
      <c r="A122" s="13" t="s">
        <v>492</v>
      </c>
      <c r="B122" s="13"/>
      <c r="C122" s="13" t="s">
        <v>44</v>
      </c>
      <c r="D122" s="13"/>
      <c r="E122" s="32">
        <v>48140</v>
      </c>
      <c r="G122" s="8">
        <v>5283117</v>
      </c>
      <c r="I122" s="8">
        <v>0</v>
      </c>
      <c r="K122" s="8">
        <v>3866859</v>
      </c>
      <c r="M122" s="8">
        <v>141079</v>
      </c>
      <c r="O122" s="8">
        <v>19801</v>
      </c>
      <c r="Q122" s="8">
        <v>0</v>
      </c>
      <c r="S122" s="8">
        <v>0</v>
      </c>
      <c r="U122" s="8">
        <v>0</v>
      </c>
      <c r="W122" s="8">
        <f>28053+23324+409750</f>
        <v>461127</v>
      </c>
      <c r="Y122" s="3">
        <f t="shared" si="6"/>
        <v>9771983</v>
      </c>
      <c r="AA122" s="8">
        <v>0</v>
      </c>
      <c r="AE122" s="8">
        <v>0</v>
      </c>
      <c r="AG122" s="8">
        <v>0</v>
      </c>
      <c r="AI122" s="8">
        <v>0</v>
      </c>
      <c r="AK122" s="8">
        <f t="shared" si="7"/>
        <v>0</v>
      </c>
      <c r="AM122" s="8">
        <f t="shared" si="8"/>
        <v>9771983</v>
      </c>
    </row>
    <row r="123" spans="1:39">
      <c r="A123" s="13" t="s">
        <v>283</v>
      </c>
      <c r="B123" s="13"/>
      <c r="C123" s="13" t="s">
        <v>115</v>
      </c>
      <c r="D123" s="13"/>
      <c r="E123" s="32">
        <v>45328</v>
      </c>
      <c r="F123" s="11"/>
      <c r="G123" s="8">
        <v>3137130</v>
      </c>
      <c r="I123" s="8">
        <v>1552857</v>
      </c>
      <c r="K123" s="8">
        <v>2725184</v>
      </c>
      <c r="M123" s="8">
        <v>130650</v>
      </c>
      <c r="O123" s="8">
        <v>720406</v>
      </c>
      <c r="Q123" s="8">
        <v>0</v>
      </c>
      <c r="S123" s="8">
        <v>0</v>
      </c>
      <c r="U123" s="8">
        <v>700</v>
      </c>
      <c r="W123" s="8">
        <f>8245+72727+13137</f>
        <v>94109</v>
      </c>
      <c r="Y123" s="3">
        <f t="shared" si="6"/>
        <v>8361036</v>
      </c>
      <c r="AA123" s="8">
        <v>0</v>
      </c>
      <c r="AE123" s="8">
        <v>2035</v>
      </c>
      <c r="AG123" s="8">
        <v>0</v>
      </c>
      <c r="AI123" s="8">
        <v>0</v>
      </c>
      <c r="AK123" s="8">
        <f t="shared" si="7"/>
        <v>2035</v>
      </c>
      <c r="AM123" s="8">
        <f t="shared" si="8"/>
        <v>8363071</v>
      </c>
    </row>
    <row r="124" spans="1:39">
      <c r="A124" s="13" t="s">
        <v>358</v>
      </c>
      <c r="B124" s="13"/>
      <c r="C124" s="13" t="s">
        <v>27</v>
      </c>
      <c r="D124" s="13"/>
      <c r="E124" s="32">
        <v>43802</v>
      </c>
      <c r="G124" s="8">
        <v>332182019</v>
      </c>
      <c r="I124" s="8">
        <v>0</v>
      </c>
      <c r="K124" s="8">
        <v>235891421</v>
      </c>
      <c r="M124" s="8">
        <v>6456950</v>
      </c>
      <c r="O124" s="8">
        <f>7127453</f>
        <v>7127453</v>
      </c>
      <c r="Q124" s="8">
        <v>0</v>
      </c>
      <c r="S124" s="8">
        <v>5992191</v>
      </c>
      <c r="U124" s="8">
        <v>140000</v>
      </c>
      <c r="W124" s="8">
        <f>600515+8213482</f>
        <v>8813997</v>
      </c>
      <c r="Y124" s="3">
        <f t="shared" si="6"/>
        <v>596604031</v>
      </c>
      <c r="AA124" s="8">
        <v>0</v>
      </c>
      <c r="AE124" s="8">
        <v>89927</v>
      </c>
      <c r="AG124" s="8">
        <v>0</v>
      </c>
      <c r="AI124" s="8">
        <v>0</v>
      </c>
      <c r="AK124" s="8">
        <f t="shared" si="7"/>
        <v>89927</v>
      </c>
      <c r="AM124" s="8">
        <f t="shared" si="8"/>
        <v>596693958</v>
      </c>
    </row>
    <row r="125" spans="1:39">
      <c r="A125" s="13" t="s">
        <v>220</v>
      </c>
      <c r="B125" s="13"/>
      <c r="C125" s="13" t="s">
        <v>12</v>
      </c>
      <c r="D125" s="13"/>
      <c r="E125" s="32">
        <v>43810</v>
      </c>
      <c r="F125" s="11"/>
      <c r="G125" s="8">
        <v>3764191</v>
      </c>
      <c r="I125" s="8">
        <v>0</v>
      </c>
      <c r="K125" s="8">
        <v>11876256</v>
      </c>
      <c r="M125" s="8">
        <v>201674</v>
      </c>
      <c r="O125" s="8">
        <f>174215</f>
        <v>174215</v>
      </c>
      <c r="Q125" s="8">
        <v>0</v>
      </c>
      <c r="S125" s="8">
        <v>0</v>
      </c>
      <c r="U125" s="8">
        <f>0</f>
        <v>0</v>
      </c>
      <c r="W125" s="8">
        <f>4469+2028+101524</f>
        <v>108021</v>
      </c>
      <c r="Y125" s="3">
        <f t="shared" si="6"/>
        <v>16124357</v>
      </c>
      <c r="AA125" s="8">
        <v>0</v>
      </c>
      <c r="AE125" s="8">
        <v>0</v>
      </c>
      <c r="AG125" s="8">
        <v>0</v>
      </c>
      <c r="AI125" s="8">
        <v>0</v>
      </c>
      <c r="AK125" s="8">
        <f t="shared" si="7"/>
        <v>0</v>
      </c>
      <c r="AM125" s="8">
        <f t="shared" si="8"/>
        <v>16124357</v>
      </c>
    </row>
    <row r="126" spans="1:39">
      <c r="A126" s="13" t="s">
        <v>432</v>
      </c>
      <c r="B126" s="13"/>
      <c r="C126" s="13" t="s">
        <v>433</v>
      </c>
      <c r="D126" s="13"/>
      <c r="E126" s="32">
        <v>47548</v>
      </c>
      <c r="G126" s="8">
        <v>2203329</v>
      </c>
      <c r="I126" s="8">
        <v>0</v>
      </c>
      <c r="K126" s="8">
        <v>2661851</v>
      </c>
      <c r="M126" s="8">
        <v>85107</v>
      </c>
      <c r="O126" s="8">
        <v>306843</v>
      </c>
      <c r="Q126" s="8">
        <v>0</v>
      </c>
      <c r="S126" s="8">
        <v>0</v>
      </c>
      <c r="U126" s="8">
        <v>0</v>
      </c>
      <c r="W126" s="8">
        <v>20664</v>
      </c>
      <c r="Y126" s="3">
        <f t="shared" si="6"/>
        <v>5277794</v>
      </c>
      <c r="AA126" s="8">
        <v>0</v>
      </c>
      <c r="AE126" s="8">
        <v>0</v>
      </c>
      <c r="AG126" s="8">
        <v>0</v>
      </c>
      <c r="AI126" s="8">
        <v>0</v>
      </c>
      <c r="AK126" s="8">
        <f t="shared" si="7"/>
        <v>0</v>
      </c>
      <c r="AM126" s="8">
        <f t="shared" si="8"/>
        <v>5277794</v>
      </c>
    </row>
    <row r="127" spans="1:39">
      <c r="A127" s="13" t="s">
        <v>669</v>
      </c>
      <c r="B127" s="13"/>
      <c r="C127" s="13" t="s">
        <v>63</v>
      </c>
      <c r="D127" s="13"/>
      <c r="E127" s="32">
        <v>49981</v>
      </c>
      <c r="G127" s="8">
        <v>21730456</v>
      </c>
      <c r="I127" s="8">
        <v>0</v>
      </c>
      <c r="K127" s="8">
        <v>5623706</v>
      </c>
      <c r="M127" s="8">
        <v>550279</v>
      </c>
      <c r="O127" s="8">
        <v>487023</v>
      </c>
      <c r="Q127" s="8">
        <v>0</v>
      </c>
      <c r="S127" s="8">
        <v>0</v>
      </c>
      <c r="U127" s="8">
        <v>114</v>
      </c>
      <c r="W127" s="8">
        <f>17817+21743+214052</f>
        <v>253612</v>
      </c>
      <c r="Y127" s="3">
        <f t="shared" si="6"/>
        <v>28645190</v>
      </c>
      <c r="AA127" s="8">
        <v>0</v>
      </c>
      <c r="AE127" s="8">
        <v>0</v>
      </c>
      <c r="AG127" s="8">
        <v>0</v>
      </c>
      <c r="AI127" s="8">
        <v>0</v>
      </c>
      <c r="AK127" s="8">
        <f t="shared" si="7"/>
        <v>0</v>
      </c>
      <c r="AM127" s="8">
        <f t="shared" si="8"/>
        <v>28645190</v>
      </c>
    </row>
    <row r="128" spans="1:39">
      <c r="A128" s="13" t="s">
        <v>420</v>
      </c>
      <c r="B128" s="13"/>
      <c r="C128" s="13" t="s">
        <v>33</v>
      </c>
      <c r="D128" s="13"/>
      <c r="E128" s="32">
        <v>47431</v>
      </c>
      <c r="G128" s="8">
        <v>1555800</v>
      </c>
      <c r="I128" s="8">
        <v>1396152</v>
      </c>
      <c r="K128" s="8">
        <v>3108522</v>
      </c>
      <c r="M128" s="8">
        <v>48257</v>
      </c>
      <c r="O128" s="8">
        <v>260962</v>
      </c>
      <c r="Q128" s="8">
        <v>0</v>
      </c>
      <c r="S128" s="8">
        <v>23292</v>
      </c>
      <c r="U128" s="8">
        <v>6411</v>
      </c>
      <c r="W128" s="8">
        <v>10880</v>
      </c>
      <c r="Y128" s="3">
        <f t="shared" si="6"/>
        <v>6410276</v>
      </c>
      <c r="AA128" s="8">
        <v>0</v>
      </c>
      <c r="AE128" s="8">
        <v>0</v>
      </c>
      <c r="AG128" s="8">
        <v>0</v>
      </c>
      <c r="AI128" s="8">
        <v>0</v>
      </c>
      <c r="AK128" s="8">
        <f t="shared" si="7"/>
        <v>0</v>
      </c>
      <c r="AM128" s="8">
        <f t="shared" si="8"/>
        <v>6410276</v>
      </c>
    </row>
    <row r="129" spans="1:39">
      <c r="A129" s="13" t="s">
        <v>291</v>
      </c>
      <c r="B129" s="13"/>
      <c r="C129" s="13" t="s">
        <v>19</v>
      </c>
      <c r="D129" s="13"/>
      <c r="E129" s="32">
        <v>43828</v>
      </c>
      <c r="F129" s="11"/>
      <c r="G129" s="8">
        <v>4608772</v>
      </c>
      <c r="I129" s="8">
        <v>0</v>
      </c>
      <c r="K129" s="8">
        <v>8607937</v>
      </c>
      <c r="M129" s="8">
        <v>173499</v>
      </c>
      <c r="O129" s="8">
        <f>817079+20185</f>
        <v>837264</v>
      </c>
      <c r="Q129" s="8">
        <v>0</v>
      </c>
      <c r="S129" s="8">
        <v>0</v>
      </c>
      <c r="U129" s="8">
        <v>0</v>
      </c>
      <c r="W129" s="8">
        <v>4896</v>
      </c>
      <c r="Y129" s="3">
        <f t="shared" si="6"/>
        <v>14232368</v>
      </c>
      <c r="AA129" s="8">
        <v>113</v>
      </c>
      <c r="AE129" s="8">
        <v>0</v>
      </c>
      <c r="AG129" s="8">
        <v>0</v>
      </c>
      <c r="AI129" s="8">
        <v>0</v>
      </c>
      <c r="AK129" s="8">
        <f t="shared" si="7"/>
        <v>113</v>
      </c>
      <c r="AM129" s="8">
        <f t="shared" si="8"/>
        <v>14232481</v>
      </c>
    </row>
    <row r="130" spans="1:39">
      <c r="A130" s="13" t="s">
        <v>832</v>
      </c>
      <c r="B130" s="13"/>
      <c r="C130" s="13" t="s">
        <v>63</v>
      </c>
      <c r="D130" s="13"/>
      <c r="E130" s="32"/>
      <c r="F130" s="11"/>
      <c r="G130" s="8">
        <v>8652668</v>
      </c>
      <c r="I130" s="8">
        <v>0</v>
      </c>
      <c r="K130" s="8">
        <v>4890235</v>
      </c>
      <c r="M130" s="8">
        <v>108098</v>
      </c>
      <c r="O130" s="8">
        <v>4779285</v>
      </c>
      <c r="Q130" s="8">
        <v>16230</v>
      </c>
      <c r="S130" s="8">
        <v>0</v>
      </c>
      <c r="U130" s="8">
        <v>0</v>
      </c>
      <c r="W130" s="8">
        <f>81546+71958</f>
        <v>153504</v>
      </c>
      <c r="Y130" s="3">
        <f t="shared" si="6"/>
        <v>18600020</v>
      </c>
      <c r="AA130" s="8">
        <v>0</v>
      </c>
      <c r="AE130" s="8">
        <v>0</v>
      </c>
      <c r="AG130" s="8">
        <v>0</v>
      </c>
      <c r="AI130" s="8">
        <v>0</v>
      </c>
      <c r="AK130" s="8">
        <f t="shared" si="7"/>
        <v>0</v>
      </c>
      <c r="AM130" s="8">
        <f t="shared" si="8"/>
        <v>18600020</v>
      </c>
    </row>
    <row r="131" spans="1:39">
      <c r="A131" s="13" t="s">
        <v>544</v>
      </c>
      <c r="B131" s="13"/>
      <c r="C131" s="13" t="s">
        <v>48</v>
      </c>
      <c r="D131" s="13"/>
      <c r="E131" s="32">
        <v>45336</v>
      </c>
      <c r="G131" s="8">
        <v>3332231</v>
      </c>
      <c r="I131" s="8">
        <v>0</v>
      </c>
      <c r="K131" s="8">
        <f>3383249+6798</f>
        <v>3390047</v>
      </c>
      <c r="M131" s="8">
        <v>61063</v>
      </c>
      <c r="O131" s="8">
        <f>347086+40836</f>
        <v>387922</v>
      </c>
      <c r="Q131" s="8">
        <v>0</v>
      </c>
      <c r="S131" s="8">
        <v>0</v>
      </c>
      <c r="U131" s="8">
        <v>0</v>
      </c>
      <c r="W131" s="8">
        <v>69111</v>
      </c>
      <c r="Y131" s="3">
        <f t="shared" si="6"/>
        <v>7240374</v>
      </c>
      <c r="AA131" s="8">
        <v>0</v>
      </c>
      <c r="AE131" s="8">
        <v>0</v>
      </c>
      <c r="AG131" s="8">
        <v>0</v>
      </c>
      <c r="AI131" s="8">
        <v>0</v>
      </c>
      <c r="AK131" s="8">
        <f t="shared" si="7"/>
        <v>0</v>
      </c>
      <c r="AM131" s="8">
        <f t="shared" si="8"/>
        <v>7240374</v>
      </c>
    </row>
    <row r="132" spans="1:39">
      <c r="A132" s="13" t="s">
        <v>297</v>
      </c>
      <c r="B132" s="13"/>
      <c r="C132" s="13" t="s">
        <v>114</v>
      </c>
      <c r="D132" s="13"/>
      <c r="E132" s="32">
        <v>45344</v>
      </c>
      <c r="G132" s="8">
        <v>2491910</v>
      </c>
      <c r="I132" s="8">
        <v>0</v>
      </c>
      <c r="K132" s="8">
        <v>4030153</v>
      </c>
      <c r="M132" s="8">
        <v>98921</v>
      </c>
      <c r="O132" s="8">
        <v>229546</v>
      </c>
      <c r="Q132" s="8">
        <v>0</v>
      </c>
      <c r="S132" s="8">
        <v>0</v>
      </c>
      <c r="U132" s="8">
        <v>0</v>
      </c>
      <c r="W132" s="8">
        <f>319+25953</f>
        <v>26272</v>
      </c>
      <c r="Y132" s="3">
        <f t="shared" si="6"/>
        <v>6876802</v>
      </c>
      <c r="AA132" s="8">
        <v>0</v>
      </c>
      <c r="AE132" s="8">
        <v>0</v>
      </c>
      <c r="AG132" s="8">
        <v>0</v>
      </c>
      <c r="AI132" s="8">
        <v>0</v>
      </c>
      <c r="AK132" s="8">
        <f t="shared" si="7"/>
        <v>0</v>
      </c>
      <c r="AM132" s="8">
        <f t="shared" si="8"/>
        <v>6876802</v>
      </c>
    </row>
    <row r="133" spans="1:39">
      <c r="A133" s="13" t="s">
        <v>284</v>
      </c>
      <c r="B133" s="13"/>
      <c r="C133" s="13" t="s">
        <v>115</v>
      </c>
      <c r="D133" s="13"/>
      <c r="E133" s="32">
        <v>46433</v>
      </c>
      <c r="F133" s="11"/>
      <c r="G133" s="8">
        <v>1843225</v>
      </c>
      <c r="I133" s="8">
        <v>1231003</v>
      </c>
      <c r="K133" s="8">
        <v>5058259</v>
      </c>
      <c r="M133" s="8">
        <v>85738</v>
      </c>
      <c r="O133" s="8">
        <v>1390680</v>
      </c>
      <c r="Q133" s="8">
        <v>0</v>
      </c>
      <c r="S133" s="8">
        <v>0</v>
      </c>
      <c r="U133" s="8">
        <v>0</v>
      </c>
      <c r="W133" s="8">
        <f>372+92900</f>
        <v>93272</v>
      </c>
      <c r="Y133" s="3">
        <f t="shared" si="6"/>
        <v>9702177</v>
      </c>
      <c r="AA133" s="8">
        <v>0</v>
      </c>
      <c r="AE133" s="8">
        <v>2200</v>
      </c>
      <c r="AG133" s="8">
        <v>0</v>
      </c>
      <c r="AI133" s="8">
        <v>0</v>
      </c>
      <c r="AK133" s="8">
        <f t="shared" si="7"/>
        <v>2200</v>
      </c>
      <c r="AM133" s="8">
        <f t="shared" si="8"/>
        <v>9704377</v>
      </c>
    </row>
    <row r="134" spans="1:39">
      <c r="A134" s="13" t="s">
        <v>284</v>
      </c>
      <c r="B134" s="13"/>
      <c r="C134" s="13" t="s">
        <v>113</v>
      </c>
      <c r="D134" s="13"/>
      <c r="E134" s="32">
        <v>49429</v>
      </c>
      <c r="G134" s="8">
        <v>2232437</v>
      </c>
      <c r="I134" s="8">
        <v>0</v>
      </c>
      <c r="K134" s="8">
        <v>6983844</v>
      </c>
      <c r="M134" s="8">
        <v>311409</v>
      </c>
      <c r="O134" s="8">
        <f>115612+53259</f>
        <v>168871</v>
      </c>
      <c r="Q134" s="8">
        <v>0</v>
      </c>
      <c r="S134" s="8">
        <v>0</v>
      </c>
      <c r="U134" s="8">
        <v>0</v>
      </c>
      <c r="W134" s="8">
        <v>18366</v>
      </c>
      <c r="Y134" s="3">
        <f t="shared" si="6"/>
        <v>9714927</v>
      </c>
      <c r="AA134" s="8">
        <v>0</v>
      </c>
      <c r="AE134" s="8">
        <v>0</v>
      </c>
      <c r="AG134" s="8">
        <v>0</v>
      </c>
      <c r="AI134" s="8">
        <v>0</v>
      </c>
      <c r="AK134" s="8">
        <f t="shared" si="7"/>
        <v>0</v>
      </c>
      <c r="AM134" s="8">
        <f t="shared" si="8"/>
        <v>9714927</v>
      </c>
    </row>
    <row r="135" spans="1:39">
      <c r="A135" s="13" t="s">
        <v>596</v>
      </c>
      <c r="B135" s="13"/>
      <c r="C135" s="13" t="s">
        <v>56</v>
      </c>
      <c r="D135" s="13"/>
      <c r="E135" s="32">
        <v>49189</v>
      </c>
      <c r="G135" s="8">
        <v>5867029</v>
      </c>
      <c r="I135" s="8">
        <v>0</v>
      </c>
      <c r="K135" s="8">
        <v>13120213</v>
      </c>
      <c r="M135" s="8">
        <v>258421</v>
      </c>
      <c r="O135" s="8">
        <f>1151936+3588</f>
        <v>1155524</v>
      </c>
      <c r="Q135" s="8">
        <v>0</v>
      </c>
      <c r="S135" s="8">
        <v>0</v>
      </c>
      <c r="U135" s="8">
        <v>0</v>
      </c>
      <c r="W135" s="8">
        <v>245520</v>
      </c>
      <c r="Y135" s="3">
        <f t="shared" si="6"/>
        <v>20646707</v>
      </c>
      <c r="AA135" s="8">
        <v>0</v>
      </c>
      <c r="AE135" s="8">
        <v>0</v>
      </c>
      <c r="AG135" s="8">
        <v>0</v>
      </c>
      <c r="AI135" s="8">
        <v>0</v>
      </c>
      <c r="AK135" s="8">
        <f t="shared" si="7"/>
        <v>0</v>
      </c>
      <c r="AM135" s="8">
        <f t="shared" si="8"/>
        <v>20646707</v>
      </c>
    </row>
    <row r="136" spans="1:39">
      <c r="A136" s="13" t="s">
        <v>833</v>
      </c>
      <c r="B136" s="13"/>
      <c r="C136" s="13" t="s">
        <v>586</v>
      </c>
      <c r="D136" s="13"/>
      <c r="E136" s="32"/>
      <c r="G136" s="8">
        <v>372580</v>
      </c>
      <c r="I136" s="8">
        <v>0</v>
      </c>
      <c r="K136" s="8">
        <v>6918078</v>
      </c>
      <c r="M136" s="8">
        <v>138990</v>
      </c>
      <c r="O136" s="8">
        <f>521056+638</f>
        <v>521694</v>
      </c>
      <c r="Q136" s="8">
        <v>0</v>
      </c>
      <c r="S136" s="8">
        <v>0</v>
      </c>
      <c r="U136" s="8">
        <v>0</v>
      </c>
      <c r="W136" s="8">
        <v>22608</v>
      </c>
      <c r="Y136" s="3">
        <f t="shared" si="6"/>
        <v>7973950</v>
      </c>
      <c r="AA136" s="8">
        <v>0</v>
      </c>
      <c r="AE136" s="8">
        <v>0</v>
      </c>
      <c r="AG136" s="8">
        <v>0</v>
      </c>
      <c r="AI136" s="8">
        <v>0</v>
      </c>
      <c r="AK136" s="8">
        <f t="shared" si="7"/>
        <v>0</v>
      </c>
      <c r="AM136" s="8">
        <f t="shared" si="8"/>
        <v>7973950</v>
      </c>
    </row>
    <row r="137" spans="1:39">
      <c r="A137" s="13" t="s">
        <v>670</v>
      </c>
      <c r="B137" s="13"/>
      <c r="C137" s="13" t="s">
        <v>63</v>
      </c>
      <c r="D137" s="13"/>
      <c r="E137" s="32">
        <v>43836</v>
      </c>
      <c r="G137" s="8">
        <v>25781355</v>
      </c>
      <c r="I137" s="8">
        <v>0</v>
      </c>
      <c r="K137" s="8">
        <v>16882369</v>
      </c>
      <c r="M137" s="8">
        <v>491289</v>
      </c>
      <c r="O137" s="8">
        <f>3432031+19343+9409</f>
        <v>3460783</v>
      </c>
      <c r="Q137" s="8">
        <v>73500</v>
      </c>
      <c r="S137" s="8">
        <v>0</v>
      </c>
      <c r="U137" s="8">
        <v>0</v>
      </c>
      <c r="W137" s="8">
        <v>365414</v>
      </c>
      <c r="Y137" s="3">
        <f t="shared" si="6"/>
        <v>47054710</v>
      </c>
      <c r="AA137" s="8">
        <v>0</v>
      </c>
      <c r="AE137" s="8">
        <v>484995</v>
      </c>
      <c r="AG137" s="8">
        <v>0</v>
      </c>
      <c r="AI137" s="8">
        <v>0</v>
      </c>
      <c r="AK137" s="8">
        <f t="shared" si="7"/>
        <v>484995</v>
      </c>
      <c r="AM137" s="8">
        <f t="shared" si="8"/>
        <v>47539705</v>
      </c>
    </row>
    <row r="138" spans="1:39">
      <c r="A138" s="13" t="s">
        <v>309</v>
      </c>
      <c r="B138" s="13"/>
      <c r="C138" s="13" t="s">
        <v>20</v>
      </c>
      <c r="D138" s="13"/>
      <c r="E138" s="32">
        <v>46557</v>
      </c>
      <c r="G138" s="8">
        <v>10412224</v>
      </c>
      <c r="I138" s="8">
        <v>0</v>
      </c>
      <c r="K138" s="8">
        <v>3611142</v>
      </c>
      <c r="M138" s="8">
        <v>513086</v>
      </c>
      <c r="O138" s="8">
        <v>467495</v>
      </c>
      <c r="Q138" s="8">
        <v>16103</v>
      </c>
      <c r="S138" s="8">
        <v>0</v>
      </c>
      <c r="U138" s="8">
        <v>0</v>
      </c>
      <c r="W138" s="8">
        <f>1797+24203</f>
        <v>26000</v>
      </c>
      <c r="Y138" s="3">
        <f t="shared" si="6"/>
        <v>15046050</v>
      </c>
      <c r="AA138" s="8">
        <v>32329</v>
      </c>
      <c r="AE138" s="8">
        <v>1650</v>
      </c>
      <c r="AG138" s="8">
        <v>0</v>
      </c>
      <c r="AI138" s="8">
        <v>0</v>
      </c>
      <c r="AK138" s="8">
        <f t="shared" si="7"/>
        <v>33979</v>
      </c>
      <c r="AM138" s="8">
        <f t="shared" si="8"/>
        <v>15080029</v>
      </c>
    </row>
    <row r="139" spans="1:39">
      <c r="A139" s="13" t="s">
        <v>846</v>
      </c>
      <c r="B139" s="13"/>
      <c r="C139" s="13" t="s">
        <v>71</v>
      </c>
      <c r="D139" s="13"/>
      <c r="E139" s="32">
        <v>48934</v>
      </c>
      <c r="G139" s="8">
        <v>3710167</v>
      </c>
      <c r="I139" s="8">
        <v>0</v>
      </c>
      <c r="K139" s="8">
        <f>3648334</f>
        <v>3648334</v>
      </c>
      <c r="M139" s="8">
        <v>54881</v>
      </c>
      <c r="O139" s="8">
        <v>7748</v>
      </c>
      <c r="Q139" s="8">
        <v>0</v>
      </c>
      <c r="S139" s="8">
        <v>0</v>
      </c>
      <c r="U139" s="8">
        <v>0</v>
      </c>
      <c r="W139" s="8">
        <f>61971+2110</f>
        <v>64081</v>
      </c>
      <c r="Y139" s="3">
        <f t="shared" si="6"/>
        <v>7485211</v>
      </c>
      <c r="AA139" s="8">
        <v>5397</v>
      </c>
      <c r="AE139" s="8">
        <v>0</v>
      </c>
      <c r="AG139" s="8">
        <v>83502</v>
      </c>
      <c r="AI139" s="8">
        <v>0</v>
      </c>
      <c r="AK139" s="8">
        <f t="shared" si="7"/>
        <v>88899</v>
      </c>
      <c r="AM139" s="8">
        <f t="shared" si="8"/>
        <v>7574110</v>
      </c>
    </row>
    <row r="140" spans="1:39">
      <c r="A140" s="13" t="s">
        <v>460</v>
      </c>
      <c r="B140" s="13"/>
      <c r="C140" s="13" t="s">
        <v>40</v>
      </c>
      <c r="D140" s="13"/>
      <c r="E140" s="32">
        <v>47837</v>
      </c>
      <c r="G140" s="8">
        <v>859688</v>
      </c>
      <c r="I140" s="8">
        <v>1005922</v>
      </c>
      <c r="K140" s="8">
        <v>3148809</v>
      </c>
      <c r="M140" s="8">
        <v>118557</v>
      </c>
      <c r="O140" s="8">
        <v>594728</v>
      </c>
      <c r="Q140" s="8">
        <v>0</v>
      </c>
      <c r="S140" s="8">
        <v>0</v>
      </c>
      <c r="U140" s="8">
        <v>5470</v>
      </c>
      <c r="W140" s="8">
        <f>14725+65865</f>
        <v>80590</v>
      </c>
      <c r="Y140" s="3">
        <f t="shared" si="6"/>
        <v>5813764</v>
      </c>
      <c r="AA140" s="8">
        <v>0</v>
      </c>
      <c r="AE140" s="8">
        <v>0</v>
      </c>
      <c r="AG140" s="8">
        <v>0</v>
      </c>
      <c r="AI140" s="8">
        <v>0</v>
      </c>
      <c r="AK140" s="8">
        <f t="shared" si="7"/>
        <v>0</v>
      </c>
      <c r="AM140" s="8">
        <f t="shared" si="8"/>
        <v>5813764</v>
      </c>
    </row>
    <row r="141" spans="1:39">
      <c r="A141" s="13" t="s">
        <v>472</v>
      </c>
      <c r="B141" s="13"/>
      <c r="C141" s="13" t="s">
        <v>471</v>
      </c>
      <c r="D141" s="13"/>
      <c r="E141" s="32">
        <v>47928</v>
      </c>
      <c r="G141" s="8">
        <v>1239068</v>
      </c>
      <c r="I141" s="8">
        <v>0</v>
      </c>
      <c r="K141" s="8">
        <v>8184012</v>
      </c>
      <c r="M141" s="8">
        <v>216206</v>
      </c>
      <c r="O141" s="8">
        <v>813160</v>
      </c>
      <c r="Q141" s="8">
        <v>0</v>
      </c>
      <c r="S141" s="8">
        <v>0</v>
      </c>
      <c r="U141" s="8">
        <v>0</v>
      </c>
      <c r="W141" s="8">
        <v>37366</v>
      </c>
      <c r="Y141" s="3">
        <f t="shared" si="6"/>
        <v>10489812</v>
      </c>
      <c r="AA141" s="8">
        <v>0</v>
      </c>
      <c r="AE141" s="8">
        <v>0</v>
      </c>
      <c r="AG141" s="8">
        <v>0</v>
      </c>
      <c r="AI141" s="8">
        <v>0</v>
      </c>
      <c r="AK141" s="8">
        <f t="shared" si="7"/>
        <v>0</v>
      </c>
      <c r="AM141" s="8">
        <f t="shared" si="8"/>
        <v>10489812</v>
      </c>
    </row>
    <row r="142" spans="1:39">
      <c r="A142" s="13" t="s">
        <v>554</v>
      </c>
      <c r="B142" s="13"/>
      <c r="C142" s="13" t="s">
        <v>50</v>
      </c>
      <c r="D142" s="13"/>
      <c r="E142" s="32">
        <v>43844</v>
      </c>
      <c r="G142" s="8">
        <v>66882264</v>
      </c>
      <c r="I142" s="8">
        <v>0</v>
      </c>
      <c r="K142" s="8">
        <v>120963988</v>
      </c>
      <c r="M142" s="8">
        <v>1677759</v>
      </c>
      <c r="O142" s="8">
        <v>2103573</v>
      </c>
      <c r="Q142" s="8">
        <v>0</v>
      </c>
      <c r="S142" s="8">
        <v>0</v>
      </c>
      <c r="U142" s="8">
        <v>108807</v>
      </c>
      <c r="W142" s="8">
        <f>100636+2236987</f>
        <v>2337623</v>
      </c>
      <c r="Y142" s="3">
        <f t="shared" si="6"/>
        <v>194074014</v>
      </c>
      <c r="AA142" s="8">
        <v>18</v>
      </c>
      <c r="AE142" s="8">
        <v>0</v>
      </c>
      <c r="AG142" s="8">
        <v>91060</v>
      </c>
      <c r="AI142" s="8">
        <v>0</v>
      </c>
      <c r="AK142" s="8">
        <f t="shared" si="7"/>
        <v>91078</v>
      </c>
      <c r="AM142" s="8">
        <f t="shared" si="8"/>
        <v>194165092</v>
      </c>
    </row>
    <row r="143" spans="1:39">
      <c r="A143" s="13" t="s">
        <v>397</v>
      </c>
      <c r="B143" s="13"/>
      <c r="C143" s="13" t="s">
        <v>32</v>
      </c>
      <c r="D143" s="13"/>
      <c r="E143" s="32">
        <v>43851</v>
      </c>
      <c r="G143" s="8">
        <v>8942344</v>
      </c>
      <c r="I143" s="8">
        <v>0</v>
      </c>
      <c r="K143" s="8">
        <v>4723497</v>
      </c>
      <c r="M143" s="8">
        <v>177384</v>
      </c>
      <c r="O143" s="8">
        <v>143895</v>
      </c>
      <c r="Q143" s="8">
        <v>32088</v>
      </c>
      <c r="S143" s="8">
        <v>335189</v>
      </c>
      <c r="U143" s="8">
        <v>0</v>
      </c>
      <c r="W143" s="8">
        <f>82678</f>
        <v>82678</v>
      </c>
      <c r="Y143" s="3">
        <f t="shared" si="6"/>
        <v>14437075</v>
      </c>
      <c r="AA143" s="8">
        <v>0</v>
      </c>
      <c r="AE143" s="8">
        <v>0</v>
      </c>
      <c r="AG143" s="8">
        <v>1275</v>
      </c>
      <c r="AI143" s="8">
        <v>0</v>
      </c>
      <c r="AK143" s="8">
        <f t="shared" si="7"/>
        <v>1275</v>
      </c>
      <c r="AM143" s="8">
        <f t="shared" si="8"/>
        <v>14438350</v>
      </c>
    </row>
    <row r="144" spans="1:39">
      <c r="A144" s="13" t="s">
        <v>338</v>
      </c>
      <c r="B144" s="13"/>
      <c r="C144" s="13" t="s">
        <v>23</v>
      </c>
      <c r="D144" s="13"/>
      <c r="E144" s="32">
        <v>43877</v>
      </c>
      <c r="G144" s="8">
        <v>25925882</v>
      </c>
      <c r="I144" s="8">
        <v>0</v>
      </c>
      <c r="K144" s="8">
        <v>15965275</v>
      </c>
      <c r="M144" s="8">
        <v>502362</v>
      </c>
      <c r="O144" s="8">
        <v>439651</v>
      </c>
      <c r="Q144" s="8">
        <v>0</v>
      </c>
      <c r="S144" s="8">
        <v>0</v>
      </c>
      <c r="U144" s="8">
        <v>0</v>
      </c>
      <c r="W144" s="8">
        <f>20599+111604+7645</f>
        <v>139848</v>
      </c>
      <c r="Y144" s="3">
        <f t="shared" si="6"/>
        <v>42973018</v>
      </c>
      <c r="AA144" s="8">
        <v>0</v>
      </c>
      <c r="AE144" s="8">
        <v>0</v>
      </c>
      <c r="AG144" s="8">
        <v>0</v>
      </c>
      <c r="AI144" s="8">
        <v>0</v>
      </c>
      <c r="AK144" s="8">
        <f t="shared" si="7"/>
        <v>0</v>
      </c>
      <c r="AM144" s="8">
        <f t="shared" si="8"/>
        <v>42973018</v>
      </c>
    </row>
    <row r="145" spans="1:39">
      <c r="A145" s="13" t="s">
        <v>212</v>
      </c>
      <c r="B145" s="13"/>
      <c r="C145" s="13" t="s">
        <v>10</v>
      </c>
      <c r="D145" s="13"/>
      <c r="E145" s="32">
        <v>43885</v>
      </c>
      <c r="F145" s="11"/>
      <c r="G145" s="8">
        <v>4101397</v>
      </c>
      <c r="I145" s="8">
        <v>0</v>
      </c>
      <c r="K145" s="8">
        <v>3678340</v>
      </c>
      <c r="M145" s="8">
        <v>63963</v>
      </c>
      <c r="O145" s="8">
        <v>668826</v>
      </c>
      <c r="Q145" s="8">
        <v>0</v>
      </c>
      <c r="S145" s="8">
        <v>41959</v>
      </c>
      <c r="U145" s="8">
        <v>1982</v>
      </c>
      <c r="W145" s="8">
        <v>12065</v>
      </c>
      <c r="Y145" s="3">
        <f t="shared" si="6"/>
        <v>8568532</v>
      </c>
      <c r="AA145" s="8">
        <v>0</v>
      </c>
      <c r="AE145" s="8">
        <v>0</v>
      </c>
      <c r="AG145" s="8">
        <v>10000</v>
      </c>
      <c r="AI145" s="8">
        <v>0</v>
      </c>
      <c r="AK145" s="8">
        <f t="shared" ref="AK145:AK186" si="9">SUM(AA145:AJ145)</f>
        <v>10000</v>
      </c>
      <c r="AM145" s="8">
        <f t="shared" si="8"/>
        <v>8578532</v>
      </c>
    </row>
    <row r="146" spans="1:39">
      <c r="A146" s="13" t="s">
        <v>700</v>
      </c>
      <c r="B146" s="13"/>
      <c r="C146" s="13" t="s">
        <v>65</v>
      </c>
      <c r="D146" s="13"/>
      <c r="E146" s="32">
        <v>43893</v>
      </c>
      <c r="G146" s="8">
        <v>9022009</v>
      </c>
      <c r="I146" s="8">
        <v>0</v>
      </c>
      <c r="K146" s="8">
        <v>8475915</v>
      </c>
      <c r="M146" s="8">
        <v>224327</v>
      </c>
      <c r="O146" s="8">
        <v>65678</v>
      </c>
      <c r="Q146" s="8">
        <v>0</v>
      </c>
      <c r="S146" s="8">
        <v>0</v>
      </c>
      <c r="U146" s="8">
        <v>520</v>
      </c>
      <c r="W146" s="8">
        <f>151553+57737</f>
        <v>209290</v>
      </c>
      <c r="Y146" s="3">
        <f t="shared" si="6"/>
        <v>17997739</v>
      </c>
      <c r="AA146" s="8">
        <v>0</v>
      </c>
      <c r="AE146" s="8">
        <v>0</v>
      </c>
      <c r="AG146" s="8">
        <v>205250</v>
      </c>
      <c r="AI146" s="8">
        <v>0</v>
      </c>
      <c r="AK146" s="8">
        <f t="shared" si="9"/>
        <v>205250</v>
      </c>
      <c r="AM146" s="8">
        <f t="shared" ref="AM146:AM186" si="10">+AK146+Y146</f>
        <v>18202989</v>
      </c>
    </row>
    <row r="147" spans="1:39">
      <c r="A147" s="13" t="s">
        <v>359</v>
      </c>
      <c r="B147" s="13"/>
      <c r="C147" s="13" t="s">
        <v>27</v>
      </c>
      <c r="D147" s="13"/>
      <c r="E147" s="32">
        <v>47027</v>
      </c>
      <c r="G147" s="8">
        <v>100930754</v>
      </c>
      <c r="I147" s="8">
        <v>0</v>
      </c>
      <c r="K147" s="8">
        <v>29243451</v>
      </c>
      <c r="M147" s="8">
        <v>3775594</v>
      </c>
      <c r="O147" s="8">
        <v>422066</v>
      </c>
      <c r="Q147" s="8">
        <v>0</v>
      </c>
      <c r="S147" s="8">
        <v>0</v>
      </c>
      <c r="U147" s="8">
        <v>0</v>
      </c>
      <c r="W147" s="8">
        <f>803446+98772</f>
        <v>902218</v>
      </c>
      <c r="Y147" s="3">
        <f t="shared" si="6"/>
        <v>135274083</v>
      </c>
      <c r="AA147" s="8">
        <v>926350</v>
      </c>
      <c r="AE147" s="8">
        <v>0</v>
      </c>
      <c r="AG147" s="8">
        <v>0</v>
      </c>
      <c r="AI147" s="8">
        <v>0</v>
      </c>
      <c r="AK147" s="8">
        <f t="shared" si="9"/>
        <v>926350</v>
      </c>
      <c r="AM147" s="8">
        <f t="shared" si="10"/>
        <v>136200433</v>
      </c>
    </row>
    <row r="148" spans="1:39">
      <c r="A148" s="13" t="s">
        <v>280</v>
      </c>
      <c r="B148" s="13"/>
      <c r="C148" s="13" t="s">
        <v>18</v>
      </c>
      <c r="D148" s="13"/>
      <c r="E148" s="32">
        <v>46409</v>
      </c>
      <c r="F148" s="11"/>
      <c r="G148" s="8">
        <v>2638175</v>
      </c>
      <c r="I148" s="8">
        <v>0</v>
      </c>
      <c r="K148" s="8">
        <v>7548351</v>
      </c>
      <c r="M148" s="8">
        <v>116297</v>
      </c>
      <c r="O148" s="8">
        <v>512952</v>
      </c>
      <c r="Q148" s="8">
        <v>0</v>
      </c>
      <c r="S148" s="8">
        <v>0</v>
      </c>
      <c r="U148" s="8">
        <v>15525</v>
      </c>
      <c r="W148" s="8">
        <f>29299+2165</f>
        <v>31464</v>
      </c>
      <c r="Y148" s="3">
        <f t="shared" si="6"/>
        <v>10862764</v>
      </c>
      <c r="AA148" s="8">
        <v>0</v>
      </c>
      <c r="AE148" s="8">
        <v>0</v>
      </c>
      <c r="AG148" s="8">
        <v>0</v>
      </c>
      <c r="AI148" s="8">
        <v>0</v>
      </c>
      <c r="AK148" s="8">
        <f t="shared" si="9"/>
        <v>0</v>
      </c>
      <c r="AM148" s="8">
        <f t="shared" si="10"/>
        <v>10862764</v>
      </c>
    </row>
    <row r="149" spans="1:39">
      <c r="A149" s="13" t="s">
        <v>394</v>
      </c>
      <c r="B149" s="13"/>
      <c r="C149" s="13" t="s">
        <v>31</v>
      </c>
      <c r="D149" s="13"/>
      <c r="E149" s="32">
        <v>69682</v>
      </c>
      <c r="G149" s="8">
        <v>1904019</v>
      </c>
      <c r="I149" s="8">
        <v>0</v>
      </c>
      <c r="K149" s="8">
        <v>6597890</v>
      </c>
      <c r="M149" s="8">
        <v>125237</v>
      </c>
      <c r="O149" s="8">
        <v>953465</v>
      </c>
      <c r="Q149" s="8">
        <v>57831</v>
      </c>
      <c r="S149" s="8">
        <v>0</v>
      </c>
      <c r="U149" s="8">
        <v>56</v>
      </c>
      <c r="W149" s="8">
        <f>2614+46806</f>
        <v>49420</v>
      </c>
      <c r="Y149" s="3">
        <f t="shared" ref="Y149:Y193" si="11">SUM(G149:X149)</f>
        <v>9687918</v>
      </c>
      <c r="AA149" s="8">
        <v>0</v>
      </c>
      <c r="AE149" s="8">
        <v>0</v>
      </c>
      <c r="AG149" s="8">
        <f>1556+19530</f>
        <v>21086</v>
      </c>
      <c r="AI149" s="8">
        <v>0</v>
      </c>
      <c r="AK149" s="8">
        <f t="shared" si="9"/>
        <v>21086</v>
      </c>
      <c r="AM149" s="8">
        <f t="shared" si="10"/>
        <v>9709004</v>
      </c>
    </row>
    <row r="150" spans="1:39">
      <c r="A150" s="13" t="s">
        <v>446</v>
      </c>
      <c r="B150" s="13"/>
      <c r="C150" s="13" t="s">
        <v>36</v>
      </c>
      <c r="D150" s="13"/>
      <c r="E150" s="32">
        <v>47688</v>
      </c>
      <c r="G150" s="8">
        <v>6977979</v>
      </c>
      <c r="I150" s="8">
        <v>0</v>
      </c>
      <c r="K150" s="8">
        <v>5942581</v>
      </c>
      <c r="M150" s="8">
        <v>369113</v>
      </c>
      <c r="O150" s="8">
        <v>600331</v>
      </c>
      <c r="Q150" s="8">
        <v>0</v>
      </c>
      <c r="S150" s="8">
        <v>0</v>
      </c>
      <c r="U150" s="8">
        <v>24636</v>
      </c>
      <c r="W150" s="8">
        <f>11415+66626</f>
        <v>78041</v>
      </c>
      <c r="Y150" s="3">
        <f t="shared" si="11"/>
        <v>13992681</v>
      </c>
      <c r="AA150" s="8">
        <v>0</v>
      </c>
      <c r="AE150" s="8">
        <v>0</v>
      </c>
      <c r="AG150" s="8">
        <v>1318</v>
      </c>
      <c r="AI150" s="8">
        <v>0</v>
      </c>
      <c r="AK150" s="8">
        <f t="shared" si="9"/>
        <v>1318</v>
      </c>
      <c r="AM150" s="8">
        <f t="shared" si="10"/>
        <v>13993999</v>
      </c>
    </row>
    <row r="151" spans="1:39">
      <c r="A151" s="13" t="s">
        <v>285</v>
      </c>
      <c r="B151" s="13"/>
      <c r="C151" s="13" t="s">
        <v>115</v>
      </c>
      <c r="D151" s="13"/>
      <c r="E151" s="32">
        <v>43919</v>
      </c>
      <c r="F151" s="11"/>
      <c r="G151" s="8">
        <v>3768263</v>
      </c>
      <c r="I151" s="8">
        <v>0</v>
      </c>
      <c r="K151" s="8">
        <f>6483+17311710</f>
        <v>17318193</v>
      </c>
      <c r="M151" s="8">
        <v>190295</v>
      </c>
      <c r="O151" s="8">
        <v>559059</v>
      </c>
      <c r="Q151" s="8">
        <v>0</v>
      </c>
      <c r="S151" s="8">
        <v>0</v>
      </c>
      <c r="U151" s="8">
        <v>0</v>
      </c>
      <c r="W151" s="8">
        <f>43218+1950+70346</f>
        <v>115514</v>
      </c>
      <c r="Y151" s="3">
        <f t="shared" si="11"/>
        <v>21951324</v>
      </c>
      <c r="AA151" s="8">
        <v>0</v>
      </c>
      <c r="AE151" s="8">
        <v>0</v>
      </c>
      <c r="AG151" s="8">
        <v>0</v>
      </c>
      <c r="AI151" s="8">
        <v>0</v>
      </c>
      <c r="AK151" s="8">
        <f t="shared" si="9"/>
        <v>0</v>
      </c>
      <c r="AM151" s="8">
        <f t="shared" si="10"/>
        <v>21951324</v>
      </c>
    </row>
    <row r="152" spans="1:39">
      <c r="A152" s="13" t="s">
        <v>571</v>
      </c>
      <c r="B152" s="13"/>
      <c r="C152" s="13" t="s">
        <v>51</v>
      </c>
      <c r="D152" s="13"/>
      <c r="E152" s="32">
        <v>48835</v>
      </c>
      <c r="G152" s="8">
        <v>3632684</v>
      </c>
      <c r="I152" s="8">
        <v>0</v>
      </c>
      <c r="K152" s="8">
        <v>9920669</v>
      </c>
      <c r="M152" s="8">
        <v>216992</v>
      </c>
      <c r="O152" s="8">
        <v>1033894</v>
      </c>
      <c r="Q152" s="8">
        <v>0</v>
      </c>
      <c r="S152" s="8">
        <v>78901</v>
      </c>
      <c r="U152" s="8">
        <v>0</v>
      </c>
      <c r="W152" s="8">
        <f>8803+14971</f>
        <v>23774</v>
      </c>
      <c r="Y152" s="3">
        <f t="shared" si="11"/>
        <v>14906914</v>
      </c>
      <c r="AA152" s="8">
        <v>0</v>
      </c>
      <c r="AE152" s="8">
        <v>0</v>
      </c>
      <c r="AG152" s="8">
        <v>5717</v>
      </c>
      <c r="AI152" s="8">
        <v>0</v>
      </c>
      <c r="AK152" s="8">
        <f t="shared" si="9"/>
        <v>5717</v>
      </c>
      <c r="AM152" s="8">
        <f t="shared" si="10"/>
        <v>14912631</v>
      </c>
    </row>
    <row r="153" spans="1:39">
      <c r="A153" s="13" t="s">
        <v>286</v>
      </c>
      <c r="B153" s="13"/>
      <c r="C153" s="13" t="s">
        <v>115</v>
      </c>
      <c r="D153" s="13"/>
      <c r="E153" s="32">
        <v>43927</v>
      </c>
      <c r="F153" s="11"/>
      <c r="G153" s="8">
        <v>2202138</v>
      </c>
      <c r="I153" s="8">
        <v>0</v>
      </c>
      <c r="K153" s="8">
        <v>7305163</v>
      </c>
      <c r="M153" s="8">
        <v>0</v>
      </c>
      <c r="O153" s="8">
        <v>301325</v>
      </c>
      <c r="Q153" s="8">
        <v>0</v>
      </c>
      <c r="S153" s="8">
        <v>0</v>
      </c>
      <c r="U153" s="8">
        <v>2899</v>
      </c>
      <c r="W153" s="8">
        <f>1598+10938+6090</f>
        <v>18626</v>
      </c>
      <c r="Y153" s="3">
        <f t="shared" si="11"/>
        <v>9830151</v>
      </c>
      <c r="AA153" s="8">
        <v>0</v>
      </c>
      <c r="AE153" s="8">
        <v>0</v>
      </c>
      <c r="AG153" s="8">
        <v>0</v>
      </c>
      <c r="AI153" s="8">
        <v>0</v>
      </c>
      <c r="AK153" s="8">
        <f t="shared" si="9"/>
        <v>0</v>
      </c>
      <c r="AM153" s="8">
        <f t="shared" si="10"/>
        <v>9830151</v>
      </c>
    </row>
    <row r="154" spans="1:39">
      <c r="A154" s="13" t="s">
        <v>240</v>
      </c>
      <c r="B154" s="13"/>
      <c r="C154" s="13" t="s">
        <v>77</v>
      </c>
      <c r="D154" s="13"/>
      <c r="E154" s="32">
        <v>46037</v>
      </c>
      <c r="F154" s="11"/>
      <c r="G154" s="8">
        <v>2637874</v>
      </c>
      <c r="I154" s="8">
        <v>0</v>
      </c>
      <c r="K154" s="8">
        <v>7529029</v>
      </c>
      <c r="M154" s="8">
        <v>105078</v>
      </c>
      <c r="O154" s="8">
        <v>499508</v>
      </c>
      <c r="Q154" s="8">
        <v>0</v>
      </c>
      <c r="S154" s="8">
        <v>55097</v>
      </c>
      <c r="U154" s="8">
        <v>6332</v>
      </c>
      <c r="W154" s="8">
        <f>13894+38275</f>
        <v>52169</v>
      </c>
      <c r="Y154" s="3">
        <f t="shared" si="11"/>
        <v>10885087</v>
      </c>
      <c r="AA154" s="8">
        <v>0</v>
      </c>
      <c r="AE154" s="8">
        <v>0</v>
      </c>
      <c r="AG154" s="8">
        <v>655</v>
      </c>
      <c r="AI154" s="8">
        <v>0</v>
      </c>
      <c r="AK154" s="8">
        <f t="shared" si="9"/>
        <v>655</v>
      </c>
      <c r="AM154" s="8">
        <f t="shared" si="10"/>
        <v>10885742</v>
      </c>
    </row>
    <row r="155" spans="1:39">
      <c r="A155" s="13" t="s">
        <v>740</v>
      </c>
      <c r="B155" s="13"/>
      <c r="C155" s="13" t="s">
        <v>72</v>
      </c>
      <c r="D155" s="13"/>
      <c r="E155" s="32">
        <v>50674</v>
      </c>
      <c r="G155" s="8">
        <v>4299024</v>
      </c>
      <c r="I155" s="8">
        <v>1740398</v>
      </c>
      <c r="K155" s="8">
        <v>7532815</v>
      </c>
      <c r="M155" s="8">
        <v>220776</v>
      </c>
      <c r="O155" s="8">
        <v>506288</v>
      </c>
      <c r="Q155" s="8">
        <v>0</v>
      </c>
      <c r="S155" s="8">
        <v>480000</v>
      </c>
      <c r="U155" s="8">
        <v>0</v>
      </c>
      <c r="W155" s="8">
        <f>51045+5958</f>
        <v>57003</v>
      </c>
      <c r="Y155" s="3">
        <f t="shared" si="11"/>
        <v>14836304</v>
      </c>
      <c r="AA155" s="8">
        <v>0</v>
      </c>
      <c r="AE155" s="8">
        <v>0</v>
      </c>
      <c r="AG155" s="8">
        <v>0</v>
      </c>
      <c r="AI155" s="8">
        <v>0</v>
      </c>
      <c r="AK155" s="8">
        <f t="shared" si="9"/>
        <v>0</v>
      </c>
      <c r="AM155" s="8">
        <f t="shared" si="10"/>
        <v>14836304</v>
      </c>
    </row>
    <row r="156" spans="1:39">
      <c r="A156" s="12" t="s">
        <v>974</v>
      </c>
      <c r="B156" s="13"/>
      <c r="C156" s="13" t="s">
        <v>57</v>
      </c>
      <c r="D156" s="13"/>
      <c r="E156" s="32">
        <v>43935</v>
      </c>
      <c r="G156" s="8">
        <v>9742100</v>
      </c>
      <c r="I156" s="8">
        <v>0</v>
      </c>
      <c r="K156" s="8">
        <v>8936589</v>
      </c>
      <c r="M156" s="8">
        <v>463533</v>
      </c>
      <c r="O156" s="8">
        <v>266387</v>
      </c>
      <c r="Q156" s="8">
        <v>9157</v>
      </c>
      <c r="S156" s="8">
        <v>0</v>
      </c>
      <c r="U156" s="8">
        <v>124238</v>
      </c>
      <c r="W156" s="8">
        <f>26366+3000+67285</f>
        <v>96651</v>
      </c>
      <c r="Y156" s="3">
        <f t="shared" si="11"/>
        <v>19638655</v>
      </c>
      <c r="AA156" s="8">
        <v>0</v>
      </c>
      <c r="AE156" s="8">
        <v>0</v>
      </c>
      <c r="AG156" s="8">
        <v>0</v>
      </c>
      <c r="AI156" s="8">
        <v>0</v>
      </c>
      <c r="AK156" s="8">
        <f t="shared" si="9"/>
        <v>0</v>
      </c>
      <c r="AM156" s="8">
        <f t="shared" si="10"/>
        <v>19638655</v>
      </c>
    </row>
    <row r="157" spans="1:39" hidden="1">
      <c r="A157" s="13" t="s">
        <v>734</v>
      </c>
      <c r="B157" s="13"/>
      <c r="C157" s="13" t="s">
        <v>733</v>
      </c>
      <c r="D157" s="13"/>
      <c r="E157" s="32">
        <v>50617</v>
      </c>
      <c r="Q157" s="8">
        <v>0</v>
      </c>
      <c r="S157" s="8">
        <v>0</v>
      </c>
      <c r="U157" s="8">
        <v>0</v>
      </c>
      <c r="Y157" s="3">
        <f t="shared" si="11"/>
        <v>0</v>
      </c>
      <c r="AA157" s="8">
        <v>0</v>
      </c>
      <c r="AE157" s="8">
        <v>0</v>
      </c>
      <c r="AG157" s="8">
        <v>0</v>
      </c>
      <c r="AI157" s="8">
        <v>0</v>
      </c>
      <c r="AK157" s="8">
        <f t="shared" si="9"/>
        <v>0</v>
      </c>
      <c r="AM157" s="8">
        <f t="shared" si="10"/>
        <v>0</v>
      </c>
    </row>
    <row r="158" spans="1:39" hidden="1">
      <c r="A158" s="13" t="s">
        <v>245</v>
      </c>
      <c r="B158" s="13"/>
      <c r="C158" s="13" t="s">
        <v>246</v>
      </c>
      <c r="D158" s="13"/>
      <c r="E158" s="32">
        <v>46094</v>
      </c>
      <c r="F158" s="11"/>
      <c r="Q158" s="8">
        <v>0</v>
      </c>
      <c r="S158" s="8">
        <v>0</v>
      </c>
      <c r="U158" s="8">
        <v>0</v>
      </c>
      <c r="Y158" s="3">
        <f t="shared" si="11"/>
        <v>0</v>
      </c>
      <c r="AA158" s="8">
        <v>0</v>
      </c>
      <c r="AE158" s="8">
        <v>0</v>
      </c>
      <c r="AG158" s="8">
        <v>0</v>
      </c>
      <c r="AI158" s="8">
        <v>0</v>
      </c>
      <c r="AK158" s="8">
        <f t="shared" si="9"/>
        <v>0</v>
      </c>
      <c r="AM158" s="8">
        <f t="shared" si="10"/>
        <v>0</v>
      </c>
    </row>
    <row r="159" spans="1:39">
      <c r="A159" s="12" t="s">
        <v>245</v>
      </c>
      <c r="B159" s="13"/>
      <c r="C159" s="13" t="s">
        <v>246</v>
      </c>
      <c r="D159" s="13"/>
      <c r="E159" s="32">
        <v>43935</v>
      </c>
      <c r="G159" s="8">
        <v>10929323</v>
      </c>
      <c r="I159" s="8">
        <v>0</v>
      </c>
      <c r="K159" s="8">
        <f>16452141+17359</f>
        <v>16469500</v>
      </c>
      <c r="M159" s="8">
        <v>405461</v>
      </c>
      <c r="O159" s="8">
        <v>127422</v>
      </c>
      <c r="Q159" s="8">
        <v>0</v>
      </c>
      <c r="S159" s="8">
        <v>0</v>
      </c>
      <c r="U159" s="8">
        <v>0</v>
      </c>
      <c r="W159" s="8">
        <f>1936+761033</f>
        <v>762969</v>
      </c>
      <c r="Y159" s="3">
        <f>SUM(G159:X159)</f>
        <v>28694675</v>
      </c>
      <c r="AA159" s="8">
        <v>0</v>
      </c>
      <c r="AE159" s="8">
        <v>0</v>
      </c>
      <c r="AG159" s="8">
        <v>0</v>
      </c>
      <c r="AI159" s="8">
        <v>0</v>
      </c>
      <c r="AK159" s="8">
        <f>SUM(AA159:AJ159)</f>
        <v>0</v>
      </c>
      <c r="AM159" s="8">
        <f>+AK159+Y159</f>
        <v>28694675</v>
      </c>
    </row>
    <row r="160" spans="1:39">
      <c r="A160" s="13" t="s">
        <v>455</v>
      </c>
      <c r="B160" s="13"/>
      <c r="C160" s="13" t="s">
        <v>39</v>
      </c>
      <c r="D160" s="13"/>
      <c r="E160" s="32">
        <v>47795</v>
      </c>
      <c r="G160" s="8">
        <v>6583822</v>
      </c>
      <c r="I160" s="8">
        <v>0</v>
      </c>
      <c r="K160" s="8">
        <v>8944799</v>
      </c>
      <c r="M160" s="8">
        <v>56307</v>
      </c>
      <c r="O160" s="8">
        <v>769465</v>
      </c>
      <c r="Q160" s="8">
        <v>0</v>
      </c>
      <c r="S160" s="8">
        <v>0</v>
      </c>
      <c r="U160" s="8">
        <v>0</v>
      </c>
      <c r="W160" s="8">
        <f>37574+79195</f>
        <v>116769</v>
      </c>
      <c r="Y160" s="3">
        <f t="shared" si="11"/>
        <v>16471162</v>
      </c>
      <c r="AA160" s="8">
        <v>1940</v>
      </c>
      <c r="AE160" s="8">
        <v>0</v>
      </c>
      <c r="AG160" s="8">
        <f>559799+5489</f>
        <v>565288</v>
      </c>
      <c r="AI160" s="8">
        <v>0</v>
      </c>
      <c r="AK160" s="8">
        <f t="shared" si="9"/>
        <v>567228</v>
      </c>
      <c r="AM160" s="8">
        <f t="shared" si="10"/>
        <v>17038390</v>
      </c>
    </row>
    <row r="161" spans="1:39">
      <c r="A161" s="13" t="s">
        <v>735</v>
      </c>
      <c r="B161" s="13"/>
      <c r="C161" s="13" t="s">
        <v>733</v>
      </c>
      <c r="D161" s="13"/>
      <c r="E161" s="32">
        <v>50625</v>
      </c>
      <c r="G161" s="8">
        <v>1303905</v>
      </c>
      <c r="I161" s="8">
        <v>0</v>
      </c>
      <c r="K161" s="8">
        <v>3360116</v>
      </c>
      <c r="M161" s="8">
        <f>185833+1996</f>
        <v>187829</v>
      </c>
      <c r="O161" s="8">
        <v>506942</v>
      </c>
      <c r="Q161" s="8">
        <v>3134</v>
      </c>
      <c r="S161" s="8">
        <v>0</v>
      </c>
      <c r="U161" s="8">
        <v>10299</v>
      </c>
      <c r="W161" s="8">
        <f>36438+12+5400</f>
        <v>41850</v>
      </c>
      <c r="Y161" s="3">
        <f t="shared" si="11"/>
        <v>5414075</v>
      </c>
      <c r="AA161" s="8">
        <v>0</v>
      </c>
      <c r="AE161" s="8">
        <v>0</v>
      </c>
      <c r="AG161" s="8">
        <f>685+6522</f>
        <v>7207</v>
      </c>
      <c r="AI161" s="8">
        <v>0</v>
      </c>
      <c r="AK161" s="8">
        <f t="shared" si="9"/>
        <v>7207</v>
      </c>
      <c r="AM161" s="8">
        <f t="shared" si="10"/>
        <v>5421282</v>
      </c>
    </row>
    <row r="162" spans="1:39">
      <c r="A162" s="13" t="s">
        <v>526</v>
      </c>
      <c r="B162" s="13"/>
      <c r="C162" s="13" t="s">
        <v>46</v>
      </c>
      <c r="D162" s="13"/>
      <c r="E162" s="32">
        <v>48413</v>
      </c>
      <c r="G162" s="8">
        <v>4020795</v>
      </c>
      <c r="I162" s="8">
        <v>0</v>
      </c>
      <c r="K162" s="8">
        <v>7240753</v>
      </c>
      <c r="M162" s="8">
        <v>98401</v>
      </c>
      <c r="O162" s="8">
        <v>1387247</v>
      </c>
      <c r="Q162" s="8">
        <v>11047</v>
      </c>
      <c r="S162" s="8">
        <v>0</v>
      </c>
      <c r="U162" s="8">
        <v>3000</v>
      </c>
      <c r="W162" s="8">
        <v>146468</v>
      </c>
      <c r="Y162" s="3">
        <f t="shared" si="11"/>
        <v>12907711</v>
      </c>
      <c r="AA162" s="8">
        <v>0</v>
      </c>
      <c r="AE162" s="8">
        <v>0</v>
      </c>
      <c r="AG162" s="8">
        <v>0</v>
      </c>
      <c r="AI162" s="8">
        <v>0</v>
      </c>
      <c r="AK162" s="8">
        <f t="shared" si="9"/>
        <v>0</v>
      </c>
      <c r="AM162" s="8">
        <f t="shared" si="10"/>
        <v>12907711</v>
      </c>
    </row>
    <row r="163" spans="1:39">
      <c r="A163" s="13" t="s">
        <v>493</v>
      </c>
      <c r="B163" s="13"/>
      <c r="C163" s="13" t="s">
        <v>44</v>
      </c>
      <c r="D163" s="13"/>
      <c r="E163" s="32">
        <v>43943</v>
      </c>
      <c r="G163" s="8">
        <v>28998446</v>
      </c>
      <c r="I163" s="8">
        <v>0</v>
      </c>
      <c r="K163" s="8">
        <v>32917640</v>
      </c>
      <c r="M163" s="8">
        <v>1486460</v>
      </c>
      <c r="O163" s="8">
        <v>1664977</v>
      </c>
      <c r="Q163" s="8">
        <v>5193</v>
      </c>
      <c r="S163" s="8">
        <v>0</v>
      </c>
      <c r="U163" s="8">
        <v>0</v>
      </c>
      <c r="W163" s="8">
        <f>74311+382120</f>
        <v>456431</v>
      </c>
      <c r="Y163" s="3">
        <f t="shared" si="11"/>
        <v>65529147</v>
      </c>
      <c r="AA163" s="8">
        <v>0</v>
      </c>
      <c r="AE163" s="8">
        <v>0</v>
      </c>
      <c r="AG163" s="8">
        <v>0</v>
      </c>
      <c r="AI163" s="8">
        <v>0</v>
      </c>
      <c r="AK163" s="8">
        <f t="shared" si="9"/>
        <v>0</v>
      </c>
      <c r="AM163" s="8">
        <f t="shared" si="10"/>
        <v>65529147</v>
      </c>
    </row>
    <row r="164" spans="1:39">
      <c r="A164" s="13" t="s">
        <v>310</v>
      </c>
      <c r="B164" s="13"/>
      <c r="C164" s="13" t="s">
        <v>20</v>
      </c>
      <c r="D164" s="13"/>
      <c r="E164" s="32">
        <v>43950</v>
      </c>
      <c r="G164" s="8">
        <v>38812530</v>
      </c>
      <c r="I164" s="8">
        <v>0</v>
      </c>
      <c r="K164" s="8">
        <v>25302383</v>
      </c>
      <c r="M164" s="8">
        <v>956140</v>
      </c>
      <c r="O164" s="8">
        <v>3841629</v>
      </c>
      <c r="Q164" s="8">
        <v>0</v>
      </c>
      <c r="S164" s="8">
        <v>0</v>
      </c>
      <c r="U164" s="8">
        <v>0</v>
      </c>
      <c r="W164" s="8">
        <f>23915+61268+830199+87959</f>
        <v>1003341</v>
      </c>
      <c r="Y164" s="3">
        <f t="shared" si="11"/>
        <v>69916023</v>
      </c>
      <c r="AA164" s="8">
        <v>0</v>
      </c>
      <c r="AE164" s="8">
        <v>0</v>
      </c>
      <c r="AG164" s="8">
        <v>6563</v>
      </c>
      <c r="AI164" s="8">
        <v>0</v>
      </c>
      <c r="AK164" s="8">
        <f t="shared" si="9"/>
        <v>6563</v>
      </c>
      <c r="AM164" s="8">
        <f t="shared" si="10"/>
        <v>69922586</v>
      </c>
    </row>
    <row r="165" spans="1:39" hidden="1">
      <c r="A165" s="13" t="s">
        <v>373</v>
      </c>
      <c r="B165" s="13"/>
      <c r="C165" s="13" t="s">
        <v>28</v>
      </c>
      <c r="D165" s="13"/>
      <c r="E165" s="32">
        <v>47050</v>
      </c>
      <c r="Q165" s="8">
        <v>0</v>
      </c>
      <c r="S165" s="8">
        <v>0</v>
      </c>
      <c r="U165" s="8">
        <v>0</v>
      </c>
      <c r="W165" s="8">
        <v>0</v>
      </c>
      <c r="Y165" s="3">
        <f t="shared" si="11"/>
        <v>0</v>
      </c>
      <c r="AA165" s="8">
        <v>0</v>
      </c>
      <c r="AE165" s="8">
        <v>0</v>
      </c>
      <c r="AG165" s="8">
        <v>0</v>
      </c>
      <c r="AI165" s="8">
        <v>0</v>
      </c>
      <c r="AK165" s="8">
        <f t="shared" si="9"/>
        <v>0</v>
      </c>
      <c r="AM165" s="8">
        <f t="shared" si="10"/>
        <v>0</v>
      </c>
    </row>
    <row r="166" spans="1:39">
      <c r="A166" s="13" t="s">
        <v>707</v>
      </c>
      <c r="B166" s="13"/>
      <c r="C166" s="13" t="s">
        <v>66</v>
      </c>
      <c r="D166" s="13"/>
      <c r="E166" s="32">
        <v>50328</v>
      </c>
      <c r="G166" s="8">
        <v>6135316</v>
      </c>
      <c r="I166" s="8">
        <v>0</v>
      </c>
      <c r="K166" s="8">
        <v>2952828</v>
      </c>
      <c r="M166" s="8">
        <v>102791</v>
      </c>
      <c r="O166" s="8">
        <f>20980+158688</f>
        <v>179668</v>
      </c>
      <c r="Q166" s="8">
        <v>0</v>
      </c>
      <c r="S166" s="8">
        <v>0</v>
      </c>
      <c r="U166" s="8">
        <v>0</v>
      </c>
      <c r="W166" s="8">
        <v>34628</v>
      </c>
      <c r="Y166" s="3">
        <f t="shared" si="11"/>
        <v>9405231</v>
      </c>
      <c r="AA166" s="8">
        <v>0</v>
      </c>
      <c r="AE166" s="8">
        <v>0</v>
      </c>
      <c r="AG166" s="8">
        <v>0</v>
      </c>
      <c r="AI166" s="8">
        <v>0</v>
      </c>
      <c r="AK166" s="8">
        <f t="shared" si="9"/>
        <v>0</v>
      </c>
      <c r="AM166" s="8">
        <f t="shared" si="10"/>
        <v>9405231</v>
      </c>
    </row>
    <row r="167" spans="1:39">
      <c r="A167" s="13" t="s">
        <v>884</v>
      </c>
      <c r="B167" s="13"/>
      <c r="C167" s="13" t="s">
        <v>117</v>
      </c>
      <c r="D167" s="13"/>
      <c r="E167" s="32">
        <v>46102</v>
      </c>
      <c r="F167" s="11"/>
      <c r="G167" s="8">
        <v>14886654</v>
      </c>
      <c r="I167" s="8">
        <v>3446917</v>
      </c>
      <c r="K167" s="8">
        <v>21286893</v>
      </c>
      <c r="M167" s="8">
        <v>284667</v>
      </c>
      <c r="O167" s="8">
        <f>185973+99248+21394</f>
        <v>306615</v>
      </c>
      <c r="Q167" s="8">
        <v>63507</v>
      </c>
      <c r="S167" s="8">
        <v>148712</v>
      </c>
      <c r="U167" s="8">
        <v>0</v>
      </c>
      <c r="W167" s="8">
        <v>51764</v>
      </c>
      <c r="Y167" s="3">
        <f>SUM(G167:X167)</f>
        <v>40475729</v>
      </c>
      <c r="AA167" s="8">
        <v>0</v>
      </c>
      <c r="AE167" s="8">
        <v>0</v>
      </c>
      <c r="AG167" s="8">
        <v>480</v>
      </c>
      <c r="AI167" s="8">
        <v>0</v>
      </c>
      <c r="AK167" s="8">
        <f>SUM(AA167:AJ167)</f>
        <v>480</v>
      </c>
      <c r="AM167" s="8">
        <f>+AK167+Y167</f>
        <v>40476209</v>
      </c>
    </row>
    <row r="168" spans="1:39">
      <c r="A168" s="13" t="s">
        <v>247</v>
      </c>
      <c r="B168" s="13"/>
      <c r="C168" s="13" t="s">
        <v>246</v>
      </c>
      <c r="D168" s="13"/>
      <c r="E168" s="32">
        <v>46102</v>
      </c>
      <c r="F168" s="11"/>
      <c r="G168" s="8">
        <v>39713843</v>
      </c>
      <c r="I168" s="8">
        <v>0</v>
      </c>
      <c r="K168" s="8">
        <v>31238539</v>
      </c>
      <c r="M168" s="8">
        <v>996850</v>
      </c>
      <c r="O168" s="8">
        <f>1120611</f>
        <v>1120611</v>
      </c>
      <c r="Q168" s="8">
        <v>118615</v>
      </c>
      <c r="S168" s="8">
        <v>1143259</v>
      </c>
      <c r="U168" s="8">
        <v>0</v>
      </c>
      <c r="W168" s="8">
        <v>454461</v>
      </c>
      <c r="Y168" s="3">
        <f t="shared" si="11"/>
        <v>74786178</v>
      </c>
      <c r="AA168" s="8">
        <v>13268</v>
      </c>
      <c r="AE168" s="8">
        <v>0</v>
      </c>
      <c r="AG168" s="8">
        <v>275</v>
      </c>
      <c r="AI168" s="8">
        <v>0</v>
      </c>
      <c r="AK168" s="8">
        <f t="shared" si="9"/>
        <v>13543</v>
      </c>
      <c r="AM168" s="8">
        <f t="shared" si="10"/>
        <v>74799721</v>
      </c>
    </row>
    <row r="169" spans="1:39">
      <c r="A169" s="13" t="s">
        <v>441</v>
      </c>
      <c r="B169" s="13"/>
      <c r="C169" s="13" t="s">
        <v>440</v>
      </c>
      <c r="D169" s="13"/>
      <c r="E169" s="32">
        <v>47621</v>
      </c>
      <c r="G169" s="8">
        <v>1369730</v>
      </c>
      <c r="I169" s="8">
        <v>0</v>
      </c>
      <c r="K169" s="8">
        <v>5152614</v>
      </c>
      <c r="M169" s="8">
        <v>54129</v>
      </c>
      <c r="O169" s="8">
        <v>307099</v>
      </c>
      <c r="Q169" s="8">
        <v>0</v>
      </c>
      <c r="S169" s="8">
        <v>0</v>
      </c>
      <c r="U169" s="8">
        <v>5550</v>
      </c>
      <c r="W169" s="8">
        <f>66661+6020+46785</f>
        <v>119466</v>
      </c>
      <c r="Y169" s="3">
        <f t="shared" si="11"/>
        <v>7008588</v>
      </c>
      <c r="AA169" s="8">
        <v>0</v>
      </c>
      <c r="AE169" s="8">
        <v>0</v>
      </c>
      <c r="AG169" s="8">
        <v>5927</v>
      </c>
      <c r="AI169" s="8">
        <v>0</v>
      </c>
      <c r="AK169" s="8">
        <f t="shared" si="9"/>
        <v>5927</v>
      </c>
      <c r="AM169" s="8">
        <f t="shared" si="10"/>
        <v>7014515</v>
      </c>
    </row>
    <row r="170" spans="1:39">
      <c r="A170" s="13" t="s">
        <v>350</v>
      </c>
      <c r="B170" s="13"/>
      <c r="C170" s="13" t="s">
        <v>25</v>
      </c>
      <c r="D170" s="13"/>
      <c r="E170" s="32">
        <v>46870</v>
      </c>
      <c r="G170" s="8">
        <v>3638345</v>
      </c>
      <c r="I170" s="8">
        <v>3553396</v>
      </c>
      <c r="K170" s="8">
        <v>9244935</v>
      </c>
      <c r="M170" s="8">
        <v>135222</v>
      </c>
      <c r="O170" s="8">
        <f>1482383+22865</f>
        <v>1505248</v>
      </c>
      <c r="Q170" s="8">
        <v>0</v>
      </c>
      <c r="S170" s="8">
        <v>0</v>
      </c>
      <c r="U170" s="8">
        <v>0</v>
      </c>
      <c r="W170" s="8">
        <v>37149</v>
      </c>
      <c r="Y170" s="3">
        <f t="shared" si="11"/>
        <v>18114295</v>
      </c>
      <c r="AA170" s="8">
        <v>0</v>
      </c>
      <c r="AE170" s="8">
        <v>0</v>
      </c>
      <c r="AG170" s="8">
        <f>21004+30104</f>
        <v>51108</v>
      </c>
      <c r="AI170" s="8">
        <v>0</v>
      </c>
      <c r="AK170" s="8">
        <f t="shared" si="9"/>
        <v>51108</v>
      </c>
      <c r="AM170" s="8">
        <f t="shared" si="10"/>
        <v>18165403</v>
      </c>
    </row>
    <row r="171" spans="1:39">
      <c r="A171" s="13" t="s">
        <v>473</v>
      </c>
      <c r="B171" s="13"/>
      <c r="C171" s="13" t="s">
        <v>471</v>
      </c>
      <c r="D171" s="13"/>
      <c r="E171" s="32">
        <v>47936</v>
      </c>
      <c r="G171" s="8">
        <v>3208498</v>
      </c>
      <c r="I171" s="8">
        <v>0</v>
      </c>
      <c r="K171" s="8">
        <v>9993255</v>
      </c>
      <c r="M171" s="8">
        <v>236714</v>
      </c>
      <c r="O171" s="8">
        <v>16342</v>
      </c>
      <c r="Q171" s="8">
        <v>0</v>
      </c>
      <c r="S171" s="8">
        <v>0</v>
      </c>
      <c r="U171" s="8">
        <v>0</v>
      </c>
      <c r="W171" s="8">
        <v>10376</v>
      </c>
      <c r="Y171" s="3">
        <f t="shared" si="11"/>
        <v>13465185</v>
      </c>
      <c r="AA171" s="8">
        <v>0</v>
      </c>
      <c r="AE171" s="8">
        <v>0</v>
      </c>
      <c r="AG171" s="8">
        <f>1190+200362</f>
        <v>201552</v>
      </c>
      <c r="AI171" s="8">
        <v>0</v>
      </c>
      <c r="AK171" s="8">
        <f t="shared" si="9"/>
        <v>201552</v>
      </c>
      <c r="AM171" s="8">
        <f t="shared" si="10"/>
        <v>13666737</v>
      </c>
    </row>
    <row r="172" spans="1:39" hidden="1">
      <c r="A172" s="13" t="s">
        <v>648</v>
      </c>
      <c r="B172" s="13"/>
      <c r="C172" s="13" t="s">
        <v>61</v>
      </c>
      <c r="D172" s="13"/>
      <c r="E172" s="32">
        <v>49775</v>
      </c>
      <c r="I172" s="8">
        <v>0</v>
      </c>
      <c r="Q172" s="8">
        <v>0</v>
      </c>
      <c r="S172" s="8">
        <v>0</v>
      </c>
      <c r="U172" s="8">
        <v>0</v>
      </c>
      <c r="Y172" s="3">
        <f t="shared" si="11"/>
        <v>0</v>
      </c>
      <c r="AA172" s="8">
        <v>0</v>
      </c>
      <c r="AE172" s="8">
        <v>0</v>
      </c>
      <c r="AG172" s="8">
        <v>0</v>
      </c>
      <c r="AI172" s="8">
        <v>0</v>
      </c>
      <c r="AK172" s="8">
        <f t="shared" si="9"/>
        <v>0</v>
      </c>
      <c r="AM172" s="8">
        <f t="shared" si="10"/>
        <v>0</v>
      </c>
    </row>
    <row r="173" spans="1:39">
      <c r="A173" s="13" t="s">
        <v>656</v>
      </c>
      <c r="B173" s="13"/>
      <c r="C173" s="13" t="s">
        <v>62</v>
      </c>
      <c r="D173" s="13"/>
      <c r="E173" s="32">
        <v>49841</v>
      </c>
      <c r="G173" s="8">
        <v>5312927</v>
      </c>
      <c r="I173" s="8">
        <v>0</v>
      </c>
      <c r="K173" s="8">
        <v>8643975</v>
      </c>
      <c r="M173" s="8">
        <v>240203</v>
      </c>
      <c r="O173" s="8">
        <f>510325</f>
        <v>510325</v>
      </c>
      <c r="Q173" s="8">
        <v>0</v>
      </c>
      <c r="S173" s="8">
        <v>0</v>
      </c>
      <c r="U173" s="8">
        <v>0</v>
      </c>
      <c r="W173" s="8">
        <v>71396</v>
      </c>
      <c r="Y173" s="3">
        <f t="shared" si="11"/>
        <v>14778826</v>
      </c>
      <c r="AA173" s="8">
        <v>0</v>
      </c>
      <c r="AE173" s="8">
        <v>0</v>
      </c>
      <c r="AG173" s="8">
        <v>333788</v>
      </c>
      <c r="AI173" s="8">
        <v>0</v>
      </c>
      <c r="AK173" s="8">
        <f t="shared" si="9"/>
        <v>333788</v>
      </c>
      <c r="AM173" s="8">
        <f t="shared" si="10"/>
        <v>15112614</v>
      </c>
    </row>
    <row r="174" spans="1:39" hidden="1">
      <c r="A174" s="13" t="s">
        <v>463</v>
      </c>
      <c r="B174" s="13"/>
      <c r="C174" s="13" t="s">
        <v>41</v>
      </c>
      <c r="D174" s="13"/>
      <c r="E174" s="32">
        <v>45369</v>
      </c>
      <c r="I174" s="8">
        <v>0</v>
      </c>
      <c r="Q174" s="8">
        <v>0</v>
      </c>
      <c r="S174" s="8">
        <v>0</v>
      </c>
      <c r="U174" s="8">
        <v>0</v>
      </c>
      <c r="Y174" s="3">
        <f t="shared" si="11"/>
        <v>0</v>
      </c>
      <c r="AA174" s="8">
        <v>0</v>
      </c>
      <c r="AE174" s="8">
        <v>0</v>
      </c>
      <c r="AG174" s="8">
        <v>0</v>
      </c>
      <c r="AI174" s="8">
        <v>0</v>
      </c>
      <c r="AK174" s="8">
        <f t="shared" si="9"/>
        <v>0</v>
      </c>
      <c r="AM174" s="8">
        <f t="shared" si="10"/>
        <v>0</v>
      </c>
    </row>
    <row r="175" spans="1:39">
      <c r="A175" s="13" t="s">
        <v>311</v>
      </c>
      <c r="B175" s="13"/>
      <c r="C175" s="13" t="s">
        <v>20</v>
      </c>
      <c r="D175" s="13"/>
      <c r="E175" s="32">
        <v>43976</v>
      </c>
      <c r="G175" s="8">
        <v>16133137</v>
      </c>
      <c r="I175" s="8">
        <v>0</v>
      </c>
      <c r="K175" s="8">
        <v>4533443</v>
      </c>
      <c r="M175" s="8">
        <v>582837</v>
      </c>
      <c r="O175" s="8">
        <v>291980</v>
      </c>
      <c r="Q175" s="8">
        <v>100</v>
      </c>
      <c r="S175" s="8">
        <v>0</v>
      </c>
      <c r="U175" s="8">
        <v>0</v>
      </c>
      <c r="W175" s="8">
        <f>107987+49195</f>
        <v>157182</v>
      </c>
      <c r="Y175" s="3">
        <f t="shared" si="11"/>
        <v>21698679</v>
      </c>
      <c r="AA175" s="8">
        <v>79632</v>
      </c>
      <c r="AE175" s="8">
        <v>0</v>
      </c>
      <c r="AG175" s="8">
        <v>0</v>
      </c>
      <c r="AI175" s="8">
        <v>0</v>
      </c>
      <c r="AK175" s="8">
        <f t="shared" si="9"/>
        <v>79632</v>
      </c>
      <c r="AM175" s="8">
        <f t="shared" si="10"/>
        <v>21778311</v>
      </c>
    </row>
    <row r="176" spans="1:39">
      <c r="A176" s="13"/>
      <c r="B176" s="13"/>
      <c r="C176" s="13"/>
      <c r="D176" s="13"/>
      <c r="E176" s="32"/>
      <c r="Y176" s="3"/>
    </row>
    <row r="177" spans="1:39">
      <c r="A177" s="13"/>
      <c r="B177" s="13"/>
      <c r="C177" s="13"/>
      <c r="D177" s="13"/>
      <c r="E177" s="32"/>
      <c r="Y177" s="3"/>
      <c r="AM177" s="8" t="s">
        <v>819</v>
      </c>
    </row>
    <row r="178" spans="1:39" s="35" customFormat="1">
      <c r="A178" s="34" t="s">
        <v>241</v>
      </c>
      <c r="B178" s="34"/>
      <c r="C178" s="34" t="s">
        <v>77</v>
      </c>
      <c r="D178" s="34"/>
      <c r="E178" s="34">
        <v>46045</v>
      </c>
      <c r="F178" s="48"/>
      <c r="G178" s="35">
        <v>1527286</v>
      </c>
      <c r="I178" s="35">
        <v>0</v>
      </c>
      <c r="K178" s="35">
        <v>5033249</v>
      </c>
      <c r="M178" s="35">
        <v>180194</v>
      </c>
      <c r="O178" s="35">
        <v>766252</v>
      </c>
      <c r="Q178" s="35">
        <v>0</v>
      </c>
      <c r="S178" s="35">
        <v>0</v>
      </c>
      <c r="U178" s="35">
        <v>3554</v>
      </c>
      <c r="W178" s="35">
        <v>38850</v>
      </c>
      <c r="Y178" s="42">
        <f t="shared" si="11"/>
        <v>7549385</v>
      </c>
      <c r="AA178" s="35">
        <v>0</v>
      </c>
      <c r="AE178" s="35">
        <v>0</v>
      </c>
      <c r="AG178" s="35">
        <v>0</v>
      </c>
      <c r="AI178" s="35">
        <v>0</v>
      </c>
      <c r="AK178" s="35">
        <f t="shared" si="9"/>
        <v>0</v>
      </c>
      <c r="AM178" s="35">
        <f t="shared" si="10"/>
        <v>7549385</v>
      </c>
    </row>
    <row r="179" spans="1:39">
      <c r="A179" s="13" t="s">
        <v>272</v>
      </c>
      <c r="B179" s="13"/>
      <c r="C179" s="13" t="s">
        <v>116</v>
      </c>
      <c r="D179" s="13"/>
      <c r="E179" s="32">
        <v>46334</v>
      </c>
      <c r="F179" s="11"/>
      <c r="G179" s="8">
        <v>1420288</v>
      </c>
      <c r="I179" s="8">
        <v>0</v>
      </c>
      <c r="K179" s="8">
        <v>6702723</v>
      </c>
      <c r="M179" s="8">
        <v>127422</v>
      </c>
      <c r="O179" s="8">
        <f>442532</f>
        <v>442532</v>
      </c>
      <c r="Q179" s="8">
        <v>0</v>
      </c>
      <c r="S179" s="8">
        <v>0</v>
      </c>
      <c r="U179" s="8">
        <v>0</v>
      </c>
      <c r="W179" s="8">
        <v>91906</v>
      </c>
      <c r="Y179" s="3">
        <f t="shared" si="11"/>
        <v>8784871</v>
      </c>
      <c r="AA179" s="8">
        <v>0</v>
      </c>
      <c r="AE179" s="8">
        <v>0</v>
      </c>
      <c r="AG179" s="8">
        <v>101640</v>
      </c>
      <c r="AI179" s="8">
        <v>0</v>
      </c>
      <c r="AK179" s="8">
        <f t="shared" si="9"/>
        <v>101640</v>
      </c>
      <c r="AM179" s="8">
        <f t="shared" si="10"/>
        <v>8886511</v>
      </c>
    </row>
    <row r="180" spans="1:39">
      <c r="A180" s="13" t="s">
        <v>597</v>
      </c>
      <c r="B180" s="13"/>
      <c r="C180" s="13" t="s">
        <v>56</v>
      </c>
      <c r="D180" s="13"/>
      <c r="E180" s="32">
        <v>49197</v>
      </c>
      <c r="G180" s="8">
        <v>8952115</v>
      </c>
      <c r="I180" s="8">
        <v>0</v>
      </c>
      <c r="K180" s="8">
        <v>8148608</v>
      </c>
      <c r="M180" s="8">
        <v>60507</v>
      </c>
      <c r="O180" s="8">
        <v>1151828</v>
      </c>
      <c r="Q180" s="8">
        <v>0</v>
      </c>
      <c r="S180" s="8">
        <v>0</v>
      </c>
      <c r="U180" s="8">
        <v>545</v>
      </c>
      <c r="W180" s="8">
        <f>800+232240</f>
        <v>233040</v>
      </c>
      <c r="Y180" s="3">
        <f t="shared" si="11"/>
        <v>18546643</v>
      </c>
      <c r="AA180" s="8">
        <v>4444</v>
      </c>
      <c r="AE180" s="8">
        <v>0</v>
      </c>
      <c r="AG180" s="8">
        <v>9379</v>
      </c>
      <c r="AI180" s="8">
        <v>0</v>
      </c>
      <c r="AK180" s="8">
        <f t="shared" si="9"/>
        <v>13823</v>
      </c>
      <c r="AM180" s="8">
        <f t="shared" si="10"/>
        <v>18560466</v>
      </c>
    </row>
    <row r="181" spans="1:39">
      <c r="A181" s="13" t="s">
        <v>421</v>
      </c>
      <c r="B181" s="13"/>
      <c r="C181" s="13" t="s">
        <v>33</v>
      </c>
      <c r="D181" s="13"/>
      <c r="E181" s="32">
        <v>43984</v>
      </c>
      <c r="G181" s="8">
        <v>27192230</v>
      </c>
      <c r="I181" s="8">
        <v>0</v>
      </c>
      <c r="K181" s="8">
        <f>1573273+25138076</f>
        <v>26711349</v>
      </c>
      <c r="M181" s="8">
        <v>535581</v>
      </c>
      <c r="O181" s="8">
        <f>2403515+10814</f>
        <v>2414329</v>
      </c>
      <c r="Q181" s="8">
        <v>0</v>
      </c>
      <c r="S181" s="8">
        <v>0</v>
      </c>
      <c r="U181" s="8">
        <v>0</v>
      </c>
      <c r="W181" s="8">
        <v>347323</v>
      </c>
      <c r="Y181" s="3">
        <f t="shared" si="11"/>
        <v>57200812</v>
      </c>
      <c r="AA181" s="8">
        <v>0</v>
      </c>
      <c r="AE181" s="8">
        <v>0</v>
      </c>
      <c r="AG181" s="8">
        <v>0</v>
      </c>
      <c r="AI181" s="8">
        <v>0</v>
      </c>
      <c r="AK181" s="8">
        <f t="shared" si="9"/>
        <v>0</v>
      </c>
      <c r="AM181" s="8">
        <f t="shared" si="10"/>
        <v>57200812</v>
      </c>
    </row>
    <row r="182" spans="1:39">
      <c r="A182" s="13" t="s">
        <v>398</v>
      </c>
      <c r="B182" s="13"/>
      <c r="C182" s="13" t="s">
        <v>32</v>
      </c>
      <c r="D182" s="13"/>
      <c r="E182" s="32">
        <v>47332</v>
      </c>
      <c r="G182" s="8">
        <v>9086604</v>
      </c>
      <c r="I182" s="8">
        <v>0</v>
      </c>
      <c r="K182" s="8">
        <v>7778411</v>
      </c>
      <c r="M182" s="8">
        <v>240753</v>
      </c>
      <c r="O182" s="8">
        <v>155047</v>
      </c>
      <c r="Q182" s="8">
        <v>0</v>
      </c>
      <c r="S182" s="8">
        <v>0</v>
      </c>
      <c r="U182" s="8">
        <v>0</v>
      </c>
      <c r="W182" s="8">
        <v>353708</v>
      </c>
      <c r="Y182" s="3">
        <f t="shared" si="11"/>
        <v>17614523</v>
      </c>
      <c r="AA182" s="8">
        <v>0</v>
      </c>
      <c r="AE182" s="8">
        <v>0</v>
      </c>
      <c r="AG182" s="8">
        <v>5592</v>
      </c>
      <c r="AI182" s="8">
        <v>0</v>
      </c>
      <c r="AK182" s="8">
        <f t="shared" si="9"/>
        <v>5592</v>
      </c>
      <c r="AM182" s="8">
        <f t="shared" si="10"/>
        <v>17620115</v>
      </c>
    </row>
    <row r="183" spans="1:39">
      <c r="A183" s="13" t="s">
        <v>494</v>
      </c>
      <c r="B183" s="13"/>
      <c r="C183" s="13" t="s">
        <v>44</v>
      </c>
      <c r="D183" s="13"/>
      <c r="E183" s="32">
        <v>48157</v>
      </c>
      <c r="G183" s="8">
        <v>6115354</v>
      </c>
      <c r="I183" s="8">
        <v>0</v>
      </c>
      <c r="K183" s="8">
        <f>8900610+482</f>
        <v>8901092</v>
      </c>
      <c r="M183" s="8">
        <v>254814</v>
      </c>
      <c r="O183" s="8">
        <f>635578+10526+76169</f>
        <v>722273</v>
      </c>
      <c r="Q183" s="8">
        <v>5827</v>
      </c>
      <c r="S183" s="8">
        <v>0</v>
      </c>
      <c r="U183" s="8">
        <v>0</v>
      </c>
      <c r="W183" s="8">
        <v>57665</v>
      </c>
      <c r="Y183" s="3">
        <f t="shared" si="11"/>
        <v>16057025</v>
      </c>
      <c r="AA183" s="8">
        <v>35433</v>
      </c>
      <c r="AE183" s="8">
        <v>0</v>
      </c>
      <c r="AG183" s="8">
        <v>0</v>
      </c>
      <c r="AI183" s="8">
        <v>0</v>
      </c>
      <c r="AK183" s="8">
        <f t="shared" si="9"/>
        <v>35433</v>
      </c>
      <c r="AM183" s="8">
        <f t="shared" si="10"/>
        <v>16092458</v>
      </c>
    </row>
    <row r="184" spans="1:39">
      <c r="A184" s="13" t="s">
        <v>399</v>
      </c>
      <c r="B184" s="13"/>
      <c r="C184" s="13" t="s">
        <v>32</v>
      </c>
      <c r="D184" s="13"/>
      <c r="E184" s="32">
        <v>47340</v>
      </c>
      <c r="G184" s="8">
        <v>39660677</v>
      </c>
      <c r="I184" s="8">
        <v>0</v>
      </c>
      <c r="K184" s="8">
        <v>24831379</v>
      </c>
      <c r="M184" s="8">
        <v>180720</v>
      </c>
      <c r="O184" s="8">
        <v>472679</v>
      </c>
      <c r="Q184" s="8">
        <v>0</v>
      </c>
      <c r="S184" s="8">
        <v>5952158</v>
      </c>
      <c r="U184" s="8">
        <v>0</v>
      </c>
      <c r="W184" s="8">
        <v>439596</v>
      </c>
      <c r="Y184" s="3">
        <f t="shared" si="11"/>
        <v>71537209</v>
      </c>
      <c r="AA184" s="8">
        <v>0</v>
      </c>
      <c r="AE184" s="8">
        <v>0</v>
      </c>
      <c r="AG184" s="8">
        <v>14184</v>
      </c>
      <c r="AI184" s="8">
        <v>0</v>
      </c>
      <c r="AK184" s="8">
        <f t="shared" si="9"/>
        <v>14184</v>
      </c>
      <c r="AM184" s="8">
        <f t="shared" si="10"/>
        <v>71551393</v>
      </c>
    </row>
    <row r="185" spans="1:39" hidden="1">
      <c r="A185" s="13" t="s">
        <v>722</v>
      </c>
      <c r="B185" s="13"/>
      <c r="C185" s="13" t="s">
        <v>70</v>
      </c>
      <c r="D185" s="13"/>
      <c r="E185" s="32">
        <v>50484</v>
      </c>
      <c r="Q185" s="8">
        <v>0</v>
      </c>
      <c r="S185" s="8">
        <v>0</v>
      </c>
      <c r="U185" s="8">
        <v>0</v>
      </c>
      <c r="Y185" s="3">
        <f t="shared" si="11"/>
        <v>0</v>
      </c>
      <c r="AA185" s="8">
        <v>0</v>
      </c>
      <c r="AE185" s="8">
        <v>0</v>
      </c>
      <c r="AG185" s="8">
        <v>0</v>
      </c>
      <c r="AI185" s="8">
        <v>0</v>
      </c>
      <c r="AK185" s="8">
        <f t="shared" si="9"/>
        <v>0</v>
      </c>
      <c r="AM185" s="8">
        <f t="shared" si="10"/>
        <v>0</v>
      </c>
    </row>
    <row r="186" spans="1:39" s="35" customFormat="1">
      <c r="A186" s="34" t="s">
        <v>649</v>
      </c>
      <c r="B186" s="34"/>
      <c r="C186" s="34" t="s">
        <v>61</v>
      </c>
      <c r="D186" s="34"/>
      <c r="E186" s="32">
        <v>49783</v>
      </c>
      <c r="G186" s="8">
        <v>1648192</v>
      </c>
      <c r="H186" s="8"/>
      <c r="I186" s="8">
        <v>1511417</v>
      </c>
      <c r="J186" s="8"/>
      <c r="K186" s="8">
        <v>3624689</v>
      </c>
      <c r="L186" s="8"/>
      <c r="M186" s="8">
        <v>147380</v>
      </c>
      <c r="N186" s="8"/>
      <c r="O186" s="8">
        <f>142012+8810</f>
        <v>150822</v>
      </c>
      <c r="P186" s="8"/>
      <c r="Q186" s="8">
        <v>0</v>
      </c>
      <c r="R186" s="8"/>
      <c r="S186" s="8">
        <v>0</v>
      </c>
      <c r="T186" s="8"/>
      <c r="U186" s="8">
        <v>4054</v>
      </c>
      <c r="V186" s="8"/>
      <c r="W186" s="8">
        <v>10526</v>
      </c>
      <c r="X186" s="8"/>
      <c r="Y186" s="3">
        <f t="shared" si="11"/>
        <v>7097080</v>
      </c>
      <c r="Z186" s="8"/>
      <c r="AA186" s="8">
        <v>5297</v>
      </c>
      <c r="AB186" s="8"/>
      <c r="AC186" s="8"/>
      <c r="AD186" s="8"/>
      <c r="AE186" s="8">
        <v>0</v>
      </c>
      <c r="AF186" s="8"/>
      <c r="AG186" s="8">
        <v>0</v>
      </c>
      <c r="AH186" s="8"/>
      <c r="AI186" s="8">
        <v>0</v>
      </c>
      <c r="AJ186" s="8"/>
      <c r="AK186" s="8">
        <f t="shared" si="9"/>
        <v>5297</v>
      </c>
      <c r="AL186" s="8"/>
      <c r="AM186" s="8">
        <f t="shared" si="10"/>
        <v>7102377</v>
      </c>
    </row>
    <row r="187" spans="1:39">
      <c r="A187" s="13" t="s">
        <v>641</v>
      </c>
      <c r="B187" s="13"/>
      <c r="C187" s="13" t="s">
        <v>60</v>
      </c>
      <c r="D187" s="13"/>
      <c r="E187" s="13">
        <v>43992</v>
      </c>
      <c r="G187" s="8">
        <v>7781599</v>
      </c>
      <c r="I187" s="8">
        <v>0</v>
      </c>
      <c r="K187" s="8">
        <f>62088+11199981</f>
        <v>11262069</v>
      </c>
      <c r="M187" s="8">
        <v>550219</v>
      </c>
      <c r="O187" s="8">
        <f>330841+34696+44121</f>
        <v>409658</v>
      </c>
      <c r="Q187" s="8">
        <v>0</v>
      </c>
      <c r="S187" s="8">
        <v>0</v>
      </c>
      <c r="U187" s="8">
        <v>0</v>
      </c>
      <c r="W187" s="8">
        <f>168166+53978</f>
        <v>222144</v>
      </c>
      <c r="Y187" s="3">
        <f t="shared" si="11"/>
        <v>20225689</v>
      </c>
      <c r="AA187" s="8">
        <v>0</v>
      </c>
      <c r="AE187" s="8">
        <v>0</v>
      </c>
      <c r="AG187" s="8">
        <v>0</v>
      </c>
      <c r="AI187" s="8">
        <v>0</v>
      </c>
      <c r="AK187" s="8">
        <f t="shared" ref="AK187:AK208" si="12">SUM(AA187:AJ187)</f>
        <v>0</v>
      </c>
      <c r="AM187" s="8">
        <f t="shared" ref="AM187:AM210" si="13">+AK187+Y187</f>
        <v>20225689</v>
      </c>
    </row>
    <row r="188" spans="1:39">
      <c r="A188" s="13" t="s">
        <v>714</v>
      </c>
      <c r="B188" s="13"/>
      <c r="C188" s="13" t="s">
        <v>69</v>
      </c>
      <c r="D188" s="13"/>
      <c r="E188" s="32">
        <v>44008</v>
      </c>
      <c r="G188" s="8">
        <v>13802580</v>
      </c>
      <c r="I188" s="8">
        <v>0</v>
      </c>
      <c r="K188" s="8">
        <v>13266112</v>
      </c>
      <c r="M188" s="8">
        <v>327411</v>
      </c>
      <c r="O188" s="8">
        <f>507242+66+34342</f>
        <v>541650</v>
      </c>
      <c r="Q188" s="8">
        <v>0</v>
      </c>
      <c r="S188" s="8">
        <v>108557</v>
      </c>
      <c r="U188" s="8">
        <v>471274</v>
      </c>
      <c r="W188" s="8">
        <v>10502</v>
      </c>
      <c r="Y188" s="3">
        <f t="shared" si="11"/>
        <v>28528086</v>
      </c>
      <c r="AA188" s="8">
        <v>0</v>
      </c>
      <c r="AE188" s="8">
        <v>0</v>
      </c>
      <c r="AG188" s="8">
        <v>9336</v>
      </c>
      <c r="AI188" s="8">
        <v>0</v>
      </c>
      <c r="AK188" s="8">
        <f t="shared" si="12"/>
        <v>9336</v>
      </c>
      <c r="AM188" s="8">
        <f t="shared" si="13"/>
        <v>28537422</v>
      </c>
    </row>
    <row r="189" spans="1:39">
      <c r="A189" s="13" t="s">
        <v>572</v>
      </c>
      <c r="B189" s="13"/>
      <c r="C189" s="13" t="s">
        <v>51</v>
      </c>
      <c r="D189" s="13"/>
      <c r="E189" s="32">
        <v>48843</v>
      </c>
      <c r="G189" s="8">
        <v>2440228</v>
      </c>
      <c r="I189" s="8">
        <v>0</v>
      </c>
      <c r="K189" s="8">
        <v>13292727</v>
      </c>
      <c r="M189" s="8">
        <v>412362</v>
      </c>
      <c r="O189" s="8">
        <v>832669</v>
      </c>
      <c r="Q189" s="8">
        <v>0</v>
      </c>
      <c r="S189" s="8">
        <v>3576</v>
      </c>
      <c r="U189" s="8">
        <v>3209</v>
      </c>
      <c r="W189" s="8">
        <v>1546</v>
      </c>
      <c r="Y189" s="3">
        <f t="shared" si="11"/>
        <v>16986317</v>
      </c>
      <c r="AA189" s="8">
        <v>0</v>
      </c>
      <c r="AE189" s="8">
        <v>0</v>
      </c>
      <c r="AG189" s="8">
        <v>0</v>
      </c>
      <c r="AI189" s="8">
        <v>0</v>
      </c>
      <c r="AK189" s="8">
        <f t="shared" si="12"/>
        <v>0</v>
      </c>
      <c r="AM189" s="8">
        <f t="shared" si="13"/>
        <v>16986317</v>
      </c>
    </row>
    <row r="190" spans="1:39" hidden="1">
      <c r="A190" s="13" t="s">
        <v>330</v>
      </c>
      <c r="B190" s="13"/>
      <c r="C190" s="13" t="s">
        <v>21</v>
      </c>
      <c r="D190" s="13"/>
      <c r="E190" s="32">
        <v>46649</v>
      </c>
      <c r="O190" s="8">
        <v>0</v>
      </c>
      <c r="Q190" s="8">
        <v>0</v>
      </c>
      <c r="S190" s="8">
        <v>0</v>
      </c>
      <c r="U190" s="8">
        <v>0</v>
      </c>
      <c r="W190" s="8">
        <v>0</v>
      </c>
      <c r="Y190" s="3">
        <f t="shared" si="11"/>
        <v>0</v>
      </c>
      <c r="AA190" s="8">
        <v>0</v>
      </c>
      <c r="AE190" s="8">
        <v>0</v>
      </c>
      <c r="AG190" s="8">
        <v>0</v>
      </c>
      <c r="AI190" s="8">
        <v>0</v>
      </c>
      <c r="AK190" s="8">
        <f t="shared" si="12"/>
        <v>0</v>
      </c>
      <c r="AM190" s="8">
        <f t="shared" si="13"/>
        <v>0</v>
      </c>
    </row>
    <row r="191" spans="1:39">
      <c r="A191" s="13" t="s">
        <v>461</v>
      </c>
      <c r="B191" s="13"/>
      <c r="C191" s="13" t="s">
        <v>40</v>
      </c>
      <c r="D191" s="13"/>
      <c r="E191" s="32">
        <v>47852</v>
      </c>
      <c r="G191" s="8">
        <v>2631376</v>
      </c>
      <c r="I191" s="8">
        <v>0</v>
      </c>
      <c r="K191" s="8">
        <v>4669019</v>
      </c>
      <c r="M191" s="8">
        <v>159688</v>
      </c>
      <c r="O191" s="8">
        <f>504571+2245</f>
        <v>506816</v>
      </c>
      <c r="Q191" s="8">
        <v>19873</v>
      </c>
      <c r="S191" s="8">
        <v>0</v>
      </c>
      <c r="U191" s="8">
        <v>0</v>
      </c>
      <c r="W191" s="8">
        <v>218902</v>
      </c>
      <c r="Y191" s="3">
        <f t="shared" si="11"/>
        <v>8205674</v>
      </c>
      <c r="AA191" s="8">
        <v>0</v>
      </c>
      <c r="AE191" s="8">
        <v>0</v>
      </c>
      <c r="AG191" s="8">
        <v>0</v>
      </c>
      <c r="AI191" s="8">
        <v>0</v>
      </c>
      <c r="AK191" s="8">
        <f t="shared" si="12"/>
        <v>0</v>
      </c>
      <c r="AM191" s="8">
        <f t="shared" si="13"/>
        <v>8205674</v>
      </c>
    </row>
    <row r="192" spans="1:39">
      <c r="A192" s="13" t="s">
        <v>628</v>
      </c>
      <c r="B192" s="13"/>
      <c r="C192" s="13" t="s">
        <v>79</v>
      </c>
      <c r="D192" s="13"/>
      <c r="E192" s="32">
        <v>44016</v>
      </c>
      <c r="G192" s="8">
        <v>10513279</v>
      </c>
      <c r="I192" s="8">
        <v>6862519</v>
      </c>
      <c r="K192" s="8">
        <v>14799775</v>
      </c>
      <c r="M192" s="8">
        <v>413043</v>
      </c>
      <c r="O192" s="8">
        <v>509284</v>
      </c>
      <c r="Q192" s="8">
        <v>154974</v>
      </c>
      <c r="S192" s="8">
        <v>0</v>
      </c>
      <c r="U192" s="8">
        <v>745</v>
      </c>
      <c r="W192" s="8">
        <f>20452+265784</f>
        <v>286236</v>
      </c>
      <c r="Y192" s="3">
        <f t="shared" si="11"/>
        <v>33539855</v>
      </c>
      <c r="AA192" s="8">
        <v>0</v>
      </c>
      <c r="AE192" s="8">
        <v>0</v>
      </c>
      <c r="AG192" s="8">
        <v>0</v>
      </c>
      <c r="AI192" s="8">
        <v>0</v>
      </c>
      <c r="AK192" s="8">
        <f t="shared" si="12"/>
        <v>0</v>
      </c>
      <c r="AM192" s="8">
        <f t="shared" si="13"/>
        <v>33539855</v>
      </c>
    </row>
    <row r="193" spans="1:39">
      <c r="A193" s="13" t="s">
        <v>723</v>
      </c>
      <c r="B193" s="13"/>
      <c r="C193" s="13" t="s">
        <v>70</v>
      </c>
      <c r="D193" s="13"/>
      <c r="E193" s="32">
        <v>50492</v>
      </c>
      <c r="G193" s="8">
        <v>1220462</v>
      </c>
      <c r="I193" s="8">
        <v>0</v>
      </c>
      <c r="K193" s="8">
        <f>52636+5301301</f>
        <v>5353937</v>
      </c>
      <c r="M193" s="8">
        <v>12655</v>
      </c>
      <c r="O193" s="8">
        <f>217050+21704</f>
        <v>238754</v>
      </c>
      <c r="Q193" s="8">
        <v>0</v>
      </c>
      <c r="S193" s="8">
        <v>0</v>
      </c>
      <c r="U193" s="8">
        <v>0</v>
      </c>
      <c r="W193" s="8">
        <v>14871</v>
      </c>
      <c r="Y193" s="3">
        <f t="shared" si="11"/>
        <v>6840679</v>
      </c>
      <c r="AA193" s="8">
        <v>0</v>
      </c>
      <c r="AE193" s="8">
        <v>0</v>
      </c>
      <c r="AG193" s="8">
        <v>91689</v>
      </c>
      <c r="AI193" s="8">
        <v>0</v>
      </c>
      <c r="AK193" s="8">
        <f t="shared" si="12"/>
        <v>91689</v>
      </c>
      <c r="AM193" s="8">
        <f t="shared" si="13"/>
        <v>6932368</v>
      </c>
    </row>
    <row r="194" spans="1:39">
      <c r="A194" s="13" t="s">
        <v>360</v>
      </c>
      <c r="B194" s="13"/>
      <c r="C194" s="13" t="s">
        <v>27</v>
      </c>
      <c r="D194" s="13"/>
      <c r="E194" s="32">
        <v>46961</v>
      </c>
      <c r="G194" s="8">
        <v>46765496</v>
      </c>
      <c r="I194" s="8">
        <v>0</v>
      </c>
      <c r="K194" s="8">
        <v>19150280</v>
      </c>
      <c r="M194" s="8">
        <v>1193983</v>
      </c>
      <c r="O194" s="8">
        <v>300879</v>
      </c>
      <c r="Q194" s="8">
        <v>0</v>
      </c>
      <c r="S194" s="8">
        <v>0</v>
      </c>
      <c r="U194" s="8">
        <v>0</v>
      </c>
      <c r="W194" s="8">
        <v>1647649</v>
      </c>
      <c r="Y194" s="3">
        <f t="shared" ref="Y194:Y208" si="14">SUM(G194:X194)</f>
        <v>69058287</v>
      </c>
      <c r="AA194" s="8">
        <v>0</v>
      </c>
      <c r="AE194" s="8">
        <v>0</v>
      </c>
      <c r="AG194" s="8">
        <v>0</v>
      </c>
      <c r="AI194" s="8">
        <v>0</v>
      </c>
      <c r="AK194" s="8">
        <f t="shared" si="12"/>
        <v>0</v>
      </c>
      <c r="AM194" s="8">
        <f t="shared" si="13"/>
        <v>69058287</v>
      </c>
    </row>
    <row r="195" spans="1:39">
      <c r="A195" s="13" t="s">
        <v>298</v>
      </c>
      <c r="B195" s="13"/>
      <c r="C195" s="13" t="s">
        <v>114</v>
      </c>
      <c r="D195" s="13"/>
      <c r="E195" s="32">
        <v>44024</v>
      </c>
      <c r="G195" s="8">
        <v>4975041</v>
      </c>
      <c r="I195" s="8">
        <v>0</v>
      </c>
      <c r="K195" s="8">
        <v>10587857</v>
      </c>
      <c r="M195" s="8">
        <v>148719</v>
      </c>
      <c r="O195" s="8">
        <v>390135</v>
      </c>
      <c r="Q195" s="8">
        <v>30879</v>
      </c>
      <c r="S195" s="8">
        <v>0</v>
      </c>
      <c r="U195" s="8">
        <v>29648</v>
      </c>
      <c r="W195" s="8">
        <v>42449</v>
      </c>
      <c r="Y195" s="3">
        <f t="shared" si="14"/>
        <v>16204728</v>
      </c>
      <c r="AA195" s="8">
        <v>0</v>
      </c>
      <c r="AE195" s="8">
        <v>0</v>
      </c>
      <c r="AG195" s="8">
        <v>0</v>
      </c>
      <c r="AI195" s="8">
        <v>0</v>
      </c>
      <c r="AK195" s="8">
        <f t="shared" si="12"/>
        <v>0</v>
      </c>
      <c r="AM195" s="8">
        <f t="shared" si="13"/>
        <v>16204728</v>
      </c>
    </row>
    <row r="196" spans="1:39" ht="12" customHeight="1">
      <c r="A196" s="13" t="s">
        <v>379</v>
      </c>
      <c r="B196" s="13"/>
      <c r="C196" s="13" t="s">
        <v>29</v>
      </c>
      <c r="D196" s="13"/>
      <c r="E196" s="32">
        <v>65680</v>
      </c>
      <c r="G196" s="8">
        <v>7839838</v>
      </c>
      <c r="I196" s="8">
        <v>0</v>
      </c>
      <c r="K196" s="8">
        <v>10320688</v>
      </c>
      <c r="M196" s="8">
        <v>252608</v>
      </c>
      <c r="O196" s="8">
        <v>1086647</v>
      </c>
      <c r="Q196" s="8">
        <v>0</v>
      </c>
      <c r="S196" s="8">
        <v>0</v>
      </c>
      <c r="U196" s="8">
        <v>0</v>
      </c>
      <c r="W196" s="8">
        <v>57566</v>
      </c>
      <c r="Y196" s="3">
        <f t="shared" si="14"/>
        <v>19557347</v>
      </c>
      <c r="AA196" s="8">
        <v>0</v>
      </c>
      <c r="AE196" s="8">
        <v>0</v>
      </c>
      <c r="AG196" s="8">
        <v>16903</v>
      </c>
      <c r="AI196" s="8">
        <v>0</v>
      </c>
      <c r="AK196" s="8">
        <f t="shared" si="12"/>
        <v>16903</v>
      </c>
      <c r="AM196" s="8">
        <f t="shared" si="13"/>
        <v>19574250</v>
      </c>
    </row>
    <row r="197" spans="1:39">
      <c r="A197" s="13" t="s">
        <v>380</v>
      </c>
      <c r="B197" s="13"/>
      <c r="C197" s="13" t="s">
        <v>29</v>
      </c>
      <c r="D197" s="13"/>
      <c r="E197" s="13">
        <v>44032</v>
      </c>
      <c r="G197" s="8">
        <v>4895448</v>
      </c>
      <c r="I197" s="8">
        <v>0</v>
      </c>
      <c r="K197" s="8">
        <v>10662564</v>
      </c>
      <c r="M197" s="8">
        <v>261906</v>
      </c>
      <c r="O197" s="8">
        <v>464844</v>
      </c>
      <c r="Q197" s="8">
        <v>0</v>
      </c>
      <c r="S197" s="8">
        <v>0</v>
      </c>
      <c r="U197" s="8">
        <v>0</v>
      </c>
      <c r="W197" s="8">
        <f>276032+65890</f>
        <v>341922</v>
      </c>
      <c r="Y197" s="3">
        <f t="shared" si="14"/>
        <v>16626684</v>
      </c>
      <c r="AA197" s="8">
        <v>0</v>
      </c>
      <c r="AE197" s="8">
        <v>0</v>
      </c>
      <c r="AG197" s="8">
        <v>0</v>
      </c>
      <c r="AI197" s="8">
        <v>0</v>
      </c>
      <c r="AK197" s="8">
        <f t="shared" si="12"/>
        <v>0</v>
      </c>
      <c r="AM197" s="8">
        <f t="shared" si="13"/>
        <v>16626684</v>
      </c>
    </row>
    <row r="198" spans="1:39">
      <c r="A198" s="13" t="s">
        <v>701</v>
      </c>
      <c r="B198" s="13"/>
      <c r="C198" s="13" t="s">
        <v>65</v>
      </c>
      <c r="D198" s="13"/>
      <c r="E198" s="32">
        <v>50278</v>
      </c>
      <c r="G198" s="8">
        <v>4758254</v>
      </c>
      <c r="I198" s="8">
        <v>0</v>
      </c>
      <c r="K198" s="8">
        <v>4240599</v>
      </c>
      <c r="M198" s="8">
        <v>177377</v>
      </c>
      <c r="O198" s="8">
        <v>550970</v>
      </c>
      <c r="Q198" s="8">
        <v>0</v>
      </c>
      <c r="S198" s="8">
        <v>0</v>
      </c>
      <c r="U198" s="8">
        <v>0</v>
      </c>
      <c r="W198" s="8">
        <f>16166+66236+33534</f>
        <v>115936</v>
      </c>
      <c r="Y198" s="3">
        <f t="shared" si="14"/>
        <v>9843136</v>
      </c>
      <c r="AA198" s="8">
        <v>0</v>
      </c>
      <c r="AE198" s="8">
        <v>0</v>
      </c>
      <c r="AG198" s="8">
        <v>19544</v>
      </c>
      <c r="AI198" s="8">
        <v>0</v>
      </c>
      <c r="AK198" s="8">
        <f t="shared" si="12"/>
        <v>19544</v>
      </c>
      <c r="AM198" s="8">
        <f t="shared" si="13"/>
        <v>9862680</v>
      </c>
    </row>
    <row r="199" spans="1:39" hidden="1">
      <c r="A199" s="13" t="s">
        <v>312</v>
      </c>
      <c r="B199" s="13"/>
      <c r="C199" s="13" t="s">
        <v>20</v>
      </c>
      <c r="D199" s="13"/>
      <c r="E199" s="32">
        <v>44040</v>
      </c>
      <c r="Q199" s="8">
        <v>0</v>
      </c>
      <c r="S199" s="8">
        <v>0</v>
      </c>
      <c r="U199" s="8">
        <v>0</v>
      </c>
      <c r="Y199" s="3">
        <f t="shared" si="14"/>
        <v>0</v>
      </c>
      <c r="AA199" s="8">
        <v>0</v>
      </c>
      <c r="AE199" s="8">
        <v>0</v>
      </c>
      <c r="AG199" s="8">
        <v>0</v>
      </c>
      <c r="AI199" s="8">
        <v>0</v>
      </c>
      <c r="AK199" s="8">
        <f t="shared" si="12"/>
        <v>0</v>
      </c>
      <c r="AM199" s="8">
        <f t="shared" si="13"/>
        <v>0</v>
      </c>
    </row>
    <row r="200" spans="1:39">
      <c r="A200" s="12" t="s">
        <v>936</v>
      </c>
      <c r="B200" s="13"/>
      <c r="C200" s="13" t="s">
        <v>12</v>
      </c>
      <c r="D200" s="13"/>
      <c r="E200" s="32">
        <v>44057</v>
      </c>
      <c r="F200" s="11"/>
      <c r="G200" s="8">
        <v>6281773</v>
      </c>
      <c r="I200" s="8">
        <v>0</v>
      </c>
      <c r="K200" s="8">
        <v>13571144</v>
      </c>
      <c r="M200" s="8">
        <v>285765</v>
      </c>
      <c r="O200" s="8">
        <v>1174166</v>
      </c>
      <c r="Q200" s="8">
        <v>0</v>
      </c>
      <c r="S200" s="8">
        <v>141103</v>
      </c>
      <c r="U200" s="8">
        <v>3000</v>
      </c>
      <c r="W200" s="8">
        <f>5252+30+70820</f>
        <v>76102</v>
      </c>
      <c r="Y200" s="3">
        <f t="shared" si="14"/>
        <v>21533053</v>
      </c>
      <c r="AA200" s="8">
        <v>0</v>
      </c>
      <c r="AE200" s="8">
        <v>0</v>
      </c>
      <c r="AG200" s="8">
        <v>0</v>
      </c>
      <c r="AI200" s="8">
        <v>0</v>
      </c>
      <c r="AK200" s="8">
        <f t="shared" si="12"/>
        <v>0</v>
      </c>
      <c r="AM200" s="8">
        <f t="shared" si="13"/>
        <v>21533053</v>
      </c>
    </row>
    <row r="201" spans="1:39">
      <c r="A201" s="13" t="s">
        <v>580</v>
      </c>
      <c r="B201" s="13"/>
      <c r="C201" s="13" t="s">
        <v>53</v>
      </c>
      <c r="D201" s="13"/>
      <c r="E201" s="32">
        <v>48942</v>
      </c>
      <c r="G201" s="8">
        <v>3947916</v>
      </c>
      <c r="I201" s="8">
        <v>0</v>
      </c>
      <c r="K201" s="8">
        <v>6715886</v>
      </c>
      <c r="M201" s="8">
        <v>130572</v>
      </c>
      <c r="O201" s="8">
        <v>343799</v>
      </c>
      <c r="Q201" s="8">
        <v>139417</v>
      </c>
      <c r="S201" s="8">
        <v>0</v>
      </c>
      <c r="U201" s="8">
        <v>0</v>
      </c>
      <c r="W201" s="8">
        <v>44267</v>
      </c>
      <c r="Y201" s="3">
        <f t="shared" si="14"/>
        <v>11321857</v>
      </c>
      <c r="AA201" s="8">
        <v>0</v>
      </c>
      <c r="AE201" s="8">
        <v>0</v>
      </c>
      <c r="AG201" s="8">
        <v>0</v>
      </c>
      <c r="AI201" s="8">
        <v>0</v>
      </c>
      <c r="AK201" s="8">
        <f t="shared" si="12"/>
        <v>0</v>
      </c>
      <c r="AM201" s="8">
        <f t="shared" si="13"/>
        <v>11321857</v>
      </c>
    </row>
    <row r="202" spans="1:39">
      <c r="A202" s="13" t="s">
        <v>242</v>
      </c>
      <c r="B202" s="13"/>
      <c r="C202" s="13" t="s">
        <v>77</v>
      </c>
      <c r="D202" s="13"/>
      <c r="E202" s="32">
        <v>45377</v>
      </c>
      <c r="F202" s="11"/>
      <c r="G202" s="8">
        <v>1873010</v>
      </c>
      <c r="I202" s="8">
        <v>0</v>
      </c>
      <c r="K202" s="8">
        <v>5367183</v>
      </c>
      <c r="M202" s="8">
        <v>92577</v>
      </c>
      <c r="O202" s="8">
        <v>433077</v>
      </c>
      <c r="Q202" s="8">
        <v>0</v>
      </c>
      <c r="S202" s="8">
        <v>0</v>
      </c>
      <c r="U202" s="8">
        <v>0</v>
      </c>
      <c r="W202" s="8">
        <v>57282</v>
      </c>
      <c r="Y202" s="3">
        <f t="shared" si="14"/>
        <v>7823129</v>
      </c>
      <c r="AA202" s="8">
        <v>0</v>
      </c>
      <c r="AE202" s="8">
        <v>0</v>
      </c>
      <c r="AG202" s="8">
        <v>0</v>
      </c>
      <c r="AI202" s="8">
        <v>0</v>
      </c>
      <c r="AK202" s="8">
        <f t="shared" si="12"/>
        <v>0</v>
      </c>
      <c r="AM202" s="8">
        <f t="shared" si="13"/>
        <v>7823129</v>
      </c>
    </row>
    <row r="203" spans="1:39">
      <c r="A203" s="13" t="s">
        <v>629</v>
      </c>
      <c r="B203" s="13"/>
      <c r="C203" s="13" t="s">
        <v>79</v>
      </c>
      <c r="D203" s="13"/>
      <c r="E203" s="32">
        <v>45385</v>
      </c>
      <c r="G203" s="8">
        <v>1914333</v>
      </c>
      <c r="I203" s="8">
        <v>0</v>
      </c>
      <c r="K203" s="8">
        <v>5666456</v>
      </c>
      <c r="M203" s="8">
        <v>178250</v>
      </c>
      <c r="O203" s="8">
        <v>384219</v>
      </c>
      <c r="Q203" s="8">
        <v>0</v>
      </c>
      <c r="S203" s="8">
        <v>0</v>
      </c>
      <c r="U203" s="8">
        <v>0</v>
      </c>
      <c r="W203" s="8">
        <v>20730</v>
      </c>
      <c r="Y203" s="3">
        <f t="shared" si="14"/>
        <v>8163988</v>
      </c>
      <c r="AA203" s="8">
        <v>0</v>
      </c>
      <c r="AE203" s="8">
        <v>0</v>
      </c>
      <c r="AG203" s="8">
        <v>0</v>
      </c>
      <c r="AI203" s="8">
        <v>0</v>
      </c>
      <c r="AK203" s="8">
        <f t="shared" si="12"/>
        <v>0</v>
      </c>
      <c r="AM203" s="8">
        <f t="shared" si="13"/>
        <v>8163988</v>
      </c>
    </row>
    <row r="204" spans="1:39">
      <c r="A204" s="13" t="s">
        <v>684</v>
      </c>
      <c r="B204" s="13"/>
      <c r="C204" s="13" t="s">
        <v>64</v>
      </c>
      <c r="D204" s="13"/>
      <c r="E204" s="32">
        <v>44065</v>
      </c>
      <c r="G204" s="8">
        <v>4056796</v>
      </c>
      <c r="I204" s="8">
        <v>0</v>
      </c>
      <c r="K204" s="8">
        <v>8362333</v>
      </c>
      <c r="M204" s="8">
        <v>313975</v>
      </c>
      <c r="O204" s="8">
        <f>446259+12204</f>
        <v>458463</v>
      </c>
      <c r="Q204" s="8">
        <v>0</v>
      </c>
      <c r="S204" s="8">
        <v>0</v>
      </c>
      <c r="U204" s="8">
        <v>0</v>
      </c>
      <c r="W204" s="8">
        <f>134278</f>
        <v>134278</v>
      </c>
      <c r="Y204" s="3">
        <f t="shared" si="14"/>
        <v>13325845</v>
      </c>
      <c r="AA204" s="8">
        <v>310069</v>
      </c>
      <c r="AE204" s="8">
        <v>0</v>
      </c>
      <c r="AG204" s="8">
        <f>784+55355</f>
        <v>56139</v>
      </c>
      <c r="AI204" s="8">
        <v>0</v>
      </c>
      <c r="AK204" s="8">
        <f t="shared" si="12"/>
        <v>366208</v>
      </c>
      <c r="AM204" s="8">
        <f t="shared" si="13"/>
        <v>13692053</v>
      </c>
    </row>
    <row r="205" spans="1:39">
      <c r="A205" s="13" t="s">
        <v>374</v>
      </c>
      <c r="B205" s="13"/>
      <c r="C205" s="13" t="s">
        <v>28</v>
      </c>
      <c r="D205" s="13"/>
      <c r="E205" s="32">
        <v>47068</v>
      </c>
      <c r="G205" s="8">
        <v>1030059</v>
      </c>
      <c r="I205" s="8">
        <v>440471</v>
      </c>
      <c r="K205" s="8">
        <v>2624981</v>
      </c>
      <c r="M205" s="8">
        <v>134996</v>
      </c>
      <c r="O205" s="8">
        <v>144206</v>
      </c>
      <c r="Q205" s="8">
        <v>0</v>
      </c>
      <c r="S205" s="8">
        <v>331382</v>
      </c>
      <c r="U205" s="8">
        <v>0</v>
      </c>
      <c r="W205" s="8">
        <v>86693</v>
      </c>
      <c r="Y205" s="3">
        <f t="shared" si="14"/>
        <v>4792788</v>
      </c>
      <c r="AA205" s="8">
        <v>0</v>
      </c>
      <c r="AE205" s="8">
        <v>0</v>
      </c>
      <c r="AG205" s="8">
        <v>0</v>
      </c>
      <c r="AI205" s="8">
        <v>0</v>
      </c>
      <c r="AK205" s="8">
        <f t="shared" si="12"/>
        <v>0</v>
      </c>
      <c r="AM205" s="8">
        <f t="shared" si="13"/>
        <v>4792788</v>
      </c>
    </row>
    <row r="206" spans="1:39">
      <c r="A206" s="13" t="s">
        <v>273</v>
      </c>
      <c r="B206" s="13"/>
      <c r="C206" s="13" t="s">
        <v>116</v>
      </c>
      <c r="D206" s="13"/>
      <c r="E206" s="32">
        <v>46342</v>
      </c>
      <c r="F206" s="11"/>
      <c r="G206" s="8">
        <v>4379120</v>
      </c>
      <c r="I206" s="8">
        <v>2847058</v>
      </c>
      <c r="K206" s="8">
        <v>12192309</v>
      </c>
      <c r="M206" s="8">
        <v>314674</v>
      </c>
      <c r="O206" s="8">
        <v>688793</v>
      </c>
      <c r="Q206" s="8">
        <v>0</v>
      </c>
      <c r="S206" s="8">
        <v>22560</v>
      </c>
      <c r="U206" s="8">
        <v>0</v>
      </c>
      <c r="W206" s="8">
        <f>29860+76663+78002</f>
        <v>184525</v>
      </c>
      <c r="Y206" s="3">
        <f t="shared" si="14"/>
        <v>20629039</v>
      </c>
      <c r="AA206" s="8">
        <v>0</v>
      </c>
      <c r="AE206" s="8">
        <v>0</v>
      </c>
      <c r="AG206" s="8">
        <v>244185</v>
      </c>
      <c r="AI206" s="8">
        <v>0</v>
      </c>
      <c r="AK206" s="8">
        <f t="shared" si="12"/>
        <v>244185</v>
      </c>
      <c r="AM206" s="8">
        <f t="shared" si="13"/>
        <v>20873224</v>
      </c>
    </row>
    <row r="207" spans="1:39">
      <c r="A207" s="13" t="s">
        <v>258</v>
      </c>
      <c r="B207" s="13"/>
      <c r="C207" s="13" t="s">
        <v>259</v>
      </c>
      <c r="D207" s="13"/>
      <c r="E207" s="13">
        <v>46193</v>
      </c>
      <c r="F207" s="11"/>
      <c r="G207" s="8">
        <v>4983297</v>
      </c>
      <c r="I207" s="8">
        <v>0</v>
      </c>
      <c r="K207" s="8">
        <v>11374455</v>
      </c>
      <c r="M207" s="8">
        <v>178309</v>
      </c>
      <c r="O207" s="8">
        <v>685414</v>
      </c>
      <c r="Q207" s="8">
        <v>0</v>
      </c>
      <c r="S207" s="8">
        <v>0</v>
      </c>
      <c r="U207" s="8">
        <v>0</v>
      </c>
      <c r="W207" s="8">
        <v>310776</v>
      </c>
      <c r="Y207" s="3">
        <f t="shared" si="14"/>
        <v>17532251</v>
      </c>
      <c r="AA207" s="8">
        <v>9431</v>
      </c>
      <c r="AE207" s="8">
        <v>0</v>
      </c>
      <c r="AG207" s="8">
        <v>0</v>
      </c>
      <c r="AI207" s="8">
        <v>0</v>
      </c>
      <c r="AK207" s="8">
        <f t="shared" si="12"/>
        <v>9431</v>
      </c>
      <c r="AM207" s="8">
        <f t="shared" si="13"/>
        <v>17541682</v>
      </c>
    </row>
    <row r="208" spans="1:39">
      <c r="A208" s="13" t="s">
        <v>222</v>
      </c>
      <c r="B208" s="13"/>
      <c r="C208" s="13" t="s">
        <v>12</v>
      </c>
      <c r="D208" s="13"/>
      <c r="E208" s="32">
        <v>45864</v>
      </c>
      <c r="F208" s="11"/>
      <c r="G208" s="8">
        <v>3269174</v>
      </c>
      <c r="I208" s="8">
        <v>0</v>
      </c>
      <c r="K208" s="8">
        <v>6509626</v>
      </c>
      <c r="M208" s="8">
        <v>222193</v>
      </c>
      <c r="O208" s="8">
        <v>524382</v>
      </c>
      <c r="Q208" s="8">
        <v>0</v>
      </c>
      <c r="S208" s="8">
        <v>0</v>
      </c>
      <c r="U208" s="8">
        <v>0</v>
      </c>
      <c r="W208" s="8">
        <f>109+10510+98298</f>
        <v>108917</v>
      </c>
      <c r="Y208" s="3">
        <f t="shared" si="14"/>
        <v>10634292</v>
      </c>
      <c r="AA208" s="8">
        <v>0</v>
      </c>
      <c r="AE208" s="8">
        <v>0</v>
      </c>
      <c r="AG208" s="8">
        <v>0</v>
      </c>
      <c r="AI208" s="8">
        <v>0</v>
      </c>
      <c r="AK208" s="8">
        <f t="shared" si="12"/>
        <v>0</v>
      </c>
      <c r="AM208" s="8">
        <f t="shared" si="13"/>
        <v>10634292</v>
      </c>
    </row>
    <row r="209" spans="1:39">
      <c r="A209" s="13" t="s">
        <v>361</v>
      </c>
      <c r="B209" s="13"/>
      <c r="C209" s="13" t="s">
        <v>27</v>
      </c>
      <c r="D209" s="13"/>
      <c r="E209" s="32">
        <v>44073</v>
      </c>
      <c r="G209" s="8">
        <v>10449608</v>
      </c>
      <c r="I209" s="8">
        <v>380320</v>
      </c>
      <c r="K209" s="8">
        <v>3784586</v>
      </c>
      <c r="M209" s="8">
        <v>0</v>
      </c>
      <c r="O209" s="8">
        <v>236338</v>
      </c>
      <c r="Q209" s="8">
        <v>0</v>
      </c>
      <c r="S209" s="8">
        <v>0</v>
      </c>
      <c r="U209" s="8">
        <v>0</v>
      </c>
      <c r="W209" s="8">
        <v>113278</v>
      </c>
      <c r="Y209" s="3">
        <f t="shared" ref="Y209:Y272" si="15">SUM(G209:X209)</f>
        <v>14964130</v>
      </c>
      <c r="AA209" s="8">
        <v>0</v>
      </c>
      <c r="AE209" s="8">
        <v>0</v>
      </c>
      <c r="AG209" s="8">
        <v>0</v>
      </c>
      <c r="AI209" s="8">
        <v>0</v>
      </c>
      <c r="AK209" s="8">
        <f t="shared" ref="AK209:AK272" si="16">SUM(AA209:AJ209)</f>
        <v>0</v>
      </c>
      <c r="AM209" s="8">
        <f t="shared" si="13"/>
        <v>14964130</v>
      </c>
    </row>
    <row r="210" spans="1:39">
      <c r="A210" s="13" t="s">
        <v>478</v>
      </c>
      <c r="B210" s="13"/>
      <c r="C210" s="13" t="s">
        <v>42</v>
      </c>
      <c r="D210" s="13"/>
      <c r="E210" s="32">
        <v>45393</v>
      </c>
      <c r="G210" s="8">
        <v>12760860</v>
      </c>
      <c r="I210" s="8">
        <v>0</v>
      </c>
      <c r="K210" s="8">
        <v>7395606</v>
      </c>
      <c r="M210" s="8">
        <v>508983</v>
      </c>
      <c r="O210" s="8">
        <v>200960</v>
      </c>
      <c r="Q210" s="8">
        <v>0</v>
      </c>
      <c r="S210" s="8">
        <v>262999</v>
      </c>
      <c r="U210" s="8">
        <v>0</v>
      </c>
      <c r="W210" s="8">
        <f>18453+32194</f>
        <v>50647</v>
      </c>
      <c r="Y210" s="3">
        <f t="shared" si="15"/>
        <v>21180055</v>
      </c>
      <c r="AA210" s="8">
        <v>0</v>
      </c>
      <c r="AE210" s="8">
        <v>0</v>
      </c>
      <c r="AG210" s="8">
        <v>677</v>
      </c>
      <c r="AI210" s="8">
        <v>0</v>
      </c>
      <c r="AK210" s="8">
        <f t="shared" si="16"/>
        <v>677</v>
      </c>
      <c r="AM210" s="8">
        <f t="shared" si="13"/>
        <v>21180732</v>
      </c>
    </row>
    <row r="211" spans="1:39">
      <c r="A211" s="13" t="s">
        <v>633</v>
      </c>
      <c r="B211" s="13"/>
      <c r="C211" s="13" t="s">
        <v>59</v>
      </c>
      <c r="D211" s="13"/>
      <c r="E211" s="32">
        <v>49619</v>
      </c>
      <c r="G211" s="8">
        <v>1484864</v>
      </c>
      <c r="I211" s="8">
        <v>0</v>
      </c>
      <c r="K211" s="8">
        <v>3021365</v>
      </c>
      <c r="M211" s="8">
        <v>53626</v>
      </c>
      <c r="O211" s="8">
        <v>319433</v>
      </c>
      <c r="Q211" s="8">
        <v>0</v>
      </c>
      <c r="S211" s="8">
        <v>253980</v>
      </c>
      <c r="U211" s="8">
        <v>0</v>
      </c>
      <c r="W211" s="8">
        <f>12050+173960</f>
        <v>186010</v>
      </c>
      <c r="Y211" s="3">
        <f t="shared" si="15"/>
        <v>5319278</v>
      </c>
      <c r="AA211" s="8">
        <v>0</v>
      </c>
      <c r="AE211" s="8">
        <v>0</v>
      </c>
      <c r="AG211" s="8">
        <v>0</v>
      </c>
      <c r="AI211" s="8">
        <v>0</v>
      </c>
      <c r="AK211" s="8">
        <f t="shared" si="16"/>
        <v>0</v>
      </c>
      <c r="AM211" s="8">
        <f t="shared" ref="AM211:AM272" si="17">+AK211+Y211</f>
        <v>5319278</v>
      </c>
    </row>
    <row r="212" spans="1:39">
      <c r="A212" s="13" t="s">
        <v>633</v>
      </c>
      <c r="B212" s="13"/>
      <c r="C212" s="13" t="s">
        <v>63</v>
      </c>
      <c r="D212" s="13"/>
      <c r="E212" s="32">
        <v>50013</v>
      </c>
      <c r="G212" s="8">
        <v>16422716</v>
      </c>
      <c r="I212" s="8">
        <v>0</v>
      </c>
      <c r="K212" s="8">
        <v>13956646</v>
      </c>
      <c r="M212" s="8">
        <v>478132</v>
      </c>
      <c r="O212" s="8">
        <v>356175</v>
      </c>
      <c r="Q212" s="8">
        <v>0</v>
      </c>
      <c r="S212" s="8">
        <v>0</v>
      </c>
      <c r="U212" s="8">
        <v>0</v>
      </c>
      <c r="W212" s="8">
        <f>148707+127756</f>
        <v>276463</v>
      </c>
      <c r="Y212" s="3">
        <f t="shared" si="15"/>
        <v>31490132</v>
      </c>
      <c r="AA212" s="8">
        <v>0</v>
      </c>
      <c r="AE212" s="8">
        <v>0</v>
      </c>
      <c r="AG212" s="8">
        <v>0</v>
      </c>
      <c r="AI212" s="8">
        <v>0</v>
      </c>
      <c r="AK212" s="8">
        <f t="shared" si="16"/>
        <v>0</v>
      </c>
      <c r="AM212" s="8">
        <f t="shared" si="17"/>
        <v>31490132</v>
      </c>
    </row>
    <row r="213" spans="1:39">
      <c r="A213" s="13" t="s">
        <v>633</v>
      </c>
      <c r="B213" s="13"/>
      <c r="C213" s="13" t="s">
        <v>71</v>
      </c>
      <c r="D213" s="13"/>
      <c r="E213" s="32">
        <v>50559</v>
      </c>
      <c r="G213" s="8">
        <v>3920137</v>
      </c>
      <c r="I213" s="8">
        <v>0</v>
      </c>
      <c r="K213" s="8">
        <v>6023984</v>
      </c>
      <c r="M213" s="8">
        <v>54271</v>
      </c>
      <c r="O213" s="8">
        <v>403273</v>
      </c>
      <c r="Q213" s="8">
        <v>0</v>
      </c>
      <c r="S213" s="8">
        <v>0</v>
      </c>
      <c r="U213" s="8">
        <v>0</v>
      </c>
      <c r="W213" s="8">
        <v>86166</v>
      </c>
      <c r="Y213" s="3">
        <f t="shared" si="15"/>
        <v>10487831</v>
      </c>
      <c r="AA213" s="8">
        <v>0</v>
      </c>
      <c r="AE213" s="8">
        <v>0</v>
      </c>
      <c r="AG213" s="8">
        <v>69196</v>
      </c>
      <c r="AI213" s="8">
        <v>0</v>
      </c>
      <c r="AK213" s="8">
        <f t="shared" si="16"/>
        <v>69196</v>
      </c>
      <c r="AM213" s="8">
        <f t="shared" si="17"/>
        <v>10557027</v>
      </c>
    </row>
    <row r="214" spans="1:39">
      <c r="A214" s="13" t="s">
        <v>390</v>
      </c>
      <c r="B214" s="13"/>
      <c r="C214" s="13" t="s">
        <v>117</v>
      </c>
      <c r="D214" s="13"/>
      <c r="E214" s="13">
        <v>47266</v>
      </c>
      <c r="G214" s="8">
        <v>3172150</v>
      </c>
      <c r="I214" s="8">
        <v>1709702</v>
      </c>
      <c r="K214" s="8">
        <v>6290700</v>
      </c>
      <c r="M214" s="8">
        <v>153781</v>
      </c>
      <c r="O214" s="8">
        <v>620373</v>
      </c>
      <c r="Q214" s="8">
        <v>0</v>
      </c>
      <c r="S214" s="8">
        <v>0</v>
      </c>
      <c r="U214" s="8">
        <v>228</v>
      </c>
      <c r="W214" s="8">
        <f>8382+19602</f>
        <v>27984</v>
      </c>
      <c r="Y214" s="3">
        <f t="shared" si="15"/>
        <v>11974918</v>
      </c>
      <c r="AA214" s="8">
        <v>0</v>
      </c>
      <c r="AE214" s="8">
        <v>0</v>
      </c>
      <c r="AG214" s="8">
        <v>2400</v>
      </c>
      <c r="AI214" s="8">
        <v>0</v>
      </c>
      <c r="AK214" s="8">
        <f t="shared" si="16"/>
        <v>2400</v>
      </c>
      <c r="AM214" s="8">
        <f t="shared" si="17"/>
        <v>11977318</v>
      </c>
    </row>
    <row r="215" spans="1:39">
      <c r="A215" s="13" t="s">
        <v>442</v>
      </c>
      <c r="B215" s="13"/>
      <c r="C215" s="13" t="s">
        <v>440</v>
      </c>
      <c r="D215" s="13"/>
      <c r="E215" s="32">
        <v>45401</v>
      </c>
      <c r="G215" s="8">
        <v>3012591</v>
      </c>
      <c r="I215" s="8">
        <v>1919052</v>
      </c>
      <c r="K215" s="8">
        <v>12028944</v>
      </c>
      <c r="M215" s="8">
        <v>136391</v>
      </c>
      <c r="O215" s="8">
        <v>605035</v>
      </c>
      <c r="Q215" s="8">
        <v>0</v>
      </c>
      <c r="S215" s="8">
        <v>0</v>
      </c>
      <c r="U215" s="8">
        <v>0</v>
      </c>
      <c r="W215" s="8">
        <f>1391+171270</f>
        <v>172661</v>
      </c>
      <c r="Y215" s="3">
        <f t="shared" si="15"/>
        <v>17874674</v>
      </c>
      <c r="AA215" s="8">
        <v>0</v>
      </c>
      <c r="AE215" s="8">
        <v>0</v>
      </c>
      <c r="AG215" s="8">
        <v>0</v>
      </c>
      <c r="AI215" s="8">
        <v>0</v>
      </c>
      <c r="AK215" s="8">
        <f t="shared" si="16"/>
        <v>0</v>
      </c>
      <c r="AM215" s="8">
        <f t="shared" si="17"/>
        <v>17874674</v>
      </c>
    </row>
    <row r="216" spans="1:39">
      <c r="A216" s="13" t="s">
        <v>265</v>
      </c>
      <c r="B216" s="13"/>
      <c r="C216" s="13" t="s">
        <v>17</v>
      </c>
      <c r="D216" s="13"/>
      <c r="E216" s="32">
        <v>46235</v>
      </c>
      <c r="F216" s="11"/>
      <c r="G216" s="8">
        <v>5147305</v>
      </c>
      <c r="I216" s="8">
        <v>0</v>
      </c>
      <c r="K216" s="8">
        <v>7794798</v>
      </c>
      <c r="M216" s="8">
        <v>140978</v>
      </c>
      <c r="O216" s="8">
        <v>633530</v>
      </c>
      <c r="Q216" s="8">
        <v>0</v>
      </c>
      <c r="S216" s="8">
        <v>10207</v>
      </c>
      <c r="U216" s="8">
        <v>12328</v>
      </c>
      <c r="W216" s="8">
        <v>16444</v>
      </c>
      <c r="Y216" s="3">
        <f t="shared" si="15"/>
        <v>13755590</v>
      </c>
      <c r="AA216" s="8">
        <v>0</v>
      </c>
      <c r="AE216" s="8">
        <v>0</v>
      </c>
      <c r="AG216" s="8">
        <v>0</v>
      </c>
      <c r="AI216" s="8">
        <v>0</v>
      </c>
      <c r="AK216" s="8">
        <f t="shared" si="16"/>
        <v>0</v>
      </c>
      <c r="AM216" s="8">
        <f t="shared" si="17"/>
        <v>13755590</v>
      </c>
    </row>
    <row r="217" spans="1:39">
      <c r="A217" s="13" t="s">
        <v>331</v>
      </c>
      <c r="B217" s="13"/>
      <c r="C217" s="13" t="s">
        <v>21</v>
      </c>
      <c r="D217" s="13"/>
      <c r="E217" s="32">
        <v>44099</v>
      </c>
      <c r="G217" s="8">
        <v>8648431</v>
      </c>
      <c r="I217" s="8">
        <v>1952303</v>
      </c>
      <c r="K217" s="8">
        <v>13624529</v>
      </c>
      <c r="M217" s="8">
        <v>424570</v>
      </c>
      <c r="O217" s="8">
        <v>468241</v>
      </c>
      <c r="Q217" s="8">
        <v>36652</v>
      </c>
      <c r="S217" s="8">
        <v>189095</v>
      </c>
      <c r="U217" s="8">
        <v>0</v>
      </c>
      <c r="W217" s="8">
        <f>23200+60344</f>
        <v>83544</v>
      </c>
      <c r="Y217" s="3">
        <f>SUM(G217:X217)</f>
        <v>25427365</v>
      </c>
      <c r="AA217" s="8">
        <v>0</v>
      </c>
      <c r="AE217" s="8">
        <v>0</v>
      </c>
      <c r="AG217" s="8">
        <v>0</v>
      </c>
      <c r="AI217" s="8">
        <v>0</v>
      </c>
      <c r="AK217" s="8">
        <f t="shared" si="16"/>
        <v>0</v>
      </c>
      <c r="AM217" s="8">
        <f t="shared" si="17"/>
        <v>25427365</v>
      </c>
    </row>
    <row r="218" spans="1:39" hidden="1">
      <c r="A218" s="13" t="s">
        <v>362</v>
      </c>
      <c r="B218" s="13"/>
      <c r="C218" s="13" t="s">
        <v>27</v>
      </c>
      <c r="D218" s="13"/>
      <c r="E218" s="32">
        <v>46979</v>
      </c>
      <c r="I218" s="8">
        <v>0</v>
      </c>
      <c r="Y218" s="3">
        <f t="shared" si="15"/>
        <v>0</v>
      </c>
      <c r="AA218" s="8">
        <v>0</v>
      </c>
      <c r="AE218" s="8">
        <v>0</v>
      </c>
      <c r="AG218" s="8">
        <v>0</v>
      </c>
      <c r="AI218" s="8">
        <v>0</v>
      </c>
      <c r="AK218" s="8">
        <f t="shared" si="16"/>
        <v>0</v>
      </c>
      <c r="AM218" s="8">
        <f t="shared" si="17"/>
        <v>0</v>
      </c>
    </row>
    <row r="219" spans="1:39">
      <c r="A219" s="13" t="s">
        <v>248</v>
      </c>
      <c r="B219" s="13"/>
      <c r="C219" s="13" t="s">
        <v>246</v>
      </c>
      <c r="D219" s="13"/>
      <c r="E219" s="32">
        <v>44107</v>
      </c>
      <c r="F219" s="11"/>
      <c r="G219" s="8">
        <v>18641399</v>
      </c>
      <c r="I219" s="8">
        <v>0</v>
      </c>
      <c r="K219" s="8">
        <v>44412128</v>
      </c>
      <c r="M219" s="8">
        <v>919760</v>
      </c>
      <c r="O219" s="8">
        <v>168030</v>
      </c>
      <c r="Q219" s="8">
        <v>0</v>
      </c>
      <c r="S219" s="8">
        <v>0</v>
      </c>
      <c r="U219" s="8">
        <v>0</v>
      </c>
      <c r="W219" s="8">
        <f>271462+60815</f>
        <v>332277</v>
      </c>
      <c r="Y219" s="3">
        <f t="shared" si="15"/>
        <v>64473594</v>
      </c>
      <c r="AA219" s="8">
        <v>0</v>
      </c>
      <c r="AE219" s="8">
        <v>0</v>
      </c>
      <c r="AG219" s="8">
        <f>1600+896</f>
        <v>2496</v>
      </c>
      <c r="AI219" s="8">
        <v>0</v>
      </c>
      <c r="AK219" s="8">
        <f t="shared" si="16"/>
        <v>2496</v>
      </c>
      <c r="AM219" s="8">
        <f t="shared" si="17"/>
        <v>64476090</v>
      </c>
    </row>
    <row r="220" spans="1:39">
      <c r="A220" s="13" t="s">
        <v>363</v>
      </c>
      <c r="B220" s="13"/>
      <c r="C220" s="13" t="s">
        <v>27</v>
      </c>
      <c r="D220" s="13"/>
      <c r="E220" s="32">
        <v>46953</v>
      </c>
      <c r="G220" s="8">
        <v>5061298</v>
      </c>
      <c r="I220" s="8">
        <v>0</v>
      </c>
      <c r="K220" s="8">
        <v>16327968</v>
      </c>
      <c r="M220" s="8">
        <v>127261</v>
      </c>
      <c r="O220" s="8">
        <v>52899</v>
      </c>
      <c r="Q220" s="8">
        <v>61502</v>
      </c>
      <c r="S220" s="8">
        <v>0</v>
      </c>
      <c r="U220" s="8">
        <v>81000</v>
      </c>
      <c r="W220" s="8">
        <f>45000+106428</f>
        <v>151428</v>
      </c>
      <c r="Y220" s="3">
        <f t="shared" si="15"/>
        <v>21863356</v>
      </c>
      <c r="AA220" s="8">
        <v>0</v>
      </c>
      <c r="AE220" s="8">
        <v>0</v>
      </c>
      <c r="AG220" s="8">
        <v>83461</v>
      </c>
      <c r="AI220" s="8">
        <v>0</v>
      </c>
      <c r="AK220" s="8">
        <f t="shared" si="16"/>
        <v>83461</v>
      </c>
      <c r="AM220" s="8">
        <f t="shared" si="17"/>
        <v>21946817</v>
      </c>
    </row>
    <row r="221" spans="1:39">
      <c r="A221" s="13" t="s">
        <v>427</v>
      </c>
      <c r="B221" s="13"/>
      <c r="C221" s="13" t="s">
        <v>426</v>
      </c>
      <c r="D221" s="13"/>
      <c r="E221" s="32">
        <v>47498</v>
      </c>
      <c r="G221" s="8">
        <v>870092</v>
      </c>
      <c r="I221" s="8">
        <v>0</v>
      </c>
      <c r="K221" s="8">
        <v>2390058</v>
      </c>
      <c r="M221" s="8">
        <v>76607</v>
      </c>
      <c r="O221" s="8">
        <v>318945</v>
      </c>
      <c r="Q221" s="8">
        <v>0</v>
      </c>
      <c r="S221" s="8">
        <v>882703</v>
      </c>
      <c r="U221" s="8">
        <v>0</v>
      </c>
      <c r="W221" s="8">
        <f>19055+5327</f>
        <v>24382</v>
      </c>
      <c r="Y221" s="3">
        <f t="shared" si="15"/>
        <v>4562787</v>
      </c>
      <c r="AA221" s="8">
        <v>68700</v>
      </c>
      <c r="AE221" s="8">
        <v>0</v>
      </c>
      <c r="AG221" s="8">
        <v>0</v>
      </c>
      <c r="AI221" s="8">
        <v>0</v>
      </c>
      <c r="AK221" s="8">
        <f t="shared" si="16"/>
        <v>68700</v>
      </c>
      <c r="AM221" s="8">
        <f t="shared" si="17"/>
        <v>4631487</v>
      </c>
    </row>
    <row r="222" spans="1:39">
      <c r="A222" s="13" t="s">
        <v>650</v>
      </c>
      <c r="B222" s="13"/>
      <c r="C222" s="13" t="s">
        <v>61</v>
      </c>
      <c r="D222" s="13"/>
      <c r="E222" s="32">
        <v>49791</v>
      </c>
      <c r="G222" s="8">
        <v>1765172</v>
      </c>
      <c r="I222" s="8">
        <v>467874</v>
      </c>
      <c r="K222" s="8">
        <v>4387579</v>
      </c>
      <c r="M222" s="8">
        <v>137117</v>
      </c>
      <c r="O222" s="8">
        <v>641150</v>
      </c>
      <c r="Q222" s="8">
        <v>1408</v>
      </c>
      <c r="S222" s="8">
        <v>0</v>
      </c>
      <c r="U222" s="8">
        <v>2195</v>
      </c>
      <c r="W222" s="8">
        <f>9150+16007</f>
        <v>25157</v>
      </c>
      <c r="Y222" s="3">
        <f t="shared" si="15"/>
        <v>7427652</v>
      </c>
      <c r="AA222" s="8">
        <v>0</v>
      </c>
      <c r="AE222" s="8">
        <v>0</v>
      </c>
      <c r="AG222" s="8">
        <v>150</v>
      </c>
      <c r="AI222" s="8">
        <v>0</v>
      </c>
      <c r="AK222" s="8">
        <f t="shared" si="16"/>
        <v>150</v>
      </c>
      <c r="AM222" s="8">
        <f t="shared" si="17"/>
        <v>7427802</v>
      </c>
    </row>
    <row r="223" spans="1:39">
      <c r="A223" s="13" t="s">
        <v>434</v>
      </c>
      <c r="B223" s="13"/>
      <c r="C223" s="13" t="s">
        <v>433</v>
      </c>
      <c r="D223" s="13"/>
      <c r="E223" s="32">
        <v>45245</v>
      </c>
      <c r="G223" s="8">
        <v>4131591</v>
      </c>
      <c r="I223" s="8">
        <v>0</v>
      </c>
      <c r="K223" s="8">
        <v>11346554</v>
      </c>
      <c r="M223" s="8">
        <v>262645</v>
      </c>
      <c r="O223" s="8">
        <f>133618+17907</f>
        <v>151525</v>
      </c>
      <c r="Q223" s="8">
        <v>11664</v>
      </c>
      <c r="S223" s="8">
        <v>0</v>
      </c>
      <c r="U223" s="8">
        <v>0</v>
      </c>
      <c r="W223" s="8">
        <v>33679</v>
      </c>
      <c r="Y223" s="3">
        <f t="shared" si="15"/>
        <v>15937658</v>
      </c>
      <c r="AA223" s="8">
        <v>0</v>
      </c>
      <c r="AE223" s="8">
        <v>0</v>
      </c>
      <c r="AG223" s="8">
        <v>0</v>
      </c>
      <c r="AI223" s="8">
        <v>0</v>
      </c>
      <c r="AK223" s="8">
        <f t="shared" si="16"/>
        <v>0</v>
      </c>
      <c r="AM223" s="8">
        <f t="shared" si="17"/>
        <v>15937658</v>
      </c>
    </row>
    <row r="224" spans="1:39">
      <c r="A224" s="13" t="s">
        <v>479</v>
      </c>
      <c r="B224" s="13"/>
      <c r="C224" s="13" t="s">
        <v>42</v>
      </c>
      <c r="D224" s="13"/>
      <c r="E224" s="32">
        <v>44115</v>
      </c>
      <c r="G224" s="8">
        <v>7625981</v>
      </c>
      <c r="I224" s="8">
        <v>0</v>
      </c>
      <c r="K224" s="8">
        <v>5637518</v>
      </c>
      <c r="M224" s="8">
        <v>89101</v>
      </c>
      <c r="O224" s="8">
        <v>97851</v>
      </c>
      <c r="Q224" s="8">
        <v>0</v>
      </c>
      <c r="S224" s="8">
        <v>0</v>
      </c>
      <c r="U224" s="8">
        <v>0</v>
      </c>
      <c r="W224" s="8">
        <v>245957</v>
      </c>
      <c r="Y224" s="3">
        <f t="shared" si="15"/>
        <v>13696408</v>
      </c>
      <c r="AA224" s="8">
        <v>0</v>
      </c>
      <c r="AE224" s="8">
        <v>0</v>
      </c>
      <c r="AG224" s="8">
        <v>75</v>
      </c>
      <c r="AI224" s="8">
        <v>0</v>
      </c>
      <c r="AK224" s="8">
        <f t="shared" si="16"/>
        <v>75</v>
      </c>
      <c r="AM224" s="8">
        <f t="shared" si="17"/>
        <v>13696483</v>
      </c>
    </row>
    <row r="225" spans="1:39" hidden="1">
      <c r="A225" s="13" t="s">
        <v>335</v>
      </c>
      <c r="B225" s="13"/>
      <c r="C225" s="13" t="s">
        <v>22</v>
      </c>
      <c r="D225" s="13"/>
      <c r="E225" s="32">
        <v>45419</v>
      </c>
      <c r="I225" s="8">
        <v>0</v>
      </c>
      <c r="S225" s="8">
        <v>0</v>
      </c>
      <c r="Y225" s="3">
        <f t="shared" si="15"/>
        <v>0</v>
      </c>
      <c r="AA225" s="8">
        <v>0</v>
      </c>
      <c r="AE225" s="8">
        <v>0</v>
      </c>
      <c r="AG225" s="8">
        <v>0</v>
      </c>
      <c r="AI225" s="8">
        <v>0</v>
      </c>
      <c r="AK225" s="8">
        <f t="shared" si="16"/>
        <v>0</v>
      </c>
      <c r="AM225" s="8">
        <f t="shared" si="17"/>
        <v>0</v>
      </c>
    </row>
    <row r="226" spans="1:39">
      <c r="A226" s="13" t="s">
        <v>534</v>
      </c>
      <c r="B226" s="13"/>
      <c r="C226" s="13" t="s">
        <v>47</v>
      </c>
      <c r="D226" s="13"/>
      <c r="E226" s="32">
        <v>48496</v>
      </c>
      <c r="G226" s="8">
        <v>13991361</v>
      </c>
      <c r="I226" s="8">
        <v>0</v>
      </c>
      <c r="K226" s="8">
        <v>7279092</v>
      </c>
      <c r="M226" s="8">
        <v>690698</v>
      </c>
      <c r="O226" s="8">
        <v>286813</v>
      </c>
      <c r="Q226" s="8">
        <v>37231</v>
      </c>
      <c r="S226" s="8">
        <v>0</v>
      </c>
      <c r="U226" s="8">
        <v>0</v>
      </c>
      <c r="W226" s="8">
        <f>37383+30415+242980</f>
        <v>310778</v>
      </c>
      <c r="Y226" s="3">
        <f t="shared" si="15"/>
        <v>22595973</v>
      </c>
      <c r="AA226" s="8">
        <v>0</v>
      </c>
      <c r="AE226" s="8">
        <v>0</v>
      </c>
      <c r="AG226" s="8">
        <v>196568</v>
      </c>
      <c r="AI226" s="8">
        <v>0</v>
      </c>
      <c r="AK226" s="8">
        <f t="shared" si="16"/>
        <v>196568</v>
      </c>
      <c r="AM226" s="8">
        <f t="shared" si="17"/>
        <v>22792541</v>
      </c>
    </row>
    <row r="227" spans="1:39">
      <c r="A227" s="13" t="s">
        <v>534</v>
      </c>
      <c r="B227" s="13"/>
      <c r="C227" s="13" t="s">
        <v>78</v>
      </c>
      <c r="D227" s="13"/>
      <c r="E227" s="32">
        <v>48801</v>
      </c>
      <c r="G227" s="8">
        <v>3547339</v>
      </c>
      <c r="I227" s="8">
        <v>966200</v>
      </c>
      <c r="K227" s="8">
        <v>8672686</v>
      </c>
      <c r="M227" s="8">
        <v>286653</v>
      </c>
      <c r="O227" s="8">
        <v>4021</v>
      </c>
      <c r="Q227" s="8">
        <v>14140</v>
      </c>
      <c r="S227" s="8">
        <v>0</v>
      </c>
      <c r="U227" s="8">
        <v>0</v>
      </c>
      <c r="W227" s="8">
        <v>199266</v>
      </c>
      <c r="Y227" s="3">
        <f t="shared" si="15"/>
        <v>13690305</v>
      </c>
      <c r="AA227" s="8">
        <v>0</v>
      </c>
      <c r="AE227" s="8">
        <v>0</v>
      </c>
      <c r="AG227" s="8">
        <v>80180</v>
      </c>
      <c r="AI227" s="8">
        <v>0</v>
      </c>
      <c r="AK227" s="8">
        <f t="shared" si="16"/>
        <v>80180</v>
      </c>
      <c r="AM227" s="8">
        <f t="shared" si="17"/>
        <v>13770485</v>
      </c>
    </row>
    <row r="228" spans="1:39">
      <c r="A228" s="13" t="s">
        <v>364</v>
      </c>
      <c r="B228" s="13"/>
      <c r="C228" s="13" t="s">
        <v>27</v>
      </c>
      <c r="D228" s="13"/>
      <c r="E228" s="32">
        <v>47019</v>
      </c>
      <c r="G228" s="8">
        <v>76333994</v>
      </c>
      <c r="I228" s="8">
        <v>0</v>
      </c>
      <c r="K228" s="8">
        <f>52061548+330887</f>
        <v>52392435</v>
      </c>
      <c r="M228" s="8">
        <v>1956623</v>
      </c>
      <c r="O228" s="8">
        <v>214517</v>
      </c>
      <c r="Q228" s="8">
        <v>0</v>
      </c>
      <c r="S228" s="8">
        <v>0</v>
      </c>
      <c r="U228" s="8">
        <v>0</v>
      </c>
      <c r="W228" s="8">
        <f>2549291+946857+106491</f>
        <v>3602639</v>
      </c>
      <c r="Y228" s="3">
        <f t="shared" si="15"/>
        <v>134500208</v>
      </c>
      <c r="AA228" s="8">
        <v>3224778</v>
      </c>
      <c r="AE228" s="8">
        <v>0</v>
      </c>
      <c r="AG228" s="8">
        <v>0</v>
      </c>
      <c r="AI228" s="8">
        <v>0</v>
      </c>
      <c r="AK228" s="8">
        <f t="shared" si="16"/>
        <v>3224778</v>
      </c>
      <c r="AM228" s="8">
        <f t="shared" si="17"/>
        <v>137724986</v>
      </c>
    </row>
    <row r="229" spans="1:39">
      <c r="A229" s="13" t="s">
        <v>443</v>
      </c>
      <c r="B229" s="13"/>
      <c r="C229" s="13" t="s">
        <v>440</v>
      </c>
      <c r="D229" s="13"/>
      <c r="E229" s="32">
        <v>44123</v>
      </c>
      <c r="G229" s="8">
        <v>7936678</v>
      </c>
      <c r="I229" s="8">
        <v>0</v>
      </c>
      <c r="K229" s="8">
        <v>12339398</v>
      </c>
      <c r="M229" s="8">
        <v>197647</v>
      </c>
      <c r="O229" s="8">
        <v>738797</v>
      </c>
      <c r="Q229" s="8">
        <v>0</v>
      </c>
      <c r="S229" s="8">
        <v>0</v>
      </c>
      <c r="U229" s="8">
        <v>0</v>
      </c>
      <c r="W229" s="8">
        <v>162301</v>
      </c>
      <c r="Y229" s="3">
        <f t="shared" si="15"/>
        <v>21374821</v>
      </c>
      <c r="AA229" s="8">
        <v>0</v>
      </c>
      <c r="AE229" s="8">
        <v>0</v>
      </c>
      <c r="AG229" s="8">
        <f>205000+23472</f>
        <v>228472</v>
      </c>
      <c r="AI229" s="8">
        <v>0</v>
      </c>
      <c r="AK229" s="8">
        <f t="shared" si="16"/>
        <v>228472</v>
      </c>
      <c r="AM229" s="8">
        <f t="shared" si="17"/>
        <v>21603293</v>
      </c>
    </row>
    <row r="230" spans="1:39">
      <c r="A230" s="13" t="s">
        <v>216</v>
      </c>
      <c r="B230" s="13"/>
      <c r="C230" s="13" t="s">
        <v>11</v>
      </c>
      <c r="D230" s="13"/>
      <c r="E230" s="32">
        <v>45823</v>
      </c>
      <c r="F230" s="11"/>
      <c r="G230" s="8">
        <v>3823573</v>
      </c>
      <c r="I230" s="8">
        <v>0</v>
      </c>
      <c r="K230" s="8">
        <v>4679700</v>
      </c>
      <c r="M230" s="8">
        <v>66362</v>
      </c>
      <c r="O230" s="8">
        <f>265129+80+21380</f>
        <v>286589</v>
      </c>
      <c r="Q230" s="8">
        <v>0</v>
      </c>
      <c r="S230" s="8">
        <v>0</v>
      </c>
      <c r="U230" s="8">
        <v>24903</v>
      </c>
      <c r="W230" s="8">
        <v>22593</v>
      </c>
      <c r="Y230" s="3">
        <f t="shared" si="15"/>
        <v>8903720</v>
      </c>
      <c r="AA230" s="8">
        <v>0</v>
      </c>
      <c r="AE230" s="8">
        <v>0</v>
      </c>
      <c r="AG230" s="8">
        <v>302</v>
      </c>
      <c r="AI230" s="8">
        <v>0</v>
      </c>
      <c r="AK230" s="8">
        <f t="shared" si="16"/>
        <v>302</v>
      </c>
      <c r="AM230" s="8">
        <f t="shared" si="17"/>
        <v>8904022</v>
      </c>
    </row>
    <row r="231" spans="1:39">
      <c r="A231" s="13" t="s">
        <v>435</v>
      </c>
      <c r="B231" s="13"/>
      <c r="C231" s="13" t="s">
        <v>34</v>
      </c>
      <c r="D231" s="13"/>
      <c r="E231" s="32">
        <v>47571</v>
      </c>
      <c r="G231" s="8">
        <v>754041</v>
      </c>
      <c r="I231" s="8">
        <v>705625</v>
      </c>
      <c r="K231" s="8">
        <v>2582081</v>
      </c>
      <c r="M231" s="8">
        <v>105367</v>
      </c>
      <c r="O231" s="8">
        <v>375938</v>
      </c>
      <c r="Q231" s="8">
        <v>7125</v>
      </c>
      <c r="S231" s="8">
        <v>1586</v>
      </c>
      <c r="U231" s="8">
        <v>3565</v>
      </c>
      <c r="W231" s="8">
        <v>41422</v>
      </c>
      <c r="Y231" s="3">
        <f t="shared" si="15"/>
        <v>4576750</v>
      </c>
      <c r="AA231" s="8">
        <v>0</v>
      </c>
      <c r="AE231" s="8">
        <v>0</v>
      </c>
      <c r="AG231" s="8">
        <v>0</v>
      </c>
      <c r="AI231" s="8">
        <v>0</v>
      </c>
      <c r="AK231" s="8">
        <f t="shared" si="16"/>
        <v>0</v>
      </c>
      <c r="AM231" s="8">
        <f t="shared" si="17"/>
        <v>4576750</v>
      </c>
    </row>
    <row r="232" spans="1:39">
      <c r="A232" s="13" t="s">
        <v>685</v>
      </c>
      <c r="B232" s="13"/>
      <c r="C232" s="13" t="s">
        <v>64</v>
      </c>
      <c r="D232" s="13"/>
      <c r="E232" s="32">
        <v>50161</v>
      </c>
      <c r="G232" s="8">
        <v>17971769</v>
      </c>
      <c r="I232" s="8">
        <v>0</v>
      </c>
      <c r="K232" s="8">
        <v>9935762</v>
      </c>
      <c r="M232" s="8">
        <v>289867</v>
      </c>
      <c r="O232" s="8">
        <v>1101571</v>
      </c>
      <c r="Q232" s="8">
        <v>10743</v>
      </c>
      <c r="S232" s="8">
        <v>0</v>
      </c>
      <c r="U232" s="8">
        <v>0</v>
      </c>
      <c r="W232" s="8">
        <f>58923+185070+16808</f>
        <v>260801</v>
      </c>
      <c r="Y232" s="3">
        <f t="shared" si="15"/>
        <v>29570513</v>
      </c>
      <c r="AA232" s="8">
        <v>0</v>
      </c>
      <c r="AE232" s="8">
        <v>0</v>
      </c>
      <c r="AG232" s="8">
        <v>0</v>
      </c>
      <c r="AI232" s="8">
        <v>0</v>
      </c>
      <c r="AK232" s="8">
        <f t="shared" si="16"/>
        <v>0</v>
      </c>
      <c r="AM232" s="8">
        <f t="shared" si="17"/>
        <v>29570513</v>
      </c>
    </row>
    <row r="233" spans="1:39">
      <c r="A233" s="13" t="s">
        <v>686</v>
      </c>
      <c r="B233" s="13"/>
      <c r="C233" s="13" t="s">
        <v>64</v>
      </c>
      <c r="D233" s="13"/>
      <c r="E233" s="32">
        <v>45427</v>
      </c>
      <c r="G233" s="8">
        <v>6247829</v>
      </c>
      <c r="I233" s="8">
        <v>0</v>
      </c>
      <c r="K233" s="8">
        <v>11497281</v>
      </c>
      <c r="M233" s="8">
        <v>1314203</v>
      </c>
      <c r="O233" s="8">
        <v>61345</v>
      </c>
      <c r="S233" s="8">
        <v>0</v>
      </c>
      <c r="U233" s="8">
        <v>1152</v>
      </c>
      <c r="W233" s="8">
        <f>27197+251977</f>
        <v>279174</v>
      </c>
      <c r="Y233" s="3">
        <f t="shared" si="15"/>
        <v>19400984</v>
      </c>
      <c r="AA233" s="8">
        <v>0</v>
      </c>
      <c r="AE233" s="8">
        <v>0</v>
      </c>
      <c r="AG233" s="8">
        <v>0</v>
      </c>
      <c r="AI233" s="8">
        <v>0</v>
      </c>
      <c r="AK233" s="8">
        <f t="shared" si="16"/>
        <v>0</v>
      </c>
      <c r="AM233" s="8">
        <f t="shared" si="17"/>
        <v>19400984</v>
      </c>
    </row>
    <row r="234" spans="1:39">
      <c r="A234" s="13" t="s">
        <v>555</v>
      </c>
      <c r="B234" s="13"/>
      <c r="C234" s="13" t="s">
        <v>50</v>
      </c>
      <c r="D234" s="13"/>
      <c r="E234" s="32">
        <v>48751</v>
      </c>
      <c r="G234" s="8">
        <v>29883392</v>
      </c>
      <c r="I234" s="8">
        <v>0</v>
      </c>
      <c r="K234" s="8">
        <f>31761217+124772</f>
        <v>31885989</v>
      </c>
      <c r="M234" s="8">
        <v>1054168</v>
      </c>
      <c r="O234" s="8">
        <v>328557</v>
      </c>
      <c r="Q234" s="8">
        <v>145097</v>
      </c>
      <c r="S234" s="8">
        <v>0</v>
      </c>
      <c r="U234" s="8">
        <v>0</v>
      </c>
      <c r="W234" s="8">
        <f>48060+18438+360500</f>
        <v>426998</v>
      </c>
      <c r="Y234" s="3">
        <f t="shared" si="15"/>
        <v>63724201</v>
      </c>
      <c r="AA234" s="8">
        <v>0</v>
      </c>
      <c r="AE234" s="8">
        <v>0</v>
      </c>
      <c r="AG234" s="8">
        <v>0</v>
      </c>
      <c r="AI234" s="8">
        <v>0</v>
      </c>
      <c r="AK234" s="8">
        <f t="shared" si="16"/>
        <v>0</v>
      </c>
      <c r="AM234" s="8">
        <f t="shared" si="17"/>
        <v>63724201</v>
      </c>
    </row>
    <row r="235" spans="1:39">
      <c r="A235" s="13" t="s">
        <v>671</v>
      </c>
      <c r="B235" s="13"/>
      <c r="C235" s="13" t="s">
        <v>63</v>
      </c>
      <c r="D235" s="13"/>
      <c r="E235" s="32">
        <v>50021</v>
      </c>
      <c r="G235" s="8">
        <v>36882607</v>
      </c>
      <c r="I235" s="8">
        <v>0</v>
      </c>
      <c r="K235" s="8">
        <f>220000+18288121+100321</f>
        <v>18608442</v>
      </c>
      <c r="M235" s="8">
        <v>1139816</v>
      </c>
      <c r="O235" s="8">
        <v>70126</v>
      </c>
      <c r="Q235" s="8">
        <v>196229</v>
      </c>
      <c r="S235" s="8">
        <v>0</v>
      </c>
      <c r="U235" s="8">
        <v>0</v>
      </c>
      <c r="W235" s="8">
        <f>23316+41726+105816</f>
        <v>170858</v>
      </c>
      <c r="Y235" s="3">
        <f t="shared" si="15"/>
        <v>57068078</v>
      </c>
      <c r="AA235" s="8">
        <v>0</v>
      </c>
      <c r="AE235" s="8">
        <v>0</v>
      </c>
      <c r="AG235" s="8">
        <v>0</v>
      </c>
      <c r="AI235" s="8">
        <v>0</v>
      </c>
      <c r="AK235" s="8">
        <f t="shared" si="16"/>
        <v>0</v>
      </c>
      <c r="AM235" s="8">
        <f t="shared" si="17"/>
        <v>57068078</v>
      </c>
    </row>
    <row r="236" spans="1:39">
      <c r="A236" s="13" t="s">
        <v>623</v>
      </c>
      <c r="B236" s="13"/>
      <c r="C236" s="13" t="s">
        <v>58</v>
      </c>
      <c r="D236" s="13"/>
      <c r="E236" s="32">
        <v>49502</v>
      </c>
      <c r="G236" s="8">
        <v>1093712</v>
      </c>
      <c r="I236" s="8">
        <v>0</v>
      </c>
      <c r="K236" s="8">
        <v>8465033</v>
      </c>
      <c r="M236" s="8">
        <v>157983</v>
      </c>
      <c r="O236" s="8">
        <v>14737</v>
      </c>
      <c r="Q236" s="8">
        <v>17373</v>
      </c>
      <c r="S236" s="8">
        <v>0</v>
      </c>
      <c r="U236" s="8">
        <v>0</v>
      </c>
      <c r="W236" s="8">
        <f>8811+148967+18150</f>
        <v>175928</v>
      </c>
      <c r="Y236" s="3">
        <f t="shared" si="15"/>
        <v>9924766</v>
      </c>
      <c r="AA236" s="8">
        <v>0</v>
      </c>
      <c r="AE236" s="8">
        <v>0</v>
      </c>
      <c r="AG236" s="8">
        <v>109029</v>
      </c>
      <c r="AI236" s="8">
        <v>0</v>
      </c>
      <c r="AK236" s="8">
        <f t="shared" si="16"/>
        <v>109029</v>
      </c>
      <c r="AM236" s="8">
        <f t="shared" si="17"/>
        <v>10033795</v>
      </c>
    </row>
    <row r="237" spans="1:39">
      <c r="A237" s="13" t="s">
        <v>341</v>
      </c>
      <c r="B237" s="13"/>
      <c r="C237" s="13" t="s">
        <v>24</v>
      </c>
      <c r="D237" s="13"/>
      <c r="E237" s="32">
        <v>44131</v>
      </c>
      <c r="G237" s="8">
        <v>10402736</v>
      </c>
      <c r="I237" s="8">
        <v>0</v>
      </c>
      <c r="K237" s="8">
        <v>4735416</v>
      </c>
      <c r="M237" s="8">
        <v>228258</v>
      </c>
      <c r="O237" s="8">
        <v>57697</v>
      </c>
      <c r="Q237" s="8">
        <v>0</v>
      </c>
      <c r="S237" s="8">
        <v>0</v>
      </c>
      <c r="U237" s="8">
        <v>0</v>
      </c>
      <c r="W237" s="8">
        <f>64238+29931</f>
        <v>94169</v>
      </c>
      <c r="Y237" s="3">
        <f t="shared" si="15"/>
        <v>15518276</v>
      </c>
      <c r="AA237" s="8">
        <v>0</v>
      </c>
      <c r="AE237" s="8">
        <v>0</v>
      </c>
      <c r="AG237" s="8">
        <v>125000</v>
      </c>
      <c r="AI237" s="8">
        <v>0</v>
      </c>
      <c r="AK237" s="8">
        <f t="shared" si="16"/>
        <v>125000</v>
      </c>
      <c r="AM237" s="8">
        <f t="shared" si="17"/>
        <v>15643276</v>
      </c>
    </row>
    <row r="238" spans="1:39">
      <c r="A238" s="13" t="s">
        <v>313</v>
      </c>
      <c r="B238" s="13"/>
      <c r="C238" s="13" t="s">
        <v>20</v>
      </c>
      <c r="D238" s="13"/>
      <c r="E238" s="32">
        <v>46565</v>
      </c>
      <c r="G238" s="8">
        <v>13391280</v>
      </c>
      <c r="I238" s="8">
        <v>0</v>
      </c>
      <c r="K238" s="8">
        <v>2218919</v>
      </c>
      <c r="M238" s="8">
        <v>96236</v>
      </c>
      <c r="O238" s="8">
        <v>107103</v>
      </c>
      <c r="Q238" s="8">
        <v>22685</v>
      </c>
      <c r="S238" s="8">
        <v>0</v>
      </c>
      <c r="U238" s="8">
        <v>0</v>
      </c>
      <c r="W238" s="8">
        <f>51739+163255</f>
        <v>214994</v>
      </c>
      <c r="Y238" s="3">
        <f t="shared" si="15"/>
        <v>16051217</v>
      </c>
      <c r="AA238" s="8">
        <v>0</v>
      </c>
      <c r="AE238" s="8">
        <v>0</v>
      </c>
      <c r="AG238" s="8">
        <v>0</v>
      </c>
      <c r="AI238" s="8">
        <v>0</v>
      </c>
      <c r="AK238" s="8">
        <f t="shared" si="16"/>
        <v>0</v>
      </c>
      <c r="AM238" s="8">
        <f t="shared" si="17"/>
        <v>16051217</v>
      </c>
    </row>
    <row r="239" spans="1:39">
      <c r="A239" s="13" t="s">
        <v>456</v>
      </c>
      <c r="B239" s="13"/>
      <c r="C239" s="13" t="s">
        <v>39</v>
      </c>
      <c r="D239" s="13"/>
      <c r="E239" s="32">
        <v>47803</v>
      </c>
      <c r="G239" s="8">
        <v>7680559</v>
      </c>
      <c r="I239" s="8">
        <v>0</v>
      </c>
      <c r="K239" s="8">
        <v>7984532</v>
      </c>
      <c r="M239" s="8">
        <v>102866</v>
      </c>
      <c r="O239" s="8">
        <f>1375001+47642</f>
        <v>1422643</v>
      </c>
      <c r="Q239" s="8">
        <v>0</v>
      </c>
      <c r="S239" s="8">
        <v>0</v>
      </c>
      <c r="U239" s="8">
        <v>0</v>
      </c>
      <c r="W239" s="8">
        <f>3291+144181</f>
        <v>147472</v>
      </c>
      <c r="Y239" s="3">
        <f t="shared" si="15"/>
        <v>17338072</v>
      </c>
      <c r="AA239" s="8">
        <v>0</v>
      </c>
      <c r="AE239" s="8">
        <v>0</v>
      </c>
      <c r="AG239" s="8">
        <v>86450</v>
      </c>
      <c r="AI239" s="8">
        <v>0</v>
      </c>
      <c r="AK239" s="8">
        <f t="shared" si="16"/>
        <v>86450</v>
      </c>
      <c r="AM239" s="8">
        <f t="shared" si="17"/>
        <v>17424522</v>
      </c>
    </row>
    <row r="240" spans="1:39">
      <c r="A240" s="13" t="s">
        <v>400</v>
      </c>
      <c r="B240" s="13"/>
      <c r="C240" s="13" t="s">
        <v>32</v>
      </c>
      <c r="D240" s="13"/>
      <c r="E240" s="32">
        <v>45435</v>
      </c>
      <c r="G240" s="8">
        <v>24694235</v>
      </c>
      <c r="I240" s="8">
        <v>0</v>
      </c>
      <c r="K240" s="8">
        <f>2574240+4836079</f>
        <v>7410319</v>
      </c>
      <c r="M240" s="8">
        <v>930425</v>
      </c>
      <c r="O240" s="8">
        <v>17351</v>
      </c>
      <c r="Q240" s="8">
        <v>0</v>
      </c>
      <c r="S240" s="8">
        <v>0</v>
      </c>
      <c r="U240" s="8">
        <v>0</v>
      </c>
      <c r="W240" s="8">
        <v>38216</v>
      </c>
      <c r="Y240" s="3">
        <f t="shared" si="15"/>
        <v>33090546</v>
      </c>
      <c r="AA240" s="8">
        <v>0</v>
      </c>
      <c r="AE240" s="8">
        <v>0</v>
      </c>
      <c r="AG240" s="8">
        <v>0</v>
      </c>
      <c r="AI240" s="8">
        <v>822000</v>
      </c>
      <c r="AK240" s="8">
        <f t="shared" si="16"/>
        <v>822000</v>
      </c>
      <c r="AM240" s="8">
        <f t="shared" si="17"/>
        <v>33912546</v>
      </c>
    </row>
    <row r="241" spans="1:39">
      <c r="A241" s="13" t="s">
        <v>702</v>
      </c>
      <c r="B241" s="13"/>
      <c r="C241" s="13" t="s">
        <v>65</v>
      </c>
      <c r="D241" s="13"/>
      <c r="E241" s="32">
        <v>50286</v>
      </c>
      <c r="G241" s="8">
        <v>3183120</v>
      </c>
      <c r="I241" s="8">
        <v>0</v>
      </c>
      <c r="K241" s="8">
        <v>8568812</v>
      </c>
      <c r="M241" s="8">
        <v>190159</v>
      </c>
      <c r="O241" s="8">
        <v>1313811</v>
      </c>
      <c r="Q241" s="8">
        <v>0</v>
      </c>
      <c r="S241" s="8">
        <v>0</v>
      </c>
      <c r="U241" s="8">
        <v>43298</v>
      </c>
      <c r="W241" s="8">
        <f>10068+2216</f>
        <v>12284</v>
      </c>
      <c r="Y241" s="3">
        <f t="shared" si="15"/>
        <v>13311484</v>
      </c>
      <c r="AA241" s="8">
        <v>0</v>
      </c>
      <c r="AE241" s="8">
        <v>0</v>
      </c>
      <c r="AG241" s="8">
        <f>39333+92302</f>
        <v>131635</v>
      </c>
      <c r="AI241" s="8">
        <v>0</v>
      </c>
      <c r="AK241" s="8">
        <f t="shared" si="16"/>
        <v>131635</v>
      </c>
      <c r="AM241" s="8">
        <f t="shared" si="17"/>
        <v>13443119</v>
      </c>
    </row>
    <row r="242" spans="1:39">
      <c r="A242" s="13" t="s">
        <v>474</v>
      </c>
      <c r="B242" s="13"/>
      <c r="C242" s="13" t="s">
        <v>471</v>
      </c>
      <c r="D242" s="13"/>
      <c r="E242" s="32">
        <v>44149</v>
      </c>
      <c r="G242" s="8">
        <v>2640365</v>
      </c>
      <c r="I242" s="8">
        <v>0</v>
      </c>
      <c r="K242" s="8">
        <v>7934043</v>
      </c>
      <c r="M242" s="8">
        <v>78052</v>
      </c>
      <c r="O242" s="8">
        <v>791461</v>
      </c>
      <c r="Q242" s="8">
        <v>0</v>
      </c>
      <c r="S242" s="8">
        <v>0</v>
      </c>
      <c r="U242" s="8">
        <v>0</v>
      </c>
      <c r="W242" s="8">
        <f>17250+44794</f>
        <v>62044</v>
      </c>
      <c r="Y242" s="3">
        <f t="shared" si="15"/>
        <v>11505965</v>
      </c>
      <c r="AA242" s="8">
        <v>0</v>
      </c>
      <c r="AE242" s="8">
        <v>0</v>
      </c>
      <c r="AG242" s="8">
        <v>0</v>
      </c>
      <c r="AI242" s="8">
        <v>0</v>
      </c>
      <c r="AK242" s="8">
        <f t="shared" si="16"/>
        <v>0</v>
      </c>
      <c r="AM242" s="8">
        <f t="shared" si="17"/>
        <v>11505965</v>
      </c>
    </row>
    <row r="243" spans="1:39" hidden="1">
      <c r="A243" s="12" t="s">
        <v>942</v>
      </c>
      <c r="B243" s="13"/>
      <c r="C243" s="13" t="s">
        <v>61</v>
      </c>
      <c r="D243" s="13"/>
      <c r="E243" s="32">
        <v>49809</v>
      </c>
      <c r="G243" s="8">
        <v>0</v>
      </c>
      <c r="I243" s="8">
        <v>0</v>
      </c>
      <c r="K243" s="8">
        <v>0</v>
      </c>
      <c r="M243" s="8">
        <v>0</v>
      </c>
      <c r="O243" s="8">
        <v>0</v>
      </c>
      <c r="Q243" s="8">
        <v>0</v>
      </c>
      <c r="S243" s="8">
        <v>0</v>
      </c>
      <c r="U243" s="8">
        <v>0</v>
      </c>
      <c r="W243" s="8">
        <v>0</v>
      </c>
      <c r="Y243" s="3">
        <f t="shared" si="15"/>
        <v>0</v>
      </c>
      <c r="AA243" s="8">
        <v>0</v>
      </c>
      <c r="AE243" s="8">
        <v>0</v>
      </c>
      <c r="AG243" s="8">
        <v>0</v>
      </c>
      <c r="AI243" s="8">
        <v>0</v>
      </c>
      <c r="AK243" s="8">
        <f t="shared" si="16"/>
        <v>0</v>
      </c>
      <c r="AM243" s="8">
        <f t="shared" si="17"/>
        <v>0</v>
      </c>
    </row>
    <row r="244" spans="1:39" hidden="1">
      <c r="A244" s="12" t="s">
        <v>943</v>
      </c>
      <c r="B244" s="13"/>
      <c r="C244" s="13" t="s">
        <v>38</v>
      </c>
      <c r="D244" s="13"/>
      <c r="E244" s="32"/>
      <c r="G244" s="8">
        <v>0</v>
      </c>
      <c r="I244" s="8">
        <v>0</v>
      </c>
      <c r="K244" s="8">
        <v>0</v>
      </c>
      <c r="M244" s="8">
        <v>0</v>
      </c>
      <c r="O244" s="8">
        <v>0</v>
      </c>
      <c r="Q244" s="8">
        <v>0</v>
      </c>
      <c r="S244" s="8">
        <v>0</v>
      </c>
      <c r="U244" s="8">
        <v>0</v>
      </c>
      <c r="W244" s="8">
        <v>0</v>
      </c>
      <c r="Y244" s="3">
        <f>SUM(G244:X244)</f>
        <v>0</v>
      </c>
      <c r="AA244" s="8">
        <v>0</v>
      </c>
      <c r="AE244" s="8">
        <v>0</v>
      </c>
      <c r="AG244" s="8">
        <v>0</v>
      </c>
      <c r="AI244" s="8">
        <v>0</v>
      </c>
      <c r="AK244" s="8">
        <f>SUM(AA244:AJ244)</f>
        <v>0</v>
      </c>
      <c r="AM244" s="8">
        <f t="shared" si="17"/>
        <v>0</v>
      </c>
    </row>
    <row r="245" spans="1:39">
      <c r="A245" s="13" t="s">
        <v>657</v>
      </c>
      <c r="B245" s="13"/>
      <c r="C245" s="13" t="s">
        <v>62</v>
      </c>
      <c r="D245" s="13"/>
      <c r="E245" s="32">
        <v>49858</v>
      </c>
      <c r="G245" s="8">
        <v>32958478</v>
      </c>
      <c r="I245" s="8">
        <v>0</v>
      </c>
      <c r="K245" s="8">
        <f>62942+11394473+119437</f>
        <v>11576852</v>
      </c>
      <c r="M245" s="8">
        <v>873384</v>
      </c>
      <c r="O245" s="8">
        <v>189413</v>
      </c>
      <c r="Q245" s="8">
        <v>390420</v>
      </c>
      <c r="S245" s="8">
        <v>0</v>
      </c>
      <c r="U245" s="8">
        <v>0</v>
      </c>
      <c r="W245" s="8">
        <f>231386+591573+11511</f>
        <v>834470</v>
      </c>
      <c r="Y245" s="3">
        <f t="shared" si="15"/>
        <v>46823017</v>
      </c>
      <c r="AA245" s="8">
        <v>0</v>
      </c>
      <c r="AE245" s="8">
        <v>0</v>
      </c>
      <c r="AG245" s="8">
        <v>491207</v>
      </c>
      <c r="AI245" s="8">
        <v>0</v>
      </c>
      <c r="AK245" s="8">
        <f t="shared" si="16"/>
        <v>491207</v>
      </c>
      <c r="AM245" s="8">
        <f t="shared" si="17"/>
        <v>47314224</v>
      </c>
    </row>
    <row r="246" spans="1:39">
      <c r="A246" s="13" t="s">
        <v>518</v>
      </c>
      <c r="B246" s="13"/>
      <c r="C246" s="13" t="s">
        <v>45</v>
      </c>
      <c r="D246" s="13"/>
      <c r="E246" s="32">
        <v>48322</v>
      </c>
      <c r="G246" s="8">
        <v>3364233</v>
      </c>
      <c r="I246" s="8">
        <v>0</v>
      </c>
      <c r="K246" s="8">
        <f>21723+3324392</f>
        <v>3346115</v>
      </c>
      <c r="M246" s="8">
        <v>77269</v>
      </c>
      <c r="O246" s="8">
        <v>297456</v>
      </c>
      <c r="Q246" s="8">
        <v>0</v>
      </c>
      <c r="S246" s="8">
        <v>0</v>
      </c>
      <c r="U246" s="8">
        <v>0</v>
      </c>
      <c r="W246" s="8">
        <v>47890</v>
      </c>
      <c r="Y246" s="3">
        <f t="shared" si="15"/>
        <v>7132963</v>
      </c>
      <c r="AA246" s="8">
        <v>0</v>
      </c>
      <c r="AE246" s="8">
        <v>0</v>
      </c>
      <c r="AG246" s="8">
        <v>359</v>
      </c>
      <c r="AI246" s="8">
        <v>0</v>
      </c>
      <c r="AK246" s="8">
        <f t="shared" si="16"/>
        <v>359</v>
      </c>
      <c r="AM246" s="8">
        <f t="shared" si="17"/>
        <v>7133322</v>
      </c>
    </row>
    <row r="247" spans="1:39">
      <c r="A247" s="13" t="s">
        <v>598</v>
      </c>
      <c r="B247" s="13"/>
      <c r="C247" s="13" t="s">
        <v>56</v>
      </c>
      <c r="D247" s="13"/>
      <c r="E247" s="32">
        <v>49205</v>
      </c>
      <c r="G247" s="8">
        <v>4224537</v>
      </c>
      <c r="I247" s="8">
        <v>0</v>
      </c>
      <c r="K247" s="8">
        <f>6586257+32753</f>
        <v>6619010</v>
      </c>
      <c r="M247" s="8">
        <v>126241</v>
      </c>
      <c r="O247" s="8">
        <v>838295</v>
      </c>
      <c r="Q247" s="8">
        <v>0</v>
      </c>
      <c r="S247" s="8">
        <v>0</v>
      </c>
      <c r="U247" s="8">
        <v>0</v>
      </c>
      <c r="W247" s="8">
        <f>627+8520+104923</f>
        <v>114070</v>
      </c>
      <c r="Y247" s="3">
        <f t="shared" si="15"/>
        <v>11922153</v>
      </c>
      <c r="AA247" s="8">
        <v>0</v>
      </c>
      <c r="AE247" s="8">
        <v>0</v>
      </c>
      <c r="AG247" s="8">
        <v>469</v>
      </c>
      <c r="AI247" s="8">
        <v>0</v>
      </c>
      <c r="AK247" s="8">
        <f t="shared" si="16"/>
        <v>469</v>
      </c>
      <c r="AM247" s="8">
        <f t="shared" si="17"/>
        <v>11922622</v>
      </c>
    </row>
    <row r="248" spans="1:39">
      <c r="A248" s="13" t="s">
        <v>223</v>
      </c>
      <c r="B248" s="13"/>
      <c r="C248" s="13" t="s">
        <v>12</v>
      </c>
      <c r="D248" s="13"/>
      <c r="E248" s="32">
        <v>45872</v>
      </c>
      <c r="F248" s="11"/>
      <c r="G248" s="8">
        <v>5456105</v>
      </c>
      <c r="I248" s="8">
        <v>0</v>
      </c>
      <c r="K248" s="8">
        <v>9089939</v>
      </c>
      <c r="M248" s="8">
        <v>81867</v>
      </c>
      <c r="O248" s="8">
        <v>372459</v>
      </c>
      <c r="Q248" s="8">
        <v>0</v>
      </c>
      <c r="S248" s="8">
        <v>0</v>
      </c>
      <c r="U248" s="8">
        <v>0</v>
      </c>
      <c r="W248" s="8">
        <f>227173+650</f>
        <v>227823</v>
      </c>
      <c r="Y248" s="3">
        <f t="shared" si="15"/>
        <v>15228193</v>
      </c>
      <c r="AA248" s="8">
        <v>0</v>
      </c>
      <c r="AE248" s="8">
        <v>0</v>
      </c>
      <c r="AG248" s="8">
        <v>0</v>
      </c>
      <c r="AI248" s="8">
        <v>0</v>
      </c>
      <c r="AK248" s="8">
        <f t="shared" si="16"/>
        <v>0</v>
      </c>
      <c r="AM248" s="8">
        <f t="shared" si="17"/>
        <v>15228193</v>
      </c>
    </row>
    <row r="249" spans="1:39">
      <c r="A249" s="13" t="s">
        <v>510</v>
      </c>
      <c r="B249" s="13"/>
      <c r="C249" s="13" t="s">
        <v>511</v>
      </c>
      <c r="D249" s="13"/>
      <c r="E249" s="32">
        <v>48256</v>
      </c>
      <c r="G249" s="8">
        <v>5984453</v>
      </c>
      <c r="I249" s="8">
        <v>0</v>
      </c>
      <c r="K249" s="8">
        <v>4489659</v>
      </c>
      <c r="M249" s="8">
        <v>254278</v>
      </c>
      <c r="O249" s="8">
        <v>657457</v>
      </c>
      <c r="Q249" s="8">
        <v>0</v>
      </c>
      <c r="S249" s="8">
        <v>0</v>
      </c>
      <c r="U249" s="8">
        <v>0</v>
      </c>
      <c r="W249" s="8">
        <v>390818</v>
      </c>
      <c r="Y249" s="3">
        <f t="shared" si="15"/>
        <v>11776665</v>
      </c>
      <c r="AA249" s="8">
        <v>0</v>
      </c>
      <c r="AE249" s="8">
        <v>0</v>
      </c>
      <c r="AG249" s="8">
        <v>0</v>
      </c>
      <c r="AI249" s="8">
        <v>0</v>
      </c>
      <c r="AK249" s="8">
        <f t="shared" si="16"/>
        <v>0</v>
      </c>
      <c r="AM249" s="8">
        <f t="shared" si="17"/>
        <v>11776665</v>
      </c>
    </row>
    <row r="250" spans="1:39">
      <c r="A250" s="13" t="s">
        <v>556</v>
      </c>
      <c r="B250" s="13"/>
      <c r="C250" s="13" t="s">
        <v>50</v>
      </c>
      <c r="D250" s="13"/>
      <c r="E250" s="32">
        <v>48686</v>
      </c>
      <c r="G250" s="8">
        <v>3191077</v>
      </c>
      <c r="I250" s="8">
        <v>0</v>
      </c>
      <c r="K250" s="8">
        <v>3572872</v>
      </c>
      <c r="M250" s="8">
        <v>31252</v>
      </c>
      <c r="O250" s="8">
        <v>645470</v>
      </c>
      <c r="Q250" s="8">
        <v>0</v>
      </c>
      <c r="S250" s="8">
        <v>0</v>
      </c>
      <c r="U250" s="8">
        <v>0</v>
      </c>
      <c r="W250" s="8">
        <f>3150+33328</f>
        <v>36478</v>
      </c>
      <c r="Y250" s="3">
        <f t="shared" si="15"/>
        <v>7477149</v>
      </c>
      <c r="AA250" s="8">
        <v>0</v>
      </c>
      <c r="AE250" s="8">
        <v>0</v>
      </c>
      <c r="AG250" s="8">
        <v>1500</v>
      </c>
      <c r="AI250" s="8">
        <v>0</v>
      </c>
      <c r="AK250" s="8">
        <f t="shared" si="16"/>
        <v>1500</v>
      </c>
      <c r="AM250" s="8">
        <f t="shared" si="17"/>
        <v>7478649</v>
      </c>
    </row>
    <row r="251" spans="1:39">
      <c r="A251" s="13" t="s">
        <v>480</v>
      </c>
      <c r="B251" s="13"/>
      <c r="C251" s="13" t="s">
        <v>42</v>
      </c>
      <c r="D251" s="13"/>
      <c r="E251" s="32">
        <v>47985</v>
      </c>
      <c r="G251" s="8">
        <v>6359774</v>
      </c>
      <c r="I251" s="8">
        <v>0</v>
      </c>
      <c r="K251" s="8">
        <v>5659941</v>
      </c>
      <c r="M251" s="8">
        <v>195258</v>
      </c>
      <c r="O251" s="8">
        <v>249909</v>
      </c>
      <c r="Q251" s="8">
        <v>0</v>
      </c>
      <c r="S251" s="8">
        <v>0</v>
      </c>
      <c r="U251" s="8">
        <v>0</v>
      </c>
      <c r="W251" s="8">
        <v>26000</v>
      </c>
      <c r="Y251" s="3">
        <f t="shared" si="15"/>
        <v>12490882</v>
      </c>
      <c r="AA251" s="8">
        <v>0</v>
      </c>
      <c r="AE251" s="8">
        <v>0</v>
      </c>
      <c r="AG251" s="8">
        <f>48603+1170+37997</f>
        <v>87770</v>
      </c>
      <c r="AI251" s="8">
        <v>0</v>
      </c>
      <c r="AK251" s="8">
        <f t="shared" si="16"/>
        <v>87770</v>
      </c>
      <c r="AM251" s="8">
        <f t="shared" si="17"/>
        <v>12578652</v>
      </c>
    </row>
    <row r="252" spans="1:39">
      <c r="A252" s="13" t="s">
        <v>512</v>
      </c>
      <c r="B252" s="13"/>
      <c r="C252" s="13" t="s">
        <v>511</v>
      </c>
      <c r="D252" s="13"/>
      <c r="E252" s="32">
        <v>48264</v>
      </c>
      <c r="G252" s="8">
        <v>7361019</v>
      </c>
      <c r="I252" s="8">
        <v>0</v>
      </c>
      <c r="K252" s="8">
        <v>7584185</v>
      </c>
      <c r="M252" s="8">
        <v>102029</v>
      </c>
      <c r="O252" s="8">
        <v>659970</v>
      </c>
      <c r="Q252" s="8">
        <v>4148</v>
      </c>
      <c r="S252" s="8">
        <v>0</v>
      </c>
      <c r="U252" s="8">
        <v>0</v>
      </c>
      <c r="W252" s="8">
        <f>116129+104743</f>
        <v>220872</v>
      </c>
      <c r="Y252" s="3">
        <f t="shared" si="15"/>
        <v>15932223</v>
      </c>
      <c r="AA252" s="8">
        <v>0</v>
      </c>
      <c r="AE252" s="8">
        <v>0</v>
      </c>
      <c r="AG252" s="8">
        <v>0</v>
      </c>
      <c r="AI252" s="8">
        <v>0</v>
      </c>
      <c r="AK252" s="8">
        <f t="shared" si="16"/>
        <v>0</v>
      </c>
      <c r="AM252" s="8">
        <f t="shared" si="17"/>
        <v>15932223</v>
      </c>
    </row>
    <row r="253" spans="1:39">
      <c r="A253" s="13" t="s">
        <v>687</v>
      </c>
      <c r="B253" s="13"/>
      <c r="C253" s="13" t="s">
        <v>64</v>
      </c>
      <c r="D253" s="13"/>
      <c r="E253" s="32">
        <v>50179</v>
      </c>
      <c r="G253" s="8">
        <v>2885500</v>
      </c>
      <c r="I253" s="8">
        <v>0</v>
      </c>
      <c r="K253" s="8">
        <v>4773334</v>
      </c>
      <c r="M253" s="8">
        <v>95067</v>
      </c>
      <c r="O253" s="8">
        <v>219576</v>
      </c>
      <c r="Q253" s="8">
        <v>0</v>
      </c>
      <c r="S253" s="8">
        <v>0</v>
      </c>
      <c r="U253" s="8">
        <v>9320</v>
      </c>
      <c r="W253" s="8">
        <f>21466+15553</f>
        <v>37019</v>
      </c>
      <c r="Y253" s="3">
        <f t="shared" si="15"/>
        <v>8019816</v>
      </c>
      <c r="AA253" s="8">
        <v>0</v>
      </c>
      <c r="AE253" s="8">
        <v>0</v>
      </c>
      <c r="AG253" s="8">
        <v>44978</v>
      </c>
      <c r="AI253" s="8">
        <v>0</v>
      </c>
      <c r="AK253" s="8">
        <f t="shared" si="16"/>
        <v>44978</v>
      </c>
      <c r="AM253" s="8">
        <f t="shared" si="17"/>
        <v>8064794</v>
      </c>
    </row>
    <row r="254" spans="1:39">
      <c r="A254" s="13" t="s">
        <v>342</v>
      </c>
      <c r="B254" s="13"/>
      <c r="C254" s="13" t="s">
        <v>24</v>
      </c>
      <c r="D254" s="13"/>
      <c r="E254" s="32">
        <v>46797</v>
      </c>
      <c r="G254" s="8">
        <v>864179</v>
      </c>
      <c r="I254" s="8">
        <v>0</v>
      </c>
      <c r="K254" s="8">
        <v>117878</v>
      </c>
      <c r="M254" s="8">
        <v>18895</v>
      </c>
      <c r="O254" s="8">
        <v>0</v>
      </c>
      <c r="Q254" s="8">
        <v>0</v>
      </c>
      <c r="S254" s="8">
        <v>0</v>
      </c>
      <c r="U254" s="8">
        <v>0</v>
      </c>
      <c r="W254" s="8">
        <v>191</v>
      </c>
      <c r="Y254" s="3">
        <f t="shared" si="15"/>
        <v>1001143</v>
      </c>
      <c r="AA254" s="8">
        <v>0</v>
      </c>
      <c r="AE254" s="8">
        <v>0</v>
      </c>
      <c r="AG254" s="8">
        <v>0</v>
      </c>
      <c r="AI254" s="8">
        <v>0</v>
      </c>
      <c r="AK254" s="8">
        <f t="shared" si="16"/>
        <v>0</v>
      </c>
      <c r="AM254" s="8">
        <f t="shared" si="17"/>
        <v>1001143</v>
      </c>
    </row>
    <row r="255" spans="1:39">
      <c r="A255" s="13" t="s">
        <v>384</v>
      </c>
      <c r="B255" s="13"/>
      <c r="C255" s="13" t="s">
        <v>30</v>
      </c>
      <c r="D255" s="13"/>
      <c r="E255" s="32">
        <v>47191</v>
      </c>
      <c r="G255" s="8">
        <v>23319863</v>
      </c>
      <c r="I255" s="8">
        <v>0</v>
      </c>
      <c r="K255" s="8">
        <v>9006936</v>
      </c>
      <c r="M255" s="8">
        <v>677666</v>
      </c>
      <c r="O255" s="8">
        <f>396139+88956</f>
        <v>485095</v>
      </c>
      <c r="Q255" s="8">
        <v>0</v>
      </c>
      <c r="S255" s="8">
        <v>0</v>
      </c>
      <c r="U255" s="8">
        <v>0</v>
      </c>
      <c r="W255" s="8">
        <v>32418</v>
      </c>
      <c r="Y255" s="3">
        <f t="shared" si="15"/>
        <v>33521978</v>
      </c>
      <c r="AA255" s="8">
        <v>0</v>
      </c>
      <c r="AE255" s="8">
        <v>0</v>
      </c>
      <c r="AG255" s="8">
        <v>0</v>
      </c>
      <c r="AI255" s="8">
        <v>0</v>
      </c>
      <c r="AK255" s="8">
        <f t="shared" si="16"/>
        <v>0</v>
      </c>
      <c r="AM255" s="8">
        <f t="shared" si="17"/>
        <v>33521978</v>
      </c>
    </row>
    <row r="256" spans="1:39">
      <c r="A256" s="13"/>
      <c r="B256" s="13"/>
      <c r="C256" s="13"/>
      <c r="D256" s="13"/>
      <c r="E256" s="32"/>
      <c r="Y256" s="3"/>
    </row>
    <row r="257" spans="1:39">
      <c r="A257" s="13"/>
      <c r="B257" s="13"/>
      <c r="C257" s="13"/>
      <c r="D257" s="13"/>
      <c r="E257" s="32"/>
      <c r="Y257" s="3"/>
      <c r="AM257" s="8" t="s">
        <v>819</v>
      </c>
    </row>
    <row r="258" spans="1:39" s="35" customFormat="1">
      <c r="A258" s="34" t="s">
        <v>599</v>
      </c>
      <c r="B258" s="34"/>
      <c r="C258" s="34" t="s">
        <v>56</v>
      </c>
      <c r="D258" s="34"/>
      <c r="E258" s="34">
        <v>44164</v>
      </c>
      <c r="G258" s="35">
        <v>21513561</v>
      </c>
      <c r="I258" s="35">
        <v>0</v>
      </c>
      <c r="K258" s="35">
        <v>16008800</v>
      </c>
      <c r="M258" s="35">
        <v>885686</v>
      </c>
      <c r="O258" s="35">
        <v>2548559</v>
      </c>
      <c r="Q258" s="35">
        <v>0</v>
      </c>
      <c r="S258" s="35">
        <v>0</v>
      </c>
      <c r="U258" s="35">
        <v>15386</v>
      </c>
      <c r="W258" s="35">
        <f>318485+141644+42852</f>
        <v>502981</v>
      </c>
      <c r="Y258" s="42">
        <f t="shared" si="15"/>
        <v>41474973</v>
      </c>
      <c r="AA258" s="35">
        <v>0</v>
      </c>
      <c r="AE258" s="35">
        <v>0</v>
      </c>
      <c r="AG258" s="35">
        <v>92000</v>
      </c>
      <c r="AI258" s="35">
        <v>0</v>
      </c>
      <c r="AK258" s="35">
        <f t="shared" si="16"/>
        <v>92000</v>
      </c>
      <c r="AM258" s="35">
        <f t="shared" si="17"/>
        <v>41566973</v>
      </c>
    </row>
    <row r="259" spans="1:39">
      <c r="A259" s="13" t="s">
        <v>428</v>
      </c>
      <c r="B259" s="13"/>
      <c r="C259" s="13" t="s">
        <v>426</v>
      </c>
      <c r="D259" s="13"/>
      <c r="E259" s="32">
        <v>44172</v>
      </c>
      <c r="G259" s="8">
        <v>4298490</v>
      </c>
      <c r="I259" s="8">
        <v>1884151</v>
      </c>
      <c r="K259" s="8">
        <v>9436819</v>
      </c>
      <c r="M259" s="8">
        <v>215414</v>
      </c>
      <c r="O259" s="8">
        <v>749005</v>
      </c>
      <c r="Q259" s="8">
        <v>0</v>
      </c>
      <c r="S259" s="8">
        <v>0</v>
      </c>
      <c r="U259" s="8">
        <v>0</v>
      </c>
      <c r="W259" s="8">
        <v>47485</v>
      </c>
      <c r="Y259" s="3">
        <f t="shared" si="15"/>
        <v>16631364</v>
      </c>
      <c r="AA259" s="8">
        <v>0</v>
      </c>
      <c r="AE259" s="8">
        <v>0</v>
      </c>
      <c r="AG259" s="8">
        <v>0</v>
      </c>
      <c r="AI259" s="8">
        <v>0</v>
      </c>
      <c r="AK259" s="8">
        <f t="shared" si="16"/>
        <v>0</v>
      </c>
      <c r="AM259" s="8">
        <f t="shared" si="17"/>
        <v>16631364</v>
      </c>
    </row>
    <row r="260" spans="1:39">
      <c r="A260" s="13" t="s">
        <v>557</v>
      </c>
      <c r="B260" s="13"/>
      <c r="C260" s="13" t="s">
        <v>50</v>
      </c>
      <c r="D260" s="13"/>
      <c r="E260" s="32">
        <v>44180</v>
      </c>
      <c r="G260" s="8">
        <v>50998532</v>
      </c>
      <c r="I260" s="8">
        <v>0</v>
      </c>
      <c r="K260" s="8">
        <v>22442640</v>
      </c>
      <c r="M260" s="8">
        <v>1130459</v>
      </c>
      <c r="O260" s="8">
        <f>356931+104445+6547</f>
        <v>467923</v>
      </c>
      <c r="Q260" s="8">
        <v>54031</v>
      </c>
      <c r="S260" s="8">
        <v>0</v>
      </c>
      <c r="U260" s="8">
        <v>0</v>
      </c>
      <c r="W260" s="8">
        <v>234223</v>
      </c>
      <c r="Y260" s="3">
        <f t="shared" si="15"/>
        <v>75327808</v>
      </c>
      <c r="AA260" s="8">
        <v>0</v>
      </c>
      <c r="AE260" s="8">
        <v>281708</v>
      </c>
      <c r="AG260" s="8">
        <v>0</v>
      </c>
      <c r="AI260" s="8">
        <v>0</v>
      </c>
      <c r="AK260" s="8">
        <f t="shared" si="16"/>
        <v>281708</v>
      </c>
      <c r="AM260" s="8">
        <f t="shared" si="17"/>
        <v>75609516</v>
      </c>
    </row>
    <row r="261" spans="1:39">
      <c r="A261" s="13" t="s">
        <v>495</v>
      </c>
      <c r="B261" s="13"/>
      <c r="C261" s="13" t="s">
        <v>44</v>
      </c>
      <c r="D261" s="13"/>
      <c r="E261" s="32">
        <v>48165</v>
      </c>
      <c r="G261" s="8">
        <v>5359926</v>
      </c>
      <c r="I261" s="8">
        <v>0</v>
      </c>
      <c r="K261" s="8">
        <v>7714103</v>
      </c>
      <c r="M261" s="8">
        <v>285627</v>
      </c>
      <c r="O261" s="8">
        <f>355958+64768</f>
        <v>420726</v>
      </c>
      <c r="Q261" s="8">
        <v>1940</v>
      </c>
      <c r="S261" s="8">
        <v>0</v>
      </c>
      <c r="U261" s="8">
        <v>2943</v>
      </c>
      <c r="W261" s="8">
        <f>11061+227166</f>
        <v>238227</v>
      </c>
      <c r="Y261" s="3">
        <f t="shared" si="15"/>
        <v>14023492</v>
      </c>
      <c r="AA261" s="8">
        <v>0</v>
      </c>
      <c r="AE261" s="8">
        <v>0</v>
      </c>
      <c r="AG261" s="8">
        <v>0</v>
      </c>
      <c r="AI261" s="8">
        <v>0</v>
      </c>
      <c r="AK261" s="8">
        <f t="shared" si="16"/>
        <v>0</v>
      </c>
      <c r="AM261" s="8">
        <f t="shared" si="17"/>
        <v>14023492</v>
      </c>
    </row>
    <row r="262" spans="1:39">
      <c r="A262" s="13" t="s">
        <v>715</v>
      </c>
      <c r="B262" s="13"/>
      <c r="C262" s="13" t="s">
        <v>69</v>
      </c>
      <c r="D262" s="13"/>
      <c r="E262" s="32">
        <v>50435</v>
      </c>
      <c r="G262" s="8">
        <v>20872264</v>
      </c>
      <c r="I262" s="8">
        <v>0</v>
      </c>
      <c r="K262" s="8">
        <v>11592919</v>
      </c>
      <c r="M262" s="8">
        <v>1211122</v>
      </c>
      <c r="O262" s="8">
        <v>244327</v>
      </c>
      <c r="Q262" s="8">
        <v>0</v>
      </c>
      <c r="S262" s="8">
        <v>1101350</v>
      </c>
      <c r="U262" s="8">
        <v>0</v>
      </c>
      <c r="W262" s="8">
        <v>151910</v>
      </c>
      <c r="Y262" s="3">
        <f t="shared" si="15"/>
        <v>35173892</v>
      </c>
      <c r="AA262" s="8">
        <v>0</v>
      </c>
      <c r="AE262" s="8">
        <v>0</v>
      </c>
      <c r="AG262" s="8">
        <v>0</v>
      </c>
      <c r="AI262" s="8">
        <v>0</v>
      </c>
      <c r="AK262" s="8">
        <f t="shared" si="16"/>
        <v>0</v>
      </c>
      <c r="AM262" s="8">
        <f t="shared" si="17"/>
        <v>35173892</v>
      </c>
    </row>
    <row r="263" spans="1:39" hidden="1">
      <c r="A263" s="13" t="s">
        <v>464</v>
      </c>
      <c r="B263" s="13"/>
      <c r="C263" s="13" t="s">
        <v>41</v>
      </c>
      <c r="D263" s="13"/>
      <c r="E263" s="32">
        <v>47878</v>
      </c>
      <c r="I263" s="8">
        <v>0</v>
      </c>
      <c r="S263" s="8">
        <v>0</v>
      </c>
      <c r="U263" s="8">
        <v>0</v>
      </c>
      <c r="W263" s="8">
        <v>0</v>
      </c>
      <c r="Y263" s="3">
        <f t="shared" si="15"/>
        <v>0</v>
      </c>
      <c r="AA263" s="8">
        <v>0</v>
      </c>
      <c r="AE263" s="8">
        <v>0</v>
      </c>
      <c r="AG263" s="8">
        <v>0</v>
      </c>
      <c r="AI263" s="8">
        <v>0</v>
      </c>
      <c r="AK263" s="8">
        <f t="shared" si="16"/>
        <v>0</v>
      </c>
      <c r="AM263" s="8">
        <f t="shared" si="17"/>
        <v>0</v>
      </c>
    </row>
    <row r="264" spans="1:39">
      <c r="A264" s="13" t="s">
        <v>688</v>
      </c>
      <c r="B264" s="13"/>
      <c r="C264" s="13" t="s">
        <v>64</v>
      </c>
      <c r="D264" s="13"/>
      <c r="E264" s="32">
        <v>50245</v>
      </c>
      <c r="G264" s="8">
        <v>2687663</v>
      </c>
      <c r="I264" s="8">
        <v>0</v>
      </c>
      <c r="K264" s="8">
        <v>7975049</v>
      </c>
      <c r="M264" s="8">
        <v>160628</v>
      </c>
      <c r="O264" s="8">
        <f>958278+13736</f>
        <v>972014</v>
      </c>
      <c r="Q264" s="8">
        <v>0</v>
      </c>
      <c r="S264" s="8">
        <v>0</v>
      </c>
      <c r="U264" s="8">
        <v>0</v>
      </c>
      <c r="W264" s="8">
        <v>94254</v>
      </c>
      <c r="Y264" s="3">
        <f t="shared" si="15"/>
        <v>11889608</v>
      </c>
      <c r="AA264" s="8">
        <v>0</v>
      </c>
      <c r="AE264" s="8">
        <v>43029</v>
      </c>
      <c r="AG264" s="8">
        <v>0</v>
      </c>
      <c r="AI264" s="8">
        <v>0</v>
      </c>
      <c r="AK264" s="8">
        <f t="shared" si="16"/>
        <v>43029</v>
      </c>
      <c r="AM264" s="8">
        <f t="shared" si="17"/>
        <v>11932637</v>
      </c>
    </row>
    <row r="265" spans="1:39">
      <c r="A265" s="13" t="s">
        <v>658</v>
      </c>
      <c r="B265" s="13"/>
      <c r="C265" s="13" t="s">
        <v>62</v>
      </c>
      <c r="D265" s="13"/>
      <c r="E265" s="32">
        <v>49866</v>
      </c>
      <c r="G265" s="8">
        <v>13184911</v>
      </c>
      <c r="I265" s="8">
        <v>0</v>
      </c>
      <c r="K265" s="8">
        <v>16119361</v>
      </c>
      <c r="M265" s="8">
        <v>392897</v>
      </c>
      <c r="O265" s="8">
        <v>186292</v>
      </c>
      <c r="Q265" s="8">
        <v>0</v>
      </c>
      <c r="S265" s="8">
        <v>0</v>
      </c>
      <c r="U265" s="8">
        <v>0</v>
      </c>
      <c r="W265" s="8">
        <f>143009+19435</f>
        <v>162444</v>
      </c>
      <c r="Y265" s="3">
        <f t="shared" si="15"/>
        <v>30045905</v>
      </c>
      <c r="AA265" s="8">
        <v>0</v>
      </c>
      <c r="AE265" s="8">
        <v>0</v>
      </c>
      <c r="AG265" s="8">
        <v>0</v>
      </c>
      <c r="AI265" s="8">
        <v>0</v>
      </c>
      <c r="AK265" s="8">
        <f t="shared" si="16"/>
        <v>0</v>
      </c>
      <c r="AM265" s="8">
        <f t="shared" si="17"/>
        <v>30045905</v>
      </c>
    </row>
    <row r="266" spans="1:39">
      <c r="A266" s="13" t="s">
        <v>658</v>
      </c>
      <c r="B266" s="13"/>
      <c r="C266" s="13" t="s">
        <v>72</v>
      </c>
      <c r="D266" s="13"/>
      <c r="E266" s="32">
        <v>50690</v>
      </c>
      <c r="G266" s="8">
        <v>6813685</v>
      </c>
      <c r="I266" s="8">
        <v>0</v>
      </c>
      <c r="K266" s="8">
        <v>5848597</v>
      </c>
      <c r="M266" s="8">
        <v>244348</v>
      </c>
      <c r="O266" s="8">
        <v>438658</v>
      </c>
      <c r="Q266" s="8">
        <v>58973</v>
      </c>
      <c r="S266" s="8">
        <v>0</v>
      </c>
      <c r="U266" s="8">
        <v>25</v>
      </c>
      <c r="W266" s="8">
        <f>6500+7506+554</f>
        <v>14560</v>
      </c>
      <c r="Y266" s="3">
        <f t="shared" si="15"/>
        <v>13418846</v>
      </c>
      <c r="AA266" s="8">
        <v>0</v>
      </c>
      <c r="AE266" s="8">
        <v>38202</v>
      </c>
      <c r="AG266" s="8">
        <v>0</v>
      </c>
      <c r="AI266" s="8">
        <v>0</v>
      </c>
      <c r="AK266" s="8">
        <f t="shared" si="16"/>
        <v>38202</v>
      </c>
      <c r="AM266" s="8">
        <f t="shared" si="17"/>
        <v>13457048</v>
      </c>
    </row>
    <row r="267" spans="1:39">
      <c r="A267" s="13" t="s">
        <v>689</v>
      </c>
      <c r="B267" s="13"/>
      <c r="C267" s="13" t="s">
        <v>64</v>
      </c>
      <c r="D267" s="13"/>
      <c r="E267" s="32">
        <v>50187</v>
      </c>
      <c r="G267" s="8">
        <v>6257239</v>
      </c>
      <c r="I267" s="8">
        <v>0</v>
      </c>
      <c r="K267" s="8">
        <v>8686583</v>
      </c>
      <c r="M267" s="8">
        <v>52192</v>
      </c>
      <c r="O267" s="8">
        <v>366018</v>
      </c>
      <c r="Q267" s="8">
        <v>0</v>
      </c>
      <c r="S267" s="8">
        <v>0</v>
      </c>
      <c r="U267" s="8">
        <v>16675</v>
      </c>
      <c r="W267" s="8">
        <f>14393+11830</f>
        <v>26223</v>
      </c>
      <c r="Y267" s="3">
        <f t="shared" si="15"/>
        <v>15404930</v>
      </c>
      <c r="AA267" s="8">
        <v>0</v>
      </c>
      <c r="AE267" s="8">
        <v>0</v>
      </c>
      <c r="AG267" s="8">
        <v>0</v>
      </c>
      <c r="AI267" s="8">
        <v>0</v>
      </c>
      <c r="AK267" s="8">
        <f t="shared" si="16"/>
        <v>0</v>
      </c>
      <c r="AM267" s="8">
        <f t="shared" si="17"/>
        <v>15404930</v>
      </c>
    </row>
    <row r="268" spans="1:39">
      <c r="A268" s="13" t="s">
        <v>314</v>
      </c>
      <c r="B268" s="13"/>
      <c r="C268" s="13" t="s">
        <v>20</v>
      </c>
      <c r="D268" s="13"/>
      <c r="E268" s="32">
        <v>44198</v>
      </c>
      <c r="G268" s="8">
        <v>35833808</v>
      </c>
      <c r="I268" s="8">
        <v>0</v>
      </c>
      <c r="K268" s="8">
        <f>25300715+106423</f>
        <v>25407138</v>
      </c>
      <c r="M268" s="8">
        <v>1533111</v>
      </c>
      <c r="O268" s="8">
        <f>2531236+166799</f>
        <v>2698035</v>
      </c>
      <c r="Q268" s="8">
        <v>51199</v>
      </c>
      <c r="S268" s="8">
        <v>0</v>
      </c>
      <c r="U268" s="8">
        <v>0</v>
      </c>
      <c r="W268" s="8">
        <v>1121961</v>
      </c>
      <c r="Y268" s="3">
        <f t="shared" si="15"/>
        <v>66645252</v>
      </c>
      <c r="AA268" s="8">
        <v>0</v>
      </c>
      <c r="AE268" s="8">
        <v>596534</v>
      </c>
      <c r="AG268" s="8">
        <v>0</v>
      </c>
      <c r="AI268" s="8">
        <v>0</v>
      </c>
      <c r="AK268" s="8">
        <f t="shared" si="16"/>
        <v>596534</v>
      </c>
      <c r="AM268" s="8">
        <f t="shared" si="17"/>
        <v>67241786</v>
      </c>
    </row>
    <row r="269" spans="1:39">
      <c r="A269" s="13" t="s">
        <v>900</v>
      </c>
      <c r="B269" s="13"/>
      <c r="C269" s="13" t="s">
        <v>42</v>
      </c>
      <c r="D269" s="13"/>
      <c r="E269" s="32">
        <v>47993</v>
      </c>
      <c r="G269" s="8">
        <v>10213987</v>
      </c>
      <c r="I269" s="8">
        <v>0</v>
      </c>
      <c r="K269" s="8">
        <v>7505863</v>
      </c>
      <c r="M269" s="8">
        <v>333443</v>
      </c>
      <c r="O269" s="8">
        <f>402852+60959</f>
        <v>463811</v>
      </c>
      <c r="Q269" s="8">
        <v>0</v>
      </c>
      <c r="S269" s="8">
        <v>0</v>
      </c>
      <c r="U269" s="8">
        <v>0</v>
      </c>
      <c r="W269" s="8">
        <v>280932</v>
      </c>
      <c r="Y269" s="3">
        <f t="shared" si="15"/>
        <v>18798036</v>
      </c>
      <c r="AA269" s="8">
        <v>0</v>
      </c>
      <c r="AE269" s="8">
        <f>44279+105762</f>
        <v>150041</v>
      </c>
      <c r="AG269" s="8">
        <v>0</v>
      </c>
      <c r="AI269" s="8">
        <v>0</v>
      </c>
      <c r="AK269" s="8">
        <f t="shared" si="16"/>
        <v>150041</v>
      </c>
      <c r="AM269" s="8">
        <f t="shared" si="17"/>
        <v>18948077</v>
      </c>
    </row>
    <row r="270" spans="1:39">
      <c r="A270" s="13" t="s">
        <v>249</v>
      </c>
      <c r="B270" s="13"/>
      <c r="C270" s="13" t="s">
        <v>246</v>
      </c>
      <c r="D270" s="13"/>
      <c r="E270" s="32">
        <v>46110</v>
      </c>
      <c r="F270" s="11"/>
      <c r="G270" s="8">
        <v>81198450</v>
      </c>
      <c r="I270" s="8">
        <v>0</v>
      </c>
      <c r="K270" s="8">
        <v>59162783</v>
      </c>
      <c r="M270" s="8">
        <v>2979375</v>
      </c>
      <c r="O270" s="8">
        <v>695655</v>
      </c>
      <c r="Q270" s="8">
        <v>0</v>
      </c>
      <c r="S270" s="8">
        <v>0</v>
      </c>
      <c r="U270" s="8">
        <v>0</v>
      </c>
      <c r="W270" s="8">
        <v>1391806</v>
      </c>
      <c r="Y270" s="3">
        <f t="shared" si="15"/>
        <v>145428069</v>
      </c>
      <c r="AA270" s="8">
        <v>22317</v>
      </c>
      <c r="AE270" s="8">
        <v>3519</v>
      </c>
      <c r="AG270" s="8">
        <v>0</v>
      </c>
      <c r="AI270" s="8">
        <v>0</v>
      </c>
      <c r="AK270" s="8">
        <f t="shared" si="16"/>
        <v>25836</v>
      </c>
      <c r="AM270" s="8">
        <f t="shared" si="17"/>
        <v>145453905</v>
      </c>
    </row>
    <row r="271" spans="1:39">
      <c r="A271" s="13" t="s">
        <v>249</v>
      </c>
      <c r="B271" s="13"/>
      <c r="C271" s="13" t="s">
        <v>79</v>
      </c>
      <c r="D271" s="13"/>
      <c r="E271" s="32">
        <v>49569</v>
      </c>
      <c r="G271" s="8">
        <v>4417052</v>
      </c>
      <c r="I271" s="8">
        <v>0</v>
      </c>
      <c r="K271" s="8">
        <f>39747+5520298</f>
        <v>5560045</v>
      </c>
      <c r="M271" s="8">
        <v>93149</v>
      </c>
      <c r="O271" s="8">
        <v>295026</v>
      </c>
      <c r="Q271" s="8">
        <v>0</v>
      </c>
      <c r="S271" s="8">
        <v>0</v>
      </c>
      <c r="U271" s="8">
        <v>0</v>
      </c>
      <c r="W271" s="8">
        <v>65569</v>
      </c>
      <c r="Y271" s="3">
        <f t="shared" si="15"/>
        <v>10430841</v>
      </c>
      <c r="AA271" s="8">
        <v>0</v>
      </c>
      <c r="AE271" s="8">
        <v>0</v>
      </c>
      <c r="AG271" s="8">
        <v>52750</v>
      </c>
      <c r="AI271" s="8">
        <v>0</v>
      </c>
      <c r="AK271" s="8">
        <f t="shared" si="16"/>
        <v>52750</v>
      </c>
      <c r="AM271" s="8">
        <f t="shared" si="17"/>
        <v>10483591</v>
      </c>
    </row>
    <row r="272" spans="1:39">
      <c r="A272" s="13" t="s">
        <v>351</v>
      </c>
      <c r="B272" s="13"/>
      <c r="C272" s="13" t="s">
        <v>25</v>
      </c>
      <c r="D272" s="13"/>
      <c r="E272" s="32">
        <v>44206</v>
      </c>
      <c r="G272" s="8">
        <v>23035666</v>
      </c>
      <c r="I272" s="8">
        <v>9211573</v>
      </c>
      <c r="K272" s="8">
        <v>23488012</v>
      </c>
      <c r="M272" s="8">
        <v>752554</v>
      </c>
      <c r="O272" s="8">
        <v>1074181</v>
      </c>
      <c r="Q272" s="8">
        <v>87551</v>
      </c>
      <c r="S272" s="8">
        <v>10647</v>
      </c>
      <c r="U272" s="8">
        <v>0</v>
      </c>
      <c r="W272" s="8">
        <f>362+5179</f>
        <v>5541</v>
      </c>
      <c r="Y272" s="3">
        <f t="shared" si="15"/>
        <v>57665725</v>
      </c>
      <c r="AA272" s="8">
        <v>19200</v>
      </c>
      <c r="AE272" s="8">
        <v>0</v>
      </c>
      <c r="AG272" s="8">
        <v>8153</v>
      </c>
      <c r="AI272" s="8">
        <v>0</v>
      </c>
      <c r="AK272" s="8">
        <f t="shared" si="16"/>
        <v>27353</v>
      </c>
      <c r="AM272" s="8">
        <f t="shared" si="17"/>
        <v>57693078</v>
      </c>
    </row>
    <row r="273" spans="1:39" s="35" customFormat="1" hidden="1">
      <c r="A273" s="34" t="s">
        <v>716</v>
      </c>
      <c r="B273" s="34"/>
      <c r="C273" s="34" t="s">
        <v>69</v>
      </c>
      <c r="D273" s="34"/>
      <c r="E273" s="32">
        <v>44214</v>
      </c>
      <c r="G273" s="8"/>
      <c r="H273" s="8"/>
      <c r="I273" s="8">
        <v>0</v>
      </c>
      <c r="J273" s="8"/>
      <c r="K273" s="8"/>
      <c r="L273" s="8"/>
      <c r="M273" s="8"/>
      <c r="N273" s="8"/>
      <c r="O273" s="8"/>
      <c r="P273" s="8"/>
      <c r="Q273" s="8"/>
      <c r="R273" s="8"/>
      <c r="S273" s="8">
        <v>0</v>
      </c>
      <c r="T273" s="8"/>
      <c r="U273" s="8">
        <v>0</v>
      </c>
      <c r="V273" s="8"/>
      <c r="W273" s="8"/>
      <c r="X273" s="8"/>
      <c r="Y273" s="3">
        <f>SUM(G273:X273)</f>
        <v>0</v>
      </c>
      <c r="Z273" s="8"/>
      <c r="AA273" s="8">
        <v>0</v>
      </c>
      <c r="AB273" s="8"/>
      <c r="AC273" s="8"/>
      <c r="AD273" s="8"/>
      <c r="AE273" s="8">
        <v>0</v>
      </c>
      <c r="AF273" s="8"/>
      <c r="AG273" s="8">
        <v>0</v>
      </c>
      <c r="AH273" s="8"/>
      <c r="AI273" s="8">
        <v>0</v>
      </c>
      <c r="AJ273" s="8"/>
      <c r="AK273" s="8">
        <f>SUM(AA273:AJ273)</f>
        <v>0</v>
      </c>
      <c r="AL273" s="8"/>
      <c r="AM273" s="8">
        <f>+AK273+Y273</f>
        <v>0</v>
      </c>
    </row>
    <row r="274" spans="1:39">
      <c r="A274" s="13" t="s">
        <v>385</v>
      </c>
      <c r="B274" s="13"/>
      <c r="C274" s="13" t="s">
        <v>30</v>
      </c>
      <c r="D274" s="13"/>
      <c r="E274" s="13">
        <v>47209</v>
      </c>
      <c r="G274" s="8">
        <v>1980347</v>
      </c>
      <c r="I274" s="8">
        <v>700199</v>
      </c>
      <c r="K274" s="8">
        <v>2661851</v>
      </c>
      <c r="M274" s="8">
        <v>42710</v>
      </c>
      <c r="O274" s="8">
        <v>85417</v>
      </c>
      <c r="Q274" s="8">
        <v>0</v>
      </c>
      <c r="S274" s="8">
        <v>0</v>
      </c>
      <c r="U274" s="8">
        <v>4362</v>
      </c>
      <c r="W274" s="8">
        <v>57</v>
      </c>
      <c r="Y274" s="3">
        <f>SUM(G274:X274)</f>
        <v>5474943</v>
      </c>
      <c r="AA274" s="8">
        <v>0</v>
      </c>
      <c r="AE274" s="8">
        <v>0</v>
      </c>
      <c r="AG274" s="8">
        <v>6800</v>
      </c>
      <c r="AI274" s="8">
        <v>0</v>
      </c>
      <c r="AK274" s="8">
        <f>SUM(AA274:AJ274)</f>
        <v>6800</v>
      </c>
      <c r="AM274" s="8">
        <f>+AK274+Y274</f>
        <v>5481743</v>
      </c>
    </row>
    <row r="275" spans="1:39" hidden="1">
      <c r="A275" s="13" t="s">
        <v>609</v>
      </c>
      <c r="B275" s="13"/>
      <c r="C275" s="13" t="s">
        <v>608</v>
      </c>
      <c r="D275" s="13"/>
      <c r="E275" s="32">
        <v>49353</v>
      </c>
      <c r="I275" s="8">
        <v>0</v>
      </c>
      <c r="S275" s="8">
        <v>0</v>
      </c>
      <c r="U275" s="8">
        <v>0</v>
      </c>
      <c r="Y275" s="3">
        <f>SUM(G275:X275)</f>
        <v>0</v>
      </c>
      <c r="AA275" s="8">
        <v>0</v>
      </c>
      <c r="AE275" s="8">
        <v>0</v>
      </c>
      <c r="AG275" s="8">
        <v>0</v>
      </c>
      <c r="AI275" s="8">
        <v>0</v>
      </c>
      <c r="AK275" s="8">
        <f>SUM(AA275:AJ275)</f>
        <v>0</v>
      </c>
      <c r="AM275" s="8">
        <f>+AK275+Y275</f>
        <v>0</v>
      </c>
    </row>
    <row r="276" spans="1:39">
      <c r="A276" s="13" t="s">
        <v>615</v>
      </c>
      <c r="B276" s="13"/>
      <c r="C276" s="13" t="s">
        <v>113</v>
      </c>
      <c r="D276" s="13"/>
      <c r="E276" s="32">
        <v>49437</v>
      </c>
      <c r="G276" s="8">
        <v>9689740</v>
      </c>
      <c r="I276" s="8">
        <v>0</v>
      </c>
      <c r="K276" s="8">
        <v>10958444</v>
      </c>
      <c r="M276" s="8">
        <v>210662</v>
      </c>
      <c r="O276" s="8">
        <f>89078+83159</f>
        <v>172237</v>
      </c>
      <c r="Q276" s="8">
        <v>0</v>
      </c>
      <c r="S276" s="8">
        <v>0</v>
      </c>
      <c r="U276" s="8">
        <v>0</v>
      </c>
      <c r="W276" s="8">
        <v>43459</v>
      </c>
      <c r="Y276" s="3">
        <f t="shared" ref="Y276:Y297" si="18">SUM(G276:X276)</f>
        <v>21074542</v>
      </c>
      <c r="AA276" s="8">
        <v>0</v>
      </c>
      <c r="AE276" s="8">
        <v>155437</v>
      </c>
      <c r="AG276" s="8">
        <v>0</v>
      </c>
      <c r="AI276" s="8">
        <v>0</v>
      </c>
      <c r="AK276" s="8">
        <f t="shared" ref="AK276:AK297" si="19">SUM(AA276:AJ276)</f>
        <v>155437</v>
      </c>
      <c r="AM276" s="8">
        <f>+AK276+Y276</f>
        <v>21229979</v>
      </c>
    </row>
    <row r="277" spans="1:39">
      <c r="A277" s="13" t="s">
        <v>436</v>
      </c>
      <c r="B277" s="13"/>
      <c r="C277" s="13" t="s">
        <v>34</v>
      </c>
      <c r="D277" s="13"/>
      <c r="E277" s="32">
        <v>47589</v>
      </c>
      <c r="G277" s="8">
        <v>2300910</v>
      </c>
      <c r="I277" s="8">
        <v>2159539</v>
      </c>
      <c r="K277" s="8">
        <v>6040087</v>
      </c>
      <c r="M277" s="8">
        <v>145479</v>
      </c>
      <c r="O277" s="8">
        <v>1149801</v>
      </c>
      <c r="Q277" s="8">
        <v>0</v>
      </c>
      <c r="S277" s="8">
        <v>0</v>
      </c>
      <c r="U277" s="8">
        <v>46420</v>
      </c>
      <c r="W277" s="8">
        <f>34532+34781</f>
        <v>69313</v>
      </c>
      <c r="Y277" s="3">
        <f t="shared" si="18"/>
        <v>11911549</v>
      </c>
      <c r="AA277" s="8">
        <v>0</v>
      </c>
      <c r="AE277" s="8">
        <v>0</v>
      </c>
      <c r="AG277" s="8">
        <v>0</v>
      </c>
      <c r="AI277" s="8">
        <v>0</v>
      </c>
      <c r="AK277" s="8">
        <f t="shared" si="19"/>
        <v>0</v>
      </c>
      <c r="AM277" s="8">
        <f>+AK277+Y277</f>
        <v>11911549</v>
      </c>
    </row>
    <row r="278" spans="1:39">
      <c r="A278" s="13" t="s">
        <v>690</v>
      </c>
      <c r="B278" s="13"/>
      <c r="C278" s="13" t="s">
        <v>64</v>
      </c>
      <c r="D278" s="13"/>
      <c r="E278" s="32">
        <v>50195</v>
      </c>
      <c r="G278" s="8">
        <v>4857922</v>
      </c>
      <c r="I278" s="8">
        <v>0</v>
      </c>
      <c r="K278" s="8">
        <v>6311684</v>
      </c>
      <c r="M278" s="8">
        <v>109001</v>
      </c>
      <c r="O278" s="8">
        <v>796376</v>
      </c>
      <c r="Q278" s="8">
        <v>0</v>
      </c>
      <c r="S278" s="8">
        <v>0</v>
      </c>
      <c r="U278" s="8">
        <v>0</v>
      </c>
      <c r="W278" s="8">
        <f>130454+15796</f>
        <v>146250</v>
      </c>
      <c r="Y278" s="3">
        <f t="shared" si="18"/>
        <v>12221233</v>
      </c>
      <c r="AA278" s="8">
        <v>3498134</v>
      </c>
      <c r="AE278" s="8">
        <v>0</v>
      </c>
      <c r="AG278" s="8">
        <v>0</v>
      </c>
      <c r="AI278" s="8">
        <v>0</v>
      </c>
      <c r="AK278" s="8">
        <f t="shared" si="19"/>
        <v>3498134</v>
      </c>
      <c r="AM278" s="8">
        <f t="shared" ref="AM278:AM297" si="20">+AK278+Y278</f>
        <v>15719367</v>
      </c>
    </row>
    <row r="279" spans="1:39">
      <c r="A279" s="13" t="s">
        <v>906</v>
      </c>
      <c r="B279" s="13"/>
      <c r="C279" s="13" t="s">
        <v>25</v>
      </c>
      <c r="D279" s="13"/>
      <c r="E279" s="32">
        <v>46888</v>
      </c>
      <c r="G279" s="8">
        <v>3020915</v>
      </c>
      <c r="I279" s="8">
        <v>2904526</v>
      </c>
      <c r="K279" s="8">
        <v>6088351</v>
      </c>
      <c r="M279" s="8">
        <v>169901</v>
      </c>
      <c r="O279" s="8">
        <v>336757</v>
      </c>
      <c r="Q279" s="8">
        <v>0</v>
      </c>
      <c r="S279" s="8">
        <v>0</v>
      </c>
      <c r="U279" s="8">
        <v>70984</v>
      </c>
      <c r="W279" s="8">
        <f>2745+77344</f>
        <v>80089</v>
      </c>
      <c r="Y279" s="3">
        <f t="shared" si="18"/>
        <v>12671523</v>
      </c>
      <c r="AA279" s="8">
        <v>0</v>
      </c>
      <c r="AE279" s="8">
        <f>1144+98285</f>
        <v>99429</v>
      </c>
      <c r="AG279" s="8">
        <v>0</v>
      </c>
      <c r="AI279" s="8">
        <v>0</v>
      </c>
      <c r="AK279" s="8">
        <f t="shared" si="19"/>
        <v>99429</v>
      </c>
      <c r="AM279" s="8">
        <f t="shared" si="20"/>
        <v>12770952</v>
      </c>
    </row>
    <row r="280" spans="1:39">
      <c r="A280" s="13" t="s">
        <v>422</v>
      </c>
      <c r="B280" s="13"/>
      <c r="C280" s="13" t="s">
        <v>33</v>
      </c>
      <c r="D280" s="13"/>
      <c r="E280" s="32">
        <v>47449</v>
      </c>
      <c r="G280" s="8">
        <v>3801177</v>
      </c>
      <c r="I280" s="8">
        <v>1406164</v>
      </c>
      <c r="K280" s="8">
        <v>5978555</v>
      </c>
      <c r="M280" s="8">
        <v>306480</v>
      </c>
      <c r="O280" s="8">
        <v>129781</v>
      </c>
      <c r="Q280" s="8">
        <v>0</v>
      </c>
      <c r="S280" s="8">
        <v>4942</v>
      </c>
      <c r="U280" s="8">
        <v>205</v>
      </c>
      <c r="W280" s="8">
        <v>58345</v>
      </c>
      <c r="Y280" s="3">
        <f t="shared" si="18"/>
        <v>11685649</v>
      </c>
      <c r="AA280" s="8">
        <v>0</v>
      </c>
      <c r="AE280" s="8">
        <v>2000</v>
      </c>
      <c r="AG280" s="8">
        <v>0</v>
      </c>
      <c r="AI280" s="8">
        <v>0</v>
      </c>
      <c r="AK280" s="8">
        <f t="shared" si="19"/>
        <v>2000</v>
      </c>
      <c r="AM280" s="8">
        <f t="shared" si="20"/>
        <v>11687649</v>
      </c>
    </row>
    <row r="281" spans="1:39">
      <c r="A281" s="13" t="s">
        <v>482</v>
      </c>
      <c r="B281" s="13"/>
      <c r="C281" s="13" t="s">
        <v>42</v>
      </c>
      <c r="D281" s="13"/>
      <c r="E281" s="32">
        <v>48009</v>
      </c>
      <c r="G281" s="8">
        <v>12090053</v>
      </c>
      <c r="I281" s="8">
        <v>0</v>
      </c>
      <c r="K281" s="8">
        <v>9025620</v>
      </c>
      <c r="M281" s="8">
        <v>177869</v>
      </c>
      <c r="O281" s="8">
        <v>338493</v>
      </c>
      <c r="Q281" s="8">
        <v>0</v>
      </c>
      <c r="S281" s="8">
        <v>1077560</v>
      </c>
      <c r="U281" s="8">
        <v>72</v>
      </c>
      <c r="W281" s="8">
        <f>26715+140515</f>
        <v>167230</v>
      </c>
      <c r="Y281" s="3">
        <f t="shared" si="18"/>
        <v>22876897</v>
      </c>
      <c r="AA281" s="8">
        <v>10500</v>
      </c>
      <c r="AE281" s="8">
        <v>0</v>
      </c>
      <c r="AG281" s="8">
        <v>0</v>
      </c>
      <c r="AI281" s="8">
        <v>0</v>
      </c>
      <c r="AK281" s="8">
        <f t="shared" si="19"/>
        <v>10500</v>
      </c>
      <c r="AM281" s="8">
        <f t="shared" si="20"/>
        <v>22887397</v>
      </c>
    </row>
    <row r="282" spans="1:39">
      <c r="A282" s="13" t="s">
        <v>483</v>
      </c>
      <c r="B282" s="13"/>
      <c r="C282" s="13" t="s">
        <v>42</v>
      </c>
      <c r="D282" s="13"/>
      <c r="E282" s="32">
        <v>48017</v>
      </c>
      <c r="G282" s="8">
        <v>3924119</v>
      </c>
      <c r="I282" s="8">
        <v>1921311</v>
      </c>
      <c r="K282" s="8">
        <v>9817299</v>
      </c>
      <c r="M282" s="8">
        <v>246500</v>
      </c>
      <c r="O282" s="8">
        <v>220114</v>
      </c>
      <c r="Q282" s="8">
        <v>0</v>
      </c>
      <c r="S282" s="8">
        <v>0</v>
      </c>
      <c r="U282" s="8">
        <v>0</v>
      </c>
      <c r="W282" s="8">
        <v>90987</v>
      </c>
      <c r="Y282" s="3">
        <f t="shared" si="18"/>
        <v>16220330</v>
      </c>
      <c r="AA282" s="8">
        <v>0</v>
      </c>
      <c r="AE282" s="8">
        <v>808017</v>
      </c>
      <c r="AG282" s="8">
        <v>0</v>
      </c>
      <c r="AI282" s="8">
        <v>0</v>
      </c>
      <c r="AK282" s="8">
        <f t="shared" si="19"/>
        <v>808017</v>
      </c>
      <c r="AM282" s="8">
        <f t="shared" si="20"/>
        <v>17028347</v>
      </c>
    </row>
    <row r="283" spans="1:39">
      <c r="A283" s="13" t="s">
        <v>710</v>
      </c>
      <c r="B283" s="13"/>
      <c r="C283" s="13" t="s">
        <v>67</v>
      </c>
      <c r="D283" s="13"/>
      <c r="E283" s="32">
        <v>50369</v>
      </c>
      <c r="G283" s="8">
        <v>1994151</v>
      </c>
      <c r="I283" s="8">
        <v>0</v>
      </c>
      <c r="K283" s="8">
        <v>4354707</v>
      </c>
      <c r="M283" s="8">
        <v>396958</v>
      </c>
      <c r="O283" s="8">
        <f>1523222+23095</f>
        <v>1546317</v>
      </c>
      <c r="Q283" s="8">
        <v>0</v>
      </c>
      <c r="S283" s="8">
        <v>0</v>
      </c>
      <c r="U283" s="8">
        <v>0</v>
      </c>
      <c r="W283" s="8">
        <f>113456</f>
        <v>113456</v>
      </c>
      <c r="Y283" s="3">
        <f t="shared" si="18"/>
        <v>8405589</v>
      </c>
      <c r="AA283" s="8">
        <v>0</v>
      </c>
      <c r="AE283" s="8">
        <v>0</v>
      </c>
      <c r="AG283" s="8">
        <v>0</v>
      </c>
      <c r="AI283" s="8">
        <v>0</v>
      </c>
      <c r="AK283" s="8">
        <f t="shared" si="19"/>
        <v>0</v>
      </c>
      <c r="AM283" s="8">
        <f t="shared" si="20"/>
        <v>8405589</v>
      </c>
    </row>
    <row r="284" spans="1:39">
      <c r="A284" s="13" t="s">
        <v>287</v>
      </c>
      <c r="B284" s="13"/>
      <c r="C284" s="13" t="s">
        <v>115</v>
      </c>
      <c r="D284" s="13"/>
      <c r="E284" s="32">
        <v>45450</v>
      </c>
      <c r="F284" s="11"/>
      <c r="G284" s="8">
        <v>1563956</v>
      </c>
      <c r="I284" s="8">
        <v>0</v>
      </c>
      <c r="K284" s="8">
        <v>5492985</v>
      </c>
      <c r="M284" s="8">
        <v>188868</v>
      </c>
      <c r="O284" s="8">
        <v>1120978</v>
      </c>
      <c r="Q284" s="8">
        <v>0</v>
      </c>
      <c r="S284" s="8">
        <v>0</v>
      </c>
      <c r="U284" s="8">
        <v>6317</v>
      </c>
      <c r="W284" s="8">
        <f>62157+19857</f>
        <v>82014</v>
      </c>
      <c r="Y284" s="3">
        <f t="shared" si="18"/>
        <v>8455118</v>
      </c>
      <c r="AA284" s="8">
        <v>0</v>
      </c>
      <c r="AE284" s="8">
        <v>0</v>
      </c>
      <c r="AG284" s="8">
        <v>0</v>
      </c>
      <c r="AI284" s="8">
        <v>0</v>
      </c>
      <c r="AK284" s="8">
        <f t="shared" si="19"/>
        <v>0</v>
      </c>
      <c r="AM284" s="8">
        <f t="shared" si="20"/>
        <v>8455118</v>
      </c>
    </row>
    <row r="285" spans="1:39">
      <c r="A285" s="13" t="s">
        <v>717</v>
      </c>
      <c r="B285" s="13"/>
      <c r="C285" s="13" t="s">
        <v>69</v>
      </c>
      <c r="D285" s="13"/>
      <c r="E285" s="32">
        <v>50443</v>
      </c>
      <c r="G285" s="8">
        <v>11541831</v>
      </c>
      <c r="I285" s="8">
        <v>0</v>
      </c>
      <c r="K285" s="8">
        <v>10572944</v>
      </c>
      <c r="M285" s="8">
        <v>3103302</v>
      </c>
      <c r="O285" s="8">
        <v>37788</v>
      </c>
      <c r="Q285" s="8">
        <v>77758</v>
      </c>
      <c r="S285" s="8">
        <v>0</v>
      </c>
      <c r="U285" s="8">
        <v>0</v>
      </c>
      <c r="W285" s="8">
        <v>66761</v>
      </c>
      <c r="Y285" s="3">
        <f t="shared" si="18"/>
        <v>25400384</v>
      </c>
      <c r="AA285" s="8">
        <v>0</v>
      </c>
      <c r="AE285" s="8">
        <v>3890000</v>
      </c>
      <c r="AG285" s="8">
        <v>0</v>
      </c>
      <c r="AI285" s="8">
        <v>0</v>
      </c>
      <c r="AK285" s="8">
        <f t="shared" si="19"/>
        <v>3890000</v>
      </c>
      <c r="AM285" s="8">
        <f t="shared" si="20"/>
        <v>29290384</v>
      </c>
    </row>
    <row r="286" spans="1:39" hidden="1">
      <c r="A286" s="13" t="s">
        <v>401</v>
      </c>
      <c r="B286" s="13"/>
      <c r="C286" s="13" t="s">
        <v>32</v>
      </c>
      <c r="D286" s="13"/>
      <c r="E286" s="32">
        <v>44230</v>
      </c>
      <c r="I286" s="8">
        <v>0</v>
      </c>
      <c r="S286" s="8">
        <v>0</v>
      </c>
      <c r="U286" s="8">
        <v>0</v>
      </c>
      <c r="W286" s="8">
        <v>0</v>
      </c>
      <c r="Y286" s="3">
        <f t="shared" si="18"/>
        <v>0</v>
      </c>
      <c r="AA286" s="8">
        <v>0</v>
      </c>
      <c r="AE286" s="8">
        <v>0</v>
      </c>
      <c r="AG286" s="8">
        <v>0</v>
      </c>
      <c r="AI286" s="8">
        <v>0</v>
      </c>
      <c r="AK286" s="8">
        <f t="shared" si="19"/>
        <v>0</v>
      </c>
      <c r="AM286" s="8">
        <f t="shared" si="20"/>
        <v>0</v>
      </c>
    </row>
    <row r="287" spans="1:39">
      <c r="A287" s="13" t="s">
        <v>589</v>
      </c>
      <c r="B287" s="13"/>
      <c r="C287" s="13" t="s">
        <v>54</v>
      </c>
      <c r="D287" s="13"/>
      <c r="E287" s="32">
        <v>49080</v>
      </c>
      <c r="G287" s="8">
        <v>9300669</v>
      </c>
      <c r="I287" s="8">
        <v>0</v>
      </c>
      <c r="K287" s="8">
        <f>9257885+22731</f>
        <v>9280616</v>
      </c>
      <c r="M287" s="8">
        <v>253917</v>
      </c>
      <c r="O287" s="8">
        <f>453902+4720+58041</f>
        <v>516663</v>
      </c>
      <c r="Q287" s="8">
        <v>42615</v>
      </c>
      <c r="S287" s="8">
        <v>0</v>
      </c>
      <c r="U287" s="8">
        <v>0</v>
      </c>
      <c r="W287" s="8">
        <f>58175</f>
        <v>58175</v>
      </c>
      <c r="Y287" s="3">
        <f t="shared" si="18"/>
        <v>19452655</v>
      </c>
      <c r="AA287" s="8">
        <v>0</v>
      </c>
      <c r="AE287" s="8">
        <v>0</v>
      </c>
      <c r="AG287" s="8">
        <v>0</v>
      </c>
      <c r="AI287" s="8">
        <v>0</v>
      </c>
      <c r="AK287" s="8">
        <f t="shared" si="19"/>
        <v>0</v>
      </c>
      <c r="AM287" s="8">
        <f t="shared" si="20"/>
        <v>19452655</v>
      </c>
    </row>
    <row r="288" spans="1:39">
      <c r="A288" s="13" t="s">
        <v>445</v>
      </c>
      <c r="B288" s="13"/>
      <c r="C288" s="13" t="s">
        <v>35</v>
      </c>
      <c r="D288" s="13"/>
      <c r="E288" s="32">
        <v>44248</v>
      </c>
      <c r="G288" s="8">
        <v>9244444</v>
      </c>
      <c r="I288" s="8">
        <v>0</v>
      </c>
      <c r="K288" s="8">
        <f>20700752+22368</f>
        <v>20723120</v>
      </c>
      <c r="M288" s="8">
        <v>712562</v>
      </c>
      <c r="O288" s="8">
        <v>897864</v>
      </c>
      <c r="Q288" s="8">
        <v>0</v>
      </c>
      <c r="S288" s="8">
        <v>0</v>
      </c>
      <c r="U288" s="8">
        <v>0</v>
      </c>
      <c r="W288" s="8">
        <v>13235</v>
      </c>
      <c r="Y288" s="3">
        <f t="shared" si="18"/>
        <v>31591225</v>
      </c>
      <c r="AA288" s="8">
        <v>0</v>
      </c>
      <c r="AE288" s="8">
        <v>0</v>
      </c>
      <c r="AG288" s="8">
        <v>0</v>
      </c>
      <c r="AI288" s="8">
        <v>0</v>
      </c>
      <c r="AK288" s="8">
        <f t="shared" si="19"/>
        <v>0</v>
      </c>
      <c r="AM288" s="8">
        <f t="shared" si="20"/>
        <v>31591225</v>
      </c>
    </row>
    <row r="289" spans="1:39">
      <c r="A289" s="13" t="s">
        <v>513</v>
      </c>
      <c r="B289" s="13"/>
      <c r="C289" s="13" t="s">
        <v>511</v>
      </c>
      <c r="D289" s="13"/>
      <c r="E289" s="32">
        <v>44255</v>
      </c>
      <c r="G289" s="8">
        <v>5199909</v>
      </c>
      <c r="I289" s="8">
        <v>2783617</v>
      </c>
      <c r="K289" s="8">
        <v>8756029</v>
      </c>
      <c r="M289" s="8">
        <v>42554</v>
      </c>
      <c r="O289" s="8">
        <v>446935</v>
      </c>
      <c r="Q289" s="8">
        <v>40134</v>
      </c>
      <c r="S289" s="8">
        <v>286531</v>
      </c>
      <c r="U289" s="8">
        <v>1000</v>
      </c>
      <c r="W289" s="8">
        <f>2184537+908+50152</f>
        <v>2235597</v>
      </c>
      <c r="Y289" s="3">
        <f t="shared" si="18"/>
        <v>19792306</v>
      </c>
      <c r="AA289" s="8">
        <v>0</v>
      </c>
      <c r="AE289" s="8">
        <v>125964</v>
      </c>
      <c r="AG289" s="8">
        <v>0</v>
      </c>
      <c r="AI289" s="8">
        <v>0</v>
      </c>
      <c r="AK289" s="8">
        <f t="shared" si="19"/>
        <v>125964</v>
      </c>
      <c r="AM289" s="8">
        <f t="shared" si="20"/>
        <v>19918270</v>
      </c>
    </row>
    <row r="290" spans="1:39">
      <c r="A290" s="13" t="s">
        <v>496</v>
      </c>
      <c r="B290" s="13"/>
      <c r="C290" s="13" t="s">
        <v>44</v>
      </c>
      <c r="D290" s="13"/>
      <c r="E290" s="13">
        <v>44263</v>
      </c>
      <c r="G290" s="8">
        <v>16927166</v>
      </c>
      <c r="I290" s="8">
        <v>0</v>
      </c>
      <c r="K290" s="8">
        <v>57061646</v>
      </c>
      <c r="M290" s="8">
        <v>181984</v>
      </c>
      <c r="O290" s="8">
        <v>1262994</v>
      </c>
      <c r="Q290" s="8">
        <v>0</v>
      </c>
      <c r="S290" s="8">
        <v>0</v>
      </c>
      <c r="U290" s="8">
        <v>0</v>
      </c>
      <c r="W290" s="8">
        <f>59749+550489</f>
        <v>610238</v>
      </c>
      <c r="Y290" s="3">
        <f t="shared" si="18"/>
        <v>76044028</v>
      </c>
      <c r="AA290" s="8">
        <v>0</v>
      </c>
      <c r="AE290" s="8">
        <v>5740</v>
      </c>
      <c r="AG290" s="8">
        <v>0</v>
      </c>
      <c r="AI290" s="8">
        <v>0</v>
      </c>
      <c r="AK290" s="8">
        <f t="shared" si="19"/>
        <v>5740</v>
      </c>
      <c r="AM290" s="8">
        <f t="shared" si="20"/>
        <v>76049768</v>
      </c>
    </row>
    <row r="291" spans="1:39">
      <c r="A291" s="13" t="s">
        <v>691</v>
      </c>
      <c r="B291" s="13"/>
      <c r="C291" s="13" t="s">
        <v>64</v>
      </c>
      <c r="D291" s="13"/>
      <c r="E291" s="32">
        <v>50203</v>
      </c>
      <c r="G291" s="8">
        <v>4348483</v>
      </c>
      <c r="I291" s="8">
        <v>0</v>
      </c>
      <c r="K291" s="8">
        <v>2067875</v>
      </c>
      <c r="M291" s="8">
        <v>90304</v>
      </c>
      <c r="O291" s="8">
        <v>14036</v>
      </c>
      <c r="Q291" s="8">
        <v>0</v>
      </c>
      <c r="S291" s="8">
        <v>0</v>
      </c>
      <c r="U291" s="8">
        <v>0</v>
      </c>
      <c r="W291" s="8">
        <v>743416</v>
      </c>
      <c r="Y291" s="3">
        <f t="shared" si="18"/>
        <v>7264114</v>
      </c>
      <c r="AA291" s="8">
        <v>0</v>
      </c>
      <c r="AE291" s="8">
        <v>0</v>
      </c>
      <c r="AG291" s="8">
        <v>0</v>
      </c>
      <c r="AI291" s="8">
        <v>0</v>
      </c>
      <c r="AK291" s="8">
        <f t="shared" si="19"/>
        <v>0</v>
      </c>
      <c r="AM291" s="8">
        <f t="shared" si="20"/>
        <v>7264114</v>
      </c>
    </row>
    <row r="292" spans="1:39">
      <c r="A292" s="12" t="s">
        <v>907</v>
      </c>
      <c r="B292" s="13"/>
      <c r="C292" s="13" t="s">
        <v>11</v>
      </c>
      <c r="D292" s="13"/>
      <c r="E292" s="32">
        <v>45468</v>
      </c>
      <c r="F292" s="11"/>
      <c r="G292" s="8">
        <v>3773072</v>
      </c>
      <c r="I292" s="8">
        <v>1628218</v>
      </c>
      <c r="K292" s="8">
        <v>5149896</v>
      </c>
      <c r="M292" s="8">
        <v>176530</v>
      </c>
      <c r="O292" s="8">
        <f>458810+2498+39291</f>
        <v>500599</v>
      </c>
      <c r="Q292" s="8">
        <v>0</v>
      </c>
      <c r="S292" s="8">
        <v>0</v>
      </c>
      <c r="U292" s="8">
        <v>0</v>
      </c>
      <c r="W292" s="8">
        <f>410+39596</f>
        <v>40006</v>
      </c>
      <c r="Y292" s="3">
        <f t="shared" si="18"/>
        <v>11268321</v>
      </c>
      <c r="AA292" s="8">
        <v>0</v>
      </c>
      <c r="AE292" s="8">
        <f>8257+6854</f>
        <v>15111</v>
      </c>
      <c r="AG292" s="8">
        <v>0</v>
      </c>
      <c r="AI292" s="8">
        <v>0</v>
      </c>
      <c r="AK292" s="8">
        <f t="shared" si="19"/>
        <v>15111</v>
      </c>
      <c r="AM292" s="8">
        <f t="shared" si="20"/>
        <v>11283432</v>
      </c>
    </row>
    <row r="293" spans="1:39">
      <c r="A293" s="13" t="s">
        <v>659</v>
      </c>
      <c r="B293" s="13"/>
      <c r="C293" s="13" t="s">
        <v>62</v>
      </c>
      <c r="D293" s="13"/>
      <c r="E293" s="32">
        <v>49874</v>
      </c>
      <c r="G293" s="8">
        <v>6827605</v>
      </c>
      <c r="I293" s="8">
        <v>0</v>
      </c>
      <c r="K293" s="8">
        <v>15666571</v>
      </c>
      <c r="M293" s="8">
        <v>306595</v>
      </c>
      <c r="O293" s="8">
        <v>171930</v>
      </c>
      <c r="Q293" s="8">
        <v>208496</v>
      </c>
      <c r="S293" s="8">
        <v>0</v>
      </c>
      <c r="U293" s="8">
        <v>200</v>
      </c>
      <c r="W293" s="8">
        <f>17024+102483+70730</f>
        <v>190237</v>
      </c>
      <c r="Y293" s="3">
        <f t="shared" si="18"/>
        <v>23371634</v>
      </c>
      <c r="AA293" s="8">
        <v>0</v>
      </c>
      <c r="AE293" s="8">
        <v>0</v>
      </c>
      <c r="AG293" s="8">
        <v>0</v>
      </c>
      <c r="AI293" s="8">
        <v>0</v>
      </c>
      <c r="AK293" s="8">
        <f t="shared" si="19"/>
        <v>0</v>
      </c>
      <c r="AM293" s="8">
        <f t="shared" si="20"/>
        <v>23371634</v>
      </c>
    </row>
    <row r="294" spans="1:39">
      <c r="A294" s="13" t="s">
        <v>402</v>
      </c>
      <c r="B294" s="13"/>
      <c r="C294" s="13" t="s">
        <v>32</v>
      </c>
      <c r="D294" s="13"/>
      <c r="E294" s="32">
        <v>44271</v>
      </c>
      <c r="G294" s="8">
        <v>20474438</v>
      </c>
      <c r="I294" s="8">
        <v>0</v>
      </c>
      <c r="K294" s="8">
        <v>14502064</v>
      </c>
      <c r="M294" s="8">
        <v>679906</v>
      </c>
      <c r="O294" s="8">
        <v>323187</v>
      </c>
      <c r="Q294" s="8">
        <v>0</v>
      </c>
      <c r="S294" s="8">
        <v>0</v>
      </c>
      <c r="U294" s="8">
        <v>0</v>
      </c>
      <c r="W294" s="8">
        <v>118507</v>
      </c>
      <c r="Y294" s="3">
        <f t="shared" si="18"/>
        <v>36098102</v>
      </c>
      <c r="AA294" s="8">
        <v>0</v>
      </c>
      <c r="AE294" s="8">
        <v>4042</v>
      </c>
      <c r="AG294" s="8">
        <v>0</v>
      </c>
      <c r="AI294" s="8">
        <v>0</v>
      </c>
      <c r="AK294" s="8">
        <f t="shared" si="19"/>
        <v>4042</v>
      </c>
      <c r="AM294" s="8">
        <f t="shared" si="20"/>
        <v>36102144</v>
      </c>
    </row>
    <row r="295" spans="1:39">
      <c r="A295" s="13" t="s">
        <v>519</v>
      </c>
      <c r="B295" s="13"/>
      <c r="C295" s="13" t="s">
        <v>45</v>
      </c>
      <c r="D295" s="13"/>
      <c r="E295" s="32">
        <v>48330</v>
      </c>
      <c r="G295" s="8">
        <v>991558</v>
      </c>
      <c r="I295" s="8">
        <v>0</v>
      </c>
      <c r="K295" s="8">
        <v>2433683</v>
      </c>
      <c r="M295" s="8">
        <v>64270</v>
      </c>
      <c r="O295" s="8">
        <v>1202460</v>
      </c>
      <c r="Q295" s="8">
        <v>0</v>
      </c>
      <c r="S295" s="8">
        <v>0</v>
      </c>
      <c r="U295" s="8">
        <v>0</v>
      </c>
      <c r="W295" s="8">
        <v>11966</v>
      </c>
      <c r="Y295" s="3">
        <f t="shared" si="18"/>
        <v>4703937</v>
      </c>
      <c r="AA295" s="8">
        <v>0</v>
      </c>
      <c r="AE295" s="8">
        <v>0</v>
      </c>
      <c r="AG295" s="8">
        <v>0</v>
      </c>
      <c r="AI295" s="8">
        <v>0</v>
      </c>
      <c r="AK295" s="8">
        <f t="shared" si="19"/>
        <v>0</v>
      </c>
      <c r="AM295" s="8">
        <f t="shared" si="20"/>
        <v>4703937</v>
      </c>
    </row>
    <row r="296" spans="1:39">
      <c r="A296" s="13" t="s">
        <v>616</v>
      </c>
      <c r="B296" s="13"/>
      <c r="C296" s="13" t="s">
        <v>113</v>
      </c>
      <c r="D296" s="13"/>
      <c r="E296" s="32">
        <v>49445</v>
      </c>
      <c r="G296" s="8">
        <v>2549469</v>
      </c>
      <c r="I296" s="8">
        <v>0</v>
      </c>
      <c r="K296" s="8">
        <v>2536180</v>
      </c>
      <c r="M296" s="8">
        <f>68944+17157</f>
        <v>86101</v>
      </c>
      <c r="O296" s="8">
        <v>4614</v>
      </c>
      <c r="Q296" s="8">
        <v>0</v>
      </c>
      <c r="S296" s="8">
        <v>0</v>
      </c>
      <c r="U296" s="8">
        <v>0</v>
      </c>
      <c r="W296" s="8">
        <v>12292</v>
      </c>
      <c r="Y296" s="3">
        <f t="shared" si="18"/>
        <v>5188656</v>
      </c>
      <c r="AA296" s="8">
        <v>0</v>
      </c>
      <c r="AE296" s="8">
        <v>0</v>
      </c>
      <c r="AG296" s="8">
        <v>0</v>
      </c>
      <c r="AI296" s="8">
        <v>0</v>
      </c>
      <c r="AK296" s="8">
        <f t="shared" si="19"/>
        <v>0</v>
      </c>
      <c r="AM296" s="8">
        <f t="shared" si="20"/>
        <v>5188656</v>
      </c>
    </row>
    <row r="297" spans="1:39">
      <c r="A297" s="13" t="s">
        <v>444</v>
      </c>
      <c r="B297" s="13"/>
      <c r="C297" s="13" t="s">
        <v>440</v>
      </c>
      <c r="D297" s="13"/>
      <c r="E297" s="32">
        <v>47639</v>
      </c>
      <c r="G297" s="8">
        <v>1691132</v>
      </c>
      <c r="I297" s="8">
        <v>0</v>
      </c>
      <c r="K297" s="8">
        <v>8011074</v>
      </c>
      <c r="M297" s="8">
        <v>393043</v>
      </c>
      <c r="O297" s="8">
        <v>597879</v>
      </c>
      <c r="Q297" s="8">
        <v>0</v>
      </c>
      <c r="S297" s="8">
        <v>0</v>
      </c>
      <c r="U297" s="8">
        <v>8101</v>
      </c>
      <c r="W297" s="8">
        <f>2174+86665</f>
        <v>88839</v>
      </c>
      <c r="Y297" s="3">
        <f t="shared" si="18"/>
        <v>10790068</v>
      </c>
      <c r="AA297" s="8">
        <v>0</v>
      </c>
      <c r="AE297" s="8">
        <v>0</v>
      </c>
      <c r="AG297" s="8">
        <v>0</v>
      </c>
      <c r="AI297" s="8">
        <v>0</v>
      </c>
      <c r="AK297" s="8">
        <f t="shared" si="19"/>
        <v>0</v>
      </c>
      <c r="AM297" s="8">
        <f t="shared" si="20"/>
        <v>10790068</v>
      </c>
    </row>
    <row r="298" spans="1:39">
      <c r="A298" s="13" t="s">
        <v>558</v>
      </c>
      <c r="B298" s="13"/>
      <c r="C298" s="13" t="s">
        <v>50</v>
      </c>
      <c r="D298" s="13"/>
      <c r="E298" s="13">
        <v>48702</v>
      </c>
      <c r="G298" s="8">
        <v>9245128</v>
      </c>
      <c r="I298" s="8">
        <v>0</v>
      </c>
      <c r="K298" s="8">
        <v>23758544</v>
      </c>
      <c r="M298" s="8">
        <v>1031565</v>
      </c>
      <c r="O298" s="8">
        <v>436180</v>
      </c>
      <c r="Q298" s="8">
        <v>32213</v>
      </c>
      <c r="S298" s="8">
        <v>0</v>
      </c>
      <c r="U298" s="8">
        <v>0</v>
      </c>
      <c r="W298" s="8">
        <v>618748</v>
      </c>
      <c r="Y298" s="3">
        <f t="shared" ref="Y298:Y349" si="21">SUM(G298:X298)</f>
        <v>35122378</v>
      </c>
      <c r="AA298" s="8">
        <v>0</v>
      </c>
      <c r="AE298" s="8">
        <v>0</v>
      </c>
      <c r="AG298" s="8">
        <v>0</v>
      </c>
      <c r="AI298" s="8">
        <v>0</v>
      </c>
      <c r="AK298" s="8">
        <f t="shared" ref="AK298:AK341" si="22">SUM(AA298:AJ298)</f>
        <v>0</v>
      </c>
      <c r="AM298" s="8">
        <f t="shared" ref="AM298:AM343" si="23">+AK298+Y298</f>
        <v>35122378</v>
      </c>
    </row>
    <row r="299" spans="1:39">
      <c r="A299" s="13" t="s">
        <v>403</v>
      </c>
      <c r="B299" s="13"/>
      <c r="C299" s="13" t="s">
        <v>32</v>
      </c>
      <c r="D299" s="13"/>
      <c r="E299" s="32">
        <v>44289</v>
      </c>
      <c r="G299" s="8">
        <v>11395038</v>
      </c>
      <c r="I299" s="8">
        <v>0</v>
      </c>
      <c r="K299" s="8">
        <v>4715964</v>
      </c>
      <c r="M299" s="8">
        <v>167751</v>
      </c>
      <c r="O299" s="8">
        <v>36962</v>
      </c>
      <c r="Q299" s="8">
        <v>87073</v>
      </c>
      <c r="S299" s="8">
        <v>0</v>
      </c>
      <c r="U299" s="8">
        <v>0</v>
      </c>
      <c r="W299" s="8">
        <v>169776</v>
      </c>
      <c r="Y299" s="3">
        <f t="shared" si="21"/>
        <v>16572564</v>
      </c>
      <c r="AA299" s="8">
        <v>0</v>
      </c>
      <c r="AE299" s="8">
        <v>0</v>
      </c>
      <c r="AG299" s="8">
        <v>1166</v>
      </c>
      <c r="AI299" s="8">
        <v>0</v>
      </c>
      <c r="AK299" s="8">
        <f t="shared" si="22"/>
        <v>1166</v>
      </c>
      <c r="AM299" s="8">
        <f t="shared" si="23"/>
        <v>16573730</v>
      </c>
    </row>
    <row r="300" spans="1:39">
      <c r="A300" s="13" t="s">
        <v>250</v>
      </c>
      <c r="B300" s="13"/>
      <c r="C300" s="13" t="s">
        <v>246</v>
      </c>
      <c r="D300" s="13"/>
      <c r="E300" s="32">
        <v>46128</v>
      </c>
      <c r="F300" s="11"/>
      <c r="G300" s="8">
        <v>4479243</v>
      </c>
      <c r="I300" s="8">
        <v>0</v>
      </c>
      <c r="K300" s="8">
        <v>6811641</v>
      </c>
      <c r="M300" s="8">
        <v>102500</v>
      </c>
      <c r="O300" s="8">
        <v>532606</v>
      </c>
      <c r="Q300" s="8">
        <v>79795</v>
      </c>
      <c r="S300" s="8">
        <v>0</v>
      </c>
      <c r="U300" s="8">
        <v>0</v>
      </c>
      <c r="W300" s="8">
        <v>39347</v>
      </c>
      <c r="Y300" s="3">
        <f t="shared" si="21"/>
        <v>12045132</v>
      </c>
      <c r="AA300" s="8">
        <v>0</v>
      </c>
      <c r="AE300" s="8">
        <v>0</v>
      </c>
      <c r="AG300" s="8">
        <v>229000</v>
      </c>
      <c r="AI300" s="8">
        <v>0</v>
      </c>
      <c r="AK300" s="8">
        <f t="shared" si="22"/>
        <v>229000</v>
      </c>
      <c r="AM300" s="8">
        <f t="shared" si="23"/>
        <v>12274132</v>
      </c>
    </row>
    <row r="301" spans="1:39">
      <c r="A301" s="13" t="s">
        <v>250</v>
      </c>
      <c r="B301" s="13"/>
      <c r="C301" s="13" t="s">
        <v>113</v>
      </c>
      <c r="D301" s="13"/>
      <c r="E301" s="32">
        <v>49452</v>
      </c>
      <c r="G301" s="8">
        <v>13221595</v>
      </c>
      <c r="I301" s="8">
        <v>0</v>
      </c>
      <c r="K301" s="8">
        <f>1253+15791859</f>
        <v>15793112</v>
      </c>
      <c r="M301" s="8">
        <v>534475</v>
      </c>
      <c r="O301" s="8">
        <v>1518984</v>
      </c>
      <c r="Q301" s="8">
        <v>29475</v>
      </c>
      <c r="S301" s="8">
        <v>0</v>
      </c>
      <c r="U301" s="8">
        <v>0</v>
      </c>
      <c r="W301" s="8">
        <f>351811+450+7568</f>
        <v>359829</v>
      </c>
      <c r="Y301" s="3">
        <f t="shared" si="21"/>
        <v>31457470</v>
      </c>
      <c r="AA301" s="8">
        <v>0</v>
      </c>
      <c r="AE301" s="8">
        <v>0</v>
      </c>
      <c r="AG301" s="8">
        <v>0</v>
      </c>
      <c r="AI301" s="8">
        <v>0</v>
      </c>
      <c r="AK301" s="8">
        <f t="shared" si="22"/>
        <v>0</v>
      </c>
      <c r="AM301" s="8">
        <f t="shared" si="23"/>
        <v>31457470</v>
      </c>
    </row>
    <row r="302" spans="1:39">
      <c r="A302" s="13" t="s">
        <v>835</v>
      </c>
      <c r="B302" s="13"/>
      <c r="C302" s="13" t="s">
        <v>210</v>
      </c>
      <c r="D302" s="13"/>
      <c r="E302" s="32"/>
      <c r="G302" s="8">
        <v>5985077</v>
      </c>
      <c r="I302" s="8">
        <v>0</v>
      </c>
      <c r="K302" s="8">
        <v>6156922</v>
      </c>
      <c r="M302" s="8">
        <v>211850</v>
      </c>
      <c r="O302" s="8">
        <v>366068</v>
      </c>
      <c r="Q302" s="8">
        <v>0</v>
      </c>
      <c r="S302" s="8">
        <v>0</v>
      </c>
      <c r="U302" s="8">
        <v>550</v>
      </c>
      <c r="W302" s="8">
        <f>27031+8831</f>
        <v>35862</v>
      </c>
      <c r="Y302" s="3">
        <f t="shared" si="21"/>
        <v>12756329</v>
      </c>
      <c r="AA302" s="8">
        <v>0</v>
      </c>
      <c r="AE302" s="8">
        <v>0</v>
      </c>
      <c r="AG302" s="8">
        <v>2203</v>
      </c>
      <c r="AI302" s="8">
        <v>0</v>
      </c>
      <c r="AK302" s="8">
        <f t="shared" si="22"/>
        <v>2203</v>
      </c>
      <c r="AM302" s="8">
        <f t="shared" si="23"/>
        <v>12758532</v>
      </c>
    </row>
    <row r="303" spans="1:39">
      <c r="A303" s="13" t="s">
        <v>617</v>
      </c>
      <c r="B303" s="13"/>
      <c r="C303" s="13" t="s">
        <v>113</v>
      </c>
      <c r="D303" s="13"/>
      <c r="E303" s="32">
        <v>44297</v>
      </c>
      <c r="G303" s="8">
        <v>17926701</v>
      </c>
      <c r="I303" s="8">
        <v>0</v>
      </c>
      <c r="K303" s="8">
        <f>924+29038918</f>
        <v>29039842</v>
      </c>
      <c r="M303" s="8">
        <v>660640</v>
      </c>
      <c r="O303" s="8">
        <v>837937</v>
      </c>
      <c r="Q303" s="8">
        <v>0</v>
      </c>
      <c r="S303" s="8">
        <v>0</v>
      </c>
      <c r="U303" s="8">
        <v>0</v>
      </c>
      <c r="W303" s="8">
        <f>1898933+50290</f>
        <v>1949223</v>
      </c>
      <c r="Y303" s="3">
        <f t="shared" si="21"/>
        <v>50414343</v>
      </c>
      <c r="AA303" s="8">
        <v>0</v>
      </c>
      <c r="AE303" s="8">
        <v>0</v>
      </c>
      <c r="AG303" s="8">
        <v>6753</v>
      </c>
      <c r="AI303" s="8">
        <v>0</v>
      </c>
      <c r="AK303" s="8">
        <f t="shared" si="22"/>
        <v>6753</v>
      </c>
      <c r="AM303" s="8">
        <f t="shared" si="23"/>
        <v>50421096</v>
      </c>
    </row>
    <row r="304" spans="1:39">
      <c r="A304" s="13" t="s">
        <v>315</v>
      </c>
      <c r="B304" s="13"/>
      <c r="C304" s="13" t="s">
        <v>20</v>
      </c>
      <c r="D304" s="13"/>
      <c r="E304" s="32">
        <v>44305</v>
      </c>
      <c r="G304" s="8">
        <v>15275252</v>
      </c>
      <c r="I304" s="8">
        <v>0</v>
      </c>
      <c r="K304" s="8">
        <v>19206221</v>
      </c>
      <c r="M304" s="8">
        <v>383523</v>
      </c>
      <c r="O304" s="8">
        <v>2041477</v>
      </c>
      <c r="Q304" s="8">
        <v>0</v>
      </c>
      <c r="S304" s="8">
        <v>0</v>
      </c>
      <c r="U304" s="8">
        <v>200</v>
      </c>
      <c r="W304" s="8">
        <f>523668+7770</f>
        <v>531438</v>
      </c>
      <c r="Y304" s="3">
        <f t="shared" si="21"/>
        <v>37438111</v>
      </c>
      <c r="AA304" s="8">
        <v>56243</v>
      </c>
      <c r="AE304" s="8">
        <v>0</v>
      </c>
      <c r="AG304" s="8">
        <v>0</v>
      </c>
      <c r="AI304" s="8">
        <v>0</v>
      </c>
      <c r="AK304" s="8">
        <f t="shared" si="22"/>
        <v>56243</v>
      </c>
      <c r="AM304" s="8">
        <f t="shared" si="23"/>
        <v>37494354</v>
      </c>
    </row>
    <row r="305" spans="1:39">
      <c r="A305" s="13" t="s">
        <v>218</v>
      </c>
      <c r="B305" s="13"/>
      <c r="C305" s="13" t="s">
        <v>11</v>
      </c>
      <c r="D305" s="13"/>
      <c r="E305" s="32">
        <v>45831</v>
      </c>
      <c r="F305" s="11"/>
      <c r="G305" s="8">
        <v>1652021</v>
      </c>
      <c r="I305" s="8">
        <v>0</v>
      </c>
      <c r="K305" s="8">
        <v>4766930</v>
      </c>
      <c r="M305" s="8">
        <v>94177</v>
      </c>
      <c r="O305" s="8">
        <f>527724+10599+36723</f>
        <v>575046</v>
      </c>
      <c r="Q305" s="8">
        <v>51708</v>
      </c>
      <c r="S305" s="8">
        <v>0</v>
      </c>
      <c r="U305" s="8">
        <v>0</v>
      </c>
      <c r="W305" s="8">
        <v>5104</v>
      </c>
      <c r="Y305" s="3">
        <f t="shared" si="21"/>
        <v>7144986</v>
      </c>
      <c r="AA305" s="8">
        <v>0</v>
      </c>
      <c r="AE305" s="8">
        <v>0</v>
      </c>
      <c r="AG305" s="8">
        <v>0</v>
      </c>
      <c r="AI305" s="8">
        <v>0</v>
      </c>
      <c r="AK305" s="8">
        <f t="shared" si="22"/>
        <v>0</v>
      </c>
      <c r="AM305" s="8">
        <f t="shared" si="23"/>
        <v>7144986</v>
      </c>
    </row>
    <row r="306" spans="1:39">
      <c r="A306" s="13" t="s">
        <v>692</v>
      </c>
      <c r="B306" s="13"/>
      <c r="C306" s="13" t="s">
        <v>64</v>
      </c>
      <c r="D306" s="13"/>
      <c r="E306" s="32">
        <v>50211</v>
      </c>
      <c r="G306" s="8">
        <v>2222534</v>
      </c>
      <c r="I306" s="8">
        <v>0</v>
      </c>
      <c r="K306" s="8">
        <f>115303+5865268</f>
        <v>5980571</v>
      </c>
      <c r="M306" s="8">
        <v>88600</v>
      </c>
      <c r="O306" s="8">
        <v>263061</v>
      </c>
      <c r="Q306" s="8">
        <v>0</v>
      </c>
      <c r="S306" s="8">
        <v>0</v>
      </c>
      <c r="U306" s="8">
        <v>31680</v>
      </c>
      <c r="W306" s="8">
        <f>44692+9618</f>
        <v>54310</v>
      </c>
      <c r="Y306" s="3">
        <f t="shared" si="21"/>
        <v>8640756</v>
      </c>
      <c r="AA306" s="8">
        <v>0</v>
      </c>
      <c r="AE306" s="8">
        <v>0</v>
      </c>
      <c r="AG306" s="8">
        <v>2350</v>
      </c>
      <c r="AI306" s="8">
        <v>0</v>
      </c>
      <c r="AK306" s="8">
        <f t="shared" si="22"/>
        <v>2350</v>
      </c>
      <c r="AM306" s="8">
        <f t="shared" si="23"/>
        <v>8643106</v>
      </c>
    </row>
    <row r="307" spans="1:39">
      <c r="A307" s="13" t="s">
        <v>343</v>
      </c>
      <c r="B307" s="13"/>
      <c r="C307" s="13" t="s">
        <v>24</v>
      </c>
      <c r="D307" s="13"/>
      <c r="E307" s="32">
        <v>46805</v>
      </c>
      <c r="G307" s="8">
        <v>5759297</v>
      </c>
      <c r="I307" s="8">
        <v>0</v>
      </c>
      <c r="K307" s="8">
        <v>5862317</v>
      </c>
      <c r="M307" s="8">
        <v>175207</v>
      </c>
      <c r="O307" s="8">
        <v>269425</v>
      </c>
      <c r="Q307" s="8">
        <v>0</v>
      </c>
      <c r="S307" s="8">
        <v>0</v>
      </c>
      <c r="U307" s="8">
        <v>0</v>
      </c>
      <c r="W307" s="8">
        <f>104815+59182</f>
        <v>163997</v>
      </c>
      <c r="Y307" s="3">
        <f t="shared" si="21"/>
        <v>12230243</v>
      </c>
      <c r="AA307" s="8">
        <v>0</v>
      </c>
      <c r="AE307" s="8">
        <v>0</v>
      </c>
      <c r="AG307" s="8">
        <v>0</v>
      </c>
      <c r="AI307" s="8">
        <v>0</v>
      </c>
      <c r="AK307" s="8">
        <f t="shared" si="22"/>
        <v>0</v>
      </c>
      <c r="AM307" s="8">
        <f t="shared" si="23"/>
        <v>12230243</v>
      </c>
    </row>
    <row r="308" spans="1:39">
      <c r="A308" s="13" t="s">
        <v>404</v>
      </c>
      <c r="B308" s="13"/>
      <c r="C308" s="13" t="s">
        <v>32</v>
      </c>
      <c r="D308" s="13"/>
      <c r="E308" s="32">
        <v>44313</v>
      </c>
      <c r="G308" s="8">
        <v>13212099</v>
      </c>
      <c r="I308" s="8">
        <v>0</v>
      </c>
      <c r="K308" s="8">
        <v>5657383</v>
      </c>
      <c r="M308" s="8">
        <v>372515</v>
      </c>
      <c r="O308" s="8">
        <v>247281</v>
      </c>
      <c r="Q308" s="8">
        <v>0</v>
      </c>
      <c r="S308" s="8">
        <v>0</v>
      </c>
      <c r="U308" s="8">
        <v>0</v>
      </c>
      <c r="W308" s="8">
        <f>74195+3978</f>
        <v>78173</v>
      </c>
      <c r="Y308" s="3">
        <f t="shared" si="21"/>
        <v>19567451</v>
      </c>
      <c r="AA308" s="8">
        <v>3237</v>
      </c>
      <c r="AE308" s="8">
        <v>0</v>
      </c>
      <c r="AG308" s="8">
        <v>1606</v>
      </c>
      <c r="AI308" s="8">
        <v>0</v>
      </c>
      <c r="AK308" s="8">
        <f t="shared" si="22"/>
        <v>4843</v>
      </c>
      <c r="AM308" s="8">
        <f t="shared" si="23"/>
        <v>19572294</v>
      </c>
    </row>
    <row r="309" spans="1:39" hidden="1">
      <c r="A309" s="13" t="s">
        <v>724</v>
      </c>
      <c r="B309" s="13"/>
      <c r="C309" s="13" t="s">
        <v>70</v>
      </c>
      <c r="D309" s="13"/>
      <c r="E309" s="32">
        <v>44321</v>
      </c>
      <c r="S309" s="8">
        <v>0</v>
      </c>
      <c r="U309" s="8">
        <v>0</v>
      </c>
      <c r="W309" s="8">
        <v>0</v>
      </c>
      <c r="Y309" s="3">
        <f t="shared" si="21"/>
        <v>0</v>
      </c>
      <c r="AA309" s="8">
        <v>0</v>
      </c>
      <c r="AE309" s="8">
        <v>0</v>
      </c>
      <c r="AG309" s="8">
        <v>0</v>
      </c>
      <c r="AI309" s="8">
        <v>0</v>
      </c>
      <c r="AK309" s="8">
        <f t="shared" si="22"/>
        <v>0</v>
      </c>
      <c r="AM309" s="8">
        <f t="shared" si="23"/>
        <v>0</v>
      </c>
    </row>
    <row r="310" spans="1:39">
      <c r="A310" s="13" t="s">
        <v>527</v>
      </c>
      <c r="B310" s="13"/>
      <c r="C310" s="13" t="s">
        <v>46</v>
      </c>
      <c r="D310" s="13"/>
      <c r="E310" s="32">
        <v>44339</v>
      </c>
      <c r="G310" s="8">
        <v>9253843</v>
      </c>
      <c r="I310" s="8">
        <v>0</v>
      </c>
      <c r="K310" s="8">
        <v>28840235</v>
      </c>
      <c r="M310" s="8">
        <v>633518</v>
      </c>
      <c r="O310" s="8">
        <v>2046145</v>
      </c>
      <c r="Q310" s="8">
        <v>74975</v>
      </c>
      <c r="S310" s="8">
        <v>74236</v>
      </c>
      <c r="U310" s="8">
        <v>0</v>
      </c>
      <c r="W310" s="8">
        <v>187217</v>
      </c>
      <c r="Y310" s="3">
        <f t="shared" si="21"/>
        <v>41110169</v>
      </c>
      <c r="AA310" s="8">
        <v>99117</v>
      </c>
      <c r="AE310" s="8">
        <v>0</v>
      </c>
      <c r="AG310" s="8">
        <v>89849</v>
      </c>
      <c r="AI310" s="8">
        <v>0</v>
      </c>
      <c r="AK310" s="8">
        <f t="shared" si="22"/>
        <v>188966</v>
      </c>
      <c r="AM310" s="8">
        <f t="shared" si="23"/>
        <v>41299135</v>
      </c>
    </row>
    <row r="311" spans="1:39">
      <c r="A311" s="13" t="s">
        <v>660</v>
      </c>
      <c r="B311" s="13"/>
      <c r="C311" s="13" t="s">
        <v>62</v>
      </c>
      <c r="D311" s="13"/>
      <c r="E311" s="32">
        <v>49882</v>
      </c>
      <c r="G311" s="8">
        <v>8804310</v>
      </c>
      <c r="I311" s="8">
        <v>0</v>
      </c>
      <c r="K311" s="8">
        <f>3870+12073994</f>
        <v>12077864</v>
      </c>
      <c r="M311" s="8">
        <v>252479</v>
      </c>
      <c r="O311" s="8">
        <v>175965</v>
      </c>
      <c r="Q311" s="8">
        <v>59722</v>
      </c>
      <c r="S311" s="8">
        <v>0</v>
      </c>
      <c r="U311" s="8">
        <v>0</v>
      </c>
      <c r="W311" s="8">
        <f>108649+96394</f>
        <v>205043</v>
      </c>
      <c r="Y311" s="3">
        <f t="shared" si="21"/>
        <v>21575383</v>
      </c>
      <c r="AA311" s="8">
        <v>0</v>
      </c>
      <c r="AE311" s="8">
        <v>0</v>
      </c>
      <c r="AG311" s="8">
        <f>204759+3256</f>
        <v>208015</v>
      </c>
      <c r="AI311" s="8">
        <v>0</v>
      </c>
      <c r="AK311" s="8">
        <f t="shared" si="22"/>
        <v>208015</v>
      </c>
      <c r="AM311" s="8">
        <f t="shared" si="23"/>
        <v>21783398</v>
      </c>
    </row>
    <row r="312" spans="1:39">
      <c r="A312" s="13" t="s">
        <v>236</v>
      </c>
      <c r="B312" s="13"/>
      <c r="C312" s="13" t="s">
        <v>15</v>
      </c>
      <c r="D312" s="13"/>
      <c r="E312" s="32">
        <v>44347</v>
      </c>
      <c r="F312" s="11"/>
      <c r="G312" s="8">
        <v>2440193</v>
      </c>
      <c r="I312" s="8">
        <v>0</v>
      </c>
      <c r="K312" s="8">
        <v>7616110</v>
      </c>
      <c r="M312" s="8">
        <v>76833</v>
      </c>
      <c r="O312" s="8">
        <v>713481</v>
      </c>
      <c r="Q312" s="8">
        <v>0</v>
      </c>
      <c r="S312" s="8">
        <v>0</v>
      </c>
      <c r="U312" s="8">
        <v>0</v>
      </c>
      <c r="W312" s="8">
        <f>4608+1111</f>
        <v>5719</v>
      </c>
      <c r="Y312" s="3">
        <f t="shared" si="21"/>
        <v>10852336</v>
      </c>
      <c r="AA312" s="8">
        <v>0</v>
      </c>
      <c r="AE312" s="8">
        <v>0</v>
      </c>
      <c r="AG312" s="8">
        <f>50+328006</f>
        <v>328056</v>
      </c>
      <c r="AI312" s="8">
        <v>0</v>
      </c>
      <c r="AK312" s="8">
        <f t="shared" si="22"/>
        <v>328056</v>
      </c>
      <c r="AM312" s="8">
        <f t="shared" si="23"/>
        <v>11180392</v>
      </c>
    </row>
    <row r="313" spans="1:39">
      <c r="A313" s="13" t="s">
        <v>708</v>
      </c>
      <c r="B313" s="13"/>
      <c r="C313" s="13" t="s">
        <v>66</v>
      </c>
      <c r="D313" s="13"/>
      <c r="E313" s="32">
        <v>45476</v>
      </c>
      <c r="G313" s="8">
        <v>21134814</v>
      </c>
      <c r="I313" s="8">
        <v>0</v>
      </c>
      <c r="K313" s="8">
        <f>3069+20497485</f>
        <v>20500554</v>
      </c>
      <c r="M313" s="8">
        <v>515167</v>
      </c>
      <c r="O313" s="8">
        <v>236773</v>
      </c>
      <c r="Q313" s="8">
        <v>72345</v>
      </c>
      <c r="S313" s="8">
        <v>0</v>
      </c>
      <c r="U313" s="8">
        <v>0</v>
      </c>
      <c r="W313" s="8">
        <f>3846+127107+64060+430250</f>
        <v>625263</v>
      </c>
      <c r="Y313" s="3">
        <f t="shared" si="21"/>
        <v>43084916</v>
      </c>
      <c r="AA313" s="8">
        <v>10283</v>
      </c>
      <c r="AE313" s="8">
        <v>0</v>
      </c>
      <c r="AG313" s="8">
        <v>18901</v>
      </c>
      <c r="AI313" s="8">
        <v>0</v>
      </c>
      <c r="AK313" s="8">
        <f t="shared" si="22"/>
        <v>29184</v>
      </c>
      <c r="AM313" s="8">
        <f t="shared" si="23"/>
        <v>43114100</v>
      </c>
    </row>
    <row r="314" spans="1:39">
      <c r="A314" s="13" t="s">
        <v>718</v>
      </c>
      <c r="B314" s="13"/>
      <c r="C314" s="13" t="s">
        <v>69</v>
      </c>
      <c r="D314" s="13"/>
      <c r="E314" s="32">
        <v>50450</v>
      </c>
      <c r="G314" s="8">
        <v>53095267</v>
      </c>
      <c r="I314" s="8">
        <v>0</v>
      </c>
      <c r="K314" s="8">
        <v>40997600</v>
      </c>
      <c r="M314" s="8">
        <v>2022931</v>
      </c>
      <c r="O314" s="8">
        <v>851387</v>
      </c>
      <c r="Q314" s="8">
        <v>0</v>
      </c>
      <c r="S314" s="8">
        <v>0</v>
      </c>
      <c r="U314" s="8">
        <v>0</v>
      </c>
      <c r="W314" s="8">
        <v>180400</v>
      </c>
      <c r="Y314" s="3">
        <f t="shared" si="21"/>
        <v>97147585</v>
      </c>
      <c r="AA314" s="8">
        <v>0</v>
      </c>
      <c r="AE314" s="8">
        <v>0</v>
      </c>
      <c r="AG314" s="8">
        <v>21588</v>
      </c>
      <c r="AI314" s="8">
        <v>0</v>
      </c>
      <c r="AK314" s="8">
        <f t="shared" si="22"/>
        <v>21588</v>
      </c>
      <c r="AM314" s="8">
        <f t="shared" si="23"/>
        <v>97169173</v>
      </c>
    </row>
    <row r="315" spans="1:39">
      <c r="A315" s="13" t="s">
        <v>661</v>
      </c>
      <c r="B315" s="13"/>
      <c r="C315" s="13" t="s">
        <v>62</v>
      </c>
      <c r="D315" s="13"/>
      <c r="E315" s="32">
        <v>44354</v>
      </c>
      <c r="G315" s="8">
        <v>13411136</v>
      </c>
      <c r="I315" s="8">
        <v>94296</v>
      </c>
      <c r="K315" s="8">
        <v>21976096</v>
      </c>
      <c r="M315" s="8">
        <v>633201</v>
      </c>
      <c r="O315" s="8">
        <v>2039012</v>
      </c>
      <c r="Q315" s="8">
        <v>0</v>
      </c>
      <c r="S315" s="8">
        <v>0</v>
      </c>
      <c r="U315" s="8">
        <v>200</v>
      </c>
      <c r="W315" s="8">
        <f>248288+178618+53552</f>
        <v>480458</v>
      </c>
      <c r="Y315" s="3">
        <f t="shared" si="21"/>
        <v>38634399</v>
      </c>
      <c r="AA315" s="8">
        <v>0</v>
      </c>
      <c r="AE315" s="8">
        <v>0</v>
      </c>
      <c r="AG315" s="8">
        <v>12094</v>
      </c>
      <c r="AI315" s="8">
        <v>0</v>
      </c>
      <c r="AK315" s="8">
        <f t="shared" si="22"/>
        <v>12094</v>
      </c>
      <c r="AM315" s="8">
        <f t="shared" si="23"/>
        <v>38646493</v>
      </c>
    </row>
    <row r="316" spans="1:39">
      <c r="A316" s="13" t="s">
        <v>693</v>
      </c>
      <c r="B316" s="13"/>
      <c r="C316" s="13" t="s">
        <v>64</v>
      </c>
      <c r="D316" s="13"/>
      <c r="E316" s="13">
        <v>50153</v>
      </c>
      <c r="G316" s="8">
        <v>4269218</v>
      </c>
      <c r="I316" s="8">
        <v>0</v>
      </c>
      <c r="K316" s="8">
        <v>3621221</v>
      </c>
      <c r="M316" s="8">
        <v>111050</v>
      </c>
      <c r="O316" s="8">
        <v>369202</v>
      </c>
      <c r="Q316" s="8">
        <v>0</v>
      </c>
      <c r="S316" s="8">
        <v>20740</v>
      </c>
      <c r="U316" s="8">
        <v>0</v>
      </c>
      <c r="W316" s="8">
        <f>16404+10028+3069</f>
        <v>29501</v>
      </c>
      <c r="Y316" s="3">
        <f t="shared" si="21"/>
        <v>8420932</v>
      </c>
      <c r="AA316" s="8">
        <v>0</v>
      </c>
      <c r="AE316" s="8">
        <v>0</v>
      </c>
      <c r="AG316" s="8">
        <v>1700</v>
      </c>
      <c r="AI316" s="8">
        <v>0</v>
      </c>
      <c r="AK316" s="8">
        <f t="shared" si="22"/>
        <v>1700</v>
      </c>
      <c r="AM316" s="8">
        <f t="shared" si="23"/>
        <v>8422632</v>
      </c>
    </row>
    <row r="317" spans="1:39">
      <c r="A317" s="13" t="s">
        <v>503</v>
      </c>
      <c r="B317" s="13"/>
      <c r="C317" s="13" t="s">
        <v>118</v>
      </c>
      <c r="D317" s="13"/>
      <c r="E317" s="32">
        <v>44362</v>
      </c>
      <c r="G317" s="8">
        <v>18900025</v>
      </c>
      <c r="I317" s="8">
        <v>0</v>
      </c>
      <c r="K317" s="8">
        <v>7808121</v>
      </c>
      <c r="M317" s="8">
        <v>243445</v>
      </c>
      <c r="O317" s="8">
        <v>344276</v>
      </c>
      <c r="Q317" s="8">
        <v>0</v>
      </c>
      <c r="S317" s="8">
        <v>0</v>
      </c>
      <c r="U317" s="8">
        <v>0</v>
      </c>
      <c r="W317" s="8">
        <f>244887+45839</f>
        <v>290726</v>
      </c>
      <c r="Y317" s="3">
        <f t="shared" si="21"/>
        <v>27586593</v>
      </c>
      <c r="AA317" s="8">
        <v>20305</v>
      </c>
      <c r="AE317" s="8">
        <v>0</v>
      </c>
      <c r="AG317" s="8">
        <v>205</v>
      </c>
      <c r="AI317" s="8">
        <v>0</v>
      </c>
      <c r="AK317" s="8">
        <f t="shared" si="22"/>
        <v>20510</v>
      </c>
      <c r="AM317" s="8">
        <f t="shared" si="23"/>
        <v>27607103</v>
      </c>
    </row>
    <row r="318" spans="1:39">
      <c r="A318" s="13" t="s">
        <v>316</v>
      </c>
      <c r="B318" s="13"/>
      <c r="C318" s="13" t="s">
        <v>20</v>
      </c>
      <c r="D318" s="13"/>
      <c r="E318" s="32">
        <v>44370</v>
      </c>
      <c r="G318" s="8">
        <v>42833608</v>
      </c>
      <c r="I318" s="8">
        <v>0</v>
      </c>
      <c r="K318" s="8">
        <v>9741580</v>
      </c>
      <c r="M318" s="8">
        <v>738936</v>
      </c>
      <c r="O318" s="8">
        <v>452629</v>
      </c>
      <c r="Q318" s="8">
        <v>0</v>
      </c>
      <c r="S318" s="8">
        <v>1832560</v>
      </c>
      <c r="U318" s="8">
        <v>0</v>
      </c>
      <c r="W318" s="8">
        <f>182812+75564</f>
        <v>258376</v>
      </c>
      <c r="Y318" s="3">
        <f t="shared" si="21"/>
        <v>55857689</v>
      </c>
      <c r="AA318" s="8">
        <v>0</v>
      </c>
      <c r="AE318" s="8">
        <v>0</v>
      </c>
      <c r="AG318" s="8">
        <v>0</v>
      </c>
      <c r="AI318" s="8">
        <v>0</v>
      </c>
      <c r="AK318" s="8">
        <f t="shared" si="22"/>
        <v>0</v>
      </c>
      <c r="AM318" s="8">
        <f t="shared" si="23"/>
        <v>55857689</v>
      </c>
    </row>
    <row r="319" spans="1:39">
      <c r="A319" s="13" t="s">
        <v>573</v>
      </c>
      <c r="B319" s="13"/>
      <c r="C319" s="13" t="s">
        <v>51</v>
      </c>
      <c r="D319" s="13"/>
      <c r="E319" s="32">
        <v>48850</v>
      </c>
      <c r="G319" s="8">
        <v>2215637</v>
      </c>
      <c r="I319" s="8">
        <v>0</v>
      </c>
      <c r="K319" s="8">
        <v>11087026</v>
      </c>
      <c r="M319" s="8">
        <v>0</v>
      </c>
      <c r="O319" s="8">
        <v>1310171</v>
      </c>
      <c r="Q319" s="8">
        <v>0</v>
      </c>
      <c r="S319" s="8">
        <v>3099</v>
      </c>
      <c r="U319" s="8">
        <v>515</v>
      </c>
      <c r="W319" s="8">
        <f>3467+30404+383914</f>
        <v>417785</v>
      </c>
      <c r="Y319" s="3">
        <f t="shared" si="21"/>
        <v>15034233</v>
      </c>
      <c r="AA319" s="8">
        <v>0</v>
      </c>
      <c r="AE319" s="8">
        <v>198551</v>
      </c>
      <c r="AG319" s="8">
        <v>1875</v>
      </c>
      <c r="AI319" s="8">
        <v>0</v>
      </c>
      <c r="AK319" s="8">
        <f t="shared" si="22"/>
        <v>200426</v>
      </c>
      <c r="AM319" s="8">
        <f t="shared" si="23"/>
        <v>15234659</v>
      </c>
    </row>
    <row r="320" spans="1:39" hidden="1">
      <c r="A320" s="13" t="s">
        <v>830</v>
      </c>
      <c r="B320" s="13"/>
      <c r="C320" s="13" t="s">
        <v>33</v>
      </c>
      <c r="D320" s="13"/>
      <c r="E320" s="32">
        <v>47456</v>
      </c>
      <c r="S320" s="8">
        <v>0</v>
      </c>
      <c r="U320" s="8">
        <v>0</v>
      </c>
      <c r="W320" s="8">
        <v>0</v>
      </c>
      <c r="Y320" s="3">
        <f t="shared" si="21"/>
        <v>0</v>
      </c>
      <c r="AA320" s="8">
        <v>0</v>
      </c>
      <c r="AE320" s="8">
        <v>0</v>
      </c>
      <c r="AG320" s="8">
        <v>0</v>
      </c>
      <c r="AI320" s="8">
        <v>0</v>
      </c>
      <c r="AK320" s="8">
        <f t="shared" si="22"/>
        <v>0</v>
      </c>
      <c r="AM320" s="8">
        <f t="shared" si="23"/>
        <v>0</v>
      </c>
    </row>
    <row r="321" spans="1:39">
      <c r="A321" s="13" t="s">
        <v>928</v>
      </c>
      <c r="B321" s="13"/>
      <c r="C321" s="13" t="s">
        <v>64</v>
      </c>
      <c r="D321" s="13"/>
      <c r="E321" s="32">
        <v>50229</v>
      </c>
      <c r="G321" s="8">
        <v>1101984</v>
      </c>
      <c r="I321" s="8">
        <v>0</v>
      </c>
      <c r="K321" s="8">
        <f>30751+4003603</f>
        <v>4034354</v>
      </c>
      <c r="M321" s="8">
        <v>6337</v>
      </c>
      <c r="O321" s="8">
        <v>908614</v>
      </c>
      <c r="Q321" s="8">
        <v>0</v>
      </c>
      <c r="S321" s="8">
        <v>0</v>
      </c>
      <c r="U321" s="8">
        <v>0</v>
      </c>
      <c r="W321" s="8">
        <v>19733</v>
      </c>
      <c r="Y321" s="3">
        <f t="shared" si="21"/>
        <v>6071022</v>
      </c>
      <c r="AA321" s="8">
        <v>12778</v>
      </c>
      <c r="AE321" s="8">
        <v>0</v>
      </c>
      <c r="AG321" s="8">
        <v>0</v>
      </c>
      <c r="AI321" s="8">
        <v>0</v>
      </c>
      <c r="AK321" s="8">
        <f t="shared" si="22"/>
        <v>12778</v>
      </c>
      <c r="AM321" s="8">
        <f t="shared" si="23"/>
        <v>6083800</v>
      </c>
    </row>
    <row r="322" spans="1:39">
      <c r="A322" s="13" t="s">
        <v>260</v>
      </c>
      <c r="B322" s="13"/>
      <c r="C322" s="13" t="s">
        <v>259</v>
      </c>
      <c r="D322" s="13"/>
      <c r="E322" s="32">
        <v>45484</v>
      </c>
      <c r="F322" s="11"/>
      <c r="G322" s="8">
        <v>3031520</v>
      </c>
      <c r="I322" s="8">
        <v>0</v>
      </c>
      <c r="K322" s="8">
        <v>4716897</v>
      </c>
      <c r="M322" s="8">
        <v>75728</v>
      </c>
      <c r="O322" s="8">
        <v>393304</v>
      </c>
      <c r="Q322" s="8">
        <v>0</v>
      </c>
      <c r="S322" s="8">
        <v>0</v>
      </c>
      <c r="U322" s="8">
        <v>0</v>
      </c>
      <c r="W322" s="8">
        <v>26685</v>
      </c>
      <c r="Y322" s="3">
        <f t="shared" si="21"/>
        <v>8244134</v>
      </c>
      <c r="AA322" s="8">
        <v>13120</v>
      </c>
      <c r="AE322" s="8">
        <v>0</v>
      </c>
      <c r="AG322" s="8">
        <v>140150</v>
      </c>
      <c r="AI322" s="8">
        <v>0</v>
      </c>
      <c r="AK322" s="8">
        <f t="shared" si="22"/>
        <v>153270</v>
      </c>
      <c r="AM322" s="8">
        <f t="shared" si="23"/>
        <v>8397404</v>
      </c>
    </row>
    <row r="323" spans="1:39">
      <c r="A323" s="13" t="s">
        <v>535</v>
      </c>
      <c r="B323" s="13"/>
      <c r="C323" s="13" t="s">
        <v>47</v>
      </c>
      <c r="D323" s="13"/>
      <c r="E323" s="32">
        <v>44388</v>
      </c>
      <c r="G323" s="8">
        <v>39805848</v>
      </c>
      <c r="I323" s="8">
        <v>0</v>
      </c>
      <c r="K323" s="8">
        <v>25234218</v>
      </c>
      <c r="M323" s="8">
        <v>1378066</v>
      </c>
      <c r="O323" s="8">
        <v>490218</v>
      </c>
      <c r="Q323" s="8">
        <v>169228</v>
      </c>
      <c r="S323" s="8">
        <v>0</v>
      </c>
      <c r="U323" s="8">
        <v>0</v>
      </c>
      <c r="W323" s="8">
        <f>270088+592398+53201</f>
        <v>915687</v>
      </c>
      <c r="Y323" s="3">
        <f t="shared" si="21"/>
        <v>67993265</v>
      </c>
      <c r="AA323" s="8">
        <v>0</v>
      </c>
      <c r="AE323" s="8">
        <v>0</v>
      </c>
      <c r="AG323" s="8">
        <v>0</v>
      </c>
      <c r="AI323" s="8">
        <v>0</v>
      </c>
      <c r="AK323" s="8">
        <f t="shared" si="22"/>
        <v>0</v>
      </c>
      <c r="AM323" s="8">
        <f t="shared" si="23"/>
        <v>67993265</v>
      </c>
    </row>
    <row r="324" spans="1:39">
      <c r="A324" s="13" t="s">
        <v>538</v>
      </c>
      <c r="B324" s="13"/>
      <c r="C324" s="13" t="s">
        <v>537</v>
      </c>
      <c r="D324" s="13"/>
      <c r="E324" s="32">
        <v>48520</v>
      </c>
      <c r="G324" s="8">
        <v>1803368</v>
      </c>
      <c r="I324" s="8">
        <v>0</v>
      </c>
      <c r="K324" s="8">
        <v>13261018</v>
      </c>
      <c r="M324" s="8">
        <v>101060</v>
      </c>
      <c r="O324" s="8">
        <v>548433</v>
      </c>
      <c r="Q324" s="8">
        <v>0</v>
      </c>
      <c r="S324" s="8">
        <v>0</v>
      </c>
      <c r="U324" s="8">
        <v>5666</v>
      </c>
      <c r="W324" s="8">
        <f>5982+4200</f>
        <v>10182</v>
      </c>
      <c r="Y324" s="3">
        <f t="shared" si="21"/>
        <v>15729727</v>
      </c>
      <c r="AA324" s="8">
        <v>0</v>
      </c>
      <c r="AE324" s="8">
        <v>0</v>
      </c>
      <c r="AG324" s="8">
        <v>5239</v>
      </c>
      <c r="AI324" s="8">
        <v>0</v>
      </c>
      <c r="AK324" s="8">
        <f t="shared" si="22"/>
        <v>5239</v>
      </c>
      <c r="AM324" s="8">
        <f t="shared" si="23"/>
        <v>15734966</v>
      </c>
    </row>
    <row r="325" spans="1:39">
      <c r="A325" s="13" t="s">
        <v>465</v>
      </c>
      <c r="B325" s="13"/>
      <c r="C325" s="13" t="s">
        <v>41</v>
      </c>
      <c r="D325" s="13"/>
      <c r="E325" s="32">
        <v>45492</v>
      </c>
      <c r="G325" s="8">
        <v>64542771</v>
      </c>
      <c r="I325" s="8">
        <v>0</v>
      </c>
      <c r="K325" s="8">
        <v>30642946</v>
      </c>
      <c r="M325" s="8">
        <v>2070103</v>
      </c>
      <c r="O325" s="8">
        <v>1491165</v>
      </c>
      <c r="Q325" s="8">
        <v>345147</v>
      </c>
      <c r="S325" s="8">
        <v>0</v>
      </c>
      <c r="U325" s="8">
        <v>0</v>
      </c>
      <c r="W325" s="8">
        <v>773564</v>
      </c>
      <c r="Y325" s="3">
        <f t="shared" si="21"/>
        <v>99865696</v>
      </c>
      <c r="AA325" s="8">
        <v>0</v>
      </c>
      <c r="AE325" s="8">
        <v>0</v>
      </c>
      <c r="AG325" s="8">
        <v>0</v>
      </c>
      <c r="AI325" s="8">
        <v>0</v>
      </c>
      <c r="AK325" s="8">
        <f t="shared" si="22"/>
        <v>0</v>
      </c>
      <c r="AM325" s="8">
        <f t="shared" si="23"/>
        <v>99865696</v>
      </c>
    </row>
    <row r="326" spans="1:39">
      <c r="A326" s="13" t="s">
        <v>545</v>
      </c>
      <c r="B326" s="13"/>
      <c r="C326" s="13" t="s">
        <v>48</v>
      </c>
      <c r="D326" s="13"/>
      <c r="E326" s="32">
        <v>48629</v>
      </c>
      <c r="G326" s="8">
        <v>2977261</v>
      </c>
      <c r="I326" s="8">
        <v>1890043</v>
      </c>
      <c r="K326" s="8">
        <v>5395796</v>
      </c>
      <c r="M326" s="8">
        <v>52355</v>
      </c>
      <c r="O326" s="8">
        <v>510692</v>
      </c>
      <c r="Q326" s="8">
        <v>2398</v>
      </c>
      <c r="S326" s="8">
        <v>0</v>
      </c>
      <c r="U326" s="8">
        <v>2817</v>
      </c>
      <c r="W326" s="8">
        <f>19062+3092+4942</f>
        <v>27096</v>
      </c>
      <c r="Y326" s="3">
        <f t="shared" si="21"/>
        <v>10858458</v>
      </c>
      <c r="AA326" s="8">
        <v>0</v>
      </c>
      <c r="AE326" s="8">
        <v>0</v>
      </c>
      <c r="AG326" s="8">
        <v>0</v>
      </c>
      <c r="AI326" s="8">
        <v>0</v>
      </c>
      <c r="AK326" s="8">
        <f t="shared" si="22"/>
        <v>0</v>
      </c>
      <c r="AM326" s="8">
        <f t="shared" si="23"/>
        <v>10858458</v>
      </c>
    </row>
    <row r="327" spans="1:39">
      <c r="A327" s="13" t="s">
        <v>354</v>
      </c>
      <c r="B327" s="13"/>
      <c r="C327" s="13" t="s">
        <v>26</v>
      </c>
      <c r="D327" s="13"/>
      <c r="E327" s="32">
        <v>46920</v>
      </c>
      <c r="G327" s="8">
        <v>9243434</v>
      </c>
      <c r="I327" s="8">
        <v>0</v>
      </c>
      <c r="K327" s="8">
        <v>11689806</v>
      </c>
      <c r="M327" s="8">
        <v>293618</v>
      </c>
      <c r="O327" s="8">
        <v>1102349</v>
      </c>
      <c r="Q327" s="8">
        <v>6725</v>
      </c>
      <c r="S327" s="8">
        <v>0</v>
      </c>
      <c r="U327" s="8">
        <v>0</v>
      </c>
      <c r="W327" s="8">
        <v>574170</v>
      </c>
      <c r="Y327" s="3">
        <f t="shared" si="21"/>
        <v>22910102</v>
      </c>
      <c r="AA327" s="8">
        <v>0</v>
      </c>
      <c r="AE327" s="8">
        <v>0</v>
      </c>
      <c r="AG327" s="8">
        <v>1430262</v>
      </c>
      <c r="AI327" s="8">
        <v>0</v>
      </c>
      <c r="AK327" s="8">
        <f t="shared" si="22"/>
        <v>1430262</v>
      </c>
      <c r="AM327" s="8">
        <f t="shared" si="23"/>
        <v>24340364</v>
      </c>
    </row>
    <row r="328" spans="1:39">
      <c r="A328" s="13" t="s">
        <v>559</v>
      </c>
      <c r="B328" s="13"/>
      <c r="C328" s="13" t="s">
        <v>50</v>
      </c>
      <c r="D328" s="13"/>
      <c r="E328" s="32">
        <v>44396</v>
      </c>
      <c r="G328" s="8">
        <v>24722389</v>
      </c>
      <c r="I328" s="8">
        <v>0</v>
      </c>
      <c r="K328" s="8">
        <v>15241291</v>
      </c>
      <c r="M328" s="8">
        <v>701174</v>
      </c>
      <c r="O328" s="8">
        <v>241532</v>
      </c>
      <c r="Q328" s="8">
        <v>0</v>
      </c>
      <c r="S328" s="8">
        <v>0</v>
      </c>
      <c r="U328" s="8">
        <v>0</v>
      </c>
      <c r="W328" s="8">
        <v>356739</v>
      </c>
      <c r="Y328" s="3">
        <f t="shared" si="21"/>
        <v>41263125</v>
      </c>
      <c r="AA328" s="8">
        <v>0</v>
      </c>
      <c r="AE328" s="8">
        <v>0</v>
      </c>
      <c r="AG328" s="8">
        <v>132613</v>
      </c>
      <c r="AI328" s="8">
        <v>0</v>
      </c>
      <c r="AK328" s="8">
        <f t="shared" si="22"/>
        <v>132613</v>
      </c>
      <c r="AM328" s="8">
        <f t="shared" si="23"/>
        <v>41395738</v>
      </c>
    </row>
    <row r="329" spans="1:39">
      <c r="A329" s="13" t="s">
        <v>251</v>
      </c>
      <c r="B329" s="13"/>
      <c r="C329" s="13" t="s">
        <v>246</v>
      </c>
      <c r="D329" s="13"/>
      <c r="E329" s="32">
        <v>44404</v>
      </c>
      <c r="F329" s="11"/>
      <c r="G329" s="8">
        <v>18819645</v>
      </c>
      <c r="I329" s="8">
        <v>0</v>
      </c>
      <c r="K329" s="8">
        <v>23003034</v>
      </c>
      <c r="M329" s="8">
        <v>396722</v>
      </c>
      <c r="O329" s="8">
        <v>919770</v>
      </c>
      <c r="Q329" s="8">
        <v>57900</v>
      </c>
      <c r="S329" s="8">
        <v>0</v>
      </c>
      <c r="U329" s="8">
        <v>0</v>
      </c>
      <c r="W329" s="8">
        <v>113548</v>
      </c>
      <c r="Y329" s="3">
        <f t="shared" si="21"/>
        <v>43310619</v>
      </c>
      <c r="AA329" s="8">
        <v>0</v>
      </c>
      <c r="AE329" s="8">
        <v>0</v>
      </c>
      <c r="AG329" s="8">
        <f>33602+677662</f>
        <v>711264</v>
      </c>
      <c r="AI329" s="8">
        <v>0</v>
      </c>
      <c r="AK329" s="8">
        <f t="shared" si="22"/>
        <v>711264</v>
      </c>
      <c r="AM329" s="8">
        <f t="shared" si="23"/>
        <v>44021883</v>
      </c>
    </row>
    <row r="330" spans="1:39">
      <c r="A330" s="13" t="s">
        <v>497</v>
      </c>
      <c r="B330" s="13"/>
      <c r="C330" s="13" t="s">
        <v>44</v>
      </c>
      <c r="D330" s="13"/>
      <c r="E330" s="32">
        <v>48173</v>
      </c>
      <c r="G330" s="8">
        <v>9895068</v>
      </c>
      <c r="I330" s="8">
        <v>0</v>
      </c>
      <c r="K330" s="8">
        <v>14606234</v>
      </c>
      <c r="M330" s="8">
        <v>310871</v>
      </c>
      <c r="O330" s="8">
        <v>0</v>
      </c>
      <c r="Q330" s="8">
        <v>88968</v>
      </c>
      <c r="S330" s="8">
        <v>0</v>
      </c>
      <c r="U330" s="8">
        <v>0</v>
      </c>
      <c r="W330" s="8">
        <f>164242+32845</f>
        <v>197087</v>
      </c>
      <c r="Y330" s="3">
        <f t="shared" si="21"/>
        <v>25098228</v>
      </c>
      <c r="AA330" s="8">
        <v>0</v>
      </c>
      <c r="AE330" s="8">
        <v>0</v>
      </c>
      <c r="AG330" s="8">
        <v>34180</v>
      </c>
      <c r="AI330" s="8">
        <v>0</v>
      </c>
      <c r="AK330" s="8">
        <f t="shared" si="22"/>
        <v>34180</v>
      </c>
      <c r="AM330" s="8">
        <f t="shared" si="23"/>
        <v>25132408</v>
      </c>
    </row>
    <row r="331" spans="1:39">
      <c r="A331" s="13" t="s">
        <v>274</v>
      </c>
      <c r="B331" s="13"/>
      <c r="C331" s="13" t="s">
        <v>116</v>
      </c>
      <c r="D331" s="13"/>
      <c r="E331" s="32">
        <v>45500</v>
      </c>
      <c r="F331" s="11"/>
      <c r="G331" s="8">
        <v>28734044</v>
      </c>
      <c r="I331" s="8">
        <v>0</v>
      </c>
      <c r="K331" s="8">
        <v>22375587</v>
      </c>
      <c r="M331" s="8">
        <v>256750</v>
      </c>
      <c r="O331" s="8">
        <v>177847</v>
      </c>
      <c r="Q331" s="8">
        <v>76908</v>
      </c>
      <c r="S331" s="8">
        <v>644694</v>
      </c>
      <c r="U331" s="8">
        <v>18500</v>
      </c>
      <c r="W331" s="8">
        <f>367192+81057+37405</f>
        <v>485654</v>
      </c>
      <c r="Y331" s="3">
        <f t="shared" si="21"/>
        <v>52769984</v>
      </c>
      <c r="AA331" s="8">
        <v>0</v>
      </c>
      <c r="AE331" s="8">
        <v>0</v>
      </c>
      <c r="AG331" s="8">
        <v>18420</v>
      </c>
      <c r="AI331" s="8">
        <v>0</v>
      </c>
      <c r="AK331" s="8">
        <f t="shared" si="22"/>
        <v>18420</v>
      </c>
      <c r="AM331" s="8">
        <f t="shared" si="23"/>
        <v>52788404</v>
      </c>
    </row>
    <row r="332" spans="1:39" hidden="1">
      <c r="A332" s="13" t="s">
        <v>736</v>
      </c>
      <c r="B332" s="13"/>
      <c r="C332" s="13" t="s">
        <v>733</v>
      </c>
      <c r="D332" s="13"/>
      <c r="E332" s="32">
        <v>50633</v>
      </c>
      <c r="S332" s="8">
        <v>0</v>
      </c>
      <c r="U332" s="8">
        <v>0</v>
      </c>
      <c r="W332" s="8">
        <v>0</v>
      </c>
      <c r="Y332" s="3">
        <f t="shared" si="21"/>
        <v>0</v>
      </c>
      <c r="AA332" s="8">
        <v>0</v>
      </c>
      <c r="AE332" s="8">
        <v>0</v>
      </c>
      <c r="AG332" s="8">
        <v>0</v>
      </c>
      <c r="AI332" s="8">
        <v>0</v>
      </c>
      <c r="AK332" s="8">
        <f t="shared" si="22"/>
        <v>0</v>
      </c>
      <c r="AM332" s="8">
        <f t="shared" si="23"/>
        <v>0</v>
      </c>
    </row>
    <row r="333" spans="1:39" hidden="1">
      <c r="A333" s="13" t="s">
        <v>610</v>
      </c>
      <c r="B333" s="13"/>
      <c r="C333" s="13" t="s">
        <v>608</v>
      </c>
      <c r="D333" s="13"/>
      <c r="E333" s="32">
        <v>49361</v>
      </c>
      <c r="S333" s="8">
        <v>0</v>
      </c>
      <c r="U333" s="8">
        <v>0</v>
      </c>
      <c r="W333" s="8">
        <v>0</v>
      </c>
      <c r="Y333" s="3">
        <f t="shared" si="21"/>
        <v>0</v>
      </c>
      <c r="AA333" s="8">
        <v>0</v>
      </c>
      <c r="AE333" s="8">
        <v>0</v>
      </c>
      <c r="AG333" s="8">
        <v>0</v>
      </c>
      <c r="AI333" s="8">
        <v>0</v>
      </c>
      <c r="AK333" s="8">
        <f t="shared" si="22"/>
        <v>0</v>
      </c>
      <c r="AM333" s="8">
        <f t="shared" si="23"/>
        <v>0</v>
      </c>
    </row>
    <row r="334" spans="1:39">
      <c r="A334" s="13" t="s">
        <v>546</v>
      </c>
      <c r="B334" s="13"/>
      <c r="C334" s="13" t="s">
        <v>48</v>
      </c>
      <c r="D334" s="13"/>
      <c r="E334" s="32">
        <v>45518</v>
      </c>
      <c r="G334" s="8">
        <v>5025527</v>
      </c>
      <c r="I334" s="8">
        <v>0</v>
      </c>
      <c r="K334" s="8">
        <f>6243+7245799</f>
        <v>7252042</v>
      </c>
      <c r="M334" s="8">
        <v>254304</v>
      </c>
      <c r="O334" s="8">
        <v>701925</v>
      </c>
      <c r="Q334" s="8">
        <v>2692</v>
      </c>
      <c r="S334" s="8">
        <v>0</v>
      </c>
      <c r="U334" s="8">
        <v>0</v>
      </c>
      <c r="W334" s="8">
        <v>5709</v>
      </c>
      <c r="Y334" s="3">
        <f t="shared" si="21"/>
        <v>13242199</v>
      </c>
      <c r="AA334" s="8">
        <v>0</v>
      </c>
      <c r="AE334" s="8">
        <v>0</v>
      </c>
      <c r="AG334" s="8">
        <v>12353</v>
      </c>
      <c r="AI334" s="8">
        <v>0</v>
      </c>
      <c r="AK334" s="8">
        <f t="shared" si="22"/>
        <v>12353</v>
      </c>
      <c r="AM334" s="8">
        <f t="shared" si="23"/>
        <v>13254552</v>
      </c>
    </row>
    <row r="335" spans="1:39">
      <c r="A335" s="13" t="s">
        <v>662</v>
      </c>
      <c r="B335" s="13"/>
      <c r="C335" s="13" t="s">
        <v>62</v>
      </c>
      <c r="D335" s="13"/>
      <c r="E335" s="32">
        <v>49890</v>
      </c>
      <c r="G335" s="8">
        <v>5677449</v>
      </c>
      <c r="I335" s="8">
        <v>0</v>
      </c>
      <c r="K335" s="8">
        <v>10011258</v>
      </c>
      <c r="M335" s="8">
        <v>38604</v>
      </c>
      <c r="O335" s="8">
        <v>780042</v>
      </c>
      <c r="Q335" s="8">
        <v>0</v>
      </c>
      <c r="S335" s="8">
        <v>0</v>
      </c>
      <c r="U335" s="8">
        <v>750</v>
      </c>
      <c r="W335" s="8">
        <f>31087+25354</f>
        <v>56441</v>
      </c>
      <c r="Y335" s="3">
        <f t="shared" si="21"/>
        <v>16564544</v>
      </c>
      <c r="AA335" s="8">
        <v>0</v>
      </c>
      <c r="AE335" s="8">
        <v>0</v>
      </c>
      <c r="AG335" s="8">
        <v>0</v>
      </c>
      <c r="AI335" s="8">
        <v>0</v>
      </c>
      <c r="AK335" s="8">
        <f t="shared" si="22"/>
        <v>0</v>
      </c>
      <c r="AM335" s="8">
        <f t="shared" si="23"/>
        <v>16564544</v>
      </c>
    </row>
    <row r="336" spans="1:39">
      <c r="A336" s="13" t="s">
        <v>634</v>
      </c>
      <c r="B336" s="13"/>
      <c r="C336" s="13" t="s">
        <v>59</v>
      </c>
      <c r="D336" s="13"/>
      <c r="E336" s="32">
        <v>49627</v>
      </c>
      <c r="G336" s="8">
        <v>1542804</v>
      </c>
      <c r="I336" s="8">
        <v>0</v>
      </c>
      <c r="K336" s="8">
        <v>9277433</v>
      </c>
      <c r="M336" s="8">
        <v>24831</v>
      </c>
      <c r="O336" s="8">
        <v>1649540</v>
      </c>
      <c r="Q336" s="8">
        <v>174298</v>
      </c>
      <c r="S336" s="8">
        <v>0</v>
      </c>
      <c r="U336" s="8">
        <v>20208</v>
      </c>
      <c r="W336" s="8">
        <f>99898+3602</f>
        <v>103500</v>
      </c>
      <c r="Y336" s="3">
        <f t="shared" si="21"/>
        <v>12792614</v>
      </c>
      <c r="AA336" s="8">
        <v>0</v>
      </c>
      <c r="AE336" s="8">
        <v>0</v>
      </c>
      <c r="AG336" s="8">
        <v>34720</v>
      </c>
      <c r="AI336" s="8">
        <v>0</v>
      </c>
      <c r="AK336" s="8">
        <f t="shared" si="22"/>
        <v>34720</v>
      </c>
      <c r="AM336" s="8">
        <f t="shared" si="23"/>
        <v>12827334</v>
      </c>
    </row>
    <row r="337" spans="1:39">
      <c r="A337" s="13"/>
      <c r="B337" s="13"/>
      <c r="C337" s="13"/>
      <c r="D337" s="13"/>
      <c r="E337" s="32"/>
      <c r="Y337" s="3"/>
    </row>
    <row r="338" spans="1:39">
      <c r="A338" s="13"/>
      <c r="B338" s="13"/>
      <c r="C338" s="13"/>
      <c r="D338" s="13"/>
      <c r="E338" s="32"/>
      <c r="Y338" s="3"/>
      <c r="AM338" s="8" t="s">
        <v>819</v>
      </c>
    </row>
    <row r="339" spans="1:39" s="35" customFormat="1">
      <c r="A339" s="34" t="s">
        <v>229</v>
      </c>
      <c r="B339" s="34"/>
      <c r="C339" s="34" t="s">
        <v>14</v>
      </c>
      <c r="D339" s="34"/>
      <c r="E339" s="34">
        <v>45948</v>
      </c>
      <c r="F339" s="48"/>
      <c r="G339" s="35">
        <v>3799097</v>
      </c>
      <c r="I339" s="35">
        <v>675932</v>
      </c>
      <c r="K339" s="35">
        <v>3311012</v>
      </c>
      <c r="M339" s="35">
        <v>58112</v>
      </c>
      <c r="O339" s="35">
        <v>89609</v>
      </c>
      <c r="Q339" s="35">
        <v>0</v>
      </c>
      <c r="S339" s="35">
        <v>0</v>
      </c>
      <c r="U339" s="35">
        <v>13298</v>
      </c>
      <c r="W339" s="35">
        <v>116244</v>
      </c>
      <c r="Y339" s="42">
        <f t="shared" si="21"/>
        <v>8063304</v>
      </c>
      <c r="AA339" s="35">
        <v>0</v>
      </c>
      <c r="AE339" s="35">
        <v>0</v>
      </c>
      <c r="AG339" s="35">
        <v>0</v>
      </c>
      <c r="AI339" s="35">
        <v>0</v>
      </c>
      <c r="AK339" s="35">
        <f t="shared" si="22"/>
        <v>0</v>
      </c>
      <c r="AM339" s="35">
        <f t="shared" si="23"/>
        <v>8063304</v>
      </c>
    </row>
    <row r="340" spans="1:39" hidden="1">
      <c r="A340" s="13" t="s">
        <v>332</v>
      </c>
      <c r="B340" s="13"/>
      <c r="C340" s="13" t="s">
        <v>21</v>
      </c>
      <c r="D340" s="13"/>
      <c r="E340" s="32">
        <v>46672</v>
      </c>
      <c r="S340" s="8">
        <v>0</v>
      </c>
      <c r="U340" s="8">
        <v>0</v>
      </c>
      <c r="W340" s="8">
        <v>0</v>
      </c>
      <c r="Y340" s="3">
        <f t="shared" si="21"/>
        <v>0</v>
      </c>
      <c r="AA340" s="8">
        <v>0</v>
      </c>
      <c r="AE340" s="8">
        <v>0</v>
      </c>
      <c r="AG340" s="8">
        <v>0</v>
      </c>
      <c r="AI340" s="8">
        <v>0</v>
      </c>
      <c r="AK340" s="8">
        <f t="shared" si="22"/>
        <v>0</v>
      </c>
      <c r="AM340" s="8">
        <f t="shared" si="23"/>
        <v>0</v>
      </c>
    </row>
    <row r="341" spans="1:39">
      <c r="A341" s="13" t="s">
        <v>672</v>
      </c>
      <c r="B341" s="13"/>
      <c r="C341" s="13" t="s">
        <v>63</v>
      </c>
      <c r="D341" s="13"/>
      <c r="E341" s="32">
        <v>50039</v>
      </c>
      <c r="G341" s="8">
        <v>2806710</v>
      </c>
      <c r="I341" s="8">
        <v>0</v>
      </c>
      <c r="K341" s="8">
        <v>3407393</v>
      </c>
      <c r="M341" s="8">
        <v>343992</v>
      </c>
      <c r="O341" s="8">
        <v>967580</v>
      </c>
      <c r="Q341" s="8">
        <v>0</v>
      </c>
      <c r="S341" s="8">
        <v>0</v>
      </c>
      <c r="U341" s="8">
        <v>19225</v>
      </c>
      <c r="W341" s="8">
        <v>92065</v>
      </c>
      <c r="Y341" s="3">
        <f t="shared" si="21"/>
        <v>7636965</v>
      </c>
      <c r="AA341" s="8">
        <v>0</v>
      </c>
      <c r="AE341" s="8">
        <v>0</v>
      </c>
      <c r="AG341" s="8">
        <f>12911+10158</f>
        <v>23069</v>
      </c>
      <c r="AI341" s="8">
        <v>0</v>
      </c>
      <c r="AK341" s="8">
        <f t="shared" si="22"/>
        <v>23069</v>
      </c>
      <c r="AM341" s="8">
        <f t="shared" si="23"/>
        <v>7660034</v>
      </c>
    </row>
    <row r="342" spans="1:39" hidden="1">
      <c r="A342" s="13" t="s">
        <v>748</v>
      </c>
      <c r="B342" s="13"/>
      <c r="C342" s="13" t="s">
        <v>747</v>
      </c>
      <c r="D342" s="13"/>
      <c r="E342" s="32">
        <v>50740</v>
      </c>
      <c r="S342" s="8">
        <v>0</v>
      </c>
      <c r="U342" s="8">
        <v>0</v>
      </c>
      <c r="W342" s="8">
        <v>0</v>
      </c>
      <c r="Y342" s="3">
        <f t="shared" si="21"/>
        <v>0</v>
      </c>
      <c r="AA342" s="8">
        <v>0</v>
      </c>
      <c r="AE342" s="8">
        <v>0</v>
      </c>
      <c r="AG342" s="8">
        <v>0</v>
      </c>
      <c r="AI342" s="8">
        <v>0</v>
      </c>
      <c r="AK342" s="8">
        <f t="shared" ref="AK342:AK362" si="24">SUM(AA342:AJ342)</f>
        <v>0</v>
      </c>
      <c r="AM342" s="8">
        <f t="shared" si="23"/>
        <v>0</v>
      </c>
    </row>
    <row r="343" spans="1:39">
      <c r="A343" s="13" t="s">
        <v>252</v>
      </c>
      <c r="B343" s="13"/>
      <c r="C343" s="13" t="s">
        <v>246</v>
      </c>
      <c r="D343" s="13"/>
      <c r="E343" s="32">
        <v>139303</v>
      </c>
      <c r="F343" s="11"/>
      <c r="G343" s="8">
        <v>5420886</v>
      </c>
      <c r="I343" s="8">
        <v>0</v>
      </c>
      <c r="K343" s="8">
        <v>5250897</v>
      </c>
      <c r="M343" s="8">
        <v>113977</v>
      </c>
      <c r="O343" s="8">
        <v>1054661</v>
      </c>
      <c r="Q343" s="8">
        <v>0</v>
      </c>
      <c r="S343" s="8">
        <v>384064</v>
      </c>
      <c r="U343" s="8">
        <v>6045</v>
      </c>
      <c r="W343" s="8">
        <f>3582+11112+5596</f>
        <v>20290</v>
      </c>
      <c r="Y343" s="3">
        <f t="shared" si="21"/>
        <v>12250820</v>
      </c>
      <c r="AA343" s="8">
        <v>0</v>
      </c>
      <c r="AE343" s="8">
        <v>0</v>
      </c>
      <c r="AG343" s="8">
        <v>0</v>
      </c>
      <c r="AI343" s="8">
        <v>0</v>
      </c>
      <c r="AK343" s="8">
        <f t="shared" si="24"/>
        <v>0</v>
      </c>
      <c r="AM343" s="8">
        <f t="shared" si="23"/>
        <v>12250820</v>
      </c>
    </row>
    <row r="344" spans="1:39">
      <c r="A344" s="13" t="s">
        <v>449</v>
      </c>
      <c r="B344" s="13"/>
      <c r="C344" s="13" t="s">
        <v>37</v>
      </c>
      <c r="D344" s="13"/>
      <c r="E344" s="32">
        <v>47712</v>
      </c>
      <c r="G344" s="8">
        <v>2490056</v>
      </c>
      <c r="I344" s="8">
        <v>0</v>
      </c>
      <c r="K344" s="8">
        <v>2795296</v>
      </c>
      <c r="M344" s="8">
        <v>98333</v>
      </c>
      <c r="O344" s="8">
        <v>256022</v>
      </c>
      <c r="Q344" s="8">
        <v>0</v>
      </c>
      <c r="S344" s="8">
        <v>0</v>
      </c>
      <c r="U344" s="8">
        <v>0</v>
      </c>
      <c r="W344" s="8">
        <f>21538+35222+254</f>
        <v>57014</v>
      </c>
      <c r="Y344" s="3">
        <f t="shared" si="21"/>
        <v>5696721</v>
      </c>
      <c r="AA344" s="8">
        <v>0</v>
      </c>
      <c r="AE344" s="8">
        <v>0</v>
      </c>
      <c r="AG344" s="8">
        <f>1130+129596</f>
        <v>130726</v>
      </c>
      <c r="AI344" s="8">
        <v>0</v>
      </c>
      <c r="AK344" s="8">
        <f t="shared" si="24"/>
        <v>130726</v>
      </c>
      <c r="AM344" s="8">
        <f t="shared" ref="AM344:AM362" si="25">+AK344+Y344</f>
        <v>5827447</v>
      </c>
    </row>
    <row r="345" spans="1:39">
      <c r="A345" s="13" t="s">
        <v>737</v>
      </c>
      <c r="B345" s="13"/>
      <c r="C345" s="13" t="s">
        <v>733</v>
      </c>
      <c r="D345" s="13"/>
      <c r="E345" s="32">
        <v>45526</v>
      </c>
      <c r="G345" s="8">
        <v>2042215</v>
      </c>
      <c r="I345" s="8">
        <v>707148</v>
      </c>
      <c r="K345" s="8">
        <v>5566151</v>
      </c>
      <c r="M345" s="8">
        <v>127127</v>
      </c>
      <c r="O345" s="8">
        <v>460026</v>
      </c>
      <c r="Q345" s="8">
        <v>240</v>
      </c>
      <c r="S345" s="8">
        <v>0</v>
      </c>
      <c r="U345" s="8">
        <v>19360</v>
      </c>
      <c r="W345" s="8">
        <f>14281+138536+64627</f>
        <v>217444</v>
      </c>
      <c r="Y345" s="3">
        <f t="shared" si="21"/>
        <v>9139711</v>
      </c>
      <c r="AA345" s="8">
        <v>0</v>
      </c>
      <c r="AE345" s="8">
        <v>0</v>
      </c>
      <c r="AG345" s="8">
        <f>325+11742</f>
        <v>12067</v>
      </c>
      <c r="AI345" s="8">
        <v>0</v>
      </c>
      <c r="AK345" s="8">
        <f t="shared" si="24"/>
        <v>12067</v>
      </c>
      <c r="AM345" s="8">
        <f t="shared" si="25"/>
        <v>9151778</v>
      </c>
    </row>
    <row r="346" spans="1:39">
      <c r="A346" s="13" t="s">
        <v>566</v>
      </c>
      <c r="B346" s="13"/>
      <c r="C346" s="13" t="s">
        <v>567</v>
      </c>
      <c r="D346" s="13"/>
      <c r="E346" s="32">
        <v>48777</v>
      </c>
      <c r="G346" s="8">
        <v>3633233</v>
      </c>
      <c r="I346" s="8">
        <v>0</v>
      </c>
      <c r="K346" s="8">
        <v>14154521</v>
      </c>
      <c r="M346" s="8">
        <v>335465</v>
      </c>
      <c r="O346" s="8">
        <v>214856</v>
      </c>
      <c r="Q346" s="8">
        <v>0</v>
      </c>
      <c r="S346" s="8">
        <v>0</v>
      </c>
      <c r="U346" s="8">
        <v>0</v>
      </c>
      <c r="W346" s="8">
        <f>892+105847+44147</f>
        <v>150886</v>
      </c>
      <c r="Y346" s="3">
        <f t="shared" si="21"/>
        <v>18488961</v>
      </c>
      <c r="AA346" s="8">
        <v>0</v>
      </c>
      <c r="AE346" s="8">
        <v>0</v>
      </c>
      <c r="AG346" s="8">
        <v>9604</v>
      </c>
      <c r="AI346" s="8">
        <v>0</v>
      </c>
      <c r="AK346" s="8">
        <f t="shared" si="24"/>
        <v>9604</v>
      </c>
      <c r="AM346" s="8">
        <f t="shared" si="25"/>
        <v>18498565</v>
      </c>
    </row>
    <row r="347" spans="1:39">
      <c r="A347" s="13" t="s">
        <v>894</v>
      </c>
      <c r="B347" s="13"/>
      <c r="C347" s="13" t="s">
        <v>78</v>
      </c>
      <c r="D347" s="13"/>
      <c r="E347" s="32">
        <v>45534</v>
      </c>
      <c r="G347" s="8">
        <v>4357356</v>
      </c>
      <c r="I347" s="8">
        <v>0</v>
      </c>
      <c r="K347" s="8">
        <v>6233239</v>
      </c>
      <c r="M347" s="8">
        <v>174236</v>
      </c>
      <c r="O347" s="8">
        <v>837112</v>
      </c>
      <c r="Q347" s="8">
        <v>0</v>
      </c>
      <c r="S347" s="8">
        <v>0</v>
      </c>
      <c r="U347" s="8">
        <v>0</v>
      </c>
      <c r="W347" s="8">
        <f>317669+253311</f>
        <v>570980</v>
      </c>
      <c r="Y347" s="3">
        <f t="shared" si="21"/>
        <v>12172923</v>
      </c>
      <c r="AA347" s="8">
        <v>0</v>
      </c>
      <c r="AE347" s="8">
        <v>0</v>
      </c>
      <c r="AG347" s="8">
        <v>0</v>
      </c>
      <c r="AI347" s="8">
        <v>0</v>
      </c>
      <c r="AK347" s="8">
        <f t="shared" si="24"/>
        <v>0</v>
      </c>
      <c r="AM347" s="8">
        <f t="shared" si="25"/>
        <v>12172923</v>
      </c>
    </row>
    <row r="348" spans="1:39">
      <c r="A348" s="13" t="s">
        <v>462</v>
      </c>
      <c r="B348" s="13"/>
      <c r="C348" s="13" t="s">
        <v>40</v>
      </c>
      <c r="D348" s="13"/>
      <c r="E348" s="32">
        <v>44420</v>
      </c>
      <c r="G348" s="8">
        <v>10977233</v>
      </c>
      <c r="I348" s="8">
        <v>0</v>
      </c>
      <c r="K348" s="8">
        <v>16006375</v>
      </c>
      <c r="M348" s="8">
        <v>414751</v>
      </c>
      <c r="O348" s="8">
        <v>1188336</v>
      </c>
      <c r="Q348" s="8">
        <v>0</v>
      </c>
      <c r="S348" s="8">
        <v>566072</v>
      </c>
      <c r="U348" s="8">
        <v>0</v>
      </c>
      <c r="W348" s="8">
        <f>34386+5569</f>
        <v>39955</v>
      </c>
      <c r="Y348" s="3">
        <f t="shared" si="21"/>
        <v>29192722</v>
      </c>
      <c r="AA348" s="8">
        <v>0</v>
      </c>
      <c r="AE348" s="8">
        <v>0</v>
      </c>
      <c r="AG348" s="8">
        <v>40</v>
      </c>
      <c r="AI348" s="8">
        <v>0</v>
      </c>
      <c r="AK348" s="8">
        <f t="shared" si="24"/>
        <v>40</v>
      </c>
      <c r="AM348" s="8">
        <f t="shared" si="25"/>
        <v>29192762</v>
      </c>
    </row>
    <row r="349" spans="1:39">
      <c r="A349" s="13" t="s">
        <v>898</v>
      </c>
      <c r="B349" s="13"/>
      <c r="C349" s="13" t="s">
        <v>32</v>
      </c>
      <c r="D349" s="13"/>
      <c r="E349" s="32">
        <v>44412</v>
      </c>
      <c r="G349" s="8">
        <v>12096139</v>
      </c>
      <c r="I349" s="8">
        <v>0</v>
      </c>
      <c r="K349" s="8">
        <v>18927758</v>
      </c>
      <c r="M349" s="8">
        <v>196738</v>
      </c>
      <c r="O349" s="8">
        <v>545740</v>
      </c>
      <c r="Q349" s="8">
        <v>28483</v>
      </c>
      <c r="S349" s="8">
        <v>0</v>
      </c>
      <c r="U349" s="8">
        <v>0</v>
      </c>
      <c r="W349" s="8">
        <v>24004</v>
      </c>
      <c r="Y349" s="3">
        <f t="shared" si="21"/>
        <v>31818862</v>
      </c>
      <c r="AA349" s="8">
        <v>0</v>
      </c>
      <c r="AE349" s="8">
        <v>0</v>
      </c>
      <c r="AG349" s="8">
        <v>431787</v>
      </c>
      <c r="AI349" s="8">
        <v>0</v>
      </c>
      <c r="AK349" s="8">
        <f t="shared" si="24"/>
        <v>431787</v>
      </c>
      <c r="AM349" s="8">
        <f t="shared" si="25"/>
        <v>32250649</v>
      </c>
    </row>
    <row r="350" spans="1:39">
      <c r="A350" s="13" t="s">
        <v>437</v>
      </c>
      <c r="B350" s="13"/>
      <c r="C350" s="13" t="s">
        <v>34</v>
      </c>
      <c r="D350" s="13"/>
      <c r="E350" s="32">
        <v>44438</v>
      </c>
      <c r="G350" s="8">
        <v>8557922</v>
      </c>
      <c r="I350" s="8">
        <v>0</v>
      </c>
      <c r="K350" s="8">
        <v>10063149</v>
      </c>
      <c r="M350" s="8">
        <v>444641</v>
      </c>
      <c r="O350" s="8">
        <v>752546</v>
      </c>
      <c r="Q350" s="8">
        <v>0</v>
      </c>
      <c r="S350" s="8">
        <v>482182</v>
      </c>
      <c r="U350" s="8">
        <v>0</v>
      </c>
      <c r="W350" s="8">
        <f>3558+56936+21198</f>
        <v>81692</v>
      </c>
      <c r="Y350" s="3">
        <f t="shared" ref="Y350:Y362" si="26">SUM(G350:X350)</f>
        <v>20382132</v>
      </c>
      <c r="AA350" s="8">
        <v>28</v>
      </c>
      <c r="AE350" s="8">
        <v>385</v>
      </c>
      <c r="AG350" s="8">
        <v>0</v>
      </c>
      <c r="AI350" s="8">
        <v>0</v>
      </c>
      <c r="AK350" s="8">
        <f t="shared" si="24"/>
        <v>413</v>
      </c>
      <c r="AM350" s="8">
        <f t="shared" si="25"/>
        <v>20382545</v>
      </c>
    </row>
    <row r="351" spans="1:39">
      <c r="A351" s="13" t="s">
        <v>227</v>
      </c>
      <c r="B351" s="13"/>
      <c r="C351" s="13" t="s">
        <v>13</v>
      </c>
      <c r="D351" s="13"/>
      <c r="E351" s="32">
        <v>44446</v>
      </c>
      <c r="F351" s="11"/>
      <c r="G351" s="8">
        <v>1732977</v>
      </c>
      <c r="I351" s="8">
        <v>0</v>
      </c>
      <c r="K351" s="8">
        <v>7742639</v>
      </c>
      <c r="M351" s="8">
        <v>155210</v>
      </c>
      <c r="O351" s="8">
        <v>504365</v>
      </c>
      <c r="Q351" s="8">
        <v>0</v>
      </c>
      <c r="S351" s="8">
        <v>0</v>
      </c>
      <c r="U351" s="8">
        <v>245050</v>
      </c>
      <c r="W351" s="8">
        <v>10577</v>
      </c>
      <c r="Y351" s="3">
        <f t="shared" si="26"/>
        <v>10390818</v>
      </c>
      <c r="AA351" s="8">
        <v>0</v>
      </c>
      <c r="AE351" s="8">
        <v>1902</v>
      </c>
      <c r="AG351" s="8">
        <v>0</v>
      </c>
      <c r="AI351" s="8">
        <v>0</v>
      </c>
      <c r="AK351" s="8">
        <f t="shared" si="24"/>
        <v>1902</v>
      </c>
      <c r="AM351" s="8">
        <f t="shared" si="25"/>
        <v>10392720</v>
      </c>
    </row>
    <row r="352" spans="1:39">
      <c r="A352" s="13" t="s">
        <v>844</v>
      </c>
      <c r="B352" s="13"/>
      <c r="C352" s="13" t="s">
        <v>27</v>
      </c>
      <c r="D352" s="13"/>
      <c r="E352" s="32">
        <v>44461</v>
      </c>
      <c r="G352" s="8">
        <v>35151910</v>
      </c>
      <c r="I352" s="8">
        <v>0</v>
      </c>
      <c r="K352" s="8">
        <f>6451845+12807</f>
        <v>6464652</v>
      </c>
      <c r="M352" s="8">
        <v>795106</v>
      </c>
      <c r="O352" s="8">
        <v>198818</v>
      </c>
      <c r="Q352" s="8">
        <v>54815</v>
      </c>
      <c r="S352" s="8">
        <v>0</v>
      </c>
      <c r="U352" s="8">
        <v>0</v>
      </c>
      <c r="W352" s="8">
        <f>556385</f>
        <v>556385</v>
      </c>
      <c r="Y352" s="3">
        <f t="shared" si="26"/>
        <v>43221686</v>
      </c>
      <c r="AA352" s="8">
        <v>0</v>
      </c>
      <c r="AE352" s="8">
        <v>0</v>
      </c>
      <c r="AG352" s="8">
        <v>0</v>
      </c>
      <c r="AI352" s="8">
        <v>0</v>
      </c>
      <c r="AK352" s="8">
        <f t="shared" si="24"/>
        <v>0</v>
      </c>
      <c r="AM352" s="8">
        <f t="shared" si="25"/>
        <v>43221686</v>
      </c>
    </row>
    <row r="353" spans="1:39">
      <c r="A353" s="13" t="s">
        <v>635</v>
      </c>
      <c r="B353" s="13"/>
      <c r="C353" s="13" t="s">
        <v>59</v>
      </c>
      <c r="D353" s="13"/>
      <c r="E353" s="32">
        <v>44461</v>
      </c>
      <c r="G353" s="8">
        <v>1045562</v>
      </c>
      <c r="I353" s="8">
        <v>0</v>
      </c>
      <c r="K353" s="8">
        <v>1473804</v>
      </c>
      <c r="M353" s="8">
        <v>34528</v>
      </c>
      <c r="O353" s="8">
        <v>802899</v>
      </c>
      <c r="Q353" s="8">
        <v>0</v>
      </c>
      <c r="S353" s="8">
        <v>0</v>
      </c>
      <c r="U353" s="8">
        <v>11007</v>
      </c>
      <c r="W353" s="8">
        <v>153538</v>
      </c>
      <c r="Y353" s="3">
        <f t="shared" si="26"/>
        <v>3521338</v>
      </c>
      <c r="AA353" s="8">
        <v>0</v>
      </c>
      <c r="AE353" s="8">
        <v>0</v>
      </c>
      <c r="AG353" s="8">
        <v>0</v>
      </c>
      <c r="AI353" s="8">
        <v>0</v>
      </c>
      <c r="AK353" s="8">
        <f t="shared" si="24"/>
        <v>0</v>
      </c>
      <c r="AM353" s="8">
        <f t="shared" si="25"/>
        <v>3521338</v>
      </c>
    </row>
    <row r="354" spans="1:39">
      <c r="A354" s="13" t="s">
        <v>230</v>
      </c>
      <c r="B354" s="13"/>
      <c r="C354" s="13" t="s">
        <v>14</v>
      </c>
      <c r="D354" s="13"/>
      <c r="E354" s="32">
        <v>45955</v>
      </c>
      <c r="F354" s="11"/>
      <c r="G354" s="8">
        <v>2265290</v>
      </c>
      <c r="I354" s="8">
        <v>1623104</v>
      </c>
      <c r="K354" s="8">
        <v>4155594</v>
      </c>
      <c r="M354" s="8">
        <v>222354</v>
      </c>
      <c r="O354" s="8">
        <v>78418</v>
      </c>
      <c r="Q354" s="8">
        <v>0</v>
      </c>
      <c r="S354" s="8">
        <v>0</v>
      </c>
      <c r="U354" s="8">
        <v>36016</v>
      </c>
      <c r="W354" s="8">
        <f>813+19043</f>
        <v>19856</v>
      </c>
      <c r="Y354" s="3">
        <f t="shared" si="26"/>
        <v>8400632</v>
      </c>
      <c r="AA354" s="8">
        <v>0</v>
      </c>
      <c r="AE354" s="8">
        <v>0</v>
      </c>
      <c r="AG354" s="8">
        <v>0</v>
      </c>
      <c r="AI354" s="8">
        <v>0</v>
      </c>
      <c r="AK354" s="8">
        <f t="shared" si="24"/>
        <v>0</v>
      </c>
      <c r="AM354" s="8">
        <f t="shared" si="25"/>
        <v>8400632</v>
      </c>
    </row>
    <row r="355" spans="1:39" hidden="1">
      <c r="A355" s="13" t="s">
        <v>231</v>
      </c>
      <c r="B355" s="13"/>
      <c r="C355" s="13" t="s">
        <v>14</v>
      </c>
      <c r="D355" s="13"/>
      <c r="E355" s="32">
        <v>45963</v>
      </c>
      <c r="F355" s="11"/>
      <c r="I355" s="8">
        <v>0</v>
      </c>
      <c r="S355" s="8">
        <v>0</v>
      </c>
      <c r="U355" s="8">
        <v>0</v>
      </c>
      <c r="W355" s="8">
        <v>0</v>
      </c>
      <c r="Y355" s="3">
        <f t="shared" si="26"/>
        <v>0</v>
      </c>
      <c r="AA355" s="8">
        <v>0</v>
      </c>
      <c r="AE355" s="8">
        <v>0</v>
      </c>
      <c r="AG355" s="8">
        <v>0</v>
      </c>
      <c r="AI355" s="8">
        <v>0</v>
      </c>
      <c r="AK355" s="8">
        <f t="shared" si="24"/>
        <v>0</v>
      </c>
      <c r="AM355" s="8">
        <f t="shared" si="25"/>
        <v>0</v>
      </c>
    </row>
    <row r="356" spans="1:39">
      <c r="A356" s="13" t="s">
        <v>560</v>
      </c>
      <c r="B356" s="13"/>
      <c r="C356" s="13" t="s">
        <v>50</v>
      </c>
      <c r="D356" s="13"/>
      <c r="E356" s="32">
        <v>48710</v>
      </c>
      <c r="G356" s="8">
        <v>3625585</v>
      </c>
      <c r="I356" s="8">
        <v>0</v>
      </c>
      <c r="K356" s="8">
        <f>5687+6386628</f>
        <v>6392315</v>
      </c>
      <c r="M356" s="8">
        <v>175635</v>
      </c>
      <c r="O356" s="8">
        <v>43180</v>
      </c>
      <c r="Q356" s="8">
        <v>22626</v>
      </c>
      <c r="S356" s="8">
        <v>0</v>
      </c>
      <c r="U356" s="8">
        <v>0</v>
      </c>
      <c r="W356" s="8">
        <f>41381+10056</f>
        <v>51437</v>
      </c>
      <c r="Y356" s="3">
        <f t="shared" si="26"/>
        <v>10310778</v>
      </c>
      <c r="AA356" s="8">
        <v>0</v>
      </c>
      <c r="AE356" s="8">
        <v>0</v>
      </c>
      <c r="AG356" s="8">
        <v>493</v>
      </c>
      <c r="AI356" s="8">
        <v>0</v>
      </c>
      <c r="AK356" s="8">
        <f t="shared" si="24"/>
        <v>493</v>
      </c>
      <c r="AM356" s="8">
        <f t="shared" si="25"/>
        <v>10311271</v>
      </c>
    </row>
    <row r="357" spans="1:39" hidden="1">
      <c r="A357" s="13" t="s">
        <v>587</v>
      </c>
      <c r="B357" s="13"/>
      <c r="C357" s="13" t="s">
        <v>586</v>
      </c>
      <c r="D357" s="13"/>
      <c r="E357" s="32">
        <v>44479</v>
      </c>
      <c r="I357" s="8">
        <v>0</v>
      </c>
      <c r="S357" s="8">
        <v>0</v>
      </c>
      <c r="U357" s="8">
        <v>0</v>
      </c>
      <c r="W357" s="8">
        <v>0</v>
      </c>
      <c r="Y357" s="3">
        <f t="shared" si="26"/>
        <v>0</v>
      </c>
      <c r="AA357" s="8">
        <v>0</v>
      </c>
      <c r="AE357" s="8">
        <v>0</v>
      </c>
      <c r="AG357" s="8">
        <v>0</v>
      </c>
      <c r="AI357" s="8">
        <v>0</v>
      </c>
      <c r="AK357" s="8">
        <f t="shared" si="24"/>
        <v>0</v>
      </c>
      <c r="AM357" s="8">
        <f t="shared" si="25"/>
        <v>0</v>
      </c>
    </row>
    <row r="358" spans="1:39">
      <c r="A358" s="13" t="s">
        <v>450</v>
      </c>
      <c r="B358" s="13"/>
      <c r="C358" s="13" t="s">
        <v>37</v>
      </c>
      <c r="D358" s="13"/>
      <c r="E358" s="32">
        <v>47720</v>
      </c>
      <c r="G358" s="8">
        <f>3018531</f>
        <v>3018531</v>
      </c>
      <c r="I358" s="8">
        <v>0</v>
      </c>
      <c r="K358" s="8">
        <v>5677415</v>
      </c>
      <c r="M358" s="8">
        <v>105712</v>
      </c>
      <c r="O358" s="8">
        <v>316930</v>
      </c>
      <c r="Q358" s="8">
        <v>0</v>
      </c>
      <c r="S358" s="8">
        <v>0</v>
      </c>
      <c r="U358" s="8">
        <v>0</v>
      </c>
      <c r="W358" s="8">
        <f>34379+2218</f>
        <v>36597</v>
      </c>
      <c r="Y358" s="3">
        <f t="shared" si="26"/>
        <v>9155185</v>
      </c>
      <c r="AA358" s="8">
        <v>0</v>
      </c>
      <c r="AE358" s="8">
        <v>662</v>
      </c>
      <c r="AG358" s="8">
        <v>0</v>
      </c>
      <c r="AI358" s="8">
        <v>0</v>
      </c>
      <c r="AK358" s="8">
        <f t="shared" si="24"/>
        <v>662</v>
      </c>
      <c r="AM358" s="8">
        <f t="shared" si="25"/>
        <v>9155847</v>
      </c>
    </row>
    <row r="359" spans="1:39">
      <c r="A359" s="13" t="s">
        <v>253</v>
      </c>
      <c r="B359" s="13"/>
      <c r="C359" s="13" t="s">
        <v>246</v>
      </c>
      <c r="D359" s="13"/>
      <c r="E359" s="32">
        <v>46136</v>
      </c>
      <c r="F359" s="11"/>
      <c r="G359" s="8">
        <v>1501283</v>
      </c>
      <c r="I359" s="8">
        <v>0</v>
      </c>
      <c r="K359" s="8">
        <v>4187589</v>
      </c>
      <c r="M359" s="8">
        <v>99805</v>
      </c>
      <c r="O359" s="8">
        <v>1542</v>
      </c>
      <c r="Q359" s="8">
        <v>0</v>
      </c>
      <c r="S359" s="8">
        <v>0</v>
      </c>
      <c r="U359" s="8">
        <v>0</v>
      </c>
      <c r="W359" s="8">
        <v>23068</v>
      </c>
      <c r="Y359" s="3">
        <f t="shared" si="26"/>
        <v>5813287</v>
      </c>
      <c r="AA359" s="8">
        <v>0</v>
      </c>
      <c r="AE359" s="8">
        <v>0</v>
      </c>
      <c r="AG359" s="8">
        <v>0</v>
      </c>
      <c r="AI359" s="8">
        <v>0</v>
      </c>
      <c r="AK359" s="8">
        <f t="shared" si="24"/>
        <v>0</v>
      </c>
      <c r="AM359" s="8">
        <f t="shared" si="25"/>
        <v>5813287</v>
      </c>
    </row>
    <row r="360" spans="1:39">
      <c r="A360" s="13" t="s">
        <v>703</v>
      </c>
      <c r="B360" s="13"/>
      <c r="C360" s="13" t="s">
        <v>65</v>
      </c>
      <c r="D360" s="13"/>
      <c r="E360" s="32">
        <v>44487</v>
      </c>
      <c r="G360" s="8">
        <v>9380499</v>
      </c>
      <c r="I360" s="8">
        <v>0</v>
      </c>
      <c r="K360" s="8">
        <v>9850745</v>
      </c>
      <c r="M360" s="8">
        <v>316496</v>
      </c>
      <c r="O360" s="8">
        <v>366657</v>
      </c>
      <c r="Q360" s="8">
        <v>0</v>
      </c>
      <c r="S360" s="8">
        <v>0</v>
      </c>
      <c r="U360" s="8">
        <v>0</v>
      </c>
      <c r="W360" s="8">
        <f>435709+5100</f>
        <v>440809</v>
      </c>
      <c r="Y360" s="3">
        <f t="shared" si="26"/>
        <v>20355206</v>
      </c>
      <c r="AA360" s="8">
        <v>0</v>
      </c>
      <c r="AE360" s="8">
        <v>0</v>
      </c>
      <c r="AG360" s="8">
        <v>0</v>
      </c>
      <c r="AI360" s="8">
        <v>0</v>
      </c>
      <c r="AK360" s="8">
        <f t="shared" si="24"/>
        <v>0</v>
      </c>
      <c r="AM360" s="8">
        <f t="shared" si="25"/>
        <v>20355206</v>
      </c>
    </row>
    <row r="361" spans="1:39">
      <c r="A361" s="13" t="s">
        <v>275</v>
      </c>
      <c r="B361" s="13"/>
      <c r="C361" s="13" t="s">
        <v>116</v>
      </c>
      <c r="D361" s="13"/>
      <c r="E361" s="32">
        <v>45559</v>
      </c>
      <c r="F361" s="11"/>
      <c r="G361" s="8">
        <v>11333729</v>
      </c>
      <c r="I361" s="8">
        <v>0</v>
      </c>
      <c r="K361" s="8">
        <v>13031342</v>
      </c>
      <c r="M361" s="8">
        <v>747420</v>
      </c>
      <c r="O361" s="8">
        <v>779716</v>
      </c>
      <c r="Q361" s="8">
        <v>0</v>
      </c>
      <c r="S361" s="8">
        <v>0</v>
      </c>
      <c r="U361" s="8">
        <v>0</v>
      </c>
      <c r="W361" s="8">
        <v>80821</v>
      </c>
      <c r="Y361" s="3">
        <f t="shared" si="26"/>
        <v>25973028</v>
      </c>
      <c r="AA361" s="8">
        <v>0</v>
      </c>
      <c r="AE361" s="8">
        <v>0</v>
      </c>
      <c r="AG361" s="8">
        <v>0</v>
      </c>
      <c r="AI361" s="8">
        <v>0</v>
      </c>
      <c r="AK361" s="8">
        <f t="shared" si="24"/>
        <v>0</v>
      </c>
      <c r="AM361" s="8">
        <f t="shared" si="25"/>
        <v>25973028</v>
      </c>
    </row>
    <row r="362" spans="1:39" hidden="1">
      <c r="A362" s="13" t="s">
        <v>642</v>
      </c>
      <c r="B362" s="13"/>
      <c r="C362" s="13" t="s">
        <v>60</v>
      </c>
      <c r="D362" s="13"/>
      <c r="E362" s="32">
        <v>49718</v>
      </c>
      <c r="I362" s="8">
        <v>0</v>
      </c>
      <c r="S362" s="8">
        <v>0</v>
      </c>
      <c r="U362" s="8">
        <v>0</v>
      </c>
      <c r="W362" s="8">
        <v>0</v>
      </c>
      <c r="Y362" s="3">
        <f t="shared" si="26"/>
        <v>0</v>
      </c>
      <c r="AA362" s="8">
        <v>0</v>
      </c>
      <c r="AE362" s="8">
        <v>0</v>
      </c>
      <c r="AG362" s="8">
        <v>0</v>
      </c>
      <c r="AI362" s="8">
        <v>0</v>
      </c>
      <c r="AK362" s="8">
        <f t="shared" si="24"/>
        <v>0</v>
      </c>
      <c r="AM362" s="8">
        <f t="shared" si="25"/>
        <v>0</v>
      </c>
    </row>
    <row r="363" spans="1:39">
      <c r="A363" s="13" t="s">
        <v>484</v>
      </c>
      <c r="B363" s="13"/>
      <c r="C363" s="13" t="s">
        <v>42</v>
      </c>
      <c r="D363" s="13"/>
      <c r="E363" s="13">
        <v>44453</v>
      </c>
      <c r="G363" s="8">
        <v>23465061</v>
      </c>
      <c r="I363" s="8">
        <v>0</v>
      </c>
      <c r="K363" s="8">
        <f>25189595+7202</f>
        <v>25196797</v>
      </c>
      <c r="M363" s="8">
        <v>725459</v>
      </c>
      <c r="O363" s="8">
        <f>436338+121473+175530</f>
        <v>733341</v>
      </c>
      <c r="Q363" s="8">
        <v>222769</v>
      </c>
      <c r="S363" s="8">
        <v>0</v>
      </c>
      <c r="U363" s="8">
        <v>0</v>
      </c>
      <c r="W363" s="8">
        <v>642519</v>
      </c>
      <c r="Y363" s="3">
        <f>SUM(G363:X363)</f>
        <v>50985946</v>
      </c>
      <c r="AA363" s="8">
        <v>0</v>
      </c>
      <c r="AE363" s="8">
        <v>0</v>
      </c>
      <c r="AG363" s="8">
        <v>0</v>
      </c>
      <c r="AI363" s="8">
        <v>0</v>
      </c>
      <c r="AK363" s="8">
        <f>SUM(AA363:AJ363)</f>
        <v>0</v>
      </c>
      <c r="AM363" s="8">
        <f>+AK363+Y363</f>
        <v>50985946</v>
      </c>
    </row>
    <row r="364" spans="1:39" s="35" customFormat="1">
      <c r="A364" s="34" t="s">
        <v>386</v>
      </c>
      <c r="B364" s="34"/>
      <c r="C364" s="34" t="s">
        <v>30</v>
      </c>
      <c r="D364" s="34"/>
      <c r="E364" s="32">
        <v>47217</v>
      </c>
      <c r="G364" s="8">
        <v>3999786</v>
      </c>
      <c r="H364" s="8"/>
      <c r="I364" s="8">
        <v>0</v>
      </c>
      <c r="J364" s="8"/>
      <c r="K364" s="8">
        <v>1864185</v>
      </c>
      <c r="L364" s="8"/>
      <c r="M364" s="8">
        <v>82555</v>
      </c>
      <c r="N364" s="8"/>
      <c r="O364" s="8">
        <v>171461</v>
      </c>
      <c r="P364" s="8"/>
      <c r="Q364" s="8">
        <v>26855</v>
      </c>
      <c r="R364" s="8"/>
      <c r="S364" s="8">
        <v>0</v>
      </c>
      <c r="T364" s="8"/>
      <c r="U364" s="8">
        <v>0</v>
      </c>
      <c r="V364" s="8"/>
      <c r="W364" s="8">
        <f>33447+79517</f>
        <v>112964</v>
      </c>
      <c r="X364" s="8"/>
      <c r="Y364" s="3">
        <f t="shared" ref="Y364:Y429" si="27">SUM(G364:X364)</f>
        <v>6257806</v>
      </c>
      <c r="Z364" s="8"/>
      <c r="AA364" s="8">
        <v>0</v>
      </c>
      <c r="AB364" s="8"/>
      <c r="AC364" s="8"/>
      <c r="AD364" s="8"/>
      <c r="AE364" s="8">
        <v>0</v>
      </c>
      <c r="AF364" s="8"/>
      <c r="AG364" s="8">
        <v>0</v>
      </c>
      <c r="AH364" s="8"/>
      <c r="AI364" s="8">
        <v>0</v>
      </c>
      <c r="AJ364" s="8"/>
      <c r="AK364" s="8">
        <f t="shared" ref="AK364:AK407" si="28">SUM(AA364:AJ364)</f>
        <v>0</v>
      </c>
      <c r="AL364" s="8"/>
      <c r="AM364" s="8">
        <f t="shared" ref="AM364:AM429" si="29">+AK364+Y364</f>
        <v>6257806</v>
      </c>
    </row>
    <row r="365" spans="1:39">
      <c r="A365" s="13" t="s">
        <v>704</v>
      </c>
      <c r="B365" s="13"/>
      <c r="C365" s="13" t="s">
        <v>65</v>
      </c>
      <c r="D365" s="13"/>
      <c r="E365" s="32">
        <v>45542</v>
      </c>
      <c r="G365" s="8">
        <v>2482338</v>
      </c>
      <c r="I365" s="8">
        <v>0</v>
      </c>
      <c r="K365" s="8">
        <v>5866821</v>
      </c>
      <c r="M365" s="8">
        <v>95142</v>
      </c>
      <c r="O365" s="8">
        <v>793888</v>
      </c>
      <c r="Q365" s="8">
        <v>0</v>
      </c>
      <c r="S365" s="8">
        <v>0</v>
      </c>
      <c r="U365" s="8">
        <v>0</v>
      </c>
      <c r="W365" s="8">
        <v>90749</v>
      </c>
      <c r="Y365" s="3">
        <f t="shared" si="27"/>
        <v>9328938</v>
      </c>
      <c r="AA365" s="8">
        <v>0</v>
      </c>
      <c r="AE365" s="8">
        <v>0</v>
      </c>
      <c r="AG365" s="8">
        <v>380</v>
      </c>
      <c r="AI365" s="8">
        <v>0</v>
      </c>
      <c r="AK365" s="8">
        <f t="shared" si="28"/>
        <v>380</v>
      </c>
      <c r="AM365" s="8">
        <f t="shared" si="29"/>
        <v>9329318</v>
      </c>
    </row>
    <row r="366" spans="1:39">
      <c r="A366" s="13" t="s">
        <v>695</v>
      </c>
      <c r="B366" s="13"/>
      <c r="C366" s="13" t="s">
        <v>64</v>
      </c>
      <c r="D366" s="13"/>
      <c r="E366" s="32">
        <v>45567</v>
      </c>
      <c r="G366" s="8">
        <v>2804815</v>
      </c>
      <c r="I366" s="8">
        <v>0</v>
      </c>
      <c r="K366" s="8">
        <v>7302531</v>
      </c>
      <c r="M366" s="8">
        <v>80410</v>
      </c>
      <c r="O366" s="8">
        <v>343314</v>
      </c>
      <c r="Q366" s="8">
        <v>0</v>
      </c>
      <c r="S366" s="8">
        <v>0</v>
      </c>
      <c r="U366" s="8">
        <v>0</v>
      </c>
      <c r="W366" s="8">
        <f>1530+291404</f>
        <v>292934</v>
      </c>
      <c r="Y366" s="3">
        <f t="shared" si="27"/>
        <v>10824004</v>
      </c>
      <c r="AA366" s="8">
        <v>0</v>
      </c>
      <c r="AE366" s="8">
        <v>0</v>
      </c>
      <c r="AG366" s="8">
        <v>0</v>
      </c>
      <c r="AI366" s="8">
        <v>0</v>
      </c>
      <c r="AK366" s="8">
        <f t="shared" si="28"/>
        <v>0</v>
      </c>
      <c r="AM366" s="8">
        <f t="shared" si="29"/>
        <v>10824004</v>
      </c>
    </row>
    <row r="367" spans="1:39">
      <c r="A367" s="13" t="s">
        <v>547</v>
      </c>
      <c r="B367" s="13"/>
      <c r="C367" s="13" t="s">
        <v>48</v>
      </c>
      <c r="D367" s="13"/>
      <c r="E367" s="32">
        <v>48637</v>
      </c>
      <c r="G367" s="8">
        <v>2201523</v>
      </c>
      <c r="I367" s="8">
        <v>0</v>
      </c>
      <c r="K367" s="8">
        <f>2494593+4633</f>
        <v>2499226</v>
      </c>
      <c r="M367" s="8">
        <v>53620</v>
      </c>
      <c r="O367" s="8">
        <v>350083</v>
      </c>
      <c r="Q367" s="8">
        <v>0</v>
      </c>
      <c r="S367" s="8">
        <v>0</v>
      </c>
      <c r="U367" s="8">
        <v>0</v>
      </c>
      <c r="W367" s="8">
        <v>3187</v>
      </c>
      <c r="Y367" s="3">
        <f t="shared" si="27"/>
        <v>5107639</v>
      </c>
      <c r="AA367" s="8">
        <v>0</v>
      </c>
      <c r="AE367" s="8">
        <v>0</v>
      </c>
      <c r="AG367" s="8">
        <v>0</v>
      </c>
      <c r="AI367" s="8">
        <v>0</v>
      </c>
      <c r="AK367" s="8">
        <f t="shared" si="28"/>
        <v>0</v>
      </c>
      <c r="AM367" s="8">
        <f t="shared" si="29"/>
        <v>5107639</v>
      </c>
    </row>
    <row r="368" spans="1:39">
      <c r="A368" s="13" t="s">
        <v>836</v>
      </c>
      <c r="B368" s="13"/>
      <c r="C368" s="13" t="s">
        <v>64</v>
      </c>
      <c r="D368" s="13"/>
      <c r="E368" s="32"/>
      <c r="G368" s="8">
        <v>7691724</v>
      </c>
      <c r="I368" s="8">
        <v>0</v>
      </c>
      <c r="K368" s="8">
        <v>13282484</v>
      </c>
      <c r="M368" s="8">
        <v>160597</v>
      </c>
      <c r="O368" s="8">
        <f>723216+59237</f>
        <v>782453</v>
      </c>
      <c r="Q368" s="8">
        <v>0</v>
      </c>
      <c r="S368" s="8">
        <v>0</v>
      </c>
      <c r="U368" s="8">
        <v>0</v>
      </c>
      <c r="W368" s="8">
        <v>693556</v>
      </c>
      <c r="Y368" s="3">
        <f t="shared" si="27"/>
        <v>22610814</v>
      </c>
      <c r="AA368" s="8">
        <v>0</v>
      </c>
      <c r="AE368" s="8">
        <v>0</v>
      </c>
      <c r="AG368" s="8">
        <v>0</v>
      </c>
      <c r="AI368" s="8">
        <v>0</v>
      </c>
      <c r="AK368" s="8">
        <f t="shared" si="28"/>
        <v>0</v>
      </c>
      <c r="AM368" s="8">
        <f t="shared" si="29"/>
        <v>22610814</v>
      </c>
    </row>
    <row r="369" spans="1:39">
      <c r="A369" s="13" t="s">
        <v>578</v>
      </c>
      <c r="B369" s="13"/>
      <c r="C369" s="13" t="s">
        <v>52</v>
      </c>
      <c r="D369" s="13"/>
      <c r="E369" s="32">
        <v>48900</v>
      </c>
      <c r="G369" s="8">
        <v>2179889</v>
      </c>
      <c r="I369" s="8">
        <v>0</v>
      </c>
      <c r="K369" s="8">
        <v>5917971</v>
      </c>
      <c r="M369" s="8">
        <v>64966</v>
      </c>
      <c r="O369" s="8">
        <v>571509</v>
      </c>
      <c r="Q369" s="8">
        <v>28995</v>
      </c>
      <c r="S369" s="8">
        <v>0</v>
      </c>
      <c r="U369" s="8">
        <v>1819</v>
      </c>
      <c r="W369" s="8">
        <f>1895+66585</f>
        <v>68480</v>
      </c>
      <c r="Y369" s="3">
        <f t="shared" si="27"/>
        <v>8833629</v>
      </c>
      <c r="AA369" s="8">
        <v>0</v>
      </c>
      <c r="AE369" s="8">
        <f>3625+34427</f>
        <v>38052</v>
      </c>
      <c r="AG369" s="8">
        <v>0</v>
      </c>
      <c r="AI369" s="8">
        <v>0</v>
      </c>
      <c r="AK369" s="8">
        <f t="shared" si="28"/>
        <v>38052</v>
      </c>
      <c r="AM369" s="8">
        <f t="shared" si="29"/>
        <v>8871681</v>
      </c>
    </row>
    <row r="370" spans="1:39">
      <c r="A370" s="13" t="s">
        <v>673</v>
      </c>
      <c r="B370" s="13"/>
      <c r="C370" s="13" t="s">
        <v>63</v>
      </c>
      <c r="D370" s="13"/>
      <c r="E370" s="32">
        <v>50047</v>
      </c>
      <c r="G370" s="8">
        <v>27028541</v>
      </c>
      <c r="I370" s="8">
        <v>0</v>
      </c>
      <c r="K370" s="8">
        <v>9418630</v>
      </c>
      <c r="M370" s="8">
        <v>809713</v>
      </c>
      <c r="O370" s="8">
        <v>106060</v>
      </c>
      <c r="Q370" s="8">
        <v>212899</v>
      </c>
      <c r="S370" s="8">
        <v>0</v>
      </c>
      <c r="U370" s="8">
        <v>0</v>
      </c>
      <c r="W370" s="8">
        <f>53474+16933</f>
        <v>70407</v>
      </c>
      <c r="Y370" s="3">
        <f t="shared" si="27"/>
        <v>37646250</v>
      </c>
      <c r="AA370" s="8">
        <v>0</v>
      </c>
      <c r="AE370" s="8">
        <v>0</v>
      </c>
      <c r="AG370" s="8">
        <v>0</v>
      </c>
      <c r="AI370" s="8">
        <v>0</v>
      </c>
      <c r="AK370" s="8">
        <f t="shared" si="28"/>
        <v>0</v>
      </c>
      <c r="AM370" s="8">
        <f t="shared" si="29"/>
        <v>37646250</v>
      </c>
    </row>
    <row r="371" spans="1:39">
      <c r="A371" s="13" t="s">
        <v>741</v>
      </c>
      <c r="B371" s="13"/>
      <c r="C371" s="13" t="s">
        <v>72</v>
      </c>
      <c r="D371" s="13"/>
      <c r="E371" s="32">
        <v>50708</v>
      </c>
      <c r="G371" s="8">
        <v>2284969</v>
      </c>
      <c r="I371" s="8">
        <v>0</v>
      </c>
      <c r="K371" s="8">
        <v>3841906</v>
      </c>
      <c r="M371" s="8">
        <v>95007</v>
      </c>
      <c r="O371" s="8">
        <v>191567</v>
      </c>
      <c r="Q371" s="8">
        <v>0</v>
      </c>
      <c r="S371" s="8">
        <v>0</v>
      </c>
      <c r="U371" s="8">
        <v>0</v>
      </c>
      <c r="W371" s="8">
        <v>31407</v>
      </c>
      <c r="Y371" s="3">
        <f t="shared" si="27"/>
        <v>6444856</v>
      </c>
      <c r="AA371" s="8">
        <v>0</v>
      </c>
      <c r="AE371" s="8">
        <v>0</v>
      </c>
      <c r="AG371" s="8">
        <v>0</v>
      </c>
      <c r="AI371" s="8">
        <v>0</v>
      </c>
      <c r="AK371" s="8">
        <f t="shared" si="28"/>
        <v>0</v>
      </c>
      <c r="AM371" s="8">
        <f t="shared" si="29"/>
        <v>6444856</v>
      </c>
    </row>
    <row r="372" spans="1:39" hidden="1">
      <c r="A372" s="13" t="s">
        <v>581</v>
      </c>
      <c r="B372" s="13"/>
      <c r="C372" s="13" t="s">
        <v>53</v>
      </c>
      <c r="D372" s="13"/>
      <c r="E372" s="32">
        <v>48967</v>
      </c>
      <c r="I372" s="8">
        <v>0</v>
      </c>
      <c r="S372" s="8">
        <v>0</v>
      </c>
      <c r="U372" s="8">
        <v>0</v>
      </c>
      <c r="Y372" s="3">
        <f t="shared" si="27"/>
        <v>0</v>
      </c>
      <c r="AA372" s="8">
        <v>0</v>
      </c>
      <c r="AE372" s="8">
        <v>0</v>
      </c>
      <c r="AG372" s="8">
        <v>0</v>
      </c>
      <c r="AI372" s="8">
        <v>0</v>
      </c>
      <c r="AK372" s="8">
        <f t="shared" si="28"/>
        <v>0</v>
      </c>
      <c r="AM372" s="8">
        <f t="shared" si="29"/>
        <v>0</v>
      </c>
    </row>
    <row r="373" spans="1:39">
      <c r="A373" s="13" t="s">
        <v>663</v>
      </c>
      <c r="B373" s="13"/>
      <c r="C373" s="13" t="s">
        <v>62</v>
      </c>
      <c r="D373" s="13"/>
      <c r="E373" s="32">
        <v>44503</v>
      </c>
      <c r="G373" s="8">
        <v>21756105</v>
      </c>
      <c r="I373" s="8">
        <v>0</v>
      </c>
      <c r="K373" s="8">
        <v>17477267</v>
      </c>
      <c r="M373" s="8">
        <v>297417</v>
      </c>
      <c r="O373" s="8">
        <f>491378+4405</f>
        <v>495783</v>
      </c>
      <c r="Q373" s="8">
        <v>10710</v>
      </c>
      <c r="S373" s="8">
        <v>0</v>
      </c>
      <c r="U373" s="8">
        <v>0</v>
      </c>
      <c r="W373" s="8">
        <v>415997</v>
      </c>
      <c r="Y373" s="3">
        <f t="shared" si="27"/>
        <v>40453279</v>
      </c>
      <c r="AA373" s="8">
        <v>0</v>
      </c>
      <c r="AE373" s="8">
        <v>889741</v>
      </c>
      <c r="AG373" s="8">
        <v>0</v>
      </c>
      <c r="AI373" s="8">
        <v>0</v>
      </c>
      <c r="AK373" s="8">
        <f t="shared" si="28"/>
        <v>889741</v>
      </c>
      <c r="AM373" s="8">
        <f t="shared" si="29"/>
        <v>41343020</v>
      </c>
    </row>
    <row r="374" spans="1:39" hidden="1">
      <c r="A374" s="13" t="s">
        <v>728</v>
      </c>
      <c r="B374" s="13"/>
      <c r="C374" s="13" t="s">
        <v>733</v>
      </c>
      <c r="D374" s="13"/>
      <c r="E374" s="32">
        <v>50641</v>
      </c>
      <c r="I374" s="8">
        <v>0</v>
      </c>
      <c r="Q374" s="8">
        <v>0</v>
      </c>
      <c r="S374" s="8">
        <v>0</v>
      </c>
      <c r="U374" s="8">
        <v>0</v>
      </c>
      <c r="Y374" s="3">
        <f t="shared" si="27"/>
        <v>0</v>
      </c>
      <c r="AA374" s="8">
        <v>0</v>
      </c>
      <c r="AE374" s="8">
        <v>0</v>
      </c>
      <c r="AG374" s="8">
        <v>0</v>
      </c>
      <c r="AI374" s="8">
        <v>0</v>
      </c>
      <c r="AK374" s="8">
        <f t="shared" si="28"/>
        <v>0</v>
      </c>
      <c r="AM374" s="8">
        <f t="shared" si="29"/>
        <v>0</v>
      </c>
    </row>
    <row r="375" spans="1:39" hidden="1">
      <c r="A375" s="13" t="s">
        <v>406</v>
      </c>
      <c r="B375" s="13"/>
      <c r="C375" s="13" t="s">
        <v>32</v>
      </c>
      <c r="D375" s="13"/>
      <c r="E375" s="32">
        <v>44511</v>
      </c>
      <c r="I375" s="8">
        <v>0</v>
      </c>
      <c r="Q375" s="8">
        <v>0</v>
      </c>
      <c r="S375" s="8">
        <v>0</v>
      </c>
      <c r="U375" s="8">
        <v>0</v>
      </c>
      <c r="Y375" s="3">
        <f t="shared" si="27"/>
        <v>0</v>
      </c>
      <c r="AA375" s="8">
        <v>0</v>
      </c>
      <c r="AE375" s="8">
        <v>0</v>
      </c>
      <c r="AG375" s="8">
        <v>0</v>
      </c>
      <c r="AI375" s="8">
        <v>0</v>
      </c>
      <c r="AK375" s="8">
        <f t="shared" si="28"/>
        <v>0</v>
      </c>
      <c r="AM375" s="8">
        <f t="shared" si="29"/>
        <v>0</v>
      </c>
    </row>
    <row r="376" spans="1:39">
      <c r="A376" s="13" t="s">
        <v>485</v>
      </c>
      <c r="B376" s="13"/>
      <c r="C376" s="13" t="s">
        <v>42</v>
      </c>
      <c r="D376" s="13"/>
      <c r="E376" s="32">
        <v>48025</v>
      </c>
      <c r="G376" s="8">
        <v>3852446</v>
      </c>
      <c r="I376" s="8">
        <v>0</v>
      </c>
      <c r="K376" s="8">
        <v>9256207</v>
      </c>
      <c r="M376" s="8">
        <v>60878</v>
      </c>
      <c r="O376" s="8">
        <f>620991+744</f>
        <v>621735</v>
      </c>
      <c r="Q376" s="8">
        <v>0</v>
      </c>
      <c r="S376" s="8">
        <v>0</v>
      </c>
      <c r="U376" s="8">
        <v>0</v>
      </c>
      <c r="W376" s="8">
        <v>21514</v>
      </c>
      <c r="Y376" s="3">
        <f t="shared" si="27"/>
        <v>13812780</v>
      </c>
      <c r="AA376" s="8">
        <v>0</v>
      </c>
      <c r="AE376" s="8">
        <v>0</v>
      </c>
      <c r="AG376" s="8">
        <v>0</v>
      </c>
      <c r="AI376" s="8">
        <v>0</v>
      </c>
      <c r="AK376" s="8">
        <f t="shared" si="28"/>
        <v>0</v>
      </c>
      <c r="AM376" s="8">
        <f t="shared" si="29"/>
        <v>13812780</v>
      </c>
    </row>
    <row r="377" spans="1:39">
      <c r="A377" s="13" t="s">
        <v>317</v>
      </c>
      <c r="B377" s="13"/>
      <c r="C377" s="13" t="s">
        <v>20</v>
      </c>
      <c r="D377" s="13"/>
      <c r="E377" s="32">
        <v>44529</v>
      </c>
      <c r="G377" s="8">
        <v>34587377</v>
      </c>
      <c r="I377" s="8">
        <v>0</v>
      </c>
      <c r="K377" s="8">
        <v>12630596</v>
      </c>
      <c r="M377" s="8">
        <v>686750</v>
      </c>
      <c r="O377" s="8">
        <v>1138729</v>
      </c>
      <c r="Q377" s="8">
        <v>0</v>
      </c>
      <c r="S377" s="8">
        <v>0</v>
      </c>
      <c r="U377" s="8">
        <v>0</v>
      </c>
      <c r="W377" s="8">
        <v>248674</v>
      </c>
      <c r="Y377" s="3">
        <f t="shared" si="27"/>
        <v>49292126</v>
      </c>
      <c r="AA377" s="8">
        <v>0</v>
      </c>
      <c r="AE377" s="8">
        <v>0</v>
      </c>
      <c r="AG377" s="8">
        <v>0</v>
      </c>
      <c r="AI377" s="8">
        <v>0</v>
      </c>
      <c r="AK377" s="8">
        <f t="shared" si="28"/>
        <v>0</v>
      </c>
      <c r="AM377" s="8">
        <f t="shared" si="29"/>
        <v>49292126</v>
      </c>
    </row>
    <row r="378" spans="1:39">
      <c r="A378" s="13" t="s">
        <v>498</v>
      </c>
      <c r="B378" s="13"/>
      <c r="C378" s="13" t="s">
        <v>44</v>
      </c>
      <c r="D378" s="13"/>
      <c r="E378" s="32">
        <v>44537</v>
      </c>
      <c r="G378" s="8">
        <v>11420199</v>
      </c>
      <c r="I378" s="8">
        <v>0</v>
      </c>
      <c r="K378" s="8">
        <v>10872350</v>
      </c>
      <c r="M378" s="8">
        <v>341779</v>
      </c>
      <c r="O378" s="8">
        <v>381743</v>
      </c>
      <c r="Q378" s="8">
        <v>0</v>
      </c>
      <c r="S378" s="8">
        <v>0</v>
      </c>
      <c r="U378" s="8">
        <v>0</v>
      </c>
      <c r="W378" s="8">
        <v>270860</v>
      </c>
      <c r="Y378" s="3">
        <f t="shared" si="27"/>
        <v>23286931</v>
      </c>
      <c r="AA378" s="8">
        <v>0</v>
      </c>
      <c r="AE378" s="8">
        <v>0</v>
      </c>
      <c r="AG378" s="8">
        <v>0</v>
      </c>
      <c r="AI378" s="8">
        <v>0</v>
      </c>
      <c r="AK378" s="8">
        <f t="shared" si="28"/>
        <v>0</v>
      </c>
      <c r="AM378" s="8">
        <f t="shared" si="29"/>
        <v>23286931</v>
      </c>
    </row>
    <row r="379" spans="1:39">
      <c r="A379" s="13" t="s">
        <v>318</v>
      </c>
      <c r="B379" s="13"/>
      <c r="C379" s="13" t="s">
        <v>20</v>
      </c>
      <c r="D379" s="13"/>
      <c r="E379" s="32">
        <v>44545</v>
      </c>
      <c r="G379" s="8">
        <v>30704657</v>
      </c>
      <c r="I379" s="8">
        <v>0</v>
      </c>
      <c r="K379" s="8">
        <v>10036142</v>
      </c>
      <c r="M379" s="8">
        <v>809977</v>
      </c>
      <c r="O379" s="8">
        <v>293650</v>
      </c>
      <c r="Q379" s="8">
        <v>22060</v>
      </c>
      <c r="S379" s="8">
        <v>0</v>
      </c>
      <c r="U379" s="8">
        <v>0</v>
      </c>
      <c r="W379" s="8">
        <f>51588+167845</f>
        <v>219433</v>
      </c>
      <c r="Y379" s="3">
        <f t="shared" si="27"/>
        <v>42085919</v>
      </c>
      <c r="AA379" s="8">
        <v>0</v>
      </c>
      <c r="AE379" s="8">
        <v>3000</v>
      </c>
      <c r="AG379" s="8">
        <v>0</v>
      </c>
      <c r="AI379" s="8">
        <v>0</v>
      </c>
      <c r="AK379" s="8">
        <f t="shared" si="28"/>
        <v>3000</v>
      </c>
      <c r="AM379" s="8">
        <f t="shared" si="29"/>
        <v>42088919</v>
      </c>
    </row>
    <row r="380" spans="1:39">
      <c r="A380" s="13" t="s">
        <v>709</v>
      </c>
      <c r="B380" s="13"/>
      <c r="C380" s="13" t="s">
        <v>66</v>
      </c>
      <c r="D380" s="13"/>
      <c r="E380" s="32">
        <v>50336</v>
      </c>
      <c r="G380" s="8">
        <v>3380499</v>
      </c>
      <c r="I380" s="8">
        <v>1613961</v>
      </c>
      <c r="K380" s="8">
        <v>7884871</v>
      </c>
      <c r="M380" s="8">
        <v>717641</v>
      </c>
      <c r="O380" s="8">
        <v>375130</v>
      </c>
      <c r="Q380" s="8">
        <v>0</v>
      </c>
      <c r="S380" s="8">
        <v>0</v>
      </c>
      <c r="U380" s="8">
        <v>0</v>
      </c>
      <c r="W380" s="8">
        <v>33509</v>
      </c>
      <c r="Y380" s="3">
        <f t="shared" si="27"/>
        <v>14005611</v>
      </c>
      <c r="AA380" s="8">
        <v>0</v>
      </c>
      <c r="AE380" s="8">
        <v>0</v>
      </c>
      <c r="AG380" s="8">
        <v>0</v>
      </c>
      <c r="AI380" s="8">
        <v>0</v>
      </c>
      <c r="AK380" s="8">
        <f t="shared" si="28"/>
        <v>0</v>
      </c>
      <c r="AM380" s="8">
        <f t="shared" si="29"/>
        <v>14005611</v>
      </c>
    </row>
    <row r="381" spans="1:39" ht="12" customHeight="1">
      <c r="A381" s="13" t="s">
        <v>266</v>
      </c>
      <c r="B381" s="13"/>
      <c r="C381" s="13" t="s">
        <v>17</v>
      </c>
      <c r="D381" s="13"/>
      <c r="E381" s="32">
        <v>46250</v>
      </c>
      <c r="F381" s="11"/>
      <c r="G381" s="8">
        <v>10472907</v>
      </c>
      <c r="I381" s="8">
        <v>0</v>
      </c>
      <c r="K381" s="8">
        <v>15383322</v>
      </c>
      <c r="M381" s="8">
        <v>410745</v>
      </c>
      <c r="O381" s="8">
        <v>1838153</v>
      </c>
      <c r="Q381" s="8">
        <v>0</v>
      </c>
      <c r="S381" s="8">
        <v>0</v>
      </c>
      <c r="U381" s="8">
        <v>0</v>
      </c>
      <c r="W381" s="8">
        <f>980+13852+4498</f>
        <v>19330</v>
      </c>
      <c r="Y381" s="3">
        <f t="shared" si="27"/>
        <v>28124457</v>
      </c>
      <c r="AA381" s="8">
        <v>0</v>
      </c>
      <c r="AE381" s="8">
        <v>0</v>
      </c>
      <c r="AG381" s="8">
        <v>0</v>
      </c>
      <c r="AI381" s="8">
        <v>0</v>
      </c>
      <c r="AK381" s="8">
        <f t="shared" si="28"/>
        <v>0</v>
      </c>
      <c r="AM381" s="8">
        <f t="shared" si="29"/>
        <v>28124457</v>
      </c>
    </row>
    <row r="382" spans="1:39" s="35" customFormat="1" hidden="1">
      <c r="A382" s="34" t="s">
        <v>266</v>
      </c>
      <c r="B382" s="34"/>
      <c r="C382" s="34" t="s">
        <v>22</v>
      </c>
      <c r="D382" s="34"/>
      <c r="E382" s="34">
        <v>46722</v>
      </c>
      <c r="S382" s="35">
        <v>0</v>
      </c>
      <c r="U382" s="35">
        <v>0</v>
      </c>
      <c r="W382" s="35">
        <v>0</v>
      </c>
      <c r="Y382" s="42">
        <f t="shared" si="27"/>
        <v>0</v>
      </c>
      <c r="AA382" s="35">
        <v>0</v>
      </c>
      <c r="AE382" s="35">
        <v>0</v>
      </c>
      <c r="AG382" s="35">
        <v>0</v>
      </c>
      <c r="AI382" s="35">
        <v>0</v>
      </c>
      <c r="AK382" s="35">
        <f t="shared" si="28"/>
        <v>0</v>
      </c>
      <c r="AM382" s="35">
        <f t="shared" si="29"/>
        <v>0</v>
      </c>
    </row>
    <row r="383" spans="1:39">
      <c r="A383" s="13" t="s">
        <v>561</v>
      </c>
      <c r="B383" s="13"/>
      <c r="C383" s="13" t="s">
        <v>50</v>
      </c>
      <c r="D383" s="13"/>
      <c r="E383" s="32">
        <v>48728</v>
      </c>
      <c r="G383" s="8">
        <v>22827217</v>
      </c>
      <c r="I383" s="8">
        <v>0</v>
      </c>
      <c r="K383" s="8">
        <v>24720352</v>
      </c>
      <c r="M383" s="8">
        <v>393546</v>
      </c>
      <c r="O383" s="8">
        <v>680368</v>
      </c>
      <c r="Q383" s="8">
        <v>0</v>
      </c>
      <c r="S383" s="8">
        <v>0</v>
      </c>
      <c r="U383" s="8">
        <v>0</v>
      </c>
      <c r="W383" s="8">
        <v>31216</v>
      </c>
      <c r="Y383" s="3">
        <f t="shared" si="27"/>
        <v>48652699</v>
      </c>
      <c r="AA383" s="8">
        <v>0</v>
      </c>
      <c r="AE383" s="8">
        <v>0</v>
      </c>
      <c r="AG383" s="8">
        <v>78284</v>
      </c>
      <c r="AI383" s="8">
        <v>0</v>
      </c>
      <c r="AK383" s="8">
        <f t="shared" si="28"/>
        <v>78284</v>
      </c>
      <c r="AM383" s="8">
        <f t="shared" si="29"/>
        <v>48730983</v>
      </c>
    </row>
    <row r="384" spans="1:39">
      <c r="A384" s="13" t="s">
        <v>570</v>
      </c>
      <c r="B384" s="13"/>
      <c r="C384" s="13" t="s">
        <v>78</v>
      </c>
      <c r="D384" s="13"/>
      <c r="E384" s="32">
        <v>48819</v>
      </c>
      <c r="G384" s="8">
        <v>4892212</v>
      </c>
      <c r="I384" s="8">
        <v>0</v>
      </c>
      <c r="K384" s="8">
        <v>5474981</v>
      </c>
      <c r="M384" s="8">
        <v>78451</v>
      </c>
      <c r="O384" s="8">
        <f>680293+32889</f>
        <v>713182</v>
      </c>
      <c r="Q384" s="8">
        <v>0</v>
      </c>
      <c r="S384" s="8">
        <v>0</v>
      </c>
      <c r="U384" s="8">
        <v>0</v>
      </c>
      <c r="W384" s="8">
        <f>14276</f>
        <v>14276</v>
      </c>
      <c r="Y384" s="3">
        <f t="shared" si="27"/>
        <v>11173102</v>
      </c>
      <c r="AA384" s="8">
        <v>0</v>
      </c>
      <c r="AE384" s="8">
        <v>0</v>
      </c>
      <c r="AG384" s="8">
        <v>0</v>
      </c>
      <c r="AI384" s="8">
        <v>0</v>
      </c>
      <c r="AK384" s="8">
        <f t="shared" si="28"/>
        <v>0</v>
      </c>
      <c r="AM384" s="8">
        <f t="shared" si="29"/>
        <v>11173102</v>
      </c>
    </row>
    <row r="385" spans="1:39">
      <c r="A385" s="13" t="s">
        <v>486</v>
      </c>
      <c r="B385" s="13"/>
      <c r="C385" s="12" t="s">
        <v>50</v>
      </c>
      <c r="D385" s="13"/>
      <c r="E385" s="32">
        <v>48033</v>
      </c>
      <c r="G385" s="8">
        <v>8523207</v>
      </c>
      <c r="I385" s="8">
        <v>0</v>
      </c>
      <c r="K385" s="8">
        <v>8097568</v>
      </c>
      <c r="M385" s="8">
        <v>365691</v>
      </c>
      <c r="O385" s="8">
        <v>205442</v>
      </c>
      <c r="Q385" s="8">
        <v>3480</v>
      </c>
      <c r="S385" s="8">
        <v>0</v>
      </c>
      <c r="U385" s="8">
        <v>0</v>
      </c>
      <c r="W385" s="8">
        <f>81789+20209</f>
        <v>101998</v>
      </c>
      <c r="Y385" s="3">
        <f t="shared" si="27"/>
        <v>17297386</v>
      </c>
      <c r="AA385" s="8">
        <v>0</v>
      </c>
      <c r="AE385" s="8">
        <v>0</v>
      </c>
      <c r="AG385" s="8">
        <v>0</v>
      </c>
      <c r="AI385" s="8">
        <v>0</v>
      </c>
      <c r="AK385" s="8">
        <f t="shared" si="28"/>
        <v>0</v>
      </c>
      <c r="AM385" s="8">
        <f t="shared" si="29"/>
        <v>17297386</v>
      </c>
    </row>
    <row r="386" spans="1:39">
      <c r="A386" s="13" t="s">
        <v>486</v>
      </c>
      <c r="B386" s="13"/>
      <c r="C386" s="13" t="s">
        <v>42</v>
      </c>
      <c r="D386" s="13"/>
      <c r="E386" s="32">
        <v>48736</v>
      </c>
      <c r="G386" s="8">
        <v>3785899</v>
      </c>
      <c r="I386" s="8">
        <v>1921729</v>
      </c>
      <c r="K386" s="8">
        <v>5314750</v>
      </c>
      <c r="M386" s="8">
        <v>68302</v>
      </c>
      <c r="O386" s="8">
        <v>568876</v>
      </c>
      <c r="Q386" s="8">
        <v>24964</v>
      </c>
      <c r="S386" s="8">
        <v>0</v>
      </c>
      <c r="U386" s="8">
        <v>0</v>
      </c>
      <c r="W386" s="8">
        <f>13300+6884</f>
        <v>20184</v>
      </c>
      <c r="Y386" s="3">
        <f t="shared" si="27"/>
        <v>11704704</v>
      </c>
      <c r="AA386" s="8">
        <v>1464</v>
      </c>
      <c r="AE386" s="8">
        <v>159372</v>
      </c>
      <c r="AG386" s="8">
        <v>0</v>
      </c>
      <c r="AI386" s="8">
        <v>0</v>
      </c>
      <c r="AK386" s="8">
        <f t="shared" si="28"/>
        <v>160836</v>
      </c>
      <c r="AM386" s="8">
        <f t="shared" si="29"/>
        <v>11865540</v>
      </c>
    </row>
    <row r="387" spans="1:39">
      <c r="A387" s="13" t="s">
        <v>407</v>
      </c>
      <c r="B387" s="13"/>
      <c r="C387" s="13" t="s">
        <v>32</v>
      </c>
      <c r="D387" s="13"/>
      <c r="E387" s="32">
        <v>47365</v>
      </c>
      <c r="G387" s="8">
        <v>43446436</v>
      </c>
      <c r="I387" s="8">
        <v>0</v>
      </c>
      <c r="K387" s="8">
        <v>35378231</v>
      </c>
      <c r="M387" s="8">
        <v>893147</v>
      </c>
      <c r="O387" s="8">
        <v>1107809</v>
      </c>
      <c r="Q387" s="8">
        <v>0</v>
      </c>
      <c r="S387" s="8">
        <v>3488839</v>
      </c>
      <c r="U387" s="8">
        <v>0</v>
      </c>
      <c r="W387" s="8">
        <f>806609+451856</f>
        <v>1258465</v>
      </c>
      <c r="Y387" s="3">
        <f t="shared" si="27"/>
        <v>85572927</v>
      </c>
      <c r="AA387" s="8">
        <v>0</v>
      </c>
      <c r="AE387" s="8">
        <f>854608+3917</f>
        <v>858525</v>
      </c>
      <c r="AG387" s="8">
        <v>0</v>
      </c>
      <c r="AI387" s="8">
        <v>0</v>
      </c>
      <c r="AK387" s="8">
        <f t="shared" si="28"/>
        <v>858525</v>
      </c>
      <c r="AM387" s="8">
        <f t="shared" si="29"/>
        <v>86431452</v>
      </c>
    </row>
    <row r="388" spans="1:39">
      <c r="A388" s="13" t="s">
        <v>407</v>
      </c>
      <c r="B388" s="13"/>
      <c r="C388" s="13" t="s">
        <v>59</v>
      </c>
      <c r="D388" s="13"/>
      <c r="E388" s="32">
        <v>49635</v>
      </c>
      <c r="G388" s="8">
        <v>1551259</v>
      </c>
      <c r="I388" s="8">
        <v>0</v>
      </c>
      <c r="K388" s="8">
        <v>11440524</v>
      </c>
      <c r="M388" s="8">
        <v>156313</v>
      </c>
      <c r="O388" s="8">
        <v>9409</v>
      </c>
      <c r="Q388" s="8">
        <v>0</v>
      </c>
      <c r="S388" s="8">
        <v>0</v>
      </c>
      <c r="U388" s="8">
        <v>50</v>
      </c>
      <c r="W388" s="8">
        <f>61874+117834+6444</f>
        <v>186152</v>
      </c>
      <c r="Y388" s="3">
        <f t="shared" si="27"/>
        <v>13343707</v>
      </c>
      <c r="AA388" s="8">
        <v>7487</v>
      </c>
      <c r="AE388" s="8">
        <v>0</v>
      </c>
      <c r="AG388" s="8">
        <v>0</v>
      </c>
      <c r="AI388" s="8">
        <v>0</v>
      </c>
      <c r="AK388" s="8">
        <f t="shared" si="28"/>
        <v>7487</v>
      </c>
      <c r="AM388" s="8">
        <f t="shared" si="29"/>
        <v>13351194</v>
      </c>
    </row>
    <row r="389" spans="1:39">
      <c r="A389" s="13" t="s">
        <v>407</v>
      </c>
      <c r="B389" s="13"/>
      <c r="C389" s="13" t="s">
        <v>62</v>
      </c>
      <c r="D389" s="13"/>
      <c r="E389" s="32">
        <v>49908</v>
      </c>
      <c r="G389" s="8">
        <v>6680749</v>
      </c>
      <c r="I389" s="8">
        <v>0</v>
      </c>
      <c r="K389" s="8">
        <v>10286237</v>
      </c>
      <c r="M389" s="8">
        <v>37428</v>
      </c>
      <c r="O389" s="8">
        <f>572592+62576</f>
        <v>635168</v>
      </c>
      <c r="Q389" s="8">
        <v>14535</v>
      </c>
      <c r="S389" s="8">
        <v>0</v>
      </c>
      <c r="U389" s="8">
        <v>0</v>
      </c>
      <c r="W389" s="8">
        <v>37368</v>
      </c>
      <c r="Y389" s="3">
        <f t="shared" si="27"/>
        <v>17691485</v>
      </c>
      <c r="AA389" s="8">
        <v>158500</v>
      </c>
      <c r="AE389" s="8">
        <v>17622</v>
      </c>
      <c r="AG389" s="8">
        <v>0</v>
      </c>
      <c r="AI389" s="8">
        <v>0</v>
      </c>
      <c r="AK389" s="8">
        <f t="shared" si="28"/>
        <v>176122</v>
      </c>
      <c r="AM389" s="8">
        <f t="shared" si="29"/>
        <v>17867607</v>
      </c>
    </row>
    <row r="390" spans="1:39">
      <c r="A390" s="13" t="s">
        <v>267</v>
      </c>
      <c r="B390" s="13"/>
      <c r="C390" s="13" t="s">
        <v>17</v>
      </c>
      <c r="D390" s="13"/>
      <c r="E390" s="13">
        <v>46268</v>
      </c>
      <c r="G390" s="8">
        <v>5122597</v>
      </c>
      <c r="I390" s="8">
        <v>0</v>
      </c>
      <c r="K390" s="8">
        <v>7307270</v>
      </c>
      <c r="M390" s="8">
        <v>0</v>
      </c>
      <c r="O390" s="8">
        <v>885107</v>
      </c>
      <c r="Q390" s="8">
        <v>234378</v>
      </c>
      <c r="S390" s="8">
        <v>0</v>
      </c>
      <c r="U390" s="8">
        <v>0</v>
      </c>
      <c r="W390" s="8">
        <f>12665+28074</f>
        <v>40739</v>
      </c>
      <c r="Y390" s="3">
        <f t="shared" si="27"/>
        <v>13590091</v>
      </c>
      <c r="AA390" s="8">
        <v>0</v>
      </c>
      <c r="AE390" s="8">
        <v>5214</v>
      </c>
      <c r="AG390" s="8">
        <v>0</v>
      </c>
      <c r="AI390" s="8">
        <v>0</v>
      </c>
      <c r="AK390" s="8">
        <f t="shared" si="28"/>
        <v>5214</v>
      </c>
      <c r="AM390" s="8">
        <f t="shared" si="29"/>
        <v>13595305</v>
      </c>
    </row>
    <row r="391" spans="1:39">
      <c r="A391" s="13" t="s">
        <v>742</v>
      </c>
      <c r="B391" s="13"/>
      <c r="C391" s="13" t="s">
        <v>72</v>
      </c>
      <c r="D391" s="13"/>
      <c r="E391" s="32">
        <v>50716</v>
      </c>
      <c r="G391" s="8">
        <v>4828709</v>
      </c>
      <c r="I391" s="8">
        <v>0</v>
      </c>
      <c r="K391" s="8">
        <v>3559693</v>
      </c>
      <c r="M391" s="8">
        <v>99798</v>
      </c>
      <c r="O391" s="8">
        <v>31091</v>
      </c>
      <c r="Q391" s="8">
        <v>0</v>
      </c>
      <c r="S391" s="8">
        <v>272619</v>
      </c>
      <c r="U391" s="8">
        <v>4100</v>
      </c>
      <c r="W391" s="8">
        <v>40647</v>
      </c>
      <c r="Y391" s="3">
        <f t="shared" si="27"/>
        <v>8836657</v>
      </c>
      <c r="AA391" s="8">
        <v>0</v>
      </c>
      <c r="AE391" s="8">
        <v>0</v>
      </c>
      <c r="AG391" s="8">
        <v>0</v>
      </c>
      <c r="AI391" s="8">
        <v>0</v>
      </c>
      <c r="AK391" s="8">
        <f t="shared" si="28"/>
        <v>0</v>
      </c>
      <c r="AM391" s="8">
        <f t="shared" si="29"/>
        <v>8836657</v>
      </c>
    </row>
    <row r="392" spans="1:39">
      <c r="A392" s="13" t="s">
        <v>674</v>
      </c>
      <c r="B392" s="13"/>
      <c r="C392" s="13" t="s">
        <v>63</v>
      </c>
      <c r="D392" s="13"/>
      <c r="E392" s="32">
        <v>44552</v>
      </c>
      <c r="G392" s="8">
        <v>8625588</v>
      </c>
      <c r="I392" s="8">
        <v>0</v>
      </c>
      <c r="K392" s="8">
        <v>8659428</v>
      </c>
      <c r="M392" s="8">
        <v>406383</v>
      </c>
      <c r="O392" s="8">
        <v>2136898</v>
      </c>
      <c r="Q392" s="8">
        <v>0</v>
      </c>
      <c r="S392" s="8">
        <v>0</v>
      </c>
      <c r="U392" s="8">
        <v>0</v>
      </c>
      <c r="W392" s="8">
        <f>7967+281901</f>
        <v>289868</v>
      </c>
      <c r="Y392" s="3">
        <f t="shared" si="27"/>
        <v>20118165</v>
      </c>
      <c r="AA392" s="8">
        <v>0</v>
      </c>
      <c r="AE392" s="8">
        <v>0</v>
      </c>
      <c r="AG392" s="8">
        <v>0</v>
      </c>
      <c r="AI392" s="8">
        <v>0</v>
      </c>
      <c r="AK392" s="8">
        <f t="shared" si="28"/>
        <v>0</v>
      </c>
      <c r="AM392" s="8">
        <f t="shared" si="29"/>
        <v>20118165</v>
      </c>
    </row>
    <row r="393" spans="1:39">
      <c r="A393" s="13" t="s">
        <v>451</v>
      </c>
      <c r="B393" s="13"/>
      <c r="C393" s="13" t="s">
        <v>37</v>
      </c>
      <c r="D393" s="13"/>
      <c r="E393" s="32">
        <v>44560</v>
      </c>
      <c r="G393" s="8">
        <v>6669607</v>
      </c>
      <c r="I393" s="8">
        <v>1922603</v>
      </c>
      <c r="K393" s="8">
        <v>13316685</v>
      </c>
      <c r="M393" s="8">
        <v>717159</v>
      </c>
      <c r="O393" s="8">
        <v>95273</v>
      </c>
      <c r="Q393" s="8">
        <v>37176</v>
      </c>
      <c r="S393" s="8">
        <v>0</v>
      </c>
      <c r="U393" s="8">
        <v>2094</v>
      </c>
      <c r="W393" s="8">
        <f>30024+17144+26928</f>
        <v>74096</v>
      </c>
      <c r="Y393" s="3">
        <f t="shared" si="27"/>
        <v>22834693</v>
      </c>
      <c r="AA393" s="8">
        <v>0</v>
      </c>
      <c r="AE393" s="8">
        <v>7313</v>
      </c>
      <c r="AG393" s="8">
        <v>0</v>
      </c>
      <c r="AI393" s="8">
        <v>0</v>
      </c>
      <c r="AK393" s="8">
        <f t="shared" si="28"/>
        <v>7313</v>
      </c>
      <c r="AM393" s="8">
        <f t="shared" si="29"/>
        <v>22842006</v>
      </c>
    </row>
    <row r="394" spans="1:39">
      <c r="A394" s="13" t="s">
        <v>902</v>
      </c>
      <c r="B394" s="13"/>
      <c r="C394" s="13" t="s">
        <v>32</v>
      </c>
      <c r="D394" s="13"/>
      <c r="E394" s="32">
        <v>44578</v>
      </c>
      <c r="G394" s="8">
        <v>12956278</v>
      </c>
      <c r="I394" s="8">
        <v>0</v>
      </c>
      <c r="K394" s="8">
        <v>10421181</v>
      </c>
      <c r="M394" s="8">
        <v>324983</v>
      </c>
      <c r="O394" s="8">
        <f>40097</f>
        <v>40097</v>
      </c>
      <c r="Q394" s="8">
        <v>0</v>
      </c>
      <c r="S394" s="8">
        <v>82266</v>
      </c>
      <c r="U394" s="8">
        <v>0</v>
      </c>
      <c r="W394" s="8">
        <f>338813+80703</f>
        <v>419516</v>
      </c>
      <c r="Y394" s="3">
        <f t="shared" si="27"/>
        <v>24244321</v>
      </c>
      <c r="AA394" s="8">
        <v>0</v>
      </c>
      <c r="AE394" s="8">
        <v>0</v>
      </c>
      <c r="AG394" s="8">
        <v>0</v>
      </c>
      <c r="AI394" s="8">
        <v>0</v>
      </c>
      <c r="AK394" s="8">
        <f t="shared" si="28"/>
        <v>0</v>
      </c>
      <c r="AM394" s="8">
        <f t="shared" si="29"/>
        <v>24244321</v>
      </c>
    </row>
    <row r="395" spans="1:39">
      <c r="A395" s="13" t="s">
        <v>409</v>
      </c>
      <c r="B395" s="13"/>
      <c r="C395" s="13" t="s">
        <v>32</v>
      </c>
      <c r="D395" s="13"/>
      <c r="E395" s="32">
        <v>47373</v>
      </c>
      <c r="G395" s="8">
        <v>23091615</v>
      </c>
      <c r="I395" s="8">
        <v>0</v>
      </c>
      <c r="K395" s="8">
        <v>26119369</v>
      </c>
      <c r="M395" s="8">
        <v>1523512</v>
      </c>
      <c r="O395" s="8">
        <v>1473787</v>
      </c>
      <c r="Q395" s="8">
        <v>210083</v>
      </c>
      <c r="S395" s="8">
        <v>7884327</v>
      </c>
      <c r="U395" s="8">
        <v>0</v>
      </c>
      <c r="W395" s="8">
        <v>301884</v>
      </c>
      <c r="Y395" s="3">
        <f t="shared" si="27"/>
        <v>60604577</v>
      </c>
      <c r="AA395" s="8">
        <v>0</v>
      </c>
      <c r="AE395" s="8">
        <v>0</v>
      </c>
      <c r="AG395" s="8">
        <v>0</v>
      </c>
      <c r="AI395" s="8">
        <v>0</v>
      </c>
      <c r="AK395" s="8">
        <f t="shared" si="28"/>
        <v>0</v>
      </c>
      <c r="AM395" s="8">
        <f t="shared" si="29"/>
        <v>60604577</v>
      </c>
    </row>
    <row r="396" spans="1:39">
      <c r="A396" s="13" t="s">
        <v>562</v>
      </c>
      <c r="B396" s="13"/>
      <c r="C396" s="13" t="s">
        <v>50</v>
      </c>
      <c r="D396" s="13"/>
      <c r="E396" s="32">
        <v>44586</v>
      </c>
      <c r="G396" s="8">
        <v>12959816</v>
      </c>
      <c r="I396" s="8">
        <v>0</v>
      </c>
      <c r="K396" s="8">
        <v>7468014</v>
      </c>
      <c r="M396" s="8">
        <v>178529</v>
      </c>
      <c r="O396" s="8">
        <v>73008</v>
      </c>
      <c r="Q396" s="8">
        <v>0</v>
      </c>
      <c r="S396" s="8">
        <v>0</v>
      </c>
      <c r="U396" s="8">
        <v>0</v>
      </c>
      <c r="W396" s="8">
        <f>1485+28239</f>
        <v>29724</v>
      </c>
      <c r="Y396" s="3">
        <f t="shared" si="27"/>
        <v>20709091</v>
      </c>
      <c r="AA396" s="8">
        <v>321627</v>
      </c>
      <c r="AE396" s="8">
        <v>0</v>
      </c>
      <c r="AG396" s="8">
        <v>0</v>
      </c>
      <c r="AI396" s="8">
        <v>0</v>
      </c>
      <c r="AK396" s="8">
        <f t="shared" si="28"/>
        <v>321627</v>
      </c>
      <c r="AM396" s="8">
        <f t="shared" si="29"/>
        <v>21030718</v>
      </c>
    </row>
    <row r="397" spans="1:39">
      <c r="A397" s="13" t="s">
        <v>499</v>
      </c>
      <c r="B397" s="13"/>
      <c r="C397" s="13" t="s">
        <v>44</v>
      </c>
      <c r="D397" s="13"/>
      <c r="E397" s="32">
        <v>44594</v>
      </c>
      <c r="G397" s="8">
        <v>7409835</v>
      </c>
      <c r="I397" s="8">
        <v>0</v>
      </c>
      <c r="K397" s="8">
        <v>3963876</v>
      </c>
      <c r="M397" s="8">
        <v>93189</v>
      </c>
      <c r="O397" s="8">
        <v>310942</v>
      </c>
      <c r="Q397" s="8">
        <v>0</v>
      </c>
      <c r="S397" s="8">
        <v>0</v>
      </c>
      <c r="U397" s="8">
        <v>0</v>
      </c>
      <c r="W397" s="8">
        <v>48581</v>
      </c>
      <c r="Y397" s="3">
        <f t="shared" si="27"/>
        <v>11826423</v>
      </c>
      <c r="AA397" s="8">
        <v>0</v>
      </c>
      <c r="AE397" s="8">
        <v>0</v>
      </c>
      <c r="AG397" s="8">
        <v>0</v>
      </c>
      <c r="AI397" s="8">
        <v>0</v>
      </c>
      <c r="AK397" s="8">
        <f t="shared" si="28"/>
        <v>0</v>
      </c>
      <c r="AM397" s="8">
        <f t="shared" si="29"/>
        <v>11826423</v>
      </c>
    </row>
    <row r="398" spans="1:39" hidden="1">
      <c r="A398" s="13" t="s">
        <v>643</v>
      </c>
      <c r="B398" s="13"/>
      <c r="C398" s="13" t="s">
        <v>60</v>
      </c>
      <c r="D398" s="13"/>
      <c r="E398" s="32">
        <v>49726</v>
      </c>
      <c r="I398" s="8">
        <v>0</v>
      </c>
      <c r="Q398" s="8">
        <v>0</v>
      </c>
      <c r="S398" s="8">
        <v>0</v>
      </c>
      <c r="U398" s="8">
        <v>0</v>
      </c>
      <c r="W398" s="8">
        <v>0</v>
      </c>
      <c r="Y398" s="3">
        <f t="shared" si="27"/>
        <v>0</v>
      </c>
      <c r="AA398" s="8">
        <v>0</v>
      </c>
      <c r="AE398" s="8">
        <v>0</v>
      </c>
      <c r="AG398" s="8">
        <v>0</v>
      </c>
      <c r="AI398" s="8">
        <v>0</v>
      </c>
      <c r="AK398" s="8">
        <f t="shared" si="28"/>
        <v>0</v>
      </c>
      <c r="AM398" s="8">
        <f t="shared" si="29"/>
        <v>0</v>
      </c>
    </row>
    <row r="399" spans="1:39">
      <c r="A399" s="13" t="s">
        <v>339</v>
      </c>
      <c r="B399" s="13"/>
      <c r="C399" s="13" t="s">
        <v>23</v>
      </c>
      <c r="D399" s="13"/>
      <c r="E399" s="32">
        <v>46763</v>
      </c>
      <c r="G399" s="8">
        <v>91351849</v>
      </c>
      <c r="I399" s="8">
        <v>0</v>
      </c>
      <c r="K399" s="8">
        <f>17570571+62447</f>
        <v>17633018</v>
      </c>
      <c r="M399" s="8">
        <v>2641088</v>
      </c>
      <c r="O399" s="8">
        <v>466780</v>
      </c>
      <c r="Q399" s="8">
        <v>0</v>
      </c>
      <c r="S399" s="8">
        <v>0</v>
      </c>
      <c r="U399" s="8">
        <v>0</v>
      </c>
      <c r="W399" s="8">
        <v>906032</v>
      </c>
      <c r="Y399" s="3">
        <f t="shared" si="27"/>
        <v>112998767</v>
      </c>
      <c r="AA399" s="8">
        <v>0</v>
      </c>
      <c r="AE399" s="8">
        <v>14578</v>
      </c>
      <c r="AG399" s="8">
        <v>0</v>
      </c>
      <c r="AI399" s="8">
        <v>0</v>
      </c>
      <c r="AK399" s="8">
        <f t="shared" si="28"/>
        <v>14578</v>
      </c>
      <c r="AM399" s="8">
        <f t="shared" si="29"/>
        <v>113013345</v>
      </c>
    </row>
    <row r="400" spans="1:39">
      <c r="A400" s="13" t="s">
        <v>319</v>
      </c>
      <c r="B400" s="13"/>
      <c r="C400" s="13" t="s">
        <v>20</v>
      </c>
      <c r="D400" s="13"/>
      <c r="E400" s="32">
        <v>46573</v>
      </c>
      <c r="G400" s="8">
        <v>19248665</v>
      </c>
      <c r="I400" s="8">
        <v>0</v>
      </c>
      <c r="K400" s="8">
        <v>14460027</v>
      </c>
      <c r="M400" s="8">
        <v>722500</v>
      </c>
      <c r="O400" s="8">
        <v>108468</v>
      </c>
      <c r="Q400" s="8">
        <v>0</v>
      </c>
      <c r="S400" s="8">
        <v>0</v>
      </c>
      <c r="U400" s="8">
        <v>632</v>
      </c>
      <c r="W400" s="8">
        <f>5892+264185+128142</f>
        <v>398219</v>
      </c>
      <c r="Y400" s="3">
        <f t="shared" si="27"/>
        <v>34938511</v>
      </c>
      <c r="AA400" s="8">
        <v>0</v>
      </c>
      <c r="AE400" s="8">
        <v>15527</v>
      </c>
      <c r="AG400" s="8">
        <v>0</v>
      </c>
      <c r="AI400" s="8">
        <v>0</v>
      </c>
      <c r="AK400" s="8">
        <f t="shared" si="28"/>
        <v>15527</v>
      </c>
      <c r="AM400" s="8">
        <f t="shared" si="29"/>
        <v>34954038</v>
      </c>
    </row>
    <row r="401" spans="1:39">
      <c r="A401" s="13" t="s">
        <v>618</v>
      </c>
      <c r="B401" s="13"/>
      <c r="C401" s="13" t="s">
        <v>113</v>
      </c>
      <c r="D401" s="13"/>
      <c r="E401" s="32">
        <v>49478</v>
      </c>
      <c r="G401" s="8">
        <v>10638563</v>
      </c>
      <c r="I401" s="8">
        <v>0</v>
      </c>
      <c r="K401" s="8">
        <v>4208188</v>
      </c>
      <c r="M401" s="8">
        <v>398175</v>
      </c>
      <c r="O401" s="8">
        <f>148050+85457</f>
        <v>233507</v>
      </c>
      <c r="Q401" s="8">
        <v>0</v>
      </c>
      <c r="S401" s="8">
        <v>0</v>
      </c>
      <c r="U401" s="8">
        <v>0</v>
      </c>
      <c r="W401" s="8">
        <v>41252</v>
      </c>
      <c r="Y401" s="3">
        <f t="shared" si="27"/>
        <v>15519685</v>
      </c>
      <c r="AA401" s="8">
        <v>0</v>
      </c>
      <c r="AE401" s="8">
        <v>0</v>
      </c>
      <c r="AG401" s="8">
        <v>0</v>
      </c>
      <c r="AI401" s="8">
        <v>0</v>
      </c>
      <c r="AK401" s="8">
        <f t="shared" si="28"/>
        <v>0</v>
      </c>
      <c r="AM401" s="8">
        <f t="shared" si="29"/>
        <v>15519685</v>
      </c>
    </row>
    <row r="402" spans="1:39">
      <c r="A402" s="13" t="s">
        <v>320</v>
      </c>
      <c r="B402" s="13"/>
      <c r="C402" s="13" t="s">
        <v>20</v>
      </c>
      <c r="D402" s="13"/>
      <c r="E402" s="32">
        <v>46581</v>
      </c>
      <c r="G402" s="8">
        <v>36845114</v>
      </c>
      <c r="I402" s="8">
        <v>0</v>
      </c>
      <c r="K402" s="8">
        <v>7618159</v>
      </c>
      <c r="M402" s="8">
        <v>1519491</v>
      </c>
      <c r="O402" s="8">
        <f>2820356+5344</f>
        <v>2825700</v>
      </c>
      <c r="Q402" s="8">
        <v>0</v>
      </c>
      <c r="S402" s="8">
        <v>0</v>
      </c>
      <c r="U402" s="8">
        <v>0</v>
      </c>
      <c r="W402" s="8">
        <f>7230+25767</f>
        <v>32997</v>
      </c>
      <c r="Y402" s="3">
        <f t="shared" si="27"/>
        <v>48841461</v>
      </c>
      <c r="AA402" s="8">
        <v>0</v>
      </c>
      <c r="AE402" s="8">
        <f>3612+294690</f>
        <v>298302</v>
      </c>
      <c r="AG402" s="8">
        <v>0</v>
      </c>
      <c r="AI402" s="8">
        <v>0</v>
      </c>
      <c r="AK402" s="8">
        <f t="shared" si="28"/>
        <v>298302</v>
      </c>
      <c r="AM402" s="8">
        <f t="shared" si="29"/>
        <v>49139763</v>
      </c>
    </row>
    <row r="403" spans="1:39">
      <c r="A403" s="13" t="s">
        <v>504</v>
      </c>
      <c r="B403" s="13"/>
      <c r="C403" s="13" t="s">
        <v>118</v>
      </c>
      <c r="D403" s="13"/>
      <c r="E403" s="32">
        <v>44602</v>
      </c>
      <c r="G403" s="8">
        <v>20896249</v>
      </c>
      <c r="I403" s="8">
        <v>0</v>
      </c>
      <c r="K403" s="8">
        <f>15723664+4529</f>
        <v>15728193</v>
      </c>
      <c r="M403" s="8">
        <v>238199</v>
      </c>
      <c r="O403" s="8">
        <f>950954+116050</f>
        <v>1067004</v>
      </c>
      <c r="Q403" s="8">
        <v>0</v>
      </c>
      <c r="S403" s="8">
        <v>688239</v>
      </c>
      <c r="U403" s="8">
        <v>0</v>
      </c>
      <c r="W403" s="8">
        <f>43698</f>
        <v>43698</v>
      </c>
      <c r="Y403" s="3">
        <f t="shared" si="27"/>
        <v>38661582</v>
      </c>
      <c r="AA403" s="8">
        <v>0</v>
      </c>
      <c r="AE403" s="8">
        <v>9305</v>
      </c>
      <c r="AG403" s="8">
        <v>0</v>
      </c>
      <c r="AI403" s="8">
        <v>0</v>
      </c>
      <c r="AK403" s="8">
        <f t="shared" si="28"/>
        <v>9305</v>
      </c>
      <c r="AM403" s="8">
        <f t="shared" si="29"/>
        <v>38670887</v>
      </c>
    </row>
    <row r="404" spans="1:39">
      <c r="A404" s="13" t="s">
        <v>729</v>
      </c>
      <c r="B404" s="13"/>
      <c r="C404" s="13" t="s">
        <v>71</v>
      </c>
      <c r="D404" s="13"/>
      <c r="E404" s="32">
        <v>44610</v>
      </c>
      <c r="G404" s="8">
        <v>6662591</v>
      </c>
      <c r="I404" s="8">
        <v>0</v>
      </c>
      <c r="K404" s="8">
        <v>7011744</v>
      </c>
      <c r="M404" s="8">
        <v>194655</v>
      </c>
      <c r="O404" s="8">
        <v>277897</v>
      </c>
      <c r="Q404" s="8">
        <v>17785</v>
      </c>
      <c r="S404" s="8">
        <v>0</v>
      </c>
      <c r="U404" s="8">
        <v>10</v>
      </c>
      <c r="W404" s="8">
        <f>6463+8023</f>
        <v>14486</v>
      </c>
      <c r="Y404" s="3">
        <f t="shared" si="27"/>
        <v>14179168</v>
      </c>
      <c r="AA404" s="8">
        <v>0</v>
      </c>
      <c r="AE404" s="8">
        <v>0</v>
      </c>
      <c r="AG404" s="8">
        <v>0</v>
      </c>
      <c r="AI404" s="8">
        <v>0</v>
      </c>
      <c r="AK404" s="8">
        <f t="shared" si="28"/>
        <v>0</v>
      </c>
      <c r="AM404" s="8">
        <f t="shared" si="29"/>
        <v>14179168</v>
      </c>
    </row>
    <row r="405" spans="1:39">
      <c r="A405" s="13" t="s">
        <v>664</v>
      </c>
      <c r="B405" s="13"/>
      <c r="C405" s="13" t="s">
        <v>62</v>
      </c>
      <c r="D405" s="13"/>
      <c r="E405" s="32">
        <v>49916</v>
      </c>
      <c r="G405" s="8">
        <v>2312107</v>
      </c>
      <c r="I405" s="8">
        <v>0</v>
      </c>
      <c r="K405" s="8">
        <v>4278656</v>
      </c>
      <c r="M405" s="8">
        <v>233586</v>
      </c>
      <c r="O405" s="8">
        <f>363921+32526</f>
        <v>396447</v>
      </c>
      <c r="Q405" s="8">
        <v>0</v>
      </c>
      <c r="S405" s="8">
        <v>0</v>
      </c>
      <c r="U405" s="8">
        <v>0</v>
      </c>
      <c r="W405" s="8">
        <v>30242</v>
      </c>
      <c r="Y405" s="3">
        <f t="shared" si="27"/>
        <v>7251038</v>
      </c>
      <c r="AA405" s="8">
        <v>0</v>
      </c>
      <c r="AE405" s="8">
        <v>4474</v>
      </c>
      <c r="AG405" s="8">
        <v>0</v>
      </c>
      <c r="AI405" s="8">
        <v>0</v>
      </c>
      <c r="AK405" s="8">
        <f t="shared" si="28"/>
        <v>4474</v>
      </c>
      <c r="AM405" s="8">
        <f t="shared" si="29"/>
        <v>7255512</v>
      </c>
    </row>
    <row r="406" spans="1:39">
      <c r="A406" s="13" t="s">
        <v>743</v>
      </c>
      <c r="B406" s="13"/>
      <c r="C406" s="13" t="s">
        <v>72</v>
      </c>
      <c r="D406" s="13"/>
      <c r="E406" s="32">
        <v>50724</v>
      </c>
      <c r="G406" s="8">
        <v>3888845</v>
      </c>
      <c r="I406" s="8">
        <v>2509647</v>
      </c>
      <c r="K406" s="8">
        <v>6365754</v>
      </c>
      <c r="M406" s="8">
        <v>139173</v>
      </c>
      <c r="O406" s="8">
        <v>643945</v>
      </c>
      <c r="Q406" s="8">
        <v>8430</v>
      </c>
      <c r="S406" s="8">
        <v>0</v>
      </c>
      <c r="U406" s="8">
        <v>1680</v>
      </c>
      <c r="W406" s="8">
        <v>68135</v>
      </c>
      <c r="Y406" s="3">
        <f t="shared" si="27"/>
        <v>13625609</v>
      </c>
      <c r="AA406" s="8">
        <v>0</v>
      </c>
      <c r="AE406" s="8">
        <v>0</v>
      </c>
      <c r="AG406" s="8">
        <v>0</v>
      </c>
      <c r="AI406" s="8">
        <v>0</v>
      </c>
      <c r="AK406" s="8">
        <f t="shared" si="28"/>
        <v>0</v>
      </c>
      <c r="AM406" s="8">
        <f t="shared" si="29"/>
        <v>13625609</v>
      </c>
    </row>
    <row r="407" spans="1:39">
      <c r="A407" s="13" t="s">
        <v>505</v>
      </c>
      <c r="B407" s="13"/>
      <c r="C407" s="13" t="s">
        <v>118</v>
      </c>
      <c r="D407" s="13"/>
      <c r="E407" s="32">
        <v>48215</v>
      </c>
      <c r="G407" s="8">
        <v>8632586</v>
      </c>
      <c r="I407" s="8">
        <v>0</v>
      </c>
      <c r="K407" s="8">
        <v>3014808</v>
      </c>
      <c r="M407" s="8">
        <v>417842</v>
      </c>
      <c r="O407" s="8">
        <f>66278+2526+47883</f>
        <v>116687</v>
      </c>
      <c r="Q407" s="8">
        <v>57003</v>
      </c>
      <c r="S407" s="8">
        <v>0</v>
      </c>
      <c r="U407" s="8">
        <v>0</v>
      </c>
      <c r="W407" s="8">
        <v>13253</v>
      </c>
      <c r="Y407" s="3">
        <f t="shared" si="27"/>
        <v>12252179</v>
      </c>
      <c r="AA407" s="8">
        <v>0</v>
      </c>
      <c r="AE407" s="8">
        <v>13950</v>
      </c>
      <c r="AG407" s="8">
        <v>0</v>
      </c>
      <c r="AI407" s="8">
        <v>0</v>
      </c>
      <c r="AK407" s="8">
        <f t="shared" si="28"/>
        <v>13950</v>
      </c>
      <c r="AM407" s="8">
        <f t="shared" si="29"/>
        <v>12266129</v>
      </c>
    </row>
    <row r="408" spans="1:39" hidden="1">
      <c r="A408" s="13" t="s">
        <v>611</v>
      </c>
      <c r="B408" s="13"/>
      <c r="C408" s="13" t="s">
        <v>608</v>
      </c>
      <c r="D408" s="13"/>
      <c r="E408" s="32">
        <v>49379</v>
      </c>
      <c r="Y408" s="3">
        <f t="shared" si="27"/>
        <v>0</v>
      </c>
      <c r="AA408" s="8">
        <v>0</v>
      </c>
      <c r="AE408" s="8">
        <v>0</v>
      </c>
      <c r="AG408" s="8">
        <v>0</v>
      </c>
      <c r="AI408" s="8">
        <v>0</v>
      </c>
      <c r="AK408" s="8">
        <f t="shared" ref="AK408:AK457" si="30">SUM(AA408:AJ408)</f>
        <v>0</v>
      </c>
      <c r="AM408" s="8">
        <f t="shared" si="29"/>
        <v>0</v>
      </c>
    </row>
    <row r="409" spans="1:39" hidden="1">
      <c r="A409" s="13" t="s">
        <v>612</v>
      </c>
      <c r="B409" s="13"/>
      <c r="C409" s="13" t="s">
        <v>608</v>
      </c>
      <c r="D409" s="13"/>
      <c r="E409" s="32">
        <v>49387</v>
      </c>
      <c r="Y409" s="3">
        <f t="shared" si="27"/>
        <v>0</v>
      </c>
      <c r="AA409" s="8">
        <v>0</v>
      </c>
      <c r="AE409" s="8">
        <v>0</v>
      </c>
      <c r="AG409" s="8">
        <v>0</v>
      </c>
      <c r="AI409" s="8">
        <v>0</v>
      </c>
      <c r="AK409" s="8">
        <f t="shared" si="30"/>
        <v>0</v>
      </c>
      <c r="AM409" s="8">
        <f t="shared" si="29"/>
        <v>0</v>
      </c>
    </row>
    <row r="410" spans="1:39">
      <c r="A410" s="13" t="s">
        <v>466</v>
      </c>
      <c r="B410" s="13"/>
      <c r="C410" s="13" t="s">
        <v>41</v>
      </c>
      <c r="D410" s="13"/>
      <c r="E410" s="32">
        <v>44628</v>
      </c>
      <c r="G410" s="8">
        <v>9470491</v>
      </c>
      <c r="I410" s="8">
        <v>0</v>
      </c>
      <c r="K410" s="8">
        <v>16003248</v>
      </c>
      <c r="M410" s="8">
        <v>405899</v>
      </c>
      <c r="O410" s="8">
        <v>1245507</v>
      </c>
      <c r="Q410" s="8">
        <v>7820</v>
      </c>
      <c r="S410" s="8">
        <v>0</v>
      </c>
      <c r="U410" s="8">
        <v>0</v>
      </c>
      <c r="W410" s="8">
        <v>414833</v>
      </c>
      <c r="Y410" s="3">
        <f t="shared" si="27"/>
        <v>27547798</v>
      </c>
      <c r="AA410" s="8">
        <v>0</v>
      </c>
      <c r="AE410" s="8">
        <v>0</v>
      </c>
      <c r="AG410" s="8">
        <v>7710</v>
      </c>
      <c r="AI410" s="8">
        <v>0</v>
      </c>
      <c r="AK410" s="8">
        <f t="shared" si="30"/>
        <v>7710</v>
      </c>
      <c r="AM410" s="8">
        <f t="shared" si="29"/>
        <v>27555508</v>
      </c>
    </row>
    <row r="411" spans="1:39" hidden="1">
      <c r="A411" s="13" t="s">
        <v>467</v>
      </c>
      <c r="B411" s="13"/>
      <c r="C411" s="13" t="s">
        <v>41</v>
      </c>
      <c r="D411" s="13"/>
      <c r="E411" s="32">
        <v>47894</v>
      </c>
      <c r="Y411" s="3">
        <f t="shared" si="27"/>
        <v>0</v>
      </c>
      <c r="AA411" s="8">
        <v>0</v>
      </c>
      <c r="AE411" s="8">
        <v>0</v>
      </c>
      <c r="AI411" s="8">
        <v>0</v>
      </c>
      <c r="AK411" s="8">
        <f t="shared" si="30"/>
        <v>0</v>
      </c>
      <c r="AM411" s="8">
        <f t="shared" si="29"/>
        <v>0</v>
      </c>
    </row>
    <row r="412" spans="1:39">
      <c r="A412" s="13" t="s">
        <v>624</v>
      </c>
      <c r="B412" s="13"/>
      <c r="C412" s="13" t="s">
        <v>58</v>
      </c>
      <c r="D412" s="13"/>
      <c r="E412" s="32">
        <v>49510</v>
      </c>
      <c r="G412" s="8">
        <v>1289671</v>
      </c>
      <c r="I412" s="8">
        <v>0</v>
      </c>
      <c r="K412" s="8">
        <v>6844336</v>
      </c>
      <c r="M412" s="8">
        <v>161658</v>
      </c>
      <c r="O412" s="8">
        <v>533167</v>
      </c>
      <c r="Q412" s="8">
        <v>0</v>
      </c>
      <c r="S412" s="8">
        <v>0</v>
      </c>
      <c r="U412" s="8">
        <v>0</v>
      </c>
      <c r="W412" s="8">
        <f>57190+470</f>
        <v>57660</v>
      </c>
      <c r="Y412" s="3">
        <f t="shared" si="27"/>
        <v>8886492</v>
      </c>
      <c r="AA412" s="8">
        <v>0</v>
      </c>
      <c r="AE412" s="8">
        <v>0</v>
      </c>
      <c r="AG412" s="8">
        <f>63110+50000</f>
        <v>113110</v>
      </c>
      <c r="AI412" s="8">
        <v>0</v>
      </c>
      <c r="AK412" s="8">
        <f t="shared" si="30"/>
        <v>113110</v>
      </c>
      <c r="AM412" s="8">
        <f t="shared" si="29"/>
        <v>8999602</v>
      </c>
    </row>
    <row r="413" spans="1:39" hidden="1">
      <c r="A413" s="13" t="s">
        <v>613</v>
      </c>
      <c r="B413" s="13"/>
      <c r="C413" s="13" t="s">
        <v>608</v>
      </c>
      <c r="D413" s="13"/>
      <c r="E413" s="32">
        <v>49395</v>
      </c>
      <c r="Y413" s="3">
        <f t="shared" si="27"/>
        <v>0</v>
      </c>
      <c r="AA413" s="8">
        <v>0</v>
      </c>
      <c r="AE413" s="8">
        <v>0</v>
      </c>
      <c r="AG413" s="8">
        <v>0</v>
      </c>
      <c r="AI413" s="8">
        <v>0</v>
      </c>
      <c r="AK413" s="8">
        <f t="shared" si="30"/>
        <v>0</v>
      </c>
      <c r="AM413" s="8">
        <f t="shared" si="29"/>
        <v>0</v>
      </c>
    </row>
    <row r="414" spans="1:39" hidden="1">
      <c r="A414" s="13" t="s">
        <v>541</v>
      </c>
      <c r="B414" s="13"/>
      <c r="C414" s="13" t="s">
        <v>540</v>
      </c>
      <c r="D414" s="13"/>
      <c r="E414" s="32">
        <v>48579</v>
      </c>
      <c r="Y414" s="3">
        <f t="shared" si="27"/>
        <v>0</v>
      </c>
      <c r="AA414" s="8">
        <v>0</v>
      </c>
      <c r="AE414" s="8">
        <v>0</v>
      </c>
      <c r="AG414" s="8">
        <v>0</v>
      </c>
      <c r="AI414" s="8">
        <v>0</v>
      </c>
      <c r="AK414" s="8">
        <f t="shared" si="30"/>
        <v>0</v>
      </c>
      <c r="AM414" s="8">
        <f t="shared" si="29"/>
        <v>0</v>
      </c>
    </row>
    <row r="415" spans="1:39">
      <c r="A415" s="13" t="s">
        <v>321</v>
      </c>
      <c r="B415" s="13"/>
      <c r="C415" s="13" t="s">
        <v>20</v>
      </c>
      <c r="D415" s="13"/>
      <c r="E415" s="32">
        <v>44636</v>
      </c>
      <c r="G415" s="8">
        <v>83261631</v>
      </c>
      <c r="I415" s="8">
        <v>0</v>
      </c>
      <c r="K415" s="8">
        <v>37533291</v>
      </c>
      <c r="M415" s="8">
        <v>1411491</v>
      </c>
      <c r="O415" s="8">
        <v>2045771</v>
      </c>
      <c r="Q415" s="8">
        <v>209862</v>
      </c>
      <c r="S415" s="8">
        <v>0</v>
      </c>
      <c r="U415" s="8">
        <v>78043</v>
      </c>
      <c r="W415" s="8">
        <f>273337+2485820+303259</f>
        <v>3062416</v>
      </c>
      <c r="Y415" s="3">
        <f t="shared" si="27"/>
        <v>127602505</v>
      </c>
      <c r="AA415" s="8">
        <v>0</v>
      </c>
      <c r="AE415" s="8">
        <v>0</v>
      </c>
      <c r="AG415" s="8">
        <f>1612073+20510</f>
        <v>1632583</v>
      </c>
      <c r="AI415" s="8">
        <v>0</v>
      </c>
      <c r="AK415" s="8">
        <f t="shared" si="30"/>
        <v>1632583</v>
      </c>
      <c r="AM415" s="8">
        <f t="shared" si="29"/>
        <v>129235088</v>
      </c>
    </row>
    <row r="416" spans="1:39">
      <c r="A416" s="13" t="s">
        <v>438</v>
      </c>
      <c r="B416" s="13"/>
      <c r="C416" s="13" t="s">
        <v>34</v>
      </c>
      <c r="D416" s="13"/>
      <c r="E416" s="32">
        <v>47597</v>
      </c>
      <c r="G416" s="8">
        <v>2505064</v>
      </c>
      <c r="I416" s="8">
        <v>1878643</v>
      </c>
      <c r="K416" s="8">
        <v>4897904</v>
      </c>
      <c r="M416" s="8">
        <v>46989</v>
      </c>
      <c r="O416" s="8">
        <v>388644</v>
      </c>
      <c r="Q416" s="8">
        <v>0</v>
      </c>
      <c r="S416" s="8">
        <v>0</v>
      </c>
      <c r="U416" s="8">
        <v>0</v>
      </c>
      <c r="W416" s="8">
        <v>7014</v>
      </c>
      <c r="Y416" s="3">
        <f t="shared" si="27"/>
        <v>9724258</v>
      </c>
      <c r="AA416" s="8">
        <v>0</v>
      </c>
      <c r="AE416" s="8">
        <v>0</v>
      </c>
      <c r="AG416" s="8">
        <v>0</v>
      </c>
      <c r="AI416" s="8">
        <v>0</v>
      </c>
      <c r="AK416" s="8">
        <f t="shared" si="30"/>
        <v>0</v>
      </c>
      <c r="AM416" s="8">
        <f t="shared" si="29"/>
        <v>9724258</v>
      </c>
    </row>
    <row r="417" spans="1:39" hidden="1">
      <c r="A417" s="13" t="s">
        <v>584</v>
      </c>
      <c r="B417" s="13"/>
      <c r="C417" s="13" t="s">
        <v>583</v>
      </c>
      <c r="D417" s="13"/>
      <c r="E417" s="32">
        <v>45575</v>
      </c>
      <c r="Y417" s="3">
        <f t="shared" si="27"/>
        <v>0</v>
      </c>
      <c r="AA417" s="8">
        <v>0</v>
      </c>
      <c r="AI417" s="8">
        <v>0</v>
      </c>
      <c r="AK417" s="8">
        <f t="shared" si="30"/>
        <v>0</v>
      </c>
      <c r="AM417" s="8">
        <f t="shared" si="29"/>
        <v>0</v>
      </c>
    </row>
    <row r="418" spans="1:39">
      <c r="A418" s="13" t="s">
        <v>344</v>
      </c>
      <c r="B418" s="13"/>
      <c r="C418" s="13" t="s">
        <v>24</v>
      </c>
      <c r="D418" s="13"/>
      <c r="E418" s="32">
        <v>46813</v>
      </c>
      <c r="G418" s="8">
        <v>13125482</v>
      </c>
      <c r="I418" s="8">
        <v>0</v>
      </c>
      <c r="K418" s="8">
        <v>6733725</v>
      </c>
      <c r="M418" s="8">
        <v>300022</v>
      </c>
      <c r="O418" s="8">
        <f>205020+6133+105169</f>
        <v>316322</v>
      </c>
      <c r="Q418" s="8">
        <v>50513</v>
      </c>
      <c r="S418" s="8">
        <v>0</v>
      </c>
      <c r="U418" s="8">
        <v>0</v>
      </c>
      <c r="W418" s="8">
        <v>54517</v>
      </c>
      <c r="Y418" s="3">
        <f t="shared" si="27"/>
        <v>20580581</v>
      </c>
      <c r="AA418" s="8">
        <v>0</v>
      </c>
      <c r="AE418" s="8">
        <v>0</v>
      </c>
      <c r="AG418" s="8">
        <v>0</v>
      </c>
      <c r="AI418" s="8">
        <v>0</v>
      </c>
      <c r="AK418" s="8">
        <f t="shared" si="30"/>
        <v>0</v>
      </c>
      <c r="AM418" s="8">
        <f t="shared" si="29"/>
        <v>20580581</v>
      </c>
    </row>
    <row r="419" spans="1:39">
      <c r="A419" s="13" t="s">
        <v>213</v>
      </c>
      <c r="B419" s="13"/>
      <c r="C419" s="13" t="s">
        <v>41</v>
      </c>
      <c r="D419" s="13"/>
      <c r="E419" s="32">
        <v>47902</v>
      </c>
      <c r="G419" s="8">
        <v>17400098</v>
      </c>
      <c r="I419" s="8">
        <v>0</v>
      </c>
      <c r="K419" s="8">
        <v>11995805</v>
      </c>
      <c r="M419" s="8">
        <v>798479</v>
      </c>
      <c r="O419" s="8">
        <f>44066+21035</f>
        <v>65101</v>
      </c>
      <c r="Q419" s="8">
        <v>0</v>
      </c>
      <c r="S419" s="8">
        <v>0</v>
      </c>
      <c r="U419" s="8">
        <v>0</v>
      </c>
      <c r="W419" s="8">
        <v>77406</v>
      </c>
      <c r="Y419" s="3">
        <f t="shared" si="27"/>
        <v>30336889</v>
      </c>
      <c r="AA419" s="8">
        <v>0</v>
      </c>
      <c r="AE419" s="8">
        <v>188400</v>
      </c>
      <c r="AG419" s="8">
        <v>2516</v>
      </c>
      <c r="AI419" s="8">
        <v>0</v>
      </c>
      <c r="AK419" s="8">
        <f t="shared" si="30"/>
        <v>190916</v>
      </c>
      <c r="AM419" s="8">
        <f t="shared" si="29"/>
        <v>30527805</v>
      </c>
    </row>
    <row r="420" spans="1:39">
      <c r="A420" s="13" t="s">
        <v>213</v>
      </c>
      <c r="B420" s="13"/>
      <c r="C420" s="13" t="s">
        <v>62</v>
      </c>
      <c r="D420" s="13"/>
      <c r="E420" s="32">
        <v>49924</v>
      </c>
      <c r="G420" s="8">
        <v>19848419</v>
      </c>
      <c r="I420" s="8">
        <v>0</v>
      </c>
      <c r="K420" s="8">
        <v>19606021</v>
      </c>
      <c r="M420" s="8">
        <v>1238278</v>
      </c>
      <c r="O420" s="8">
        <v>1535517</v>
      </c>
      <c r="Q420" s="8">
        <v>30124</v>
      </c>
      <c r="S420" s="8">
        <v>0</v>
      </c>
      <c r="U420" s="8">
        <v>11500</v>
      </c>
      <c r="W420" s="8">
        <f>14596+46215+276372</f>
        <v>337183</v>
      </c>
      <c r="Y420" s="3">
        <f t="shared" si="27"/>
        <v>42607042</v>
      </c>
      <c r="AA420" s="8">
        <v>0</v>
      </c>
      <c r="AE420" s="8">
        <v>0</v>
      </c>
      <c r="AG420" s="8">
        <v>3029</v>
      </c>
      <c r="AI420" s="8">
        <v>0</v>
      </c>
      <c r="AK420" s="8">
        <f t="shared" si="30"/>
        <v>3029</v>
      </c>
      <c r="AM420" s="8">
        <f t="shared" si="29"/>
        <v>42610071</v>
      </c>
    </row>
    <row r="421" spans="1:39">
      <c r="A421" s="13" t="s">
        <v>744</v>
      </c>
      <c r="B421" s="13"/>
      <c r="C421" s="13" t="s">
        <v>72</v>
      </c>
      <c r="D421" s="13"/>
      <c r="E421" s="13">
        <v>45583</v>
      </c>
      <c r="G421" s="8">
        <v>24304441</v>
      </c>
      <c r="I421" s="8">
        <v>0</v>
      </c>
      <c r="K421" s="8">
        <v>12058056</v>
      </c>
      <c r="M421" s="8">
        <v>349820</v>
      </c>
      <c r="O421" s="8">
        <v>117137</v>
      </c>
      <c r="Q421" s="8">
        <v>0</v>
      </c>
      <c r="S421" s="8">
        <v>0</v>
      </c>
      <c r="U421" s="8">
        <v>0</v>
      </c>
      <c r="W421" s="8">
        <v>600086</v>
      </c>
      <c r="Y421" s="3">
        <f t="shared" si="27"/>
        <v>37429540</v>
      </c>
      <c r="AA421" s="8">
        <v>0</v>
      </c>
      <c r="AE421" s="8">
        <v>0</v>
      </c>
      <c r="AG421" s="8">
        <v>0</v>
      </c>
      <c r="AI421" s="8">
        <v>0</v>
      </c>
      <c r="AK421" s="8">
        <f t="shared" si="30"/>
        <v>0</v>
      </c>
      <c r="AM421" s="8">
        <f t="shared" si="29"/>
        <v>37429540</v>
      </c>
    </row>
    <row r="422" spans="1:39">
      <c r="A422" s="13" t="s">
        <v>375</v>
      </c>
      <c r="B422" s="13"/>
      <c r="C422" s="13" t="s">
        <v>28</v>
      </c>
      <c r="D422" s="13"/>
      <c r="E422" s="32">
        <v>47076</v>
      </c>
      <c r="G422" s="8">
        <v>1072949</v>
      </c>
      <c r="I422" s="8">
        <v>452638</v>
      </c>
      <c r="K422" s="8">
        <v>2062517</v>
      </c>
      <c r="M422" s="8">
        <v>50948</v>
      </c>
      <c r="O422" s="8">
        <v>848138</v>
      </c>
      <c r="Q422" s="8">
        <v>0</v>
      </c>
      <c r="S422" s="8">
        <v>0</v>
      </c>
      <c r="U422" s="8">
        <v>761</v>
      </c>
      <c r="W422" s="8">
        <f>686+5324</f>
        <v>6010</v>
      </c>
      <c r="Y422" s="3">
        <f t="shared" si="27"/>
        <v>4493961</v>
      </c>
      <c r="AA422" s="8">
        <v>0</v>
      </c>
      <c r="AE422" s="8">
        <v>0</v>
      </c>
      <c r="AG422" s="8">
        <v>463</v>
      </c>
      <c r="AI422" s="8">
        <v>0</v>
      </c>
      <c r="AK422" s="8">
        <f t="shared" si="30"/>
        <v>463</v>
      </c>
      <c r="AM422" s="8">
        <f t="shared" si="29"/>
        <v>4494424</v>
      </c>
    </row>
    <row r="423" spans="1:39">
      <c r="A423" s="13" t="s">
        <v>353</v>
      </c>
      <c r="B423" s="13"/>
      <c r="C423" s="13" t="s">
        <v>25</v>
      </c>
      <c r="D423" s="13"/>
      <c r="E423" s="32">
        <v>46896</v>
      </c>
      <c r="G423" s="8">
        <v>40528147</v>
      </c>
      <c r="I423" s="8">
        <v>0</v>
      </c>
      <c r="K423" s="8">
        <v>45781851</v>
      </c>
      <c r="M423" s="8">
        <v>1789578</v>
      </c>
      <c r="O423" s="8">
        <v>408019</v>
      </c>
      <c r="Q423" s="8">
        <v>0</v>
      </c>
      <c r="S423" s="8">
        <v>0</v>
      </c>
      <c r="U423" s="8">
        <v>0</v>
      </c>
      <c r="W423" s="8">
        <v>157248</v>
      </c>
      <c r="Y423" s="3">
        <f t="shared" si="27"/>
        <v>88664843</v>
      </c>
      <c r="AA423" s="8">
        <v>0</v>
      </c>
      <c r="AE423" s="8">
        <v>0</v>
      </c>
      <c r="AG423" s="8">
        <v>0</v>
      </c>
      <c r="AI423" s="8">
        <v>0</v>
      </c>
      <c r="AK423" s="8">
        <f t="shared" si="30"/>
        <v>0</v>
      </c>
      <c r="AM423" s="8">
        <f t="shared" si="29"/>
        <v>88664843</v>
      </c>
    </row>
    <row r="424" spans="1:39">
      <c r="A424" s="13" t="s">
        <v>376</v>
      </c>
      <c r="B424" s="13"/>
      <c r="C424" s="13" t="s">
        <v>28</v>
      </c>
      <c r="D424" s="13"/>
      <c r="E424" s="32">
        <v>47084</v>
      </c>
      <c r="G424" s="8">
        <v>5946165</v>
      </c>
      <c r="I424" s="8">
        <v>0</v>
      </c>
      <c r="K424" s="8">
        <v>7333208</v>
      </c>
      <c r="M424" s="8">
        <v>283630</v>
      </c>
      <c r="O424" s="8">
        <v>572300</v>
      </c>
      <c r="Q424" s="8">
        <v>6516</v>
      </c>
      <c r="S424" s="8">
        <v>453160</v>
      </c>
      <c r="U424" s="8">
        <v>658</v>
      </c>
      <c r="W424" s="8">
        <v>156732</v>
      </c>
      <c r="Y424" s="3">
        <f t="shared" si="27"/>
        <v>14752369</v>
      </c>
      <c r="AA424" s="8">
        <v>0</v>
      </c>
      <c r="AE424" s="8">
        <v>0</v>
      </c>
      <c r="AG424" s="8">
        <v>0</v>
      </c>
      <c r="AI424" s="8">
        <v>0</v>
      </c>
      <c r="AK424" s="8">
        <f t="shared" si="30"/>
        <v>0</v>
      </c>
      <c r="AM424" s="8">
        <f t="shared" si="29"/>
        <v>14752369</v>
      </c>
    </row>
    <row r="425" spans="1:39">
      <c r="A425" s="13" t="s">
        <v>548</v>
      </c>
      <c r="B425" s="13"/>
      <c r="C425" s="13" t="s">
        <v>48</v>
      </c>
      <c r="D425" s="13"/>
      <c r="E425" s="32">
        <v>44644</v>
      </c>
      <c r="G425" s="8">
        <v>12246165</v>
      </c>
      <c r="I425" s="8">
        <v>0</v>
      </c>
      <c r="K425" s="8">
        <f>14129292+79304</f>
        <v>14208596</v>
      </c>
      <c r="M425" s="8">
        <v>186225</v>
      </c>
      <c r="O425" s="8">
        <f>7460+37531+143340</f>
        <v>188331</v>
      </c>
      <c r="Q425" s="8">
        <v>0</v>
      </c>
      <c r="S425" s="8">
        <v>0</v>
      </c>
      <c r="U425" s="8">
        <v>0</v>
      </c>
      <c r="W425" s="8">
        <f>9278+418005</f>
        <v>427283</v>
      </c>
      <c r="Y425" s="3">
        <f t="shared" si="27"/>
        <v>27256600</v>
      </c>
      <c r="AA425" s="8">
        <v>0</v>
      </c>
      <c r="AE425" s="8">
        <v>0</v>
      </c>
      <c r="AG425" s="8">
        <v>900</v>
      </c>
      <c r="AI425" s="8">
        <v>0</v>
      </c>
      <c r="AK425" s="8">
        <f t="shared" si="30"/>
        <v>900</v>
      </c>
      <c r="AM425" s="8">
        <f t="shared" si="29"/>
        <v>27257500</v>
      </c>
    </row>
    <row r="426" spans="1:39" hidden="1">
      <c r="A426" s="13" t="s">
        <v>365</v>
      </c>
      <c r="B426" s="13"/>
      <c r="C426" s="13" t="s">
        <v>27</v>
      </c>
      <c r="D426" s="13"/>
      <c r="E426" s="32">
        <v>46995</v>
      </c>
      <c r="Y426" s="3">
        <f t="shared" si="27"/>
        <v>0</v>
      </c>
      <c r="AA426" s="8">
        <v>0</v>
      </c>
      <c r="AE426" s="8">
        <v>0</v>
      </c>
      <c r="AG426" s="8">
        <v>0</v>
      </c>
      <c r="AI426" s="8">
        <v>0</v>
      </c>
      <c r="AK426" s="8">
        <f t="shared" si="30"/>
        <v>0</v>
      </c>
      <c r="AM426" s="8">
        <f t="shared" si="29"/>
        <v>0</v>
      </c>
    </row>
    <row r="427" spans="1:39">
      <c r="A427" s="13"/>
      <c r="B427" s="13"/>
      <c r="C427" s="13"/>
      <c r="D427" s="13"/>
      <c r="E427" s="32"/>
      <c r="Y427" s="3"/>
    </row>
    <row r="428" spans="1:39">
      <c r="A428" s="13"/>
      <c r="B428" s="13"/>
      <c r="C428" s="13"/>
      <c r="D428" s="13"/>
      <c r="E428" s="32"/>
      <c r="Y428" s="3"/>
      <c r="AM428" s="8" t="s">
        <v>819</v>
      </c>
    </row>
    <row r="429" spans="1:39" s="35" customFormat="1">
      <c r="A429" s="34" t="s">
        <v>365</v>
      </c>
      <c r="B429" s="34"/>
      <c r="C429" s="34" t="s">
        <v>62</v>
      </c>
      <c r="D429" s="34"/>
      <c r="E429" s="34">
        <v>49932</v>
      </c>
      <c r="G429" s="35">
        <v>22284758</v>
      </c>
      <c r="I429" s="35">
        <v>0</v>
      </c>
      <c r="K429" s="35">
        <v>20875309</v>
      </c>
      <c r="M429" s="35">
        <v>840818</v>
      </c>
      <c r="O429" s="35">
        <f>638160+63999+228704</f>
        <v>930863</v>
      </c>
      <c r="Q429" s="35">
        <v>331925</v>
      </c>
      <c r="S429" s="35">
        <v>0</v>
      </c>
      <c r="U429" s="35">
        <v>0</v>
      </c>
      <c r="W429" s="35">
        <v>170371</v>
      </c>
      <c r="Y429" s="42">
        <f t="shared" si="27"/>
        <v>45434044</v>
      </c>
      <c r="AA429" s="35">
        <v>0</v>
      </c>
      <c r="AE429" s="35">
        <v>0</v>
      </c>
      <c r="AG429" s="35">
        <v>4854</v>
      </c>
      <c r="AI429" s="35">
        <v>0</v>
      </c>
      <c r="AK429" s="35">
        <f t="shared" si="30"/>
        <v>4854</v>
      </c>
      <c r="AM429" s="35">
        <f t="shared" si="29"/>
        <v>45438898</v>
      </c>
    </row>
    <row r="430" spans="1:39">
      <c r="A430" s="13" t="s">
        <v>528</v>
      </c>
      <c r="B430" s="13"/>
      <c r="C430" s="13" t="s">
        <v>46</v>
      </c>
      <c r="D430" s="13"/>
      <c r="E430" s="32">
        <v>48421</v>
      </c>
      <c r="G430" s="8">
        <v>4152760</v>
      </c>
      <c r="I430" s="8">
        <v>0</v>
      </c>
      <c r="K430" s="8">
        <v>4810506</v>
      </c>
      <c r="M430" s="8">
        <v>245284</v>
      </c>
      <c r="O430" s="8">
        <v>2010850</v>
      </c>
      <c r="Q430" s="8">
        <v>13355</v>
      </c>
      <c r="S430" s="8">
        <v>0</v>
      </c>
      <c r="U430" s="8">
        <v>1075</v>
      </c>
      <c r="W430" s="8">
        <f>43923+51344</f>
        <v>95267</v>
      </c>
      <c r="Y430" s="3">
        <f t="shared" ref="Y430:Y457" si="31">SUM(G430:X430)</f>
        <v>11329097</v>
      </c>
      <c r="AA430" s="8">
        <v>0</v>
      </c>
      <c r="AE430" s="8">
        <v>0</v>
      </c>
      <c r="AG430" s="8">
        <v>0</v>
      </c>
      <c r="AI430" s="8">
        <v>0</v>
      </c>
      <c r="AK430" s="8">
        <f t="shared" si="30"/>
        <v>0</v>
      </c>
      <c r="AM430" s="8">
        <f t="shared" ref="AM430:AM457" si="32">+AK430+Y430</f>
        <v>11329097</v>
      </c>
    </row>
    <row r="431" spans="1:39">
      <c r="A431" s="13" t="s">
        <v>619</v>
      </c>
      <c r="B431" s="13"/>
      <c r="C431" s="13" t="s">
        <v>113</v>
      </c>
      <c r="D431" s="13"/>
      <c r="E431" s="32">
        <v>49460</v>
      </c>
      <c r="G431" s="8">
        <v>2339257</v>
      </c>
      <c r="I431" s="8">
        <v>0</v>
      </c>
      <c r="K431" s="8">
        <v>5204992</v>
      </c>
      <c r="M431" s="8">
        <v>167611</v>
      </c>
      <c r="O431" s="8">
        <f>401858+30886</f>
        <v>432744</v>
      </c>
      <c r="Q431" s="8">
        <v>0</v>
      </c>
      <c r="S431" s="8">
        <v>0</v>
      </c>
      <c r="U431" s="8">
        <v>0</v>
      </c>
      <c r="W431" s="8">
        <v>7827</v>
      </c>
      <c r="Y431" s="3">
        <f t="shared" si="31"/>
        <v>8152431</v>
      </c>
      <c r="AA431" s="8">
        <v>0</v>
      </c>
      <c r="AE431" s="8">
        <v>0</v>
      </c>
      <c r="AG431" s="8">
        <v>460000</v>
      </c>
      <c r="AI431" s="8">
        <v>0</v>
      </c>
      <c r="AK431" s="8">
        <f t="shared" si="30"/>
        <v>460000</v>
      </c>
      <c r="AM431" s="8">
        <f t="shared" si="32"/>
        <v>8612431</v>
      </c>
    </row>
    <row r="432" spans="1:39">
      <c r="A432" s="13" t="s">
        <v>520</v>
      </c>
      <c r="B432" s="13"/>
      <c r="C432" s="13" t="s">
        <v>45</v>
      </c>
      <c r="D432" s="13"/>
      <c r="E432" s="32">
        <v>48348</v>
      </c>
      <c r="G432" s="8">
        <v>11041900</v>
      </c>
      <c r="I432" s="8">
        <v>0</v>
      </c>
      <c r="K432" s="8">
        <v>7361201</v>
      </c>
      <c r="M432" s="8">
        <v>248237</v>
      </c>
      <c r="O432" s="8">
        <f>2795+14153+94850</f>
        <v>111798</v>
      </c>
      <c r="Q432" s="8">
        <v>0</v>
      </c>
      <c r="S432" s="8">
        <v>0</v>
      </c>
      <c r="U432" s="8">
        <v>0</v>
      </c>
      <c r="W432" s="8">
        <v>30275</v>
      </c>
      <c r="Y432" s="3">
        <f t="shared" si="31"/>
        <v>18793411</v>
      </c>
      <c r="AA432" s="8">
        <v>0</v>
      </c>
      <c r="AE432" s="8">
        <v>0</v>
      </c>
      <c r="AG432" s="8">
        <v>0</v>
      </c>
      <c r="AI432" s="8">
        <v>0</v>
      </c>
      <c r="AK432" s="8">
        <f t="shared" si="30"/>
        <v>0</v>
      </c>
      <c r="AM432" s="8">
        <f t="shared" si="32"/>
        <v>18793411</v>
      </c>
    </row>
    <row r="433" spans="1:39">
      <c r="A433" s="13" t="s">
        <v>582</v>
      </c>
      <c r="B433" s="13"/>
      <c r="C433" s="13" t="s">
        <v>53</v>
      </c>
      <c r="D433" s="13"/>
      <c r="E433" s="32">
        <v>44651</v>
      </c>
      <c r="G433" s="8">
        <v>13506497</v>
      </c>
      <c r="I433" s="8">
        <v>0</v>
      </c>
      <c r="K433" s="8">
        <v>5846577</v>
      </c>
      <c r="M433" s="8">
        <v>381540</v>
      </c>
      <c r="O433" s="8">
        <v>333491</v>
      </c>
      <c r="Q433" s="8">
        <v>0</v>
      </c>
      <c r="S433" s="8">
        <v>0</v>
      </c>
      <c r="U433" s="8">
        <v>175</v>
      </c>
      <c r="W433" s="8">
        <f>101154+48311+1350</f>
        <v>150815</v>
      </c>
      <c r="Y433" s="3">
        <f t="shared" si="31"/>
        <v>20219095</v>
      </c>
      <c r="AA433" s="8">
        <v>0</v>
      </c>
      <c r="AE433" s="8">
        <v>0</v>
      </c>
      <c r="AG433" s="8">
        <v>11849</v>
      </c>
      <c r="AI433" s="8">
        <v>0</v>
      </c>
      <c r="AK433" s="8">
        <f t="shared" si="30"/>
        <v>11849</v>
      </c>
      <c r="AM433" s="8">
        <f t="shared" si="32"/>
        <v>20230944</v>
      </c>
    </row>
    <row r="434" spans="1:39">
      <c r="A434" s="13" t="s">
        <v>636</v>
      </c>
      <c r="B434" s="13"/>
      <c r="C434" s="13" t="s">
        <v>59</v>
      </c>
      <c r="D434" s="13"/>
      <c r="E434" s="32">
        <v>44669</v>
      </c>
      <c r="G434" s="8">
        <v>4521254</v>
      </c>
      <c r="I434" s="8">
        <v>0</v>
      </c>
      <c r="K434" s="8">
        <v>15809380</v>
      </c>
      <c r="M434" s="8">
        <f>161729-16934</f>
        <v>144795</v>
      </c>
      <c r="O434" s="8">
        <v>848692</v>
      </c>
      <c r="Q434" s="8">
        <v>36137</v>
      </c>
      <c r="S434" s="8">
        <v>0</v>
      </c>
      <c r="U434" s="8">
        <v>4081</v>
      </c>
      <c r="W434" s="8">
        <f>5001+126183</f>
        <v>131184</v>
      </c>
      <c r="Y434" s="3">
        <f t="shared" si="31"/>
        <v>21495523</v>
      </c>
      <c r="AA434" s="8">
        <v>0</v>
      </c>
      <c r="AE434" s="8">
        <v>0</v>
      </c>
      <c r="AG434" s="8">
        <v>0</v>
      </c>
      <c r="AI434" s="8">
        <v>0</v>
      </c>
      <c r="AK434" s="8">
        <f t="shared" si="30"/>
        <v>0</v>
      </c>
      <c r="AM434" s="8">
        <f t="shared" si="32"/>
        <v>21495523</v>
      </c>
    </row>
    <row r="435" spans="1:39" hidden="1">
      <c r="A435" s="13" t="s">
        <v>605</v>
      </c>
      <c r="B435" s="13"/>
      <c r="C435" s="13" t="s">
        <v>57</v>
      </c>
      <c r="D435" s="13"/>
      <c r="E435" s="32">
        <v>49288</v>
      </c>
      <c r="G435" s="8">
        <v>0</v>
      </c>
      <c r="I435" s="8">
        <v>0</v>
      </c>
      <c r="K435" s="8">
        <v>0</v>
      </c>
      <c r="M435" s="8">
        <v>0</v>
      </c>
      <c r="O435" s="8">
        <v>0</v>
      </c>
      <c r="Q435" s="8">
        <v>0</v>
      </c>
      <c r="S435" s="8">
        <v>0</v>
      </c>
      <c r="U435" s="8">
        <v>0</v>
      </c>
      <c r="W435" s="8">
        <v>0</v>
      </c>
      <c r="Y435" s="3">
        <f t="shared" si="31"/>
        <v>0</v>
      </c>
      <c r="AA435" s="8">
        <v>0</v>
      </c>
      <c r="AE435" s="8">
        <v>0</v>
      </c>
      <c r="AG435" s="8">
        <v>0</v>
      </c>
      <c r="AI435" s="8">
        <v>0</v>
      </c>
      <c r="AK435" s="8">
        <f t="shared" si="30"/>
        <v>0</v>
      </c>
      <c r="AM435" s="8">
        <f t="shared" si="32"/>
        <v>0</v>
      </c>
    </row>
    <row r="436" spans="1:39">
      <c r="A436" s="13" t="s">
        <v>410</v>
      </c>
      <c r="B436" s="13"/>
      <c r="C436" s="13" t="s">
        <v>32</v>
      </c>
      <c r="D436" s="13"/>
      <c r="E436" s="32">
        <v>44677</v>
      </c>
      <c r="G436" s="8">
        <v>47697876</v>
      </c>
      <c r="I436" s="8">
        <v>0</v>
      </c>
      <c r="K436" s="8">
        <v>18504757</v>
      </c>
      <c r="M436" s="8">
        <v>1979364</v>
      </c>
      <c r="O436" s="8">
        <v>560792</v>
      </c>
      <c r="Q436" s="8">
        <v>9596</v>
      </c>
      <c r="S436" s="8">
        <v>0</v>
      </c>
      <c r="U436" s="8">
        <v>0</v>
      </c>
      <c r="W436" s="8">
        <v>845637</v>
      </c>
      <c r="Y436" s="3">
        <f t="shared" si="31"/>
        <v>69598022</v>
      </c>
      <c r="AA436" s="8">
        <v>0</v>
      </c>
      <c r="AE436" s="8">
        <v>0</v>
      </c>
      <c r="AG436" s="8">
        <v>49486</v>
      </c>
      <c r="AI436" s="8">
        <v>0</v>
      </c>
      <c r="AK436" s="8">
        <f t="shared" si="30"/>
        <v>49486</v>
      </c>
      <c r="AM436" s="8">
        <f t="shared" si="32"/>
        <v>69647508</v>
      </c>
    </row>
    <row r="437" spans="1:39">
      <c r="A437" s="13" t="s">
        <v>224</v>
      </c>
      <c r="B437" s="13"/>
      <c r="C437" s="13" t="s">
        <v>12</v>
      </c>
      <c r="D437" s="13"/>
      <c r="E437" s="32">
        <v>45880</v>
      </c>
      <c r="F437" s="11"/>
      <c r="G437" s="8">
        <v>3079680</v>
      </c>
      <c r="I437" s="8">
        <v>0</v>
      </c>
      <c r="K437" s="8">
        <v>7507982</v>
      </c>
      <c r="M437" s="8">
        <v>130490</v>
      </c>
      <c r="O437" s="8">
        <v>230864</v>
      </c>
      <c r="Q437" s="8">
        <v>0</v>
      </c>
      <c r="S437" s="8">
        <v>0</v>
      </c>
      <c r="U437" s="8">
        <v>0</v>
      </c>
      <c r="W437" s="8">
        <f>30378+1630</f>
        <v>32008</v>
      </c>
      <c r="Y437" s="3">
        <f t="shared" si="31"/>
        <v>10981024</v>
      </c>
      <c r="AA437" s="8">
        <v>0</v>
      </c>
      <c r="AE437" s="8">
        <v>0</v>
      </c>
      <c r="AG437" s="8">
        <v>0</v>
      </c>
      <c r="AI437" s="8">
        <v>0</v>
      </c>
      <c r="AK437" s="8">
        <f t="shared" si="30"/>
        <v>0</v>
      </c>
      <c r="AM437" s="8">
        <f t="shared" si="32"/>
        <v>10981024</v>
      </c>
    </row>
    <row r="438" spans="1:39">
      <c r="A438" s="12" t="s">
        <v>903</v>
      </c>
      <c r="B438" s="12"/>
      <c r="C438" s="12" t="s">
        <v>56</v>
      </c>
      <c r="D438" s="12"/>
      <c r="E438" s="32"/>
      <c r="G438" s="8">
        <v>10994043</v>
      </c>
      <c r="I438" s="8">
        <v>0</v>
      </c>
      <c r="K438" s="8">
        <v>15125236</v>
      </c>
      <c r="M438" s="8">
        <v>167933</v>
      </c>
      <c r="O438" s="8">
        <v>745156</v>
      </c>
      <c r="Q438" s="8">
        <v>0</v>
      </c>
      <c r="S438" s="8">
        <v>0</v>
      </c>
      <c r="U438" s="8">
        <v>0</v>
      </c>
      <c r="W438" s="8">
        <f>188631+16345+3491</f>
        <v>208467</v>
      </c>
      <c r="Y438" s="3">
        <f t="shared" si="31"/>
        <v>27240835</v>
      </c>
      <c r="AA438" s="8">
        <v>0</v>
      </c>
      <c r="AE438" s="8">
        <v>0</v>
      </c>
      <c r="AG438" s="8">
        <v>0</v>
      </c>
      <c r="AI438" s="8">
        <v>0</v>
      </c>
      <c r="AK438" s="8">
        <f t="shared" si="30"/>
        <v>0</v>
      </c>
      <c r="AM438" s="8">
        <f t="shared" si="32"/>
        <v>27240835</v>
      </c>
    </row>
    <row r="439" spans="1:39">
      <c r="A439" s="13" t="s">
        <v>411</v>
      </c>
      <c r="B439" s="13"/>
      <c r="C439" s="13" t="s">
        <v>32</v>
      </c>
      <c r="D439" s="13"/>
      <c r="E439" s="32">
        <v>44693</v>
      </c>
      <c r="G439" s="8">
        <v>7409890</v>
      </c>
      <c r="I439" s="8">
        <v>0</v>
      </c>
      <c r="K439" s="8">
        <v>4990408</v>
      </c>
      <c r="M439" s="8">
        <v>130352</v>
      </c>
      <c r="O439" s="8">
        <v>304016</v>
      </c>
      <c r="Q439" s="8">
        <v>0</v>
      </c>
      <c r="S439" s="8">
        <v>0</v>
      </c>
      <c r="U439" s="8">
        <v>0</v>
      </c>
      <c r="W439" s="8">
        <f>16976+30988+95403</f>
        <v>143367</v>
      </c>
      <c r="Y439" s="3">
        <f t="shared" si="31"/>
        <v>12978033</v>
      </c>
      <c r="AA439" s="8">
        <v>0</v>
      </c>
      <c r="AE439" s="8">
        <v>0</v>
      </c>
      <c r="AG439" s="8">
        <v>0</v>
      </c>
      <c r="AI439" s="8">
        <v>0</v>
      </c>
      <c r="AK439" s="8">
        <f t="shared" si="30"/>
        <v>0</v>
      </c>
      <c r="AM439" s="8">
        <f t="shared" si="32"/>
        <v>12978033</v>
      </c>
    </row>
    <row r="440" spans="1:39">
      <c r="A440" s="13" t="s">
        <v>675</v>
      </c>
      <c r="B440" s="13"/>
      <c r="C440" s="13" t="s">
        <v>63</v>
      </c>
      <c r="D440" s="13"/>
      <c r="E440" s="32">
        <v>50054</v>
      </c>
      <c r="G440" s="8">
        <v>21983152</v>
      </c>
      <c r="I440" s="8">
        <v>0</v>
      </c>
      <c r="K440" s="8">
        <v>6216722</v>
      </c>
      <c r="M440" s="8">
        <v>860265</v>
      </c>
      <c r="O440" s="8">
        <v>133680</v>
      </c>
      <c r="Q440" s="8">
        <v>0</v>
      </c>
      <c r="S440" s="8">
        <v>0</v>
      </c>
      <c r="U440" s="8">
        <v>0</v>
      </c>
      <c r="W440" s="8">
        <f>70370+37889</f>
        <v>108259</v>
      </c>
      <c r="Y440" s="3">
        <f t="shared" si="31"/>
        <v>29302078</v>
      </c>
      <c r="AA440" s="8">
        <v>0</v>
      </c>
      <c r="AE440" s="8">
        <v>0</v>
      </c>
      <c r="AG440" s="8">
        <f>4658+10373</f>
        <v>15031</v>
      </c>
      <c r="AI440" s="8">
        <v>0</v>
      </c>
      <c r="AK440" s="8">
        <f t="shared" si="30"/>
        <v>15031</v>
      </c>
      <c r="AM440" s="8">
        <f t="shared" si="32"/>
        <v>29317109</v>
      </c>
    </row>
    <row r="441" spans="1:39">
      <c r="A441" s="13" t="s">
        <v>366</v>
      </c>
      <c r="B441" s="13"/>
      <c r="C441" s="13" t="s">
        <v>27</v>
      </c>
      <c r="D441" s="13"/>
      <c r="E441" s="32">
        <v>47001</v>
      </c>
      <c r="G441" s="8">
        <v>20766341</v>
      </c>
      <c r="I441" s="8">
        <v>0</v>
      </c>
      <c r="K441" s="8">
        <f>29255405+163937</f>
        <v>29419342</v>
      </c>
      <c r="M441" s="8">
        <v>715468</v>
      </c>
      <c r="O441" s="8">
        <v>797816</v>
      </c>
      <c r="Q441" s="8">
        <v>12450</v>
      </c>
      <c r="S441" s="8">
        <v>0</v>
      </c>
      <c r="U441" s="8">
        <v>0</v>
      </c>
      <c r="W441" s="8">
        <f>849514+190287+220323</f>
        <v>1260124</v>
      </c>
      <c r="Y441" s="3">
        <f t="shared" si="31"/>
        <v>52971541</v>
      </c>
      <c r="AA441" s="8">
        <v>0</v>
      </c>
      <c r="AE441" s="8">
        <v>0</v>
      </c>
      <c r="AG441" s="8">
        <f>10+122949</f>
        <v>122959</v>
      </c>
      <c r="AI441" s="8">
        <v>0</v>
      </c>
      <c r="AK441" s="8">
        <f t="shared" si="30"/>
        <v>122959</v>
      </c>
      <c r="AM441" s="8">
        <f t="shared" si="32"/>
        <v>53094500</v>
      </c>
    </row>
    <row r="442" spans="1:39" hidden="1">
      <c r="A442" s="13" t="s">
        <v>322</v>
      </c>
      <c r="B442" s="13"/>
      <c r="C442" s="13" t="s">
        <v>20</v>
      </c>
      <c r="D442" s="13"/>
      <c r="E442" s="32">
        <v>46599</v>
      </c>
      <c r="Y442" s="3">
        <f t="shared" si="31"/>
        <v>0</v>
      </c>
      <c r="AA442" s="8">
        <v>0</v>
      </c>
      <c r="AE442" s="8">
        <v>0</v>
      </c>
      <c r="AG442" s="8">
        <v>0</v>
      </c>
      <c r="AI442" s="8">
        <v>0</v>
      </c>
      <c r="AK442" s="8">
        <f t="shared" si="30"/>
        <v>0</v>
      </c>
      <c r="AM442" s="8">
        <f t="shared" si="32"/>
        <v>0</v>
      </c>
    </row>
    <row r="443" spans="1:39">
      <c r="A443" s="13" t="s">
        <v>529</v>
      </c>
      <c r="B443" s="13"/>
      <c r="C443" s="13" t="s">
        <v>46</v>
      </c>
      <c r="D443" s="13"/>
      <c r="E443" s="32">
        <v>48439</v>
      </c>
      <c r="G443" s="8">
        <v>2581839</v>
      </c>
      <c r="I443" s="8">
        <v>0</v>
      </c>
      <c r="K443" s="8">
        <v>3794392</v>
      </c>
      <c r="M443" s="8">
        <v>78359</v>
      </c>
      <c r="O443" s="8">
        <f>1280964+17665</f>
        <v>1298629</v>
      </c>
      <c r="Q443" s="8">
        <v>38436</v>
      </c>
      <c r="S443" s="8">
        <v>52048</v>
      </c>
      <c r="U443" s="8">
        <v>0</v>
      </c>
      <c r="W443" s="8">
        <v>75601</v>
      </c>
      <c r="Y443" s="3">
        <f t="shared" si="31"/>
        <v>7919304</v>
      </c>
      <c r="AA443" s="8">
        <v>0</v>
      </c>
      <c r="AE443" s="8">
        <v>0</v>
      </c>
      <c r="AG443" s="8">
        <v>0</v>
      </c>
      <c r="AI443" s="8">
        <v>0</v>
      </c>
      <c r="AK443" s="8">
        <f t="shared" si="30"/>
        <v>0</v>
      </c>
      <c r="AM443" s="8">
        <f t="shared" si="32"/>
        <v>7919304</v>
      </c>
    </row>
    <row r="444" spans="1:39">
      <c r="A444" s="13" t="s">
        <v>429</v>
      </c>
      <c r="B444" s="13"/>
      <c r="C444" s="13" t="s">
        <v>426</v>
      </c>
      <c r="D444" s="13"/>
      <c r="E444" s="32">
        <v>47506</v>
      </c>
      <c r="G444" s="8">
        <v>988113</v>
      </c>
      <c r="I444" s="8">
        <v>521184</v>
      </c>
      <c r="K444" s="8">
        <v>2688770</v>
      </c>
      <c r="M444" s="8">
        <v>70951</v>
      </c>
      <c r="O444" s="8">
        <f>455996+2608</f>
        <v>458604</v>
      </c>
      <c r="Q444" s="8">
        <v>0</v>
      </c>
      <c r="S444" s="8">
        <v>0</v>
      </c>
      <c r="U444" s="8">
        <v>0</v>
      </c>
      <c r="W444" s="8">
        <v>11255</v>
      </c>
      <c r="Y444" s="3">
        <f t="shared" si="31"/>
        <v>4738877</v>
      </c>
      <c r="AA444" s="8">
        <v>0</v>
      </c>
      <c r="AE444" s="8">
        <v>0</v>
      </c>
      <c r="AG444" s="8">
        <v>420</v>
      </c>
      <c r="AI444" s="8">
        <v>0</v>
      </c>
      <c r="AK444" s="8">
        <f t="shared" si="30"/>
        <v>420</v>
      </c>
      <c r="AM444" s="8">
        <f t="shared" si="32"/>
        <v>4739297</v>
      </c>
    </row>
    <row r="445" spans="1:39">
      <c r="A445" s="13" t="s">
        <v>292</v>
      </c>
      <c r="B445" s="13"/>
      <c r="C445" s="13" t="s">
        <v>19</v>
      </c>
      <c r="D445" s="13"/>
      <c r="E445" s="32">
        <v>46474</v>
      </c>
      <c r="F445" s="11"/>
      <c r="G445" s="8">
        <v>2409454</v>
      </c>
      <c r="I445" s="8">
        <v>0</v>
      </c>
      <c r="K445" s="8">
        <v>7465012</v>
      </c>
      <c r="M445" s="8">
        <v>157770</v>
      </c>
      <c r="O445" s="8">
        <f>305711+7393</f>
        <v>313104</v>
      </c>
      <c r="Q445" s="8">
        <v>0</v>
      </c>
      <c r="S445" s="8">
        <v>0</v>
      </c>
      <c r="U445" s="8">
        <v>0</v>
      </c>
      <c r="W445" s="8">
        <v>118758</v>
      </c>
      <c r="Y445" s="3">
        <f t="shared" si="31"/>
        <v>10464098</v>
      </c>
      <c r="AA445" s="8">
        <v>0</v>
      </c>
      <c r="AE445" s="8">
        <v>0</v>
      </c>
      <c r="AG445" s="8">
        <v>4010</v>
      </c>
      <c r="AI445" s="8">
        <v>28785</v>
      </c>
      <c r="AK445" s="8">
        <f t="shared" si="30"/>
        <v>32795</v>
      </c>
      <c r="AM445" s="8">
        <f t="shared" si="32"/>
        <v>10496893</v>
      </c>
    </row>
    <row r="446" spans="1:39">
      <c r="A446" s="13" t="s">
        <v>904</v>
      </c>
      <c r="B446" s="13"/>
      <c r="C446" s="13" t="s">
        <v>77</v>
      </c>
      <c r="D446" s="13"/>
      <c r="E446" s="32">
        <v>46078</v>
      </c>
      <c r="F446" s="11"/>
      <c r="G446" s="8">
        <v>1935163</v>
      </c>
      <c r="I446" s="8">
        <v>0</v>
      </c>
      <c r="K446" s="8">
        <v>7257380</v>
      </c>
      <c r="M446" s="8">
        <v>93110</v>
      </c>
      <c r="O446" s="8">
        <v>388890</v>
      </c>
      <c r="Q446" s="8">
        <v>0</v>
      </c>
      <c r="S446" s="8">
        <v>0</v>
      </c>
      <c r="U446" s="8">
        <v>2525</v>
      </c>
      <c r="W446" s="8">
        <f>6729+73116</f>
        <v>79845</v>
      </c>
      <c r="Y446" s="3">
        <f t="shared" si="31"/>
        <v>9756913</v>
      </c>
      <c r="AA446" s="8">
        <v>0</v>
      </c>
      <c r="AE446" s="8">
        <v>0</v>
      </c>
      <c r="AG446" s="8">
        <v>1020</v>
      </c>
      <c r="AI446" s="8">
        <v>0</v>
      </c>
      <c r="AK446" s="8">
        <f t="shared" si="30"/>
        <v>1020</v>
      </c>
      <c r="AM446" s="8">
        <f t="shared" si="32"/>
        <v>9757933</v>
      </c>
    </row>
    <row r="447" spans="1:39">
      <c r="A447" s="13" t="s">
        <v>730</v>
      </c>
      <c r="B447" s="13"/>
      <c r="C447" s="13" t="s">
        <v>71</v>
      </c>
      <c r="D447" s="13"/>
      <c r="E447" s="32">
        <v>45591</v>
      </c>
      <c r="G447" s="8">
        <v>3018126</v>
      </c>
      <c r="I447" s="8">
        <v>0</v>
      </c>
      <c r="K447" s="8">
        <v>4916007</v>
      </c>
      <c r="M447" s="8">
        <v>190882</v>
      </c>
      <c r="O447" s="8">
        <v>219503</v>
      </c>
      <c r="Q447" s="8">
        <v>0</v>
      </c>
      <c r="S447" s="8">
        <v>0</v>
      </c>
      <c r="U447" s="8">
        <v>0</v>
      </c>
      <c r="W447" s="8">
        <f>2000+55839</f>
        <v>57839</v>
      </c>
      <c r="Y447" s="3">
        <f t="shared" si="31"/>
        <v>8402357</v>
      </c>
      <c r="AA447" s="8">
        <v>0</v>
      </c>
      <c r="AE447" s="8">
        <v>0</v>
      </c>
      <c r="AG447" s="8">
        <v>0</v>
      </c>
      <c r="AI447" s="8">
        <v>0</v>
      </c>
      <c r="AK447" s="8">
        <f t="shared" si="30"/>
        <v>0</v>
      </c>
      <c r="AM447" s="8">
        <f t="shared" si="32"/>
        <v>8402357</v>
      </c>
    </row>
    <row r="448" spans="1:39">
      <c r="A448" s="13" t="s">
        <v>530</v>
      </c>
      <c r="B448" s="13"/>
      <c r="C448" s="13" t="s">
        <v>46</v>
      </c>
      <c r="D448" s="13"/>
      <c r="E448" s="32">
        <v>48447</v>
      </c>
      <c r="G448" s="8">
        <v>6307445</v>
      </c>
      <c r="I448" s="8">
        <v>0</v>
      </c>
      <c r="K448" s="8">
        <v>6328570</v>
      </c>
      <c r="M448" s="8">
        <v>211324</v>
      </c>
      <c r="O448" s="8">
        <v>2261377</v>
      </c>
      <c r="Q448" s="8">
        <v>0</v>
      </c>
      <c r="S448" s="8">
        <v>151396</v>
      </c>
      <c r="U448" s="8">
        <v>0</v>
      </c>
      <c r="W448" s="8">
        <v>43369</v>
      </c>
      <c r="Y448" s="3">
        <f t="shared" si="31"/>
        <v>15303481</v>
      </c>
      <c r="AA448" s="8">
        <v>0</v>
      </c>
      <c r="AE448" s="8">
        <v>0</v>
      </c>
      <c r="AG448" s="8">
        <v>0</v>
      </c>
      <c r="AI448" s="8">
        <v>0</v>
      </c>
      <c r="AK448" s="8">
        <f t="shared" si="30"/>
        <v>0</v>
      </c>
      <c r="AM448" s="8">
        <f t="shared" si="32"/>
        <v>15303481</v>
      </c>
    </row>
    <row r="449" spans="1:39">
      <c r="A449" s="13" t="s">
        <v>293</v>
      </c>
      <c r="B449" s="13"/>
      <c r="C449" s="13" t="s">
        <v>19</v>
      </c>
      <c r="D449" s="13"/>
      <c r="E449" s="32">
        <v>46482</v>
      </c>
      <c r="F449" s="11"/>
      <c r="G449" s="8">
        <v>7670285</v>
      </c>
      <c r="I449" s="8">
        <v>0</v>
      </c>
      <c r="K449" s="8">
        <v>10222008</v>
      </c>
      <c r="M449" s="8">
        <v>253141</v>
      </c>
      <c r="O449" s="8">
        <v>518958</v>
      </c>
      <c r="Q449" s="8">
        <v>99101</v>
      </c>
      <c r="S449" s="8">
        <v>0</v>
      </c>
      <c r="U449" s="8">
        <v>3587</v>
      </c>
      <c r="W449" s="8">
        <f>2233+13332+89013</f>
        <v>104578</v>
      </c>
      <c r="Y449" s="3">
        <f t="shared" si="31"/>
        <v>18871658</v>
      </c>
      <c r="AA449" s="8">
        <v>0</v>
      </c>
      <c r="AE449" s="8">
        <v>0</v>
      </c>
      <c r="AG449" s="8">
        <f>3078+89264</f>
        <v>92342</v>
      </c>
      <c r="AI449" s="8">
        <v>0</v>
      </c>
      <c r="AK449" s="8">
        <f t="shared" si="30"/>
        <v>92342</v>
      </c>
      <c r="AM449" s="8">
        <f t="shared" si="32"/>
        <v>18964000</v>
      </c>
    </row>
    <row r="450" spans="1:39" s="35" customFormat="1">
      <c r="A450" s="34" t="s">
        <v>430</v>
      </c>
      <c r="B450" s="34"/>
      <c r="C450" s="34" t="s">
        <v>426</v>
      </c>
      <c r="D450" s="34"/>
      <c r="E450" s="32">
        <v>47514</v>
      </c>
      <c r="G450" s="8">
        <v>1922181</v>
      </c>
      <c r="H450" s="8"/>
      <c r="I450" s="8">
        <v>1052905</v>
      </c>
      <c r="J450" s="8"/>
      <c r="K450" s="8">
        <v>5755520</v>
      </c>
      <c r="L450" s="8"/>
      <c r="M450" s="8">
        <v>135864</v>
      </c>
      <c r="N450" s="8"/>
      <c r="O450" s="8">
        <v>289704</v>
      </c>
      <c r="P450" s="8"/>
      <c r="Q450" s="8">
        <v>0</v>
      </c>
      <c r="R450" s="8"/>
      <c r="S450" s="8">
        <v>0</v>
      </c>
      <c r="T450" s="8"/>
      <c r="U450" s="8">
        <v>0</v>
      </c>
      <c r="V450" s="8"/>
      <c r="W450" s="8">
        <f>6160+111719</f>
        <v>117879</v>
      </c>
      <c r="X450" s="8"/>
      <c r="Y450" s="3">
        <f t="shared" si="31"/>
        <v>9274053</v>
      </c>
      <c r="Z450" s="8"/>
      <c r="AA450" s="8">
        <v>0</v>
      </c>
      <c r="AB450" s="8"/>
      <c r="AC450" s="8"/>
      <c r="AD450" s="8"/>
      <c r="AE450" s="8">
        <v>0</v>
      </c>
      <c r="AF450" s="8"/>
      <c r="AG450" s="8">
        <v>1712</v>
      </c>
      <c r="AH450" s="8"/>
      <c r="AI450" s="8">
        <v>0</v>
      </c>
      <c r="AJ450" s="8"/>
      <c r="AK450" s="8">
        <f t="shared" si="30"/>
        <v>1712</v>
      </c>
      <c r="AL450" s="8"/>
      <c r="AM450" s="8">
        <f>+AK450+Y450</f>
        <v>9275765</v>
      </c>
    </row>
    <row r="451" spans="1:39" s="35" customFormat="1">
      <c r="A451" s="34" t="s">
        <v>488</v>
      </c>
      <c r="B451" s="34"/>
      <c r="C451" s="34" t="s">
        <v>41</v>
      </c>
      <c r="D451" s="34"/>
      <c r="E451" s="32"/>
      <c r="G451" s="8">
        <v>26333029</v>
      </c>
      <c r="H451" s="8"/>
      <c r="I451" s="8">
        <v>0</v>
      </c>
      <c r="J451" s="8"/>
      <c r="K451" s="8">
        <v>11435691</v>
      </c>
      <c r="L451" s="8"/>
      <c r="M451" s="8">
        <v>470766</v>
      </c>
      <c r="N451" s="8"/>
      <c r="O451" s="8">
        <f>941022+80883+362287</f>
        <v>1384192</v>
      </c>
      <c r="P451" s="8"/>
      <c r="Q451" s="8">
        <v>0</v>
      </c>
      <c r="R451" s="8"/>
      <c r="S451" s="8">
        <v>0</v>
      </c>
      <c r="T451" s="8"/>
      <c r="U451" s="8">
        <v>0</v>
      </c>
      <c r="V451" s="8"/>
      <c r="W451" s="8">
        <v>154448</v>
      </c>
      <c r="X451" s="8"/>
      <c r="Y451" s="3">
        <f t="shared" si="31"/>
        <v>39778126</v>
      </c>
      <c r="Z451" s="8"/>
      <c r="AA451" s="8">
        <v>12062</v>
      </c>
      <c r="AB451" s="8"/>
      <c r="AC451" s="8"/>
      <c r="AD451" s="8"/>
      <c r="AE451" s="8">
        <v>0</v>
      </c>
      <c r="AF451" s="8"/>
      <c r="AG451" s="8">
        <v>1168</v>
      </c>
      <c r="AH451" s="8"/>
      <c r="AI451" s="8">
        <v>0</v>
      </c>
      <c r="AJ451" s="8"/>
      <c r="AK451" s="8">
        <f t="shared" si="30"/>
        <v>13230</v>
      </c>
      <c r="AL451" s="8"/>
      <c r="AM451" s="8">
        <f>+AK451+Y451</f>
        <v>39791356</v>
      </c>
    </row>
    <row r="452" spans="1:39">
      <c r="A452" s="13" t="s">
        <v>488</v>
      </c>
      <c r="B452" s="13"/>
      <c r="C452" s="13" t="s">
        <v>43</v>
      </c>
      <c r="D452" s="13"/>
      <c r="E452" s="32">
        <v>48090</v>
      </c>
      <c r="G452" s="8">
        <v>1651649</v>
      </c>
      <c r="I452" s="8">
        <v>0</v>
      </c>
      <c r="K452" s="8">
        <v>3912226</v>
      </c>
      <c r="M452" s="8">
        <v>75977</v>
      </c>
      <c r="O452" s="8">
        <f>495065+9656+15749</f>
        <v>520470</v>
      </c>
      <c r="Q452" s="8">
        <v>0</v>
      </c>
      <c r="S452" s="8">
        <v>0</v>
      </c>
      <c r="U452" s="8">
        <v>0</v>
      </c>
      <c r="W452" s="8">
        <v>19325</v>
      </c>
      <c r="Y452" s="3">
        <f t="shared" si="31"/>
        <v>6179647</v>
      </c>
      <c r="AA452" s="8">
        <v>0</v>
      </c>
      <c r="AE452" s="8">
        <v>0</v>
      </c>
      <c r="AG452" s="8">
        <v>0</v>
      </c>
      <c r="AI452" s="8">
        <v>0</v>
      </c>
      <c r="AK452" s="8">
        <f t="shared" si="30"/>
        <v>0</v>
      </c>
      <c r="AM452" s="8">
        <f t="shared" si="32"/>
        <v>6179647</v>
      </c>
    </row>
    <row r="453" spans="1:39">
      <c r="A453" s="13" t="s">
        <v>475</v>
      </c>
      <c r="B453" s="13"/>
      <c r="C453" s="13" t="s">
        <v>471</v>
      </c>
      <c r="D453" s="13"/>
      <c r="E453" s="32">
        <v>47944</v>
      </c>
      <c r="G453" s="8">
        <v>2188372</v>
      </c>
      <c r="I453" s="8">
        <v>0</v>
      </c>
      <c r="K453" s="8">
        <v>12335302</v>
      </c>
      <c r="M453" s="8">
        <v>169096</v>
      </c>
      <c r="O453" s="8">
        <v>154985</v>
      </c>
      <c r="Q453" s="8">
        <v>0</v>
      </c>
      <c r="S453" s="8">
        <v>0</v>
      </c>
      <c r="U453" s="8">
        <v>0</v>
      </c>
      <c r="W453" s="8">
        <v>317753</v>
      </c>
      <c r="Y453" s="3">
        <f t="shared" si="31"/>
        <v>15165508</v>
      </c>
      <c r="AA453" s="8">
        <v>0</v>
      </c>
      <c r="AE453" s="8">
        <v>0</v>
      </c>
      <c r="AG453" s="8">
        <v>0</v>
      </c>
      <c r="AI453" s="8">
        <v>0</v>
      </c>
      <c r="AK453" s="8">
        <f t="shared" si="30"/>
        <v>0</v>
      </c>
      <c r="AM453" s="8">
        <f t="shared" si="32"/>
        <v>15165508</v>
      </c>
    </row>
    <row r="454" spans="1:39">
      <c r="A454" s="13" t="s">
        <v>323</v>
      </c>
      <c r="B454" s="13"/>
      <c r="C454" s="13" t="s">
        <v>20</v>
      </c>
      <c r="D454" s="13"/>
      <c r="E454" s="32">
        <v>44701</v>
      </c>
      <c r="G454" s="8">
        <v>22155825</v>
      </c>
      <c r="I454" s="8">
        <v>0</v>
      </c>
      <c r="K454" s="8">
        <f>4777655</f>
        <v>4777655</v>
      </c>
      <c r="M454" s="8">
        <v>289703</v>
      </c>
      <c r="O454" s="8">
        <f>89613+2340+23026</f>
        <v>114979</v>
      </c>
      <c r="Q454" s="8">
        <v>0</v>
      </c>
      <c r="S454" s="8">
        <v>0</v>
      </c>
      <c r="U454" s="8">
        <v>1500</v>
      </c>
      <c r="W454" s="8">
        <f>99691+141351</f>
        <v>241042</v>
      </c>
      <c r="Y454" s="3">
        <f t="shared" si="31"/>
        <v>27580704</v>
      </c>
      <c r="AA454" s="8">
        <v>0</v>
      </c>
      <c r="AE454" s="8">
        <v>0</v>
      </c>
      <c r="AG454" s="8">
        <v>0</v>
      </c>
      <c r="AI454" s="8">
        <v>0</v>
      </c>
      <c r="AK454" s="8">
        <f t="shared" si="30"/>
        <v>0</v>
      </c>
      <c r="AM454" s="8">
        <f t="shared" si="32"/>
        <v>27580704</v>
      </c>
    </row>
    <row r="455" spans="1:39">
      <c r="A455" s="13" t="s">
        <v>395</v>
      </c>
      <c r="B455" s="13"/>
      <c r="C455" s="13" t="s">
        <v>31</v>
      </c>
      <c r="D455" s="13"/>
      <c r="E455" s="32">
        <v>47308</v>
      </c>
      <c r="G455" s="8">
        <v>4579298</v>
      </c>
      <c r="I455" s="8">
        <v>0</v>
      </c>
      <c r="K455" s="8">
        <v>9856836</v>
      </c>
      <c r="M455" s="8">
        <v>116357</v>
      </c>
      <c r="O455" s="8">
        <v>519621</v>
      </c>
      <c r="Q455" s="8">
        <v>0</v>
      </c>
      <c r="S455" s="8">
        <v>0</v>
      </c>
      <c r="U455" s="8">
        <v>4534</v>
      </c>
      <c r="W455" s="8">
        <f>24526+5567</f>
        <v>30093</v>
      </c>
      <c r="Y455" s="3">
        <f t="shared" si="31"/>
        <v>15106739</v>
      </c>
      <c r="AA455" s="8">
        <v>0</v>
      </c>
      <c r="AE455" s="8">
        <v>0</v>
      </c>
      <c r="AG455" s="8">
        <v>8410</v>
      </c>
      <c r="AI455" s="8">
        <v>0</v>
      </c>
      <c r="AK455" s="8">
        <f t="shared" si="30"/>
        <v>8410</v>
      </c>
      <c r="AM455" s="8">
        <f t="shared" si="32"/>
        <v>15115149</v>
      </c>
    </row>
    <row r="456" spans="1:39">
      <c r="A456" s="13" t="s">
        <v>600</v>
      </c>
      <c r="B456" s="13"/>
      <c r="C456" s="13" t="s">
        <v>56</v>
      </c>
      <c r="D456" s="13"/>
      <c r="E456" s="32">
        <v>49213</v>
      </c>
      <c r="G456" s="8">
        <v>4479385</v>
      </c>
      <c r="I456" s="8">
        <v>0</v>
      </c>
      <c r="K456" s="8">
        <v>5568941</v>
      </c>
      <c r="M456" s="8">
        <v>55096</v>
      </c>
      <c r="O456" s="8">
        <v>208974</v>
      </c>
      <c r="Q456" s="8">
        <v>0</v>
      </c>
      <c r="S456" s="8">
        <v>0</v>
      </c>
      <c r="U456" s="8">
        <v>0</v>
      </c>
      <c r="W456" s="8">
        <f>2170+4413</f>
        <v>6583</v>
      </c>
      <c r="Y456" s="3">
        <f t="shared" si="31"/>
        <v>10318979</v>
      </c>
      <c r="AA456" s="8">
        <v>0</v>
      </c>
      <c r="AE456" s="8">
        <v>0</v>
      </c>
      <c r="AG456" s="8">
        <v>0</v>
      </c>
      <c r="AI456" s="8">
        <v>0</v>
      </c>
      <c r="AK456" s="8">
        <f t="shared" si="30"/>
        <v>0</v>
      </c>
      <c r="AM456" s="8">
        <f t="shared" si="32"/>
        <v>10318979</v>
      </c>
    </row>
    <row r="457" spans="1:39" ht="12" customHeight="1">
      <c r="A457" s="13" t="s">
        <v>254</v>
      </c>
      <c r="B457" s="13"/>
      <c r="C457" s="13" t="s">
        <v>246</v>
      </c>
      <c r="D457" s="13"/>
      <c r="E457" s="32">
        <v>46144</v>
      </c>
      <c r="F457" s="11"/>
      <c r="G457" s="8">
        <v>6269203</v>
      </c>
      <c r="I457" s="8">
        <v>2861441</v>
      </c>
      <c r="K457" s="8">
        <v>12052457</v>
      </c>
      <c r="M457" s="8">
        <v>276142</v>
      </c>
      <c r="O457" s="8">
        <v>47343</v>
      </c>
      <c r="Q457" s="8">
        <v>65085</v>
      </c>
      <c r="S457" s="8">
        <v>0</v>
      </c>
      <c r="U457" s="8">
        <v>0</v>
      </c>
      <c r="W457" s="8">
        <v>237879</v>
      </c>
      <c r="Y457" s="3">
        <f t="shared" si="31"/>
        <v>21809550</v>
      </c>
      <c r="AA457" s="8">
        <v>0</v>
      </c>
      <c r="AE457" s="8">
        <v>0</v>
      </c>
      <c r="AG457" s="8">
        <v>347392</v>
      </c>
      <c r="AI457" s="8">
        <v>0</v>
      </c>
      <c r="AK457" s="8">
        <f t="shared" si="30"/>
        <v>347392</v>
      </c>
      <c r="AM457" s="8">
        <f t="shared" si="32"/>
        <v>22156942</v>
      </c>
    </row>
    <row r="458" spans="1:39">
      <c r="A458" s="13" t="s">
        <v>745</v>
      </c>
      <c r="B458" s="13"/>
      <c r="C458" s="13" t="s">
        <v>72</v>
      </c>
      <c r="D458" s="13"/>
      <c r="E458" s="13">
        <v>45609</v>
      </c>
      <c r="G458" s="8">
        <v>13727813</v>
      </c>
      <c r="I458" s="8">
        <v>0</v>
      </c>
      <c r="K458" s="8">
        <v>6616291</v>
      </c>
      <c r="M458" s="8">
        <v>463266</v>
      </c>
      <c r="O458" s="8">
        <v>460121</v>
      </c>
      <c r="Q458" s="8">
        <v>17254</v>
      </c>
      <c r="S458" s="8">
        <v>1854492</v>
      </c>
      <c r="U458" s="8">
        <v>0</v>
      </c>
      <c r="W458" s="8">
        <v>56659</v>
      </c>
      <c r="Y458" s="3">
        <f>SUM(G458:X458)</f>
        <v>23195896</v>
      </c>
      <c r="AA458" s="8">
        <v>0</v>
      </c>
      <c r="AE458" s="8">
        <v>0</v>
      </c>
      <c r="AG458" s="8">
        <v>0</v>
      </c>
      <c r="AI458" s="8">
        <v>0</v>
      </c>
      <c r="AK458" s="8">
        <f>SUM(AA458:AJ458)</f>
        <v>0</v>
      </c>
      <c r="AM458" s="8">
        <f>+AK458+Y458</f>
        <v>23195896</v>
      </c>
    </row>
    <row r="459" spans="1:39">
      <c r="A459" s="13" t="s">
        <v>651</v>
      </c>
      <c r="B459" s="13"/>
      <c r="C459" s="13" t="s">
        <v>61</v>
      </c>
      <c r="D459" s="13"/>
      <c r="E459" s="13">
        <v>49817</v>
      </c>
      <c r="G459" s="8">
        <v>933251</v>
      </c>
      <c r="I459" s="8">
        <v>343222</v>
      </c>
      <c r="K459" s="8">
        <v>2154397</v>
      </c>
      <c r="M459" s="8">
        <v>69580</v>
      </c>
      <c r="O459" s="8">
        <v>314555</v>
      </c>
      <c r="Q459" s="8">
        <v>3905</v>
      </c>
      <c r="S459" s="8">
        <v>0</v>
      </c>
      <c r="U459" s="8">
        <v>3778</v>
      </c>
      <c r="W459" s="8">
        <f>200+21837</f>
        <v>22037</v>
      </c>
      <c r="Y459" s="3">
        <f>SUM(G459:X459)</f>
        <v>3844725</v>
      </c>
      <c r="AA459" s="8">
        <v>0</v>
      </c>
      <c r="AE459" s="8">
        <v>0</v>
      </c>
      <c r="AG459" s="8">
        <v>1300</v>
      </c>
      <c r="AI459" s="8">
        <v>0</v>
      </c>
      <c r="AK459" s="8">
        <f>SUM(AA459:AJ459)</f>
        <v>1300</v>
      </c>
      <c r="AM459" s="8">
        <f>+AK459+Y459</f>
        <v>3846025</v>
      </c>
    </row>
    <row r="460" spans="1:39">
      <c r="A460" s="12" t="s">
        <v>839</v>
      </c>
      <c r="B460" s="12"/>
      <c r="C460" s="12" t="s">
        <v>115</v>
      </c>
      <c r="D460" s="12"/>
      <c r="E460" s="32"/>
      <c r="G460" s="8">
        <v>9275477</v>
      </c>
      <c r="I460" s="8">
        <v>0</v>
      </c>
      <c r="K460" s="8">
        <f>9130922+9600</f>
        <v>9140522</v>
      </c>
      <c r="M460" s="8">
        <v>68180</v>
      </c>
      <c r="O460" s="8">
        <f>355196+563</f>
        <v>355759</v>
      </c>
      <c r="Q460" s="8">
        <v>0</v>
      </c>
      <c r="S460" s="8">
        <v>0</v>
      </c>
      <c r="U460" s="8">
        <v>0</v>
      </c>
      <c r="W460" s="8">
        <v>300125</v>
      </c>
      <c r="Y460" s="3">
        <f t="shared" ref="Y460:Y510" si="33">SUM(G460:X460)</f>
        <v>19140063</v>
      </c>
      <c r="AA460" s="8">
        <v>0</v>
      </c>
      <c r="AE460" s="8">
        <v>0</v>
      </c>
      <c r="AG460" s="8">
        <v>0</v>
      </c>
      <c r="AI460" s="8">
        <v>0</v>
      </c>
      <c r="AK460" s="8">
        <f t="shared" ref="AK460:AK476" si="34">SUM(AA460:AJ460)</f>
        <v>0</v>
      </c>
      <c r="AM460" s="8">
        <f t="shared" ref="AM460:AM510" si="35">+AK460+Y460</f>
        <v>19140063</v>
      </c>
    </row>
    <row r="461" spans="1:39">
      <c r="A461" s="13" t="s">
        <v>345</v>
      </c>
      <c r="B461" s="13"/>
      <c r="C461" s="13" t="s">
        <v>24</v>
      </c>
      <c r="D461" s="13"/>
      <c r="E461" s="32">
        <v>44743</v>
      </c>
      <c r="G461" s="8">
        <v>18099343</v>
      </c>
      <c r="I461" s="8">
        <v>0</v>
      </c>
      <c r="K461" s="8">
        <v>19169957</v>
      </c>
      <c r="M461" s="8">
        <v>343889</v>
      </c>
      <c r="O461" s="8">
        <f>15790+57618</f>
        <v>73408</v>
      </c>
      <c r="Q461" s="8">
        <v>7811</v>
      </c>
      <c r="S461" s="8">
        <v>0</v>
      </c>
      <c r="U461" s="8">
        <v>0</v>
      </c>
      <c r="W461" s="8">
        <f>326972+134976</f>
        <v>461948</v>
      </c>
      <c r="Y461" s="3">
        <f t="shared" si="33"/>
        <v>38156356</v>
      </c>
      <c r="AA461" s="8">
        <v>0</v>
      </c>
      <c r="AE461" s="8">
        <v>0</v>
      </c>
      <c r="AG461" s="8">
        <v>0</v>
      </c>
      <c r="AI461" s="8">
        <v>0</v>
      </c>
      <c r="AK461" s="8">
        <f t="shared" si="34"/>
        <v>0</v>
      </c>
      <c r="AM461" s="8">
        <f t="shared" si="35"/>
        <v>38156356</v>
      </c>
    </row>
    <row r="462" spans="1:39">
      <c r="A462" s="13" t="s">
        <v>665</v>
      </c>
      <c r="B462" s="13"/>
      <c r="C462" s="13" t="s">
        <v>62</v>
      </c>
      <c r="D462" s="13"/>
      <c r="E462" s="32">
        <v>49940</v>
      </c>
      <c r="G462" s="8">
        <v>3699352</v>
      </c>
      <c r="I462" s="8">
        <v>0</v>
      </c>
      <c r="K462" s="8">
        <f>7710395+16740</f>
        <v>7727135</v>
      </c>
      <c r="M462" s="8">
        <v>144728</v>
      </c>
      <c r="O462" s="8">
        <f>510513+37178</f>
        <v>547691</v>
      </c>
      <c r="Q462" s="8">
        <v>0</v>
      </c>
      <c r="S462" s="8">
        <v>0</v>
      </c>
      <c r="U462" s="8">
        <v>0</v>
      </c>
      <c r="W462" s="8">
        <v>132351</v>
      </c>
      <c r="Y462" s="3">
        <f t="shared" si="33"/>
        <v>12251257</v>
      </c>
      <c r="AA462" s="8">
        <v>0</v>
      </c>
      <c r="AE462" s="8">
        <v>0</v>
      </c>
      <c r="AG462" s="8">
        <v>0</v>
      </c>
      <c r="AI462" s="8">
        <v>0</v>
      </c>
      <c r="AK462" s="8">
        <f t="shared" si="34"/>
        <v>0</v>
      </c>
      <c r="AM462" s="8">
        <f t="shared" si="35"/>
        <v>12251257</v>
      </c>
    </row>
    <row r="463" spans="1:39">
      <c r="A463" s="13" t="s">
        <v>592</v>
      </c>
      <c r="B463" s="13"/>
      <c r="C463" s="13" t="s">
        <v>55</v>
      </c>
      <c r="D463" s="13"/>
      <c r="E463" s="32">
        <v>49130</v>
      </c>
      <c r="G463" s="8">
        <v>1878164</v>
      </c>
      <c r="I463" s="8">
        <v>0</v>
      </c>
      <c r="K463" s="8">
        <v>9696314</v>
      </c>
      <c r="M463" s="8">
        <v>403258</v>
      </c>
      <c r="O463" s="8">
        <f>551856+19170</f>
        <v>571026</v>
      </c>
      <c r="Q463" s="8">
        <v>0</v>
      </c>
      <c r="S463" s="8">
        <v>0</v>
      </c>
      <c r="U463" s="8">
        <v>0</v>
      </c>
      <c r="W463" s="8">
        <v>588395</v>
      </c>
      <c r="Y463" s="3">
        <f t="shared" si="33"/>
        <v>13137157</v>
      </c>
      <c r="AA463" s="8">
        <v>0</v>
      </c>
      <c r="AE463" s="8">
        <v>0</v>
      </c>
      <c r="AG463" s="8">
        <v>0</v>
      </c>
      <c r="AI463" s="8">
        <v>0</v>
      </c>
      <c r="AK463" s="8">
        <f t="shared" si="34"/>
        <v>0</v>
      </c>
      <c r="AM463" s="8">
        <f t="shared" si="35"/>
        <v>13137157</v>
      </c>
    </row>
    <row r="464" spans="1:39">
      <c r="A464" s="13" t="s">
        <v>521</v>
      </c>
      <c r="B464" s="13"/>
      <c r="C464" s="13" t="s">
        <v>45</v>
      </c>
      <c r="D464" s="13"/>
      <c r="E464" s="32">
        <v>48355</v>
      </c>
      <c r="G464" s="8">
        <v>1213176</v>
      </c>
      <c r="I464" s="8">
        <v>389537</v>
      </c>
      <c r="K464" s="8">
        <v>4261719</v>
      </c>
      <c r="M464" s="8">
        <v>59310</v>
      </c>
      <c r="O464" s="8">
        <f>398799+2800</f>
        <v>401599</v>
      </c>
      <c r="Q464" s="8">
        <v>0</v>
      </c>
      <c r="S464" s="8">
        <v>0</v>
      </c>
      <c r="U464" s="8">
        <v>7215</v>
      </c>
      <c r="W464" s="8">
        <v>20592</v>
      </c>
      <c r="Y464" s="3">
        <f t="shared" si="33"/>
        <v>6353148</v>
      </c>
      <c r="AA464" s="8">
        <v>0</v>
      </c>
      <c r="AE464" s="8">
        <v>0</v>
      </c>
      <c r="AG464" s="8">
        <v>0</v>
      </c>
      <c r="AI464" s="8">
        <v>0</v>
      </c>
      <c r="AK464" s="8">
        <f t="shared" si="34"/>
        <v>0</v>
      </c>
      <c r="AM464" s="8">
        <f t="shared" si="35"/>
        <v>6353148</v>
      </c>
    </row>
    <row r="465" spans="1:39">
      <c r="A465" s="13" t="s">
        <v>644</v>
      </c>
      <c r="B465" s="13"/>
      <c r="C465" s="13" t="s">
        <v>60</v>
      </c>
      <c r="D465" s="13"/>
      <c r="E465" s="32">
        <v>49684</v>
      </c>
      <c r="G465" s="8">
        <v>2548257</v>
      </c>
      <c r="I465" s="8">
        <v>0</v>
      </c>
      <c r="K465" s="8">
        <f>4313373</f>
        <v>4313373</v>
      </c>
      <c r="M465" s="8">
        <v>93167</v>
      </c>
      <c r="O465" s="8">
        <f>670089+44009</f>
        <v>714098</v>
      </c>
      <c r="Q465" s="8">
        <v>0</v>
      </c>
      <c r="S465" s="8">
        <v>0</v>
      </c>
      <c r="U465" s="8">
        <v>0</v>
      </c>
      <c r="W465" s="8">
        <v>24180</v>
      </c>
      <c r="Y465" s="3">
        <f t="shared" si="33"/>
        <v>7693075</v>
      </c>
      <c r="AA465" s="8">
        <v>0</v>
      </c>
      <c r="AE465" s="8">
        <v>0</v>
      </c>
      <c r="AG465" s="8">
        <v>11359</v>
      </c>
      <c r="AI465" s="8">
        <v>0</v>
      </c>
      <c r="AK465" s="8">
        <f t="shared" si="34"/>
        <v>11359</v>
      </c>
      <c r="AM465" s="8">
        <f t="shared" si="35"/>
        <v>7704434</v>
      </c>
    </row>
    <row r="466" spans="1:39">
      <c r="A466" s="13" t="s">
        <v>237</v>
      </c>
      <c r="B466" s="13"/>
      <c r="C466" s="13" t="s">
        <v>15</v>
      </c>
      <c r="D466" s="13"/>
      <c r="E466" s="32">
        <v>46003</v>
      </c>
      <c r="F466" s="11"/>
      <c r="G466" s="8">
        <v>2656493</v>
      </c>
      <c r="I466" s="8">
        <v>0</v>
      </c>
      <c r="K466" s="8">
        <v>2951952</v>
      </c>
      <c r="M466" s="8">
        <v>10752</v>
      </c>
      <c r="O466" s="8">
        <f>824877+246</f>
        <v>825123</v>
      </c>
      <c r="Q466" s="8">
        <v>0</v>
      </c>
      <c r="S466" s="8">
        <v>0</v>
      </c>
      <c r="U466" s="8">
        <v>22481</v>
      </c>
      <c r="W466" s="8">
        <v>8604</v>
      </c>
      <c r="Y466" s="3">
        <f t="shared" si="33"/>
        <v>6475405</v>
      </c>
      <c r="AA466" s="8">
        <v>0</v>
      </c>
      <c r="AE466" s="8">
        <v>0</v>
      </c>
      <c r="AG466" s="8">
        <v>0</v>
      </c>
      <c r="AI466" s="8">
        <v>0</v>
      </c>
      <c r="AK466" s="8">
        <f t="shared" si="34"/>
        <v>0</v>
      </c>
      <c r="AM466" s="8">
        <f t="shared" si="35"/>
        <v>6475405</v>
      </c>
    </row>
    <row r="467" spans="1:39">
      <c r="A467" s="13" t="s">
        <v>324</v>
      </c>
      <c r="B467" s="13"/>
      <c r="C467" s="13" t="s">
        <v>20</v>
      </c>
      <c r="D467" s="13"/>
      <c r="E467" s="32">
        <v>44750</v>
      </c>
      <c r="G467" s="8">
        <v>62119021</v>
      </c>
      <c r="I467" s="8">
        <v>0</v>
      </c>
      <c r="K467" s="8">
        <v>24321152</v>
      </c>
      <c r="M467" s="8">
        <v>1573416</v>
      </c>
      <c r="O467" s="8">
        <f>1565083+90799+47635</f>
        <v>1703517</v>
      </c>
      <c r="Q467" s="8">
        <v>0</v>
      </c>
      <c r="S467" s="8">
        <v>0</v>
      </c>
      <c r="U467" s="8">
        <v>0</v>
      </c>
      <c r="W467" s="8">
        <v>184898</v>
      </c>
      <c r="Y467" s="3">
        <f t="shared" si="33"/>
        <v>89902004</v>
      </c>
      <c r="AA467" s="8">
        <v>0</v>
      </c>
      <c r="AE467" s="8">
        <v>0</v>
      </c>
      <c r="AG467" s="8">
        <v>0</v>
      </c>
      <c r="AI467" s="8">
        <v>0</v>
      </c>
      <c r="AK467" s="8">
        <f t="shared" si="34"/>
        <v>0</v>
      </c>
      <c r="AM467" s="8">
        <f t="shared" si="35"/>
        <v>89902004</v>
      </c>
    </row>
    <row r="468" spans="1:39">
      <c r="A468" s="13" t="s">
        <v>500</v>
      </c>
      <c r="B468" s="13"/>
      <c r="C468" s="13" t="s">
        <v>44</v>
      </c>
      <c r="D468" s="13"/>
      <c r="E468" s="32">
        <v>44768</v>
      </c>
      <c r="G468" s="8">
        <v>10766604</v>
      </c>
      <c r="I468" s="8">
        <v>0</v>
      </c>
      <c r="K468" s="8">
        <v>7170167</v>
      </c>
      <c r="M468" s="8">
        <v>336907</v>
      </c>
      <c r="O468" s="8">
        <v>916913</v>
      </c>
      <c r="Q468" s="8">
        <v>3756</v>
      </c>
      <c r="S468" s="8">
        <v>0</v>
      </c>
      <c r="U468" s="8">
        <v>0</v>
      </c>
      <c r="W468" s="8">
        <v>103779</v>
      </c>
      <c r="Y468" s="3">
        <f t="shared" si="33"/>
        <v>19298126</v>
      </c>
      <c r="AA468" s="8">
        <v>0</v>
      </c>
      <c r="AE468" s="8">
        <v>0</v>
      </c>
      <c r="AG468" s="8">
        <v>0</v>
      </c>
      <c r="AI468" s="8">
        <v>0</v>
      </c>
      <c r="AK468" s="8">
        <f t="shared" si="34"/>
        <v>0</v>
      </c>
      <c r="AM468" s="8">
        <f t="shared" si="35"/>
        <v>19298126</v>
      </c>
    </row>
    <row r="469" spans="1:39">
      <c r="A469" s="13" t="s">
        <v>620</v>
      </c>
      <c r="B469" s="13"/>
      <c r="C469" s="13" t="s">
        <v>113</v>
      </c>
      <c r="D469" s="13"/>
      <c r="E469" s="32">
        <v>44776</v>
      </c>
      <c r="G469" s="8">
        <v>6915792</v>
      </c>
      <c r="I469" s="8">
        <v>2432914</v>
      </c>
      <c r="K469" s="8">
        <v>9103013</v>
      </c>
      <c r="M469" s="8">
        <v>172787</v>
      </c>
      <c r="O469" s="8">
        <f>354939+26283</f>
        <v>381222</v>
      </c>
      <c r="Q469" s="8">
        <v>0</v>
      </c>
      <c r="S469" s="8">
        <v>0</v>
      </c>
      <c r="U469" s="8">
        <v>205053</v>
      </c>
      <c r="W469" s="8">
        <v>42127</v>
      </c>
      <c r="Y469" s="3">
        <f t="shared" si="33"/>
        <v>19252908</v>
      </c>
      <c r="AA469" s="8">
        <v>38706</v>
      </c>
      <c r="AE469" s="8">
        <v>0</v>
      </c>
      <c r="AG469" s="8">
        <v>0</v>
      </c>
      <c r="AI469" s="8">
        <v>1072309</v>
      </c>
      <c r="AK469" s="8">
        <f t="shared" si="34"/>
        <v>1111015</v>
      </c>
      <c r="AM469" s="8">
        <f t="shared" si="35"/>
        <v>20363923</v>
      </c>
    </row>
    <row r="470" spans="1:39" hidden="1">
      <c r="A470" s="13" t="s">
        <v>652</v>
      </c>
      <c r="B470" s="13"/>
      <c r="C470" s="13" t="s">
        <v>61</v>
      </c>
      <c r="D470" s="13"/>
      <c r="E470" s="32">
        <v>44784</v>
      </c>
      <c r="I470" s="8">
        <v>0</v>
      </c>
      <c r="Q470" s="8">
        <v>0</v>
      </c>
      <c r="S470" s="8">
        <v>0</v>
      </c>
      <c r="U470" s="8">
        <v>0</v>
      </c>
      <c r="Y470" s="3">
        <f t="shared" si="33"/>
        <v>0</v>
      </c>
      <c r="AA470" s="8">
        <v>0</v>
      </c>
      <c r="AE470" s="8">
        <v>0</v>
      </c>
      <c r="AG470" s="8">
        <v>0</v>
      </c>
      <c r="AI470" s="8">
        <v>0</v>
      </c>
      <c r="AK470" s="8">
        <f t="shared" si="34"/>
        <v>0</v>
      </c>
      <c r="AM470" s="8">
        <f t="shared" si="35"/>
        <v>0</v>
      </c>
    </row>
    <row r="471" spans="1:39">
      <c r="A471" s="13" t="s">
        <v>325</v>
      </c>
      <c r="B471" s="13"/>
      <c r="C471" s="13" t="s">
        <v>20</v>
      </c>
      <c r="D471" s="13"/>
      <c r="E471" s="32">
        <v>46607</v>
      </c>
      <c r="G471" s="8">
        <v>49066448</v>
      </c>
      <c r="I471" s="8">
        <v>0</v>
      </c>
      <c r="K471" s="8">
        <v>13426952</v>
      </c>
      <c r="M471" s="8">
        <v>1181310</v>
      </c>
      <c r="O471" s="8">
        <f>1010926+72277+130317</f>
        <v>1213520</v>
      </c>
      <c r="Q471" s="8">
        <v>0</v>
      </c>
      <c r="S471" s="8">
        <v>0</v>
      </c>
      <c r="U471" s="8">
        <v>0</v>
      </c>
      <c r="W471" s="8">
        <v>126051</v>
      </c>
      <c r="Y471" s="3">
        <f t="shared" si="33"/>
        <v>65014281</v>
      </c>
      <c r="AA471" s="8">
        <v>0</v>
      </c>
      <c r="AE471" s="8">
        <v>0</v>
      </c>
      <c r="AG471" s="8">
        <v>64390</v>
      </c>
      <c r="AI471" s="8">
        <v>0</v>
      </c>
      <c r="AK471" s="8">
        <f t="shared" si="34"/>
        <v>64390</v>
      </c>
      <c r="AM471" s="8">
        <f t="shared" si="35"/>
        <v>65078671</v>
      </c>
    </row>
    <row r="472" spans="1:39" ht="12.75" customHeight="1">
      <c r="A472" s="13" t="s">
        <v>905</v>
      </c>
      <c r="B472" s="13"/>
      <c r="C472" s="13" t="s">
        <v>37</v>
      </c>
      <c r="D472" s="13"/>
      <c r="E472" s="32"/>
      <c r="G472" s="8">
        <v>2289127</v>
      </c>
      <c r="I472" s="8">
        <v>0</v>
      </c>
      <c r="K472" s="8">
        <f>4884396</f>
        <v>4884396</v>
      </c>
      <c r="M472" s="8">
        <v>177907</v>
      </c>
      <c r="O472" s="8">
        <f>297069+31989</f>
        <v>329058</v>
      </c>
      <c r="Q472" s="8">
        <v>0</v>
      </c>
      <c r="S472" s="8">
        <v>0</v>
      </c>
      <c r="U472" s="8">
        <v>0</v>
      </c>
      <c r="W472" s="8">
        <v>7473</v>
      </c>
      <c r="Y472" s="3">
        <f t="shared" si="33"/>
        <v>7687961</v>
      </c>
      <c r="AA472" s="8">
        <v>14149</v>
      </c>
      <c r="AE472" s="8">
        <v>0</v>
      </c>
      <c r="AG472" s="8">
        <v>0</v>
      </c>
      <c r="AI472" s="8">
        <v>0</v>
      </c>
      <c r="AK472" s="8">
        <f t="shared" si="34"/>
        <v>14149</v>
      </c>
      <c r="AM472" s="8">
        <f t="shared" si="35"/>
        <v>7702110</v>
      </c>
    </row>
    <row r="473" spans="1:39">
      <c r="A473" s="13" t="s">
        <v>326</v>
      </c>
      <c r="B473" s="13"/>
      <c r="C473" s="13" t="s">
        <v>20</v>
      </c>
      <c r="D473" s="13"/>
      <c r="E473" s="32">
        <v>44792</v>
      </c>
      <c r="G473" s="8">
        <v>38216737</v>
      </c>
      <c r="I473" s="8">
        <v>0</v>
      </c>
      <c r="K473" s="8">
        <v>19767826</v>
      </c>
      <c r="M473" s="8">
        <v>811056</v>
      </c>
      <c r="O473" s="8">
        <f>1507446+85889+184491</f>
        <v>1777826</v>
      </c>
      <c r="Q473" s="8">
        <v>17584</v>
      </c>
      <c r="S473" s="8">
        <v>20000</v>
      </c>
      <c r="U473" s="8">
        <v>0</v>
      </c>
      <c r="W473" s="8">
        <v>572030</v>
      </c>
      <c r="Y473" s="3">
        <f t="shared" si="33"/>
        <v>61183059</v>
      </c>
      <c r="AA473" s="8">
        <v>150211</v>
      </c>
      <c r="AE473" s="8">
        <v>0</v>
      </c>
      <c r="AG473" s="8">
        <f>500+1387+8671+85838</f>
        <v>96396</v>
      </c>
      <c r="AI473" s="8">
        <v>0</v>
      </c>
      <c r="AK473" s="8">
        <f t="shared" si="34"/>
        <v>246607</v>
      </c>
      <c r="AM473" s="8">
        <f t="shared" si="35"/>
        <v>61429666</v>
      </c>
    </row>
    <row r="474" spans="1:39" hidden="1">
      <c r="A474" s="13" t="s">
        <v>476</v>
      </c>
      <c r="B474" s="13"/>
      <c r="C474" s="13" t="s">
        <v>471</v>
      </c>
      <c r="D474" s="13"/>
      <c r="E474" s="32">
        <v>47951</v>
      </c>
      <c r="I474" s="8">
        <v>0</v>
      </c>
      <c r="Q474" s="8">
        <v>0</v>
      </c>
      <c r="S474" s="8">
        <v>0</v>
      </c>
      <c r="U474" s="8">
        <v>0</v>
      </c>
      <c r="Y474" s="3">
        <f t="shared" si="33"/>
        <v>0</v>
      </c>
      <c r="AA474" s="8">
        <v>0</v>
      </c>
      <c r="AE474" s="8">
        <v>0</v>
      </c>
      <c r="AG474" s="8">
        <v>0</v>
      </c>
      <c r="AI474" s="8">
        <v>0</v>
      </c>
      <c r="AK474" s="8">
        <f t="shared" si="34"/>
        <v>0</v>
      </c>
      <c r="AM474" s="8">
        <f t="shared" si="35"/>
        <v>0</v>
      </c>
    </row>
    <row r="475" spans="1:39">
      <c r="A475" s="13" t="s">
        <v>522</v>
      </c>
      <c r="B475" s="13"/>
      <c r="C475" s="13" t="s">
        <v>45</v>
      </c>
      <c r="D475" s="13"/>
      <c r="E475" s="32">
        <v>48363</v>
      </c>
      <c r="G475" s="8">
        <v>4926676</v>
      </c>
      <c r="I475" s="8">
        <v>0</v>
      </c>
      <c r="K475" s="8">
        <v>6014825</v>
      </c>
      <c r="M475" s="8">
        <v>186655</v>
      </c>
      <c r="O475" s="8">
        <f>36750+25679</f>
        <v>62429</v>
      </c>
      <c r="Q475" s="8">
        <v>0</v>
      </c>
      <c r="S475" s="8">
        <v>0</v>
      </c>
      <c r="U475" s="8">
        <v>0</v>
      </c>
      <c r="W475" s="8">
        <v>52081</v>
      </c>
      <c r="Y475" s="3">
        <f t="shared" si="33"/>
        <v>11242666</v>
      </c>
      <c r="AA475" s="8">
        <v>0</v>
      </c>
      <c r="AE475" s="8">
        <v>0</v>
      </c>
      <c r="AG475" s="8">
        <v>0</v>
      </c>
      <c r="AI475" s="8">
        <v>0</v>
      </c>
      <c r="AK475" s="8">
        <f t="shared" si="34"/>
        <v>0</v>
      </c>
      <c r="AM475" s="8">
        <f t="shared" si="35"/>
        <v>11242666</v>
      </c>
    </row>
    <row r="476" spans="1:39">
      <c r="A476" s="13" t="s">
        <v>601</v>
      </c>
      <c r="B476" s="13"/>
      <c r="C476" s="13" t="s">
        <v>56</v>
      </c>
      <c r="D476" s="13"/>
      <c r="E476" s="32">
        <v>49221</v>
      </c>
      <c r="G476" s="8">
        <v>5850267</v>
      </c>
      <c r="I476" s="8">
        <v>0</v>
      </c>
      <c r="K476" s="8">
        <v>12266010</v>
      </c>
      <c r="M476" s="8">
        <v>132491</v>
      </c>
      <c r="O476" s="8">
        <f>123483+2479</f>
        <v>125962</v>
      </c>
      <c r="Q476" s="8">
        <v>0</v>
      </c>
      <c r="S476" s="8">
        <v>0</v>
      </c>
      <c r="U476" s="8">
        <v>3000</v>
      </c>
      <c r="W476" s="8">
        <v>67812</v>
      </c>
      <c r="Y476" s="3">
        <f t="shared" si="33"/>
        <v>18445542</v>
      </c>
      <c r="AA476" s="8">
        <v>0</v>
      </c>
      <c r="AE476" s="8">
        <v>0</v>
      </c>
      <c r="AG476" s="8">
        <v>500</v>
      </c>
      <c r="AI476" s="8">
        <v>0</v>
      </c>
      <c r="AK476" s="8">
        <f t="shared" si="34"/>
        <v>500</v>
      </c>
      <c r="AM476" s="8">
        <f t="shared" si="35"/>
        <v>18446042</v>
      </c>
    </row>
    <row r="477" spans="1:39">
      <c r="A477" s="13" t="s">
        <v>601</v>
      </c>
      <c r="B477" s="13"/>
      <c r="C477" s="13" t="s">
        <v>71</v>
      </c>
      <c r="D477" s="13"/>
      <c r="E477" s="13">
        <v>50583</v>
      </c>
      <c r="G477" s="8">
        <v>6088074</v>
      </c>
      <c r="I477" s="8">
        <v>0</v>
      </c>
      <c r="K477" s="8">
        <v>5824363</v>
      </c>
      <c r="M477" s="8">
        <v>148488</v>
      </c>
      <c r="O477" s="8">
        <f>808990+6748</f>
        <v>815738</v>
      </c>
      <c r="Q477" s="8">
        <v>0</v>
      </c>
      <c r="S477" s="8">
        <v>0</v>
      </c>
      <c r="U477" s="8">
        <v>600</v>
      </c>
      <c r="W477" s="8">
        <v>6638</v>
      </c>
      <c r="Y477" s="3">
        <f t="shared" si="33"/>
        <v>12883901</v>
      </c>
      <c r="AA477" s="8">
        <v>0</v>
      </c>
      <c r="AE477" s="8">
        <v>0</v>
      </c>
      <c r="AG477" s="8">
        <v>0</v>
      </c>
      <c r="AI477" s="8">
        <v>0</v>
      </c>
      <c r="AK477" s="8">
        <f t="shared" ref="AK477:AK510" si="36">SUM(AA477:AJ477)</f>
        <v>0</v>
      </c>
      <c r="AM477" s="8">
        <f t="shared" si="35"/>
        <v>12883901</v>
      </c>
    </row>
    <row r="478" spans="1:39">
      <c r="A478" s="13" t="s">
        <v>268</v>
      </c>
      <c r="B478" s="13"/>
      <c r="C478" s="13" t="s">
        <v>17</v>
      </c>
      <c r="D478" s="13"/>
      <c r="E478" s="32">
        <v>46276</v>
      </c>
      <c r="F478" s="11"/>
      <c r="G478" s="8">
        <v>1956583</v>
      </c>
      <c r="I478" s="8">
        <v>974894</v>
      </c>
      <c r="K478" s="8">
        <v>3691736</v>
      </c>
      <c r="M478" s="8">
        <v>0</v>
      </c>
      <c r="O478" s="8">
        <v>527567</v>
      </c>
      <c r="Q478" s="8">
        <v>0</v>
      </c>
      <c r="S478" s="8">
        <v>0</v>
      </c>
      <c r="U478" s="8">
        <v>0</v>
      </c>
      <c r="W478" s="8">
        <v>13170</v>
      </c>
      <c r="Y478" s="3">
        <f t="shared" si="33"/>
        <v>7163950</v>
      </c>
      <c r="AA478" s="8">
        <v>0</v>
      </c>
      <c r="AE478" s="8">
        <v>0</v>
      </c>
      <c r="AG478" s="8">
        <v>0</v>
      </c>
      <c r="AI478" s="8">
        <v>0</v>
      </c>
      <c r="AK478" s="8">
        <f t="shared" si="36"/>
        <v>0</v>
      </c>
      <c r="AM478" s="8">
        <f t="shared" si="35"/>
        <v>7163950</v>
      </c>
    </row>
    <row r="479" spans="1:39">
      <c r="A479" s="13" t="s">
        <v>268</v>
      </c>
      <c r="B479" s="13"/>
      <c r="C479" s="13" t="s">
        <v>58</v>
      </c>
      <c r="D479" s="13"/>
      <c r="E479" s="32">
        <v>49528</v>
      </c>
      <c r="G479" s="8">
        <v>1595176</v>
      </c>
      <c r="I479" s="8">
        <v>98757</v>
      </c>
      <c r="K479" s="8">
        <v>7180372</v>
      </c>
      <c r="M479" s="8">
        <v>186596</v>
      </c>
      <c r="O479" s="8">
        <f>35175+728298</f>
        <v>763473</v>
      </c>
      <c r="Q479" s="8">
        <v>0</v>
      </c>
      <c r="S479" s="8">
        <v>0</v>
      </c>
      <c r="U479" s="8">
        <v>0</v>
      </c>
      <c r="W479" s="8">
        <v>200451</v>
      </c>
      <c r="Y479" s="3">
        <f t="shared" si="33"/>
        <v>10024825</v>
      </c>
      <c r="AA479" s="8">
        <v>0</v>
      </c>
      <c r="AE479" s="8">
        <v>0</v>
      </c>
      <c r="AG479" s="8">
        <v>0</v>
      </c>
      <c r="AI479" s="8">
        <v>1900</v>
      </c>
      <c r="AK479" s="8">
        <f t="shared" si="36"/>
        <v>1900</v>
      </c>
      <c r="AM479" s="8">
        <f t="shared" si="35"/>
        <v>10026725</v>
      </c>
    </row>
    <row r="480" spans="1:39">
      <c r="A480" s="13" t="s">
        <v>288</v>
      </c>
      <c r="B480" s="13"/>
      <c r="C480" s="13" t="s">
        <v>115</v>
      </c>
      <c r="D480" s="13"/>
      <c r="E480" s="32">
        <v>46441</v>
      </c>
      <c r="F480" s="11"/>
      <c r="G480" s="8">
        <v>1584067</v>
      </c>
      <c r="I480" s="8">
        <v>0</v>
      </c>
      <c r="K480" s="8">
        <v>6617876</v>
      </c>
      <c r="M480" s="8">
        <v>41969</v>
      </c>
      <c r="O480" s="8">
        <v>300809</v>
      </c>
      <c r="Q480" s="8">
        <v>0</v>
      </c>
      <c r="S480" s="8">
        <v>0</v>
      </c>
      <c r="U480" s="8">
        <v>0</v>
      </c>
      <c r="W480" s="8">
        <v>131464</v>
      </c>
      <c r="Y480" s="3">
        <f>SUM(G480:X480)</f>
        <v>8676185</v>
      </c>
      <c r="AA480" s="8">
        <v>0</v>
      </c>
      <c r="AE480" s="8">
        <v>0</v>
      </c>
      <c r="AG480" s="8">
        <v>0</v>
      </c>
      <c r="AI480" s="8">
        <v>0</v>
      </c>
      <c r="AK480" s="8">
        <f>SUM(AA480:AJ480)</f>
        <v>0</v>
      </c>
      <c r="AM480" s="8">
        <f>+AK480+Y480</f>
        <v>8676185</v>
      </c>
    </row>
    <row r="481" spans="1:39">
      <c r="A481" s="13" t="s">
        <v>288</v>
      </c>
      <c r="B481" s="13"/>
      <c r="C481" s="13" t="s">
        <v>537</v>
      </c>
      <c r="D481" s="13"/>
      <c r="E481" s="32">
        <v>46441</v>
      </c>
      <c r="F481" s="11"/>
      <c r="G481" s="8">
        <v>1096696</v>
      </c>
      <c r="I481" s="8">
        <v>0</v>
      </c>
      <c r="K481" s="8">
        <v>4091051</v>
      </c>
      <c r="M481" s="8">
        <v>31963</v>
      </c>
      <c r="O481" s="8">
        <v>250342</v>
      </c>
      <c r="Q481" s="8">
        <v>0</v>
      </c>
      <c r="S481" s="8">
        <v>0</v>
      </c>
      <c r="U481" s="8">
        <v>0</v>
      </c>
      <c r="W481" s="8">
        <v>32067</v>
      </c>
      <c r="Y481" s="3">
        <f t="shared" si="33"/>
        <v>5502119</v>
      </c>
      <c r="AA481" s="8">
        <v>0</v>
      </c>
      <c r="AE481" s="8">
        <v>0</v>
      </c>
      <c r="AG481" s="8">
        <v>32144</v>
      </c>
      <c r="AI481" s="8">
        <v>0</v>
      </c>
      <c r="AK481" s="8">
        <f t="shared" si="36"/>
        <v>32144</v>
      </c>
      <c r="AM481" s="8">
        <f t="shared" si="35"/>
        <v>5534263</v>
      </c>
    </row>
    <row r="482" spans="1:39">
      <c r="A482" s="13" t="s">
        <v>696</v>
      </c>
      <c r="B482" s="13"/>
      <c r="C482" s="13" t="s">
        <v>64</v>
      </c>
      <c r="D482" s="13"/>
      <c r="E482" s="32">
        <v>50237</v>
      </c>
      <c r="G482" s="8">
        <v>1559827</v>
      </c>
      <c r="I482" s="8">
        <v>0</v>
      </c>
      <c r="K482" s="8">
        <v>2886766</v>
      </c>
      <c r="M482" s="8">
        <v>289541</v>
      </c>
      <c r="O482" s="8">
        <f>393698</f>
        <v>393698</v>
      </c>
      <c r="Q482" s="8">
        <v>0</v>
      </c>
      <c r="S482" s="8">
        <v>0</v>
      </c>
      <c r="U482" s="8">
        <v>0</v>
      </c>
      <c r="W482" s="8">
        <v>59934</v>
      </c>
      <c r="Y482" s="3">
        <f t="shared" si="33"/>
        <v>5189766</v>
      </c>
      <c r="AA482" s="8">
        <v>0</v>
      </c>
      <c r="AE482" s="8">
        <v>0</v>
      </c>
      <c r="AG482" s="8">
        <v>70242</v>
      </c>
      <c r="AI482" s="8">
        <v>0</v>
      </c>
      <c r="AK482" s="8">
        <f t="shared" si="36"/>
        <v>70242</v>
      </c>
      <c r="AM482" s="8">
        <f t="shared" si="35"/>
        <v>5260008</v>
      </c>
    </row>
    <row r="483" spans="1:39">
      <c r="A483" s="13" t="s">
        <v>487</v>
      </c>
      <c r="B483" s="13"/>
      <c r="C483" s="13" t="s">
        <v>42</v>
      </c>
      <c r="D483" s="13"/>
      <c r="E483" s="32">
        <v>48041</v>
      </c>
      <c r="G483" s="8">
        <v>13108143</v>
      </c>
      <c r="I483" s="8">
        <v>4354626</v>
      </c>
      <c r="K483" s="8">
        <v>13583532</v>
      </c>
      <c r="M483" s="8">
        <v>516884</v>
      </c>
      <c r="O483" s="8">
        <f>462839+165053</f>
        <v>627892</v>
      </c>
      <c r="Q483" s="8">
        <v>152475</v>
      </c>
      <c r="S483" s="8">
        <v>0</v>
      </c>
      <c r="U483" s="8">
        <v>0</v>
      </c>
      <c r="W483" s="8">
        <v>116550</v>
      </c>
      <c r="Y483" s="3">
        <f t="shared" si="33"/>
        <v>32460102</v>
      </c>
      <c r="AA483" s="8">
        <v>0</v>
      </c>
      <c r="AE483" s="8">
        <v>0</v>
      </c>
      <c r="AG483" s="8">
        <v>8825</v>
      </c>
      <c r="AI483" s="8">
        <v>0</v>
      </c>
      <c r="AK483" s="8">
        <f t="shared" si="36"/>
        <v>8825</v>
      </c>
      <c r="AM483" s="8">
        <f t="shared" si="35"/>
        <v>32468927</v>
      </c>
    </row>
    <row r="484" spans="1:39">
      <c r="A484" s="13" t="s">
        <v>412</v>
      </c>
      <c r="B484" s="13"/>
      <c r="C484" s="13" t="s">
        <v>32</v>
      </c>
      <c r="D484" s="13"/>
      <c r="E484" s="32">
        <v>47381</v>
      </c>
      <c r="G484" s="8">
        <v>14170878</v>
      </c>
      <c r="I484" s="8">
        <v>0</v>
      </c>
      <c r="K484" s="8">
        <v>16037369</v>
      </c>
      <c r="M484" s="8">
        <v>238718</v>
      </c>
      <c r="O484" s="8">
        <f>101201</f>
        <v>101201</v>
      </c>
      <c r="Q484" s="8">
        <v>0</v>
      </c>
      <c r="S484" s="8">
        <v>0</v>
      </c>
      <c r="U484" s="8">
        <v>0</v>
      </c>
      <c r="W484" s="8">
        <v>98610</v>
      </c>
      <c r="Y484" s="3">
        <f t="shared" si="33"/>
        <v>30646776</v>
      </c>
      <c r="AA484" s="8">
        <v>0</v>
      </c>
      <c r="AE484" s="8">
        <v>0</v>
      </c>
      <c r="AG484" s="8">
        <v>5204</v>
      </c>
      <c r="AI484" s="8">
        <v>0</v>
      </c>
      <c r="AK484" s="8">
        <f t="shared" si="36"/>
        <v>5204</v>
      </c>
      <c r="AM484" s="8">
        <f t="shared" si="35"/>
        <v>30651980</v>
      </c>
    </row>
    <row r="485" spans="1:39">
      <c r="A485" s="13" t="s">
        <v>367</v>
      </c>
      <c r="B485" s="13"/>
      <c r="C485" s="13" t="s">
        <v>27</v>
      </c>
      <c r="D485" s="13"/>
      <c r="E485" s="32">
        <v>44800</v>
      </c>
      <c r="G485" s="8">
        <v>79379853</v>
      </c>
      <c r="I485" s="8">
        <v>0</v>
      </c>
      <c r="K485" s="8">
        <f>95728877+423222</f>
        <v>96152099</v>
      </c>
      <c r="M485" s="8">
        <v>1990738</v>
      </c>
      <c r="O485" s="8">
        <v>410353</v>
      </c>
      <c r="Q485" s="8">
        <v>0</v>
      </c>
      <c r="S485" s="8">
        <v>0</v>
      </c>
      <c r="U485" s="8">
        <v>0</v>
      </c>
      <c r="W485" s="8">
        <v>1204736</v>
      </c>
      <c r="Y485" s="3">
        <f t="shared" si="33"/>
        <v>179137779</v>
      </c>
      <c r="AA485" s="8">
        <v>0</v>
      </c>
      <c r="AE485" s="8">
        <v>0</v>
      </c>
      <c r="AG485" s="8">
        <v>44456</v>
      </c>
      <c r="AI485" s="8">
        <v>0</v>
      </c>
      <c r="AK485" s="8">
        <f t="shared" si="36"/>
        <v>44456</v>
      </c>
      <c r="AM485" s="8">
        <f t="shared" si="35"/>
        <v>179182235</v>
      </c>
    </row>
    <row r="486" spans="1:39" hidden="1">
      <c r="A486" s="13" t="s">
        <v>214</v>
      </c>
      <c r="B486" s="13"/>
      <c r="C486" s="13" t="s">
        <v>10</v>
      </c>
      <c r="D486" s="13"/>
      <c r="E486" s="32">
        <v>45807</v>
      </c>
      <c r="F486" s="11"/>
      <c r="S486" s="8">
        <v>0</v>
      </c>
      <c r="U486" s="8">
        <v>0</v>
      </c>
      <c r="Y486" s="3">
        <f t="shared" si="33"/>
        <v>0</v>
      </c>
      <c r="AA486" s="8">
        <v>0</v>
      </c>
      <c r="AE486" s="8">
        <v>0</v>
      </c>
      <c r="AG486" s="8">
        <v>0</v>
      </c>
      <c r="AI486" s="8">
        <v>0</v>
      </c>
      <c r="AK486" s="8">
        <f t="shared" si="36"/>
        <v>0</v>
      </c>
      <c r="AM486" s="8">
        <f t="shared" si="35"/>
        <v>0</v>
      </c>
    </row>
    <row r="487" spans="1:39">
      <c r="A487" s="13" t="s">
        <v>719</v>
      </c>
      <c r="B487" s="13"/>
      <c r="C487" s="13" t="s">
        <v>69</v>
      </c>
      <c r="D487" s="13"/>
      <c r="E487" s="32">
        <v>50427</v>
      </c>
      <c r="G487" s="8">
        <v>25615519</v>
      </c>
      <c r="I487" s="8">
        <v>0</v>
      </c>
      <c r="K487" s="8">
        <v>15187237</v>
      </c>
      <c r="M487" s="8">
        <v>488608</v>
      </c>
      <c r="O487" s="8">
        <v>102117</v>
      </c>
      <c r="Q487" s="8">
        <v>0</v>
      </c>
      <c r="S487" s="8">
        <v>0</v>
      </c>
      <c r="U487" s="8">
        <v>0</v>
      </c>
      <c r="W487" s="8">
        <f>3746+350511</f>
        <v>354257</v>
      </c>
      <c r="Y487" s="3">
        <f t="shared" si="33"/>
        <v>41747738</v>
      </c>
      <c r="AA487" s="8">
        <v>176324</v>
      </c>
      <c r="AE487" s="8">
        <v>0</v>
      </c>
      <c r="AG487" s="8">
        <v>0</v>
      </c>
      <c r="AI487" s="8">
        <v>0</v>
      </c>
      <c r="AK487" s="8">
        <f t="shared" si="36"/>
        <v>176324</v>
      </c>
      <c r="AM487" s="8">
        <f t="shared" si="35"/>
        <v>41924062</v>
      </c>
    </row>
    <row r="488" spans="1:39">
      <c r="A488" s="12" t="s">
        <v>899</v>
      </c>
      <c r="B488" s="12"/>
      <c r="C488" s="12" t="s">
        <v>17</v>
      </c>
      <c r="D488" s="12"/>
      <c r="E488" s="32"/>
      <c r="G488" s="8">
        <v>20884376</v>
      </c>
      <c r="I488" s="8">
        <v>0</v>
      </c>
      <c r="K488" s="8">
        <v>47312088</v>
      </c>
      <c r="M488" s="8">
        <f>1026775-22033</f>
        <v>1004742</v>
      </c>
      <c r="O488" s="8">
        <f>1486476+16898</f>
        <v>1503374</v>
      </c>
      <c r="Q488" s="8">
        <v>34316</v>
      </c>
      <c r="S488" s="8">
        <v>0</v>
      </c>
      <c r="U488" s="8">
        <v>0</v>
      </c>
      <c r="W488" s="8">
        <v>427959</v>
      </c>
      <c r="Y488" s="3">
        <f t="shared" si="33"/>
        <v>71166855</v>
      </c>
      <c r="AA488" s="8">
        <v>0</v>
      </c>
      <c r="AE488" s="8">
        <v>0</v>
      </c>
      <c r="AG488" s="8">
        <v>335000</v>
      </c>
      <c r="AI488" s="8">
        <v>0</v>
      </c>
      <c r="AK488" s="8">
        <f t="shared" si="36"/>
        <v>335000</v>
      </c>
      <c r="AM488" s="8">
        <f t="shared" si="35"/>
        <v>71501855</v>
      </c>
    </row>
    <row r="489" spans="1:39">
      <c r="A489" s="13" t="s">
        <v>506</v>
      </c>
      <c r="B489" s="13"/>
      <c r="C489" s="13" t="s">
        <v>118</v>
      </c>
      <c r="D489" s="13"/>
      <c r="E489" s="32">
        <v>48223</v>
      </c>
      <c r="G489" s="8">
        <v>22652047</v>
      </c>
      <c r="I489" s="8">
        <v>0</v>
      </c>
      <c r="K489" s="8">
        <v>8655069</v>
      </c>
      <c r="M489" s="8">
        <v>449876</v>
      </c>
      <c r="O489" s="8">
        <f>1613781+67213+14233</f>
        <v>1695227</v>
      </c>
      <c r="Q489" s="8">
        <v>0</v>
      </c>
      <c r="S489" s="8">
        <v>0</v>
      </c>
      <c r="U489" s="8">
        <v>174</v>
      </c>
      <c r="W489" s="8">
        <v>372406</v>
      </c>
      <c r="Y489" s="3">
        <f t="shared" si="33"/>
        <v>33824799</v>
      </c>
      <c r="AA489" s="8">
        <v>0</v>
      </c>
      <c r="AE489" s="8">
        <v>0</v>
      </c>
      <c r="AG489" s="8">
        <v>200</v>
      </c>
      <c r="AI489" s="8">
        <v>0</v>
      </c>
      <c r="AK489" s="8">
        <f t="shared" si="36"/>
        <v>200</v>
      </c>
      <c r="AM489" s="8">
        <f t="shared" si="35"/>
        <v>33824999</v>
      </c>
    </row>
    <row r="490" spans="1:39">
      <c r="A490" s="13" t="s">
        <v>506</v>
      </c>
      <c r="B490" s="13"/>
      <c r="C490" s="13" t="s">
        <v>45</v>
      </c>
      <c r="D490" s="13"/>
      <c r="E490" s="13">
        <v>48371</v>
      </c>
      <c r="G490" s="8">
        <v>2727267</v>
      </c>
      <c r="I490" s="8">
        <v>1671575</v>
      </c>
      <c r="K490" s="8">
        <v>5361117</v>
      </c>
      <c r="M490" s="8">
        <v>146893</v>
      </c>
      <c r="O490" s="8">
        <f>17822+28784</f>
        <v>46606</v>
      </c>
      <c r="Q490" s="8">
        <v>0</v>
      </c>
      <c r="S490" s="8">
        <v>0</v>
      </c>
      <c r="U490" s="8">
        <v>0</v>
      </c>
      <c r="W490" s="8">
        <v>33398</v>
      </c>
      <c r="Y490" s="3">
        <f t="shared" si="33"/>
        <v>9986856</v>
      </c>
      <c r="AA490" s="8">
        <v>0</v>
      </c>
      <c r="AE490" s="8">
        <v>0</v>
      </c>
      <c r="AG490" s="8">
        <v>0</v>
      </c>
      <c r="AI490" s="8">
        <v>0</v>
      </c>
      <c r="AK490" s="8">
        <f t="shared" si="36"/>
        <v>0</v>
      </c>
      <c r="AM490" s="8">
        <f t="shared" si="35"/>
        <v>9986856</v>
      </c>
    </row>
    <row r="491" spans="1:39">
      <c r="A491" s="13" t="s">
        <v>506</v>
      </c>
      <c r="B491" s="13"/>
      <c r="C491" s="13" t="s">
        <v>63</v>
      </c>
      <c r="D491" s="13"/>
      <c r="E491" s="13">
        <v>50062</v>
      </c>
      <c r="G491" s="8">
        <v>9756102</v>
      </c>
      <c r="I491" s="8">
        <v>0</v>
      </c>
      <c r="K491" s="8">
        <v>10175948</v>
      </c>
      <c r="M491" s="8">
        <v>152606</v>
      </c>
      <c r="O491" s="8">
        <f>1870306+34351</f>
        <v>1904657</v>
      </c>
      <c r="Q491" s="8">
        <v>0</v>
      </c>
      <c r="S491" s="8">
        <v>0</v>
      </c>
      <c r="U491" s="8">
        <v>2000</v>
      </c>
      <c r="W491" s="8">
        <v>57394</v>
      </c>
      <c r="Y491" s="3">
        <f t="shared" si="33"/>
        <v>22048707</v>
      </c>
      <c r="AA491" s="8">
        <v>2000000</v>
      </c>
      <c r="AE491" s="8">
        <v>0</v>
      </c>
      <c r="AG491" s="8">
        <v>2723</v>
      </c>
      <c r="AI491" s="8">
        <v>0</v>
      </c>
      <c r="AK491" s="8">
        <f t="shared" si="36"/>
        <v>2002723</v>
      </c>
      <c r="AM491" s="8">
        <f t="shared" si="35"/>
        <v>24051430</v>
      </c>
    </row>
    <row r="492" spans="1:39">
      <c r="A492" s="13" t="s">
        <v>909</v>
      </c>
      <c r="B492" s="13"/>
      <c r="C492" s="13" t="s">
        <v>32</v>
      </c>
      <c r="D492" s="13"/>
      <c r="E492" s="32">
        <v>44719</v>
      </c>
      <c r="G492" s="8">
        <v>6093537</v>
      </c>
      <c r="I492" s="8">
        <v>0</v>
      </c>
      <c r="K492" s="8">
        <v>4939409</v>
      </c>
      <c r="M492" s="8">
        <v>192282</v>
      </c>
      <c r="O492" s="8">
        <v>17144</v>
      </c>
      <c r="Q492" s="8">
        <v>0</v>
      </c>
      <c r="S492" s="8">
        <v>0</v>
      </c>
      <c r="U492" s="8">
        <v>0</v>
      </c>
      <c r="W492" s="8">
        <v>286832</v>
      </c>
      <c r="Y492" s="3">
        <f t="shared" si="33"/>
        <v>11529204</v>
      </c>
      <c r="AA492" s="8">
        <v>345478</v>
      </c>
      <c r="AE492" s="8">
        <v>0</v>
      </c>
      <c r="AG492" s="8">
        <v>0</v>
      </c>
      <c r="AI492" s="8">
        <v>0</v>
      </c>
      <c r="AK492" s="8">
        <f t="shared" si="36"/>
        <v>345478</v>
      </c>
      <c r="AM492" s="8">
        <f t="shared" si="35"/>
        <v>11874682</v>
      </c>
    </row>
    <row r="493" spans="1:39">
      <c r="A493" s="13" t="s">
        <v>908</v>
      </c>
      <c r="B493" s="13"/>
      <c r="C493" s="13" t="s">
        <v>15</v>
      </c>
      <c r="D493" s="13"/>
      <c r="E493" s="32">
        <v>45997</v>
      </c>
      <c r="F493" s="11"/>
      <c r="G493" s="8">
        <v>6747521</v>
      </c>
      <c r="I493" s="8">
        <v>0</v>
      </c>
      <c r="K493" s="8">
        <v>4722328</v>
      </c>
      <c r="M493" s="8">
        <v>155563</v>
      </c>
      <c r="O493" s="8">
        <f>987140+122354</f>
        <v>1109494</v>
      </c>
      <c r="Q493" s="8">
        <v>0</v>
      </c>
      <c r="S493" s="8">
        <v>0</v>
      </c>
      <c r="U493" s="8">
        <v>3590</v>
      </c>
      <c r="W493" s="8">
        <v>59411</v>
      </c>
      <c r="Y493" s="3">
        <f t="shared" si="33"/>
        <v>12797907</v>
      </c>
      <c r="AA493" s="8">
        <v>0</v>
      </c>
      <c r="AE493" s="8">
        <v>0</v>
      </c>
      <c r="AG493" s="8">
        <v>0</v>
      </c>
      <c r="AI493" s="8">
        <v>0</v>
      </c>
      <c r="AK493" s="8">
        <f t="shared" si="36"/>
        <v>0</v>
      </c>
      <c r="AM493" s="8">
        <f t="shared" si="35"/>
        <v>12797907</v>
      </c>
    </row>
    <row r="494" spans="1:39" hidden="1">
      <c r="A494" s="13" t="s">
        <v>542</v>
      </c>
      <c r="B494" s="13"/>
      <c r="C494" s="13" t="s">
        <v>540</v>
      </c>
      <c r="D494" s="13"/>
      <c r="E494" s="32">
        <v>48587</v>
      </c>
      <c r="I494" s="8">
        <v>0</v>
      </c>
      <c r="Q494" s="8">
        <v>0</v>
      </c>
      <c r="S494" s="8">
        <v>0</v>
      </c>
      <c r="U494" s="8">
        <v>0</v>
      </c>
      <c r="W494" s="8">
        <v>0</v>
      </c>
      <c r="Y494" s="3">
        <f t="shared" si="33"/>
        <v>0</v>
      </c>
      <c r="AA494" s="8">
        <v>0</v>
      </c>
      <c r="AE494" s="8">
        <v>0</v>
      </c>
      <c r="AG494" s="8">
        <v>0</v>
      </c>
      <c r="AI494" s="8">
        <v>0</v>
      </c>
      <c r="AK494" s="8">
        <f t="shared" si="36"/>
        <v>0</v>
      </c>
      <c r="AM494" s="8">
        <f t="shared" si="35"/>
        <v>0</v>
      </c>
    </row>
    <row r="495" spans="1:39" hidden="1">
      <c r="A495" s="13" t="s">
        <v>232</v>
      </c>
      <c r="B495" s="13"/>
      <c r="C495" s="13" t="s">
        <v>14</v>
      </c>
      <c r="D495" s="13"/>
      <c r="E495" s="32">
        <v>44727</v>
      </c>
      <c r="F495" s="11"/>
      <c r="I495" s="8">
        <v>0</v>
      </c>
      <c r="Q495" s="8">
        <v>0</v>
      </c>
      <c r="S495" s="8">
        <v>0</v>
      </c>
      <c r="U495" s="8">
        <v>0</v>
      </c>
      <c r="W495" s="8">
        <v>0</v>
      </c>
      <c r="Y495" s="3">
        <f t="shared" si="33"/>
        <v>0</v>
      </c>
      <c r="AA495" s="8">
        <v>0</v>
      </c>
      <c r="AE495" s="8">
        <v>0</v>
      </c>
      <c r="AG495" s="8">
        <v>0</v>
      </c>
      <c r="AI495" s="8">
        <v>0</v>
      </c>
      <c r="AK495" s="8">
        <f t="shared" si="36"/>
        <v>0</v>
      </c>
      <c r="AM495" s="8">
        <f t="shared" si="35"/>
        <v>0</v>
      </c>
    </row>
    <row r="496" spans="1:39">
      <c r="A496" s="13" t="s">
        <v>457</v>
      </c>
      <c r="B496" s="13"/>
      <c r="C496" s="13" t="s">
        <v>39</v>
      </c>
      <c r="D496" s="13"/>
      <c r="E496" s="32">
        <v>44826</v>
      </c>
      <c r="G496" s="8">
        <v>3679672</v>
      </c>
      <c r="I496" s="8">
        <v>0</v>
      </c>
      <c r="K496" s="8">
        <v>10442898</v>
      </c>
      <c r="M496" s="8">
        <v>388777</v>
      </c>
      <c r="O496" s="8">
        <f>1867+2371954</f>
        <v>2373821</v>
      </c>
      <c r="Q496" s="8">
        <v>0</v>
      </c>
      <c r="S496" s="8">
        <v>0</v>
      </c>
      <c r="U496" s="8">
        <v>2348</v>
      </c>
      <c r="W496" s="8">
        <v>80179</v>
      </c>
      <c r="Y496" s="3">
        <f t="shared" si="33"/>
        <v>16967695</v>
      </c>
      <c r="AA496" s="8">
        <v>0</v>
      </c>
      <c r="AE496" s="8">
        <v>0</v>
      </c>
      <c r="AG496" s="8">
        <v>657</v>
      </c>
      <c r="AI496" s="8">
        <v>0</v>
      </c>
      <c r="AK496" s="8">
        <f t="shared" si="36"/>
        <v>657</v>
      </c>
      <c r="AM496" s="8">
        <f t="shared" si="35"/>
        <v>16968352</v>
      </c>
    </row>
    <row r="497" spans="1:39">
      <c r="A497" s="13" t="s">
        <v>676</v>
      </c>
      <c r="B497" s="13"/>
      <c r="C497" s="13" t="s">
        <v>63</v>
      </c>
      <c r="D497" s="13"/>
      <c r="E497" s="32">
        <v>44834</v>
      </c>
      <c r="G497" s="8">
        <v>28377768</v>
      </c>
      <c r="I497" s="8">
        <v>0</v>
      </c>
      <c r="K497" s="8">
        <f>28445+19871258</f>
        <v>19899703</v>
      </c>
      <c r="M497" s="8">
        <v>630417</v>
      </c>
      <c r="O497" s="8">
        <f>1249518</f>
        <v>1249518</v>
      </c>
      <c r="Q497" s="8">
        <v>77418</v>
      </c>
      <c r="S497" s="8">
        <v>0</v>
      </c>
      <c r="U497" s="8">
        <v>0</v>
      </c>
      <c r="W497" s="8">
        <v>87656</v>
      </c>
      <c r="Y497" s="3">
        <f t="shared" si="33"/>
        <v>50322480</v>
      </c>
      <c r="AA497" s="8">
        <v>0</v>
      </c>
      <c r="AE497" s="8">
        <v>0</v>
      </c>
      <c r="AG497" s="8">
        <v>10351</v>
      </c>
      <c r="AI497" s="8">
        <v>0</v>
      </c>
      <c r="AK497" s="8">
        <f t="shared" si="36"/>
        <v>10351</v>
      </c>
      <c r="AM497" s="8">
        <f t="shared" si="35"/>
        <v>50332831</v>
      </c>
    </row>
    <row r="498" spans="1:39" hidden="1">
      <c r="A498" s="13" t="s">
        <v>705</v>
      </c>
      <c r="B498" s="13"/>
      <c r="C498" s="13" t="s">
        <v>65</v>
      </c>
      <c r="D498" s="13"/>
      <c r="E498" s="32">
        <v>50294</v>
      </c>
      <c r="I498" s="8">
        <v>0</v>
      </c>
      <c r="Q498" s="8">
        <v>0</v>
      </c>
      <c r="S498" s="8">
        <v>0</v>
      </c>
      <c r="U498" s="8">
        <v>0</v>
      </c>
      <c r="Y498" s="3">
        <f t="shared" si="33"/>
        <v>0</v>
      </c>
      <c r="AA498" s="8">
        <v>0</v>
      </c>
      <c r="AE498" s="8">
        <v>0</v>
      </c>
      <c r="AG498" s="8">
        <v>0</v>
      </c>
      <c r="AI498" s="8">
        <v>0</v>
      </c>
      <c r="AK498" s="8">
        <f t="shared" si="36"/>
        <v>0</v>
      </c>
      <c r="AM498" s="8">
        <f t="shared" si="35"/>
        <v>0</v>
      </c>
    </row>
    <row r="499" spans="1:39">
      <c r="A499" s="13" t="s">
        <v>602</v>
      </c>
      <c r="B499" s="13"/>
      <c r="C499" s="13" t="s">
        <v>56</v>
      </c>
      <c r="D499" s="13"/>
      <c r="E499" s="32">
        <v>49239</v>
      </c>
      <c r="G499" s="8">
        <v>12556558</v>
      </c>
      <c r="I499" s="8">
        <v>0</v>
      </c>
      <c r="K499" s="8">
        <v>7078275</v>
      </c>
      <c r="M499" s="8">
        <v>142403</v>
      </c>
      <c r="O499" s="8">
        <f>106849+5221</f>
        <v>112070</v>
      </c>
      <c r="Q499" s="8">
        <v>74610</v>
      </c>
      <c r="S499" s="8">
        <v>292062</v>
      </c>
      <c r="U499" s="8">
        <v>0</v>
      </c>
      <c r="W499" s="8">
        <v>579485</v>
      </c>
      <c r="Y499" s="3">
        <f t="shared" si="33"/>
        <v>20835463</v>
      </c>
      <c r="AA499" s="8">
        <v>0</v>
      </c>
      <c r="AE499" s="8">
        <v>0</v>
      </c>
      <c r="AG499" s="8">
        <v>0</v>
      </c>
      <c r="AI499" s="8">
        <v>0</v>
      </c>
      <c r="AK499" s="8">
        <f t="shared" si="36"/>
        <v>0</v>
      </c>
      <c r="AM499" s="8">
        <f t="shared" si="35"/>
        <v>20835463</v>
      </c>
    </row>
    <row r="500" spans="1:39">
      <c r="A500" s="13" t="s">
        <v>327</v>
      </c>
      <c r="B500" s="13"/>
      <c r="C500" s="13" t="s">
        <v>20</v>
      </c>
      <c r="D500" s="13"/>
      <c r="E500" s="32">
        <v>44842</v>
      </c>
      <c r="G500" s="8">
        <v>51335575</v>
      </c>
      <c r="I500" s="8">
        <v>0</v>
      </c>
      <c r="K500" s="8">
        <v>19006850</v>
      </c>
      <c r="M500" s="8">
        <v>573437</v>
      </c>
      <c r="O500" s="8">
        <f>315105</f>
        <v>315105</v>
      </c>
      <c r="Q500" s="8">
        <v>959</v>
      </c>
      <c r="S500" s="8">
        <v>0</v>
      </c>
      <c r="U500" s="8">
        <v>0</v>
      </c>
      <c r="W500" s="8">
        <v>577981</v>
      </c>
      <c r="Y500" s="3">
        <f t="shared" si="33"/>
        <v>71809907</v>
      </c>
      <c r="AA500" s="8">
        <v>0</v>
      </c>
      <c r="AE500" s="8">
        <v>0</v>
      </c>
      <c r="AG500" s="8">
        <v>34412</v>
      </c>
      <c r="AI500" s="8">
        <v>0</v>
      </c>
      <c r="AK500" s="8">
        <f t="shared" si="36"/>
        <v>34412</v>
      </c>
      <c r="AM500" s="8">
        <f t="shared" si="35"/>
        <v>71844319</v>
      </c>
    </row>
    <row r="501" spans="1:39">
      <c r="A501" s="13" t="s">
        <v>523</v>
      </c>
      <c r="B501" s="13"/>
      <c r="C501" s="13" t="s">
        <v>45</v>
      </c>
      <c r="D501" s="13"/>
      <c r="E501" s="32">
        <v>44859</v>
      </c>
      <c r="G501" s="8">
        <v>4630019</v>
      </c>
      <c r="I501" s="8">
        <v>0</v>
      </c>
      <c r="K501" s="8">
        <v>9256547</v>
      </c>
      <c r="M501" s="8">
        <v>73704</v>
      </c>
      <c r="O501" s="8">
        <v>890033</v>
      </c>
      <c r="Q501" s="8">
        <v>9001</v>
      </c>
      <c r="S501" s="8">
        <v>0</v>
      </c>
      <c r="U501" s="8">
        <v>0</v>
      </c>
      <c r="W501" s="8">
        <f>11776+221641</f>
        <v>233417</v>
      </c>
      <c r="Y501" s="3">
        <f t="shared" si="33"/>
        <v>15092721</v>
      </c>
      <c r="AA501" s="8">
        <v>0</v>
      </c>
      <c r="AE501" s="8">
        <v>0</v>
      </c>
      <c r="AG501" s="8">
        <v>0</v>
      </c>
      <c r="AI501" s="8">
        <v>0</v>
      </c>
      <c r="AK501" s="8">
        <f t="shared" si="36"/>
        <v>0</v>
      </c>
      <c r="AM501" s="8">
        <f t="shared" si="35"/>
        <v>15092721</v>
      </c>
    </row>
    <row r="502" spans="1:39">
      <c r="A502" s="13" t="s">
        <v>738</v>
      </c>
      <c r="B502" s="13"/>
      <c r="C502" s="13" t="s">
        <v>733</v>
      </c>
      <c r="D502" s="13"/>
      <c r="E502" s="32">
        <v>50658</v>
      </c>
      <c r="G502" s="8">
        <v>1158874</v>
      </c>
      <c r="I502" s="8">
        <v>582855</v>
      </c>
      <c r="K502" s="8">
        <v>2309006</v>
      </c>
      <c r="M502" s="8">
        <v>59124</v>
      </c>
      <c r="O502" s="8">
        <f>109858+4663+400</f>
        <v>114921</v>
      </c>
      <c r="Q502" s="8">
        <v>0</v>
      </c>
      <c r="S502" s="8">
        <v>0</v>
      </c>
      <c r="U502" s="8">
        <v>309</v>
      </c>
      <c r="W502" s="8">
        <v>46595</v>
      </c>
      <c r="Y502" s="3">
        <f t="shared" si="33"/>
        <v>4271684</v>
      </c>
      <c r="AA502" s="8">
        <v>0</v>
      </c>
      <c r="AE502" s="8">
        <v>0</v>
      </c>
      <c r="AG502" s="8">
        <v>0</v>
      </c>
      <c r="AI502" s="8">
        <v>0</v>
      </c>
      <c r="AK502" s="8">
        <f t="shared" si="36"/>
        <v>0</v>
      </c>
      <c r="AM502" s="8">
        <f t="shared" si="35"/>
        <v>4271684</v>
      </c>
    </row>
    <row r="503" spans="1:39">
      <c r="A503" s="13" t="s">
        <v>391</v>
      </c>
      <c r="B503" s="13"/>
      <c r="C503" s="13" t="s">
        <v>117</v>
      </c>
      <c r="D503" s="13"/>
      <c r="E503" s="32">
        <v>47274</v>
      </c>
      <c r="G503" s="8">
        <v>12878199</v>
      </c>
      <c r="I503" s="8">
        <v>0</v>
      </c>
      <c r="K503" s="8">
        <v>8141217</v>
      </c>
      <c r="M503" s="8">
        <v>184548</v>
      </c>
      <c r="O503" s="8">
        <v>416358</v>
      </c>
      <c r="Q503" s="8">
        <v>0</v>
      </c>
      <c r="S503" s="8">
        <v>0</v>
      </c>
      <c r="U503" s="8">
        <v>0</v>
      </c>
      <c r="W503" s="8">
        <v>205760</v>
      </c>
      <c r="Y503" s="3">
        <f t="shared" si="33"/>
        <v>21826082</v>
      </c>
      <c r="AA503" s="8">
        <v>750000</v>
      </c>
      <c r="AE503" s="8">
        <v>0</v>
      </c>
      <c r="AG503" s="8">
        <v>19000</v>
      </c>
      <c r="AI503" s="8">
        <v>0</v>
      </c>
      <c r="AK503" s="8">
        <f t="shared" si="36"/>
        <v>769000</v>
      </c>
      <c r="AM503" s="8">
        <f t="shared" si="35"/>
        <v>22595082</v>
      </c>
    </row>
    <row r="504" spans="1:39">
      <c r="A504" s="13" t="s">
        <v>377</v>
      </c>
      <c r="B504" s="13"/>
      <c r="C504" s="13" t="s">
        <v>28</v>
      </c>
      <c r="D504" s="13"/>
      <c r="E504" s="32">
        <v>47092</v>
      </c>
      <c r="G504" s="8">
        <v>5670658</v>
      </c>
      <c r="I504" s="8">
        <v>2452327</v>
      </c>
      <c r="K504" s="8">
        <v>5483112</v>
      </c>
      <c r="M504" s="8">
        <v>409663</v>
      </c>
      <c r="O504" s="8">
        <v>832644</v>
      </c>
      <c r="Q504" s="8">
        <v>0</v>
      </c>
      <c r="S504" s="8">
        <v>0</v>
      </c>
      <c r="U504" s="8">
        <v>9617</v>
      </c>
      <c r="W504" s="8">
        <v>109949</v>
      </c>
      <c r="Y504" s="3">
        <f t="shared" si="33"/>
        <v>14967970</v>
      </c>
      <c r="AA504" s="8">
        <v>6835</v>
      </c>
      <c r="AE504" s="8">
        <v>0</v>
      </c>
      <c r="AG504" s="8">
        <v>0</v>
      </c>
      <c r="AI504" s="8">
        <v>0</v>
      </c>
      <c r="AK504" s="8">
        <f t="shared" si="36"/>
        <v>6835</v>
      </c>
      <c r="AM504" s="8">
        <f t="shared" si="35"/>
        <v>14974805</v>
      </c>
    </row>
    <row r="505" spans="1:39">
      <c r="A505" s="13" t="s">
        <v>897</v>
      </c>
      <c r="B505" s="13"/>
      <c r="C505" s="13" t="s">
        <v>49</v>
      </c>
      <c r="D505" s="13"/>
      <c r="E505" s="32">
        <v>48652</v>
      </c>
      <c r="G505" s="8">
        <v>6551070</v>
      </c>
      <c r="I505" s="8">
        <v>0</v>
      </c>
      <c r="K505" s="8">
        <v>14284559</v>
      </c>
      <c r="M505" s="8">
        <v>112120</v>
      </c>
      <c r="O505" s="8">
        <f>243525+987</f>
        <v>244512</v>
      </c>
      <c r="Q505" s="8">
        <v>5910</v>
      </c>
      <c r="S505" s="8">
        <v>0</v>
      </c>
      <c r="U505" s="8">
        <v>31874</v>
      </c>
      <c r="W505" s="8">
        <v>62649</v>
      </c>
      <c r="Y505" s="3">
        <f t="shared" si="33"/>
        <v>21292694</v>
      </c>
      <c r="AA505" s="8">
        <v>0</v>
      </c>
      <c r="AE505" s="8">
        <v>0</v>
      </c>
      <c r="AG505" s="8">
        <v>19867</v>
      </c>
      <c r="AI505" s="8">
        <v>0</v>
      </c>
      <c r="AK505" s="8">
        <f t="shared" si="36"/>
        <v>19867</v>
      </c>
      <c r="AM505" s="8">
        <f t="shared" si="35"/>
        <v>21312561</v>
      </c>
    </row>
    <row r="506" spans="1:39">
      <c r="A506" s="13" t="s">
        <v>414</v>
      </c>
      <c r="B506" s="13"/>
      <c r="C506" s="13" t="s">
        <v>32</v>
      </c>
      <c r="D506" s="13"/>
      <c r="E506" s="32">
        <v>44867</v>
      </c>
      <c r="G506" s="8">
        <v>56096792</v>
      </c>
      <c r="I506" s="8">
        <v>0</v>
      </c>
      <c r="K506" s="8">
        <v>14651415</v>
      </c>
      <c r="M506" s="8">
        <v>2413333</v>
      </c>
      <c r="O506" s="8">
        <v>841418</v>
      </c>
      <c r="Q506" s="8">
        <v>0</v>
      </c>
      <c r="S506" s="8">
        <v>0</v>
      </c>
      <c r="U506" s="8">
        <v>0</v>
      </c>
      <c r="W506" s="8">
        <v>329368</v>
      </c>
      <c r="Y506" s="3">
        <f t="shared" si="33"/>
        <v>74332326</v>
      </c>
      <c r="AA506" s="8">
        <v>0</v>
      </c>
      <c r="AE506" s="8">
        <v>6090000</v>
      </c>
      <c r="AG506" s="8">
        <v>3645</v>
      </c>
      <c r="AI506" s="8">
        <v>0</v>
      </c>
      <c r="AK506" s="8">
        <f t="shared" si="36"/>
        <v>6093645</v>
      </c>
      <c r="AM506" s="8">
        <f t="shared" si="35"/>
        <v>80425971</v>
      </c>
    </row>
    <row r="507" spans="1:39">
      <c r="A507" s="13"/>
      <c r="B507" s="13"/>
      <c r="C507" s="13"/>
      <c r="D507" s="13"/>
      <c r="E507" s="32"/>
      <c r="Y507" s="3"/>
    </row>
    <row r="508" spans="1:39">
      <c r="A508" s="13"/>
      <c r="B508" s="13"/>
      <c r="C508" s="13"/>
      <c r="D508" s="13"/>
      <c r="E508" s="32"/>
      <c r="Y508" s="3"/>
      <c r="AM508" s="8" t="s">
        <v>819</v>
      </c>
    </row>
    <row r="509" spans="1:39" s="35" customFormat="1">
      <c r="A509" s="34" t="s">
        <v>507</v>
      </c>
      <c r="B509" s="34"/>
      <c r="C509" s="34" t="s">
        <v>118</v>
      </c>
      <c r="D509" s="34"/>
      <c r="E509" s="34">
        <v>44875</v>
      </c>
      <c r="G509" s="35">
        <v>52026992</v>
      </c>
      <c r="I509" s="35">
        <v>0</v>
      </c>
      <c r="K509" s="35">
        <v>23215614</v>
      </c>
      <c r="M509" s="35">
        <v>1127708</v>
      </c>
      <c r="O509" s="35">
        <f>666793+48533+188824</f>
        <v>904150</v>
      </c>
      <c r="Q509" s="35">
        <v>0</v>
      </c>
      <c r="S509" s="35">
        <v>0</v>
      </c>
      <c r="U509" s="35">
        <v>0</v>
      </c>
      <c r="W509" s="35">
        <v>437135</v>
      </c>
      <c r="Y509" s="42">
        <f t="shared" si="33"/>
        <v>77711599</v>
      </c>
      <c r="AA509" s="35">
        <v>0</v>
      </c>
      <c r="AE509" s="35">
        <v>0</v>
      </c>
      <c r="AG509" s="35">
        <f>618564+14032</f>
        <v>632596</v>
      </c>
      <c r="AI509" s="35">
        <v>0</v>
      </c>
      <c r="AK509" s="35">
        <f t="shared" si="36"/>
        <v>632596</v>
      </c>
      <c r="AM509" s="35">
        <f t="shared" si="35"/>
        <v>78344195</v>
      </c>
    </row>
    <row r="510" spans="1:39">
      <c r="A510" s="13" t="s">
        <v>477</v>
      </c>
      <c r="B510" s="13"/>
      <c r="C510" s="13" t="s">
        <v>471</v>
      </c>
      <c r="D510" s="13"/>
      <c r="E510" s="32">
        <v>47969</v>
      </c>
      <c r="G510" s="8">
        <v>975501</v>
      </c>
      <c r="I510" s="8">
        <v>0</v>
      </c>
      <c r="K510" s="8">
        <v>5638976</v>
      </c>
      <c r="M510" s="8">
        <v>267214</v>
      </c>
      <c r="O510" s="8">
        <f>426367</f>
        <v>426367</v>
      </c>
      <c r="Q510" s="8">
        <v>2115</v>
      </c>
      <c r="S510" s="8">
        <v>0</v>
      </c>
      <c r="U510" s="8">
        <v>0</v>
      </c>
      <c r="W510" s="8">
        <v>9692</v>
      </c>
      <c r="Y510" s="3">
        <f t="shared" si="33"/>
        <v>7319865</v>
      </c>
      <c r="AA510" s="8">
        <v>0</v>
      </c>
      <c r="AE510" s="8">
        <v>0</v>
      </c>
      <c r="AG510" s="8">
        <v>8200</v>
      </c>
      <c r="AI510" s="8">
        <v>0</v>
      </c>
      <c r="AK510" s="8">
        <f t="shared" si="36"/>
        <v>8200</v>
      </c>
      <c r="AM510" s="8">
        <f t="shared" si="35"/>
        <v>7328065</v>
      </c>
    </row>
    <row r="511" spans="1:39">
      <c r="A511" s="13" t="s">
        <v>255</v>
      </c>
      <c r="B511" s="13"/>
      <c r="C511" s="13" t="s">
        <v>246</v>
      </c>
      <c r="D511" s="13"/>
      <c r="E511" s="32">
        <v>46151</v>
      </c>
      <c r="F511" s="11"/>
      <c r="G511" s="8">
        <v>18215170</v>
      </c>
      <c r="I511" s="8">
        <v>0</v>
      </c>
      <c r="K511" s="8">
        <v>10537339</v>
      </c>
      <c r="M511" s="8">
        <v>666395</v>
      </c>
      <c r="O511" s="8">
        <v>684434</v>
      </c>
      <c r="Q511" s="8">
        <v>0</v>
      </c>
      <c r="S511" s="8">
        <v>0</v>
      </c>
      <c r="U511" s="8">
        <v>0</v>
      </c>
      <c r="W511" s="8">
        <v>361415</v>
      </c>
      <c r="Y511" s="3">
        <f t="shared" ref="Y511:Y525" si="37">SUM(G511:X511)</f>
        <v>30464753</v>
      </c>
      <c r="AA511" s="8">
        <v>0</v>
      </c>
      <c r="AE511" s="8">
        <v>0</v>
      </c>
      <c r="AG511" s="8">
        <v>0</v>
      </c>
      <c r="AI511" s="8">
        <v>0</v>
      </c>
      <c r="AK511" s="8">
        <f t="shared" ref="AK511:AK544" si="38">SUM(AA511:AJ511)</f>
        <v>0</v>
      </c>
      <c r="AM511" s="8">
        <f t="shared" ref="AM511:AM525" si="39">+AK511+Y511</f>
        <v>30464753</v>
      </c>
    </row>
    <row r="512" spans="1:39">
      <c r="A512" s="13" t="s">
        <v>677</v>
      </c>
      <c r="B512" s="13"/>
      <c r="C512" s="13" t="s">
        <v>63</v>
      </c>
      <c r="D512" s="13"/>
      <c r="E512" s="32">
        <v>44883</v>
      </c>
      <c r="G512" s="8">
        <v>12308566</v>
      </c>
      <c r="I512" s="8">
        <v>0</v>
      </c>
      <c r="K512" s="8">
        <v>10203920</v>
      </c>
      <c r="M512" s="8">
        <v>302957</v>
      </c>
      <c r="O512" s="8">
        <f>374757</f>
        <v>374757</v>
      </c>
      <c r="Q512" s="8">
        <v>53350</v>
      </c>
      <c r="S512" s="8">
        <v>0</v>
      </c>
      <c r="U512" s="8">
        <v>0</v>
      </c>
      <c r="W512" s="8">
        <f>67055+6593</f>
        <v>73648</v>
      </c>
      <c r="Y512" s="3">
        <f t="shared" si="37"/>
        <v>23317198</v>
      </c>
      <c r="AA512" s="8">
        <v>0</v>
      </c>
      <c r="AE512" s="8">
        <v>0</v>
      </c>
      <c r="AG512" s="8">
        <v>0</v>
      </c>
      <c r="AI512" s="8">
        <v>0</v>
      </c>
      <c r="AK512" s="8">
        <f t="shared" si="38"/>
        <v>0</v>
      </c>
      <c r="AM512" s="8">
        <f t="shared" si="39"/>
        <v>23317198</v>
      </c>
    </row>
    <row r="513" spans="1:39">
      <c r="A513" s="13" t="s">
        <v>590</v>
      </c>
      <c r="B513" s="13"/>
      <c r="C513" s="13" t="s">
        <v>54</v>
      </c>
      <c r="D513" s="13"/>
      <c r="E513" s="32">
        <v>49098</v>
      </c>
      <c r="G513" s="8">
        <v>6639760</v>
      </c>
      <c r="I513" s="8">
        <v>2719815</v>
      </c>
      <c r="K513" s="8">
        <f>86615+17011965</f>
        <v>17098580</v>
      </c>
      <c r="M513" s="8">
        <v>677775</v>
      </c>
      <c r="O513" s="8">
        <f>109777+94935</f>
        <v>204712</v>
      </c>
      <c r="Q513" s="8">
        <v>0</v>
      </c>
      <c r="S513" s="8">
        <v>0</v>
      </c>
      <c r="U513" s="8">
        <v>0</v>
      </c>
      <c r="W513" s="8">
        <v>50749</v>
      </c>
      <c r="Y513" s="3">
        <f t="shared" si="37"/>
        <v>27391391</v>
      </c>
      <c r="AA513" s="8">
        <v>0</v>
      </c>
      <c r="AE513" s="8">
        <v>0</v>
      </c>
      <c r="AG513" s="8">
        <v>0</v>
      </c>
      <c r="AI513" s="8">
        <v>0</v>
      </c>
      <c r="AK513" s="8">
        <f t="shared" si="38"/>
        <v>0</v>
      </c>
      <c r="AM513" s="8">
        <f t="shared" si="39"/>
        <v>27391391</v>
      </c>
    </row>
    <row r="514" spans="1:39">
      <c r="A514" s="13" t="s">
        <v>269</v>
      </c>
      <c r="B514" s="13"/>
      <c r="C514" s="13" t="s">
        <v>17</v>
      </c>
      <c r="D514" s="13"/>
      <c r="E514" s="32">
        <v>46243</v>
      </c>
      <c r="F514" s="11"/>
      <c r="G514" s="8">
        <v>7480722</v>
      </c>
      <c r="I514" s="8">
        <v>0</v>
      </c>
      <c r="K514" s="8">
        <v>17232537</v>
      </c>
      <c r="M514" s="8">
        <v>256633</v>
      </c>
      <c r="O514" s="8">
        <v>1242018</v>
      </c>
      <c r="Q514" s="8">
        <v>0</v>
      </c>
      <c r="S514" s="8">
        <v>0</v>
      </c>
      <c r="U514" s="8">
        <v>130</v>
      </c>
      <c r="W514" s="8">
        <f>676+24143+24142</f>
        <v>48961</v>
      </c>
      <c r="Y514" s="3">
        <f t="shared" si="37"/>
        <v>26261001</v>
      </c>
      <c r="AA514" s="8">
        <v>0</v>
      </c>
      <c r="AE514" s="8">
        <v>0</v>
      </c>
      <c r="AG514" s="8">
        <v>0</v>
      </c>
      <c r="AI514" s="8">
        <f>10400+17753</f>
        <v>28153</v>
      </c>
      <c r="AK514" s="8">
        <f t="shared" si="38"/>
        <v>28153</v>
      </c>
      <c r="AM514" s="8">
        <f t="shared" si="39"/>
        <v>26289154</v>
      </c>
    </row>
    <row r="515" spans="1:39">
      <c r="A515" s="13" t="s">
        <v>415</v>
      </c>
      <c r="B515" s="13"/>
      <c r="C515" s="13" t="s">
        <v>32</v>
      </c>
      <c r="D515" s="13"/>
      <c r="E515" s="32">
        <v>47399</v>
      </c>
      <c r="G515" s="8">
        <v>11667109</v>
      </c>
      <c r="I515" s="8">
        <v>0</v>
      </c>
      <c r="K515" s="8">
        <v>6504980</v>
      </c>
      <c r="M515" s="8">
        <v>572279</v>
      </c>
      <c r="O515" s="8">
        <f>21282</f>
        <v>21282</v>
      </c>
      <c r="Q515" s="8">
        <v>1335</v>
      </c>
      <c r="S515" s="8">
        <v>0</v>
      </c>
      <c r="U515" s="8">
        <v>0</v>
      </c>
      <c r="W515" s="8">
        <v>137187</v>
      </c>
      <c r="Y515" s="3">
        <f t="shared" si="37"/>
        <v>18904172</v>
      </c>
      <c r="AA515" s="8">
        <v>0</v>
      </c>
      <c r="AE515" s="8">
        <v>0</v>
      </c>
      <c r="AG515" s="8">
        <v>219</v>
      </c>
      <c r="AI515" s="8">
        <v>0</v>
      </c>
      <c r="AK515" s="8">
        <f t="shared" si="38"/>
        <v>219</v>
      </c>
      <c r="AM515" s="8">
        <f t="shared" si="39"/>
        <v>18904391</v>
      </c>
    </row>
    <row r="516" spans="1:39" hidden="1">
      <c r="A516" s="13" t="s">
        <v>645</v>
      </c>
      <c r="B516" s="13"/>
      <c r="C516" s="13" t="s">
        <v>60</v>
      </c>
      <c r="D516" s="13"/>
      <c r="E516" s="32">
        <v>44891</v>
      </c>
      <c r="I516" s="8">
        <v>0</v>
      </c>
      <c r="S516" s="8">
        <v>0</v>
      </c>
      <c r="U516" s="8">
        <v>0</v>
      </c>
      <c r="W516" s="8">
        <v>0</v>
      </c>
      <c r="Y516" s="3">
        <f t="shared" si="37"/>
        <v>0</v>
      </c>
      <c r="AA516" s="8">
        <v>0</v>
      </c>
      <c r="AE516" s="8">
        <v>0</v>
      </c>
      <c r="AG516" s="8">
        <v>0</v>
      </c>
      <c r="AI516" s="8">
        <v>0</v>
      </c>
      <c r="AK516" s="8">
        <f t="shared" si="38"/>
        <v>0</v>
      </c>
      <c r="AM516" s="8">
        <f t="shared" si="39"/>
        <v>0</v>
      </c>
    </row>
    <row r="517" spans="1:39">
      <c r="A517" s="13" t="s">
        <v>645</v>
      </c>
      <c r="B517" s="13"/>
      <c r="C517" s="13" t="s">
        <v>60</v>
      </c>
      <c r="D517" s="13"/>
      <c r="E517" s="32">
        <v>45617</v>
      </c>
      <c r="G517" s="8">
        <v>11115543</v>
      </c>
      <c r="I517" s="8">
        <v>0</v>
      </c>
      <c r="K517" s="8">
        <f>2500+10871570</f>
        <v>10874070</v>
      </c>
      <c r="M517" s="8">
        <v>143238</v>
      </c>
      <c r="O517" s="8">
        <v>1076812</v>
      </c>
      <c r="Q517" s="8">
        <v>900</v>
      </c>
      <c r="S517" s="8">
        <v>212592</v>
      </c>
      <c r="U517" s="8">
        <v>0</v>
      </c>
      <c r="W517" s="8">
        <f>40109+1755+177724</f>
        <v>219588</v>
      </c>
      <c r="Y517" s="3">
        <f>SUM(G517:X517)</f>
        <v>23642743</v>
      </c>
      <c r="AA517" s="8">
        <v>0</v>
      </c>
      <c r="AE517" s="8">
        <v>0</v>
      </c>
      <c r="AG517" s="8">
        <v>2319</v>
      </c>
      <c r="AI517" s="8">
        <v>0</v>
      </c>
      <c r="AK517" s="8">
        <f>SUM(AA517:AJ517)</f>
        <v>2319</v>
      </c>
      <c r="AM517" s="8">
        <f>+AK517+Y517</f>
        <v>23645062</v>
      </c>
    </row>
    <row r="518" spans="1:39">
      <c r="A518" s="13" t="s">
        <v>549</v>
      </c>
      <c r="B518" s="13"/>
      <c r="C518" s="13" t="s">
        <v>48</v>
      </c>
      <c r="D518" s="13"/>
      <c r="E518" s="32">
        <v>45617</v>
      </c>
      <c r="G518" s="8">
        <v>7599610</v>
      </c>
      <c r="I518" s="8">
        <v>0</v>
      </c>
      <c r="K518" s="8">
        <v>9433971</v>
      </c>
      <c r="M518" s="8">
        <v>158733</v>
      </c>
      <c r="O518" s="8">
        <v>80177</v>
      </c>
      <c r="Q518" s="8">
        <v>0</v>
      </c>
      <c r="S518" s="8">
        <v>0</v>
      </c>
      <c r="U518" s="8">
        <v>0</v>
      </c>
      <c r="W518" s="8">
        <v>88663</v>
      </c>
      <c r="Y518" s="3">
        <f t="shared" si="37"/>
        <v>17361154</v>
      </c>
      <c r="AA518" s="8">
        <v>0</v>
      </c>
      <c r="AE518" s="8">
        <v>0</v>
      </c>
      <c r="AG518" s="8">
        <v>505000</v>
      </c>
      <c r="AI518" s="8">
        <f>205+7779</f>
        <v>7984</v>
      </c>
      <c r="AK518" s="8">
        <f t="shared" si="38"/>
        <v>512984</v>
      </c>
      <c r="AM518" s="8">
        <f t="shared" si="39"/>
        <v>17874138</v>
      </c>
    </row>
    <row r="519" spans="1:39">
      <c r="A519" s="13" t="s">
        <v>508</v>
      </c>
      <c r="B519" s="13"/>
      <c r="C519" s="13" t="s">
        <v>118</v>
      </c>
      <c r="D519" s="13"/>
      <c r="E519" s="32">
        <v>44909</v>
      </c>
      <c r="G519" s="8">
        <v>98411487</v>
      </c>
      <c r="I519" s="8">
        <v>0</v>
      </c>
      <c r="K519" s="8">
        <f>189244419+155645</f>
        <v>189400064</v>
      </c>
      <c r="M519" s="8">
        <v>2939263</v>
      </c>
      <c r="O519" s="8">
        <f>2962608+764427+153670</f>
        <v>3880705</v>
      </c>
      <c r="Q519" s="8">
        <v>0</v>
      </c>
      <c r="S519" s="8">
        <v>0</v>
      </c>
      <c r="U519" s="8">
        <v>0</v>
      </c>
      <c r="W519" s="8">
        <v>9370961</v>
      </c>
      <c r="Y519" s="3">
        <f t="shared" si="37"/>
        <v>304002480</v>
      </c>
      <c r="AA519" s="8">
        <v>0</v>
      </c>
      <c r="AE519" s="8">
        <v>0</v>
      </c>
      <c r="AG519" s="8">
        <v>0</v>
      </c>
      <c r="AI519" s="8">
        <v>0</v>
      </c>
      <c r="AK519" s="8">
        <f t="shared" si="38"/>
        <v>0</v>
      </c>
      <c r="AM519" s="8">
        <f t="shared" si="39"/>
        <v>304002480</v>
      </c>
    </row>
    <row r="520" spans="1:39">
      <c r="A520" s="13" t="s">
        <v>458</v>
      </c>
      <c r="B520" s="13"/>
      <c r="C520" s="13" t="s">
        <v>39</v>
      </c>
      <c r="D520" s="13"/>
      <c r="E520" s="13">
        <v>44917</v>
      </c>
      <c r="G520" s="8">
        <v>1871619</v>
      </c>
      <c r="I520" s="8">
        <v>0</v>
      </c>
      <c r="K520" s="8">
        <v>3984338</v>
      </c>
      <c r="M520" s="8">
        <v>166009</v>
      </c>
      <c r="O520" s="8">
        <v>15815</v>
      </c>
      <c r="Q520" s="8">
        <v>0</v>
      </c>
      <c r="S520" s="8">
        <v>0</v>
      </c>
      <c r="U520" s="8">
        <v>0</v>
      </c>
      <c r="W520" s="8">
        <v>41123</v>
      </c>
      <c r="Y520" s="3">
        <f t="shared" si="37"/>
        <v>6078904</v>
      </c>
      <c r="AA520" s="8">
        <v>0</v>
      </c>
      <c r="AE520" s="8">
        <v>0</v>
      </c>
      <c r="AG520" s="8">
        <v>0</v>
      </c>
      <c r="AI520" s="8">
        <v>100</v>
      </c>
      <c r="AK520" s="8">
        <f t="shared" si="38"/>
        <v>100</v>
      </c>
      <c r="AM520" s="8">
        <f t="shared" si="39"/>
        <v>6079004</v>
      </c>
    </row>
    <row r="521" spans="1:39">
      <c r="A521" s="13" t="s">
        <v>261</v>
      </c>
      <c r="B521" s="13"/>
      <c r="C521" s="13" t="s">
        <v>259</v>
      </c>
      <c r="D521" s="13"/>
      <c r="E521" s="13">
        <v>46201</v>
      </c>
      <c r="F521" s="11"/>
      <c r="G521" s="8">
        <v>3738596</v>
      </c>
      <c r="I521" s="8">
        <v>0</v>
      </c>
      <c r="K521" s="8">
        <v>5480313</v>
      </c>
      <c r="M521" s="8">
        <v>86370</v>
      </c>
      <c r="O521" s="8">
        <f>308669+35817</f>
        <v>344486</v>
      </c>
      <c r="Q521" s="8">
        <v>21935</v>
      </c>
      <c r="S521" s="8">
        <v>0</v>
      </c>
      <c r="U521" s="8">
        <v>0</v>
      </c>
      <c r="W521" s="8">
        <v>13500</v>
      </c>
      <c r="Y521" s="3">
        <f t="shared" si="37"/>
        <v>9685200</v>
      </c>
      <c r="AA521" s="8">
        <v>0</v>
      </c>
      <c r="AE521" s="8">
        <v>0</v>
      </c>
      <c r="AG521" s="8">
        <v>0</v>
      </c>
      <c r="AI521" s="8">
        <v>0</v>
      </c>
      <c r="AK521" s="8">
        <f t="shared" si="38"/>
        <v>0</v>
      </c>
      <c r="AM521" s="8">
        <f t="shared" si="39"/>
        <v>9685200</v>
      </c>
    </row>
    <row r="522" spans="1:39">
      <c r="A522" s="13" t="s">
        <v>606</v>
      </c>
      <c r="B522" s="13"/>
      <c r="C522" s="13" t="s">
        <v>57</v>
      </c>
      <c r="D522" s="13"/>
      <c r="E522" s="32">
        <v>91397</v>
      </c>
      <c r="G522" s="8">
        <v>3638922</v>
      </c>
      <c r="I522" s="8">
        <v>0</v>
      </c>
      <c r="K522" s="8">
        <v>4633333</v>
      </c>
      <c r="M522" s="8">
        <v>213698</v>
      </c>
      <c r="O522" s="8">
        <f>50186</f>
        <v>50186</v>
      </c>
      <c r="Q522" s="8">
        <v>0</v>
      </c>
      <c r="S522" s="8">
        <v>0</v>
      </c>
      <c r="U522" s="8">
        <v>6210</v>
      </c>
      <c r="W522" s="8">
        <f>16300+48726</f>
        <v>65026</v>
      </c>
      <c r="Y522" s="3">
        <f t="shared" si="37"/>
        <v>8607375</v>
      </c>
      <c r="AA522" s="8">
        <v>0</v>
      </c>
      <c r="AE522" s="8">
        <v>0</v>
      </c>
      <c r="AG522" s="8">
        <v>0</v>
      </c>
      <c r="AI522" s="8">
        <v>0</v>
      </c>
      <c r="AK522" s="8">
        <f t="shared" si="38"/>
        <v>0</v>
      </c>
      <c r="AM522" s="8">
        <f t="shared" si="39"/>
        <v>8607375</v>
      </c>
    </row>
    <row r="523" spans="1:39">
      <c r="A523" s="13" t="s">
        <v>228</v>
      </c>
      <c r="B523" s="13"/>
      <c r="C523" s="13" t="s">
        <v>13</v>
      </c>
      <c r="D523" s="13"/>
      <c r="E523" s="32">
        <v>45922</v>
      </c>
      <c r="F523" s="11"/>
      <c r="G523" s="8">
        <v>744179</v>
      </c>
      <c r="I523" s="8">
        <v>96</v>
      </c>
      <c r="K523" s="8">
        <v>6072401</v>
      </c>
      <c r="M523" s="8">
        <v>11819</v>
      </c>
      <c r="O523" s="8">
        <v>573593</v>
      </c>
      <c r="Q523" s="8">
        <v>0</v>
      </c>
      <c r="S523" s="8">
        <v>0</v>
      </c>
      <c r="U523" s="8">
        <v>2000</v>
      </c>
      <c r="W523" s="8">
        <f>6004+400</f>
        <v>6404</v>
      </c>
      <c r="Y523" s="3">
        <f t="shared" si="37"/>
        <v>7410492</v>
      </c>
      <c r="AA523" s="8">
        <v>500</v>
      </c>
      <c r="AE523" s="8">
        <v>0</v>
      </c>
      <c r="AG523" s="8">
        <v>0</v>
      </c>
      <c r="AI523" s="8">
        <v>6320</v>
      </c>
      <c r="AK523" s="8">
        <f t="shared" si="38"/>
        <v>6820</v>
      </c>
      <c r="AM523" s="8">
        <f t="shared" si="39"/>
        <v>7417312</v>
      </c>
    </row>
    <row r="524" spans="1:39">
      <c r="A524" s="13" t="s">
        <v>574</v>
      </c>
      <c r="B524" s="13"/>
      <c r="C524" s="13" t="s">
        <v>51</v>
      </c>
      <c r="D524" s="13"/>
      <c r="E524" s="32">
        <v>48876</v>
      </c>
      <c r="G524" s="8">
        <v>4032342</v>
      </c>
      <c r="I524" s="8">
        <v>0</v>
      </c>
      <c r="K524" s="8">
        <v>15729494</v>
      </c>
      <c r="M524" s="8">
        <v>550913</v>
      </c>
      <c r="O524" s="8">
        <v>613643</v>
      </c>
      <c r="Q524" s="8">
        <v>90315</v>
      </c>
      <c r="S524" s="8">
        <v>0</v>
      </c>
      <c r="U524" s="8">
        <v>0</v>
      </c>
      <c r="W524" s="8">
        <f>1780+49301</f>
        <v>51081</v>
      </c>
      <c r="Y524" s="3">
        <f t="shared" si="37"/>
        <v>21067788</v>
      </c>
      <c r="AA524" s="8">
        <v>0</v>
      </c>
      <c r="AE524" s="8">
        <v>0</v>
      </c>
      <c r="AG524" s="8">
        <v>17566</v>
      </c>
      <c r="AI524" s="8">
        <v>0</v>
      </c>
      <c r="AK524" s="8">
        <f t="shared" si="38"/>
        <v>17566</v>
      </c>
      <c r="AM524" s="8">
        <f t="shared" si="39"/>
        <v>21085354</v>
      </c>
    </row>
    <row r="525" spans="1:39" hidden="1">
      <c r="A525" s="13" t="s">
        <v>333</v>
      </c>
      <c r="B525" s="13"/>
      <c r="C525" s="13" t="s">
        <v>21</v>
      </c>
      <c r="D525" s="13"/>
      <c r="E525" s="32">
        <v>46680</v>
      </c>
      <c r="I525" s="8">
        <v>0</v>
      </c>
      <c r="S525" s="8">
        <v>0</v>
      </c>
      <c r="U525" s="8">
        <v>0</v>
      </c>
      <c r="Y525" s="3">
        <f t="shared" si="37"/>
        <v>0</v>
      </c>
      <c r="AA525" s="8">
        <v>0</v>
      </c>
      <c r="AE525" s="8">
        <v>0</v>
      </c>
      <c r="AG525" s="8">
        <v>0</v>
      </c>
      <c r="AI525" s="8">
        <v>0</v>
      </c>
      <c r="AK525" s="8">
        <f t="shared" si="38"/>
        <v>0</v>
      </c>
      <c r="AM525" s="8">
        <f t="shared" si="39"/>
        <v>0</v>
      </c>
    </row>
    <row r="526" spans="1:39">
      <c r="A526" s="13" t="s">
        <v>731</v>
      </c>
      <c r="B526" s="13"/>
      <c r="C526" s="13" t="s">
        <v>71</v>
      </c>
      <c r="D526" s="13"/>
      <c r="E526" s="32">
        <v>50591</v>
      </c>
      <c r="G526" s="8">
        <v>6310037</v>
      </c>
      <c r="I526" s="8">
        <v>0</v>
      </c>
      <c r="K526" s="8">
        <f>135126+8995686</f>
        <v>9130812</v>
      </c>
      <c r="M526" s="8">
        <v>148273</v>
      </c>
      <c r="O526" s="8">
        <f>701671+85599</f>
        <v>787270</v>
      </c>
      <c r="Q526" s="8">
        <v>0</v>
      </c>
      <c r="S526" s="8">
        <v>0</v>
      </c>
      <c r="U526" s="8">
        <v>0</v>
      </c>
      <c r="W526" s="8">
        <f>24383</f>
        <v>24383</v>
      </c>
      <c r="Y526" s="3">
        <f t="shared" ref="Y526:Y565" si="40">SUM(G526:X526)</f>
        <v>16400775</v>
      </c>
      <c r="AA526" s="8">
        <v>0</v>
      </c>
      <c r="AE526" s="8">
        <v>0</v>
      </c>
      <c r="AG526" s="8">
        <v>0</v>
      </c>
      <c r="AI526" s="8">
        <v>0</v>
      </c>
      <c r="AK526" s="8">
        <f t="shared" si="38"/>
        <v>0</v>
      </c>
      <c r="AM526" s="8">
        <f t="shared" ref="AM526:AM547" si="41">+AK526+Y526</f>
        <v>16400775</v>
      </c>
    </row>
    <row r="527" spans="1:39">
      <c r="A527" s="13" t="s">
        <v>563</v>
      </c>
      <c r="B527" s="13"/>
      <c r="C527" s="13" t="s">
        <v>50</v>
      </c>
      <c r="D527" s="13"/>
      <c r="E527" s="32">
        <v>48694</v>
      </c>
      <c r="G527" s="8">
        <v>10093025</v>
      </c>
      <c r="I527" s="8">
        <v>0</v>
      </c>
      <c r="K527" s="8">
        <v>21821061</v>
      </c>
      <c r="M527" s="8">
        <v>864378</v>
      </c>
      <c r="O527" s="8">
        <v>317954</v>
      </c>
      <c r="Q527" s="8">
        <v>0</v>
      </c>
      <c r="S527" s="8">
        <v>0</v>
      </c>
      <c r="U527" s="8">
        <v>0</v>
      </c>
      <c r="W527" s="8">
        <v>441184</v>
      </c>
      <c r="Y527" s="3">
        <f t="shared" si="40"/>
        <v>33537602</v>
      </c>
      <c r="AA527" s="8">
        <v>0</v>
      </c>
      <c r="AE527" s="8">
        <v>0</v>
      </c>
      <c r="AG527" s="8">
        <v>0</v>
      </c>
      <c r="AI527" s="8">
        <v>0</v>
      </c>
      <c r="AK527" s="8">
        <f t="shared" si="38"/>
        <v>0</v>
      </c>
      <c r="AM527" s="8">
        <f t="shared" si="41"/>
        <v>33537602</v>
      </c>
    </row>
    <row r="528" spans="1:39">
      <c r="A528" s="13" t="s">
        <v>550</v>
      </c>
      <c r="B528" s="13"/>
      <c r="C528" s="13" t="s">
        <v>48</v>
      </c>
      <c r="D528" s="13"/>
      <c r="E528" s="13">
        <v>44925</v>
      </c>
      <c r="G528" s="8">
        <v>26714247</v>
      </c>
      <c r="I528" s="8">
        <v>0</v>
      </c>
      <c r="K528" s="8">
        <v>15070637</v>
      </c>
      <c r="M528" s="8">
        <v>734512</v>
      </c>
      <c r="O528" s="8">
        <v>840399</v>
      </c>
      <c r="Q528" s="8">
        <v>35921</v>
      </c>
      <c r="S528" s="8">
        <v>0</v>
      </c>
      <c r="U528" s="8">
        <v>0</v>
      </c>
      <c r="W528" s="8">
        <v>126221</v>
      </c>
      <c r="Y528" s="3">
        <f t="shared" si="40"/>
        <v>43521937</v>
      </c>
      <c r="AA528" s="8">
        <v>707937</v>
      </c>
      <c r="AE528" s="8">
        <v>0</v>
      </c>
      <c r="AG528" s="8">
        <v>0</v>
      </c>
      <c r="AI528" s="8">
        <v>0</v>
      </c>
      <c r="AK528" s="8">
        <f t="shared" si="38"/>
        <v>707937</v>
      </c>
      <c r="AM528" s="8">
        <f t="shared" si="41"/>
        <v>44229874</v>
      </c>
    </row>
    <row r="529" spans="1:39">
      <c r="A529" s="13" t="s">
        <v>706</v>
      </c>
      <c r="B529" s="13"/>
      <c r="C529" s="13" t="s">
        <v>65</v>
      </c>
      <c r="D529" s="13"/>
      <c r="E529" s="32">
        <v>50302</v>
      </c>
      <c r="G529" s="8">
        <v>4282279</v>
      </c>
      <c r="I529" s="8">
        <v>0</v>
      </c>
      <c r="K529" s="8">
        <f>6520341</f>
        <v>6520341</v>
      </c>
      <c r="M529" s="8">
        <v>122446</v>
      </c>
      <c r="O529" s="8">
        <f>346284+62406</f>
        <v>408690</v>
      </c>
      <c r="Q529" s="8">
        <v>0</v>
      </c>
      <c r="S529" s="8">
        <v>0</v>
      </c>
      <c r="U529" s="8">
        <v>0</v>
      </c>
      <c r="W529" s="8">
        <f>10242</f>
        <v>10242</v>
      </c>
      <c r="Y529" s="3">
        <f t="shared" si="40"/>
        <v>11343998</v>
      </c>
      <c r="AA529" s="8">
        <v>0</v>
      </c>
      <c r="AE529" s="8">
        <v>0</v>
      </c>
      <c r="AG529" s="8">
        <v>21340</v>
      </c>
      <c r="AI529" s="8">
        <v>0</v>
      </c>
      <c r="AK529" s="8">
        <f t="shared" si="38"/>
        <v>21340</v>
      </c>
      <c r="AM529" s="8">
        <f t="shared" si="41"/>
        <v>11365338</v>
      </c>
    </row>
    <row r="530" spans="1:39">
      <c r="A530" s="13" t="s">
        <v>666</v>
      </c>
      <c r="B530" s="13"/>
      <c r="C530" s="13" t="s">
        <v>62</v>
      </c>
      <c r="D530" s="13"/>
      <c r="E530" s="32">
        <v>49957</v>
      </c>
      <c r="G530" s="8">
        <v>3921866</v>
      </c>
      <c r="I530" s="8">
        <v>0</v>
      </c>
      <c r="K530" s="8">
        <v>6180297</v>
      </c>
      <c r="M530" s="8">
        <v>112333</v>
      </c>
      <c r="O530" s="8">
        <v>675907</v>
      </c>
      <c r="Q530" s="8">
        <v>373</v>
      </c>
      <c r="S530" s="8">
        <v>0</v>
      </c>
      <c r="U530" s="8">
        <v>0</v>
      </c>
      <c r="W530" s="8">
        <f>10825+32986</f>
        <v>43811</v>
      </c>
      <c r="Y530" s="3">
        <f t="shared" si="40"/>
        <v>10934587</v>
      </c>
      <c r="AA530" s="8">
        <v>0</v>
      </c>
      <c r="AE530" s="8">
        <v>0</v>
      </c>
      <c r="AG530" s="8">
        <v>0</v>
      </c>
      <c r="AI530" s="8">
        <v>0</v>
      </c>
      <c r="AK530" s="8">
        <f t="shared" si="38"/>
        <v>0</v>
      </c>
      <c r="AM530" s="8">
        <f t="shared" si="41"/>
        <v>10934587</v>
      </c>
    </row>
    <row r="531" spans="1:39" hidden="1">
      <c r="A531" s="13" t="s">
        <v>607</v>
      </c>
      <c r="B531" s="13"/>
      <c r="C531" s="13" t="s">
        <v>57</v>
      </c>
      <c r="D531" s="13"/>
      <c r="E531" s="32">
        <v>49296</v>
      </c>
      <c r="Y531" s="3">
        <f t="shared" si="40"/>
        <v>0</v>
      </c>
      <c r="AA531" s="8">
        <v>0</v>
      </c>
      <c r="AE531" s="8">
        <v>0</v>
      </c>
      <c r="AG531" s="8">
        <v>0</v>
      </c>
      <c r="AI531" s="8">
        <v>0</v>
      </c>
      <c r="AK531" s="8">
        <f t="shared" si="38"/>
        <v>0</v>
      </c>
      <c r="AM531" s="8">
        <f t="shared" si="41"/>
        <v>0</v>
      </c>
    </row>
    <row r="532" spans="1:39">
      <c r="A532" s="13" t="s">
        <v>678</v>
      </c>
      <c r="B532" s="13"/>
      <c r="C532" s="13" t="s">
        <v>63</v>
      </c>
      <c r="D532" s="13"/>
      <c r="E532" s="32">
        <v>50070</v>
      </c>
      <c r="G532" s="8">
        <v>27881160</v>
      </c>
      <c r="I532" s="8">
        <v>0</v>
      </c>
      <c r="K532" s="8">
        <v>10941609</v>
      </c>
      <c r="M532" s="8">
        <v>1148724</v>
      </c>
      <c r="O532" s="8">
        <v>34290</v>
      </c>
      <c r="Q532" s="8">
        <v>100</v>
      </c>
      <c r="S532" s="8">
        <v>97402</v>
      </c>
      <c r="U532" s="8">
        <v>0</v>
      </c>
      <c r="W532" s="8">
        <f>65198+120595</f>
        <v>185793</v>
      </c>
      <c r="Y532" s="3">
        <f t="shared" si="40"/>
        <v>40289078</v>
      </c>
      <c r="AA532" s="8">
        <v>0</v>
      </c>
      <c r="AE532" s="8">
        <v>0</v>
      </c>
      <c r="AG532" s="8">
        <v>0</v>
      </c>
      <c r="AI532" s="8">
        <v>0</v>
      </c>
      <c r="AK532" s="8">
        <f t="shared" si="38"/>
        <v>0</v>
      </c>
      <c r="AM532" s="8">
        <f t="shared" si="41"/>
        <v>40289078</v>
      </c>
    </row>
    <row r="533" spans="1:39">
      <c r="A533" s="13" t="s">
        <v>239</v>
      </c>
      <c r="B533" s="13"/>
      <c r="C533" s="13" t="s">
        <v>15</v>
      </c>
      <c r="D533" s="13"/>
      <c r="E533" s="32">
        <v>46011</v>
      </c>
      <c r="F533" s="11"/>
      <c r="G533" s="8">
        <v>2507108</v>
      </c>
      <c r="I533" s="8">
        <v>0</v>
      </c>
      <c r="K533" s="8">
        <v>8209736</v>
      </c>
      <c r="M533" s="8">
        <v>62475</v>
      </c>
      <c r="O533" s="8">
        <v>600411</v>
      </c>
      <c r="Q533" s="8">
        <v>0</v>
      </c>
      <c r="S533" s="8">
        <v>0</v>
      </c>
      <c r="U533" s="8">
        <v>13369</v>
      </c>
      <c r="W533" s="8">
        <f>7198+1034+66564</f>
        <v>74796</v>
      </c>
      <c r="Y533" s="3">
        <f t="shared" si="40"/>
        <v>11467895</v>
      </c>
      <c r="AA533" s="8">
        <v>0</v>
      </c>
      <c r="AE533" s="8">
        <v>0</v>
      </c>
      <c r="AG533" s="8">
        <v>0</v>
      </c>
      <c r="AI533" s="8">
        <v>0</v>
      </c>
      <c r="AK533" s="8">
        <f t="shared" si="38"/>
        <v>0</v>
      </c>
      <c r="AM533" s="8">
        <f t="shared" si="41"/>
        <v>11467895</v>
      </c>
    </row>
    <row r="534" spans="1:39">
      <c r="A534" s="13" t="s">
        <v>625</v>
      </c>
      <c r="B534" s="13"/>
      <c r="C534" s="13" t="s">
        <v>58</v>
      </c>
      <c r="D534" s="13"/>
      <c r="E534" s="32">
        <v>49536</v>
      </c>
      <c r="G534" s="8">
        <v>3077217</v>
      </c>
      <c r="I534" s="8">
        <v>1108640</v>
      </c>
      <c r="K534" s="8">
        <v>9065527</v>
      </c>
      <c r="M534" s="8">
        <v>291765</v>
      </c>
      <c r="O534" s="8">
        <v>1545082</v>
      </c>
      <c r="Q534" s="8">
        <v>0</v>
      </c>
      <c r="S534" s="8">
        <v>0</v>
      </c>
      <c r="U534" s="8">
        <v>17500</v>
      </c>
      <c r="W534" s="8">
        <f>40766+42297+15108</f>
        <v>98171</v>
      </c>
      <c r="Y534" s="3">
        <f t="shared" si="40"/>
        <v>15203902</v>
      </c>
      <c r="AA534" s="8">
        <v>0</v>
      </c>
      <c r="AE534" s="8">
        <v>0</v>
      </c>
      <c r="AG534" s="8">
        <v>0</v>
      </c>
      <c r="AI534" s="8">
        <v>0</v>
      </c>
      <c r="AK534" s="8">
        <f t="shared" si="38"/>
        <v>0</v>
      </c>
      <c r="AM534" s="8">
        <f t="shared" si="41"/>
        <v>15203902</v>
      </c>
    </row>
    <row r="535" spans="1:39" hidden="1">
      <c r="A535" s="13" t="s">
        <v>289</v>
      </c>
      <c r="B535" s="13"/>
      <c r="C535" s="13" t="s">
        <v>115</v>
      </c>
      <c r="D535" s="13"/>
      <c r="E535" s="32">
        <v>46458</v>
      </c>
      <c r="F535" s="11"/>
      <c r="Y535" s="3">
        <f t="shared" si="40"/>
        <v>0</v>
      </c>
      <c r="AA535" s="8">
        <v>0</v>
      </c>
      <c r="AE535" s="8">
        <v>0</v>
      </c>
      <c r="AG535" s="8">
        <v>0</v>
      </c>
      <c r="AI535" s="8">
        <v>0</v>
      </c>
      <c r="AK535" s="8">
        <f t="shared" si="38"/>
        <v>0</v>
      </c>
      <c r="AM535" s="8">
        <f t="shared" si="41"/>
        <v>0</v>
      </c>
    </row>
    <row r="536" spans="1:39">
      <c r="A536" s="13" t="s">
        <v>368</v>
      </c>
      <c r="B536" s="13"/>
      <c r="C536" s="13" t="s">
        <v>27</v>
      </c>
      <c r="D536" s="13"/>
      <c r="E536" s="32">
        <v>44933</v>
      </c>
      <c r="G536" s="8">
        <v>58557591</v>
      </c>
      <c r="I536" s="8">
        <v>0</v>
      </c>
      <c r="K536" s="8">
        <f>12769665+16555</f>
        <v>12786220</v>
      </c>
      <c r="M536" s="8">
        <v>1692609</v>
      </c>
      <c r="O536" s="8">
        <v>68155</v>
      </c>
      <c r="Q536" s="8">
        <v>156431</v>
      </c>
      <c r="S536" s="8">
        <v>0</v>
      </c>
      <c r="U536" s="8">
        <v>0</v>
      </c>
      <c r="W536" s="8">
        <v>808677</v>
      </c>
      <c r="Y536" s="3">
        <f t="shared" si="40"/>
        <v>74069683</v>
      </c>
      <c r="AA536" s="8">
        <v>0</v>
      </c>
      <c r="AE536" s="8">
        <v>0</v>
      </c>
      <c r="AG536" s="8">
        <v>0</v>
      </c>
      <c r="AI536" s="8">
        <v>0</v>
      </c>
      <c r="AK536" s="8">
        <f t="shared" si="38"/>
        <v>0</v>
      </c>
      <c r="AM536" s="8">
        <f t="shared" si="41"/>
        <v>74069683</v>
      </c>
    </row>
    <row r="537" spans="1:39" hidden="1">
      <c r="A537" s="13" t="s">
        <v>749</v>
      </c>
      <c r="B537" s="13"/>
      <c r="C537" s="13" t="s">
        <v>747</v>
      </c>
      <c r="D537" s="13"/>
      <c r="E537" s="32">
        <v>45625</v>
      </c>
      <c r="Y537" s="3">
        <f t="shared" si="40"/>
        <v>0</v>
      </c>
      <c r="AA537" s="8">
        <v>0</v>
      </c>
      <c r="AE537" s="8">
        <v>0</v>
      </c>
      <c r="AG537" s="8">
        <v>0</v>
      </c>
      <c r="AI537" s="8">
        <v>0</v>
      </c>
      <c r="AK537" s="8">
        <f t="shared" si="38"/>
        <v>0</v>
      </c>
      <c r="AM537" s="8">
        <f t="shared" si="41"/>
        <v>0</v>
      </c>
    </row>
    <row r="538" spans="1:39" hidden="1">
      <c r="A538" s="13" t="s">
        <v>431</v>
      </c>
      <c r="B538" s="13"/>
      <c r="C538" s="13" t="s">
        <v>426</v>
      </c>
      <c r="D538" s="13"/>
      <c r="E538" s="32">
        <v>47522</v>
      </c>
      <c r="Y538" s="3">
        <f t="shared" si="40"/>
        <v>0</v>
      </c>
      <c r="AA538" s="8">
        <v>0</v>
      </c>
      <c r="AE538" s="8">
        <v>0</v>
      </c>
      <c r="AG538" s="8">
        <v>0</v>
      </c>
      <c r="AI538" s="8">
        <v>0</v>
      </c>
      <c r="AK538" s="8">
        <f t="shared" si="38"/>
        <v>0</v>
      </c>
      <c r="AM538" s="8">
        <f t="shared" si="41"/>
        <v>0</v>
      </c>
    </row>
    <row r="539" spans="1:39">
      <c r="A539" s="13" t="s">
        <v>262</v>
      </c>
      <c r="B539" s="13"/>
      <c r="C539" s="13" t="s">
        <v>259</v>
      </c>
      <c r="D539" s="13"/>
      <c r="E539" s="32">
        <v>44941</v>
      </c>
      <c r="F539" s="11"/>
      <c r="G539" s="8">
        <v>7600593</v>
      </c>
      <c r="I539" s="8">
        <v>0</v>
      </c>
      <c r="K539" s="8">
        <f>10985731+59792</f>
        <v>11045523</v>
      </c>
      <c r="M539" s="8">
        <v>258348</v>
      </c>
      <c r="O539" s="8">
        <f>547186+26686</f>
        <v>573872</v>
      </c>
      <c r="Q539" s="8">
        <v>0</v>
      </c>
      <c r="S539" s="8">
        <v>0</v>
      </c>
      <c r="U539" s="8">
        <v>0</v>
      </c>
      <c r="W539" s="8">
        <f>194702</f>
        <v>194702</v>
      </c>
      <c r="Y539" s="3">
        <f t="shared" si="40"/>
        <v>19673038</v>
      </c>
      <c r="AA539" s="8">
        <v>0</v>
      </c>
      <c r="AE539" s="8">
        <v>0</v>
      </c>
      <c r="AG539" s="8">
        <v>4574</v>
      </c>
      <c r="AI539" s="8">
        <v>0</v>
      </c>
      <c r="AK539" s="8">
        <f t="shared" si="38"/>
        <v>4574</v>
      </c>
      <c r="AM539" s="8">
        <f t="shared" si="41"/>
        <v>19677612</v>
      </c>
    </row>
    <row r="540" spans="1:39" hidden="1">
      <c r="A540" s="13" t="s">
        <v>637</v>
      </c>
      <c r="B540" s="13"/>
      <c r="C540" s="13" t="s">
        <v>59</v>
      </c>
      <c r="D540" s="13"/>
      <c r="E540" s="32">
        <v>49643</v>
      </c>
      <c r="Y540" s="3">
        <f t="shared" si="40"/>
        <v>0</v>
      </c>
      <c r="AA540" s="8">
        <v>0</v>
      </c>
      <c r="AE540" s="8">
        <v>0</v>
      </c>
      <c r="AG540" s="8">
        <v>0</v>
      </c>
      <c r="AI540" s="8">
        <v>0</v>
      </c>
      <c r="AK540" s="8">
        <f t="shared" si="38"/>
        <v>0</v>
      </c>
      <c r="AM540" s="8">
        <f t="shared" si="41"/>
        <v>0</v>
      </c>
    </row>
    <row r="541" spans="1:39">
      <c r="A541" s="13" t="s">
        <v>564</v>
      </c>
      <c r="B541" s="13"/>
      <c r="C541" s="13" t="s">
        <v>50</v>
      </c>
      <c r="D541" s="13"/>
      <c r="E541" s="32">
        <v>48744</v>
      </c>
      <c r="F541" s="35"/>
      <c r="G541" s="8">
        <v>8261270</v>
      </c>
      <c r="I541" s="8">
        <v>0</v>
      </c>
      <c r="K541" s="8">
        <f>8946666</f>
        <v>8946666</v>
      </c>
      <c r="M541" s="8">
        <v>318090</v>
      </c>
      <c r="O541" s="8">
        <f>125763+24638+114971</f>
        <v>265372</v>
      </c>
      <c r="Q541" s="8">
        <v>37363</v>
      </c>
      <c r="S541" s="8">
        <v>0</v>
      </c>
      <c r="U541" s="8">
        <v>0</v>
      </c>
      <c r="W541" s="8">
        <f>31214</f>
        <v>31214</v>
      </c>
      <c r="Y541" s="3">
        <f t="shared" si="40"/>
        <v>17859975</v>
      </c>
      <c r="AA541" s="8">
        <v>0</v>
      </c>
      <c r="AE541" s="8">
        <v>0</v>
      </c>
      <c r="AG541" s="8">
        <f>1909+323849</f>
        <v>325758</v>
      </c>
      <c r="AI541" s="8">
        <v>0</v>
      </c>
      <c r="AK541" s="8">
        <f t="shared" si="38"/>
        <v>325758</v>
      </c>
      <c r="AM541" s="8">
        <f t="shared" si="41"/>
        <v>18185733</v>
      </c>
    </row>
    <row r="542" spans="1:39">
      <c r="A542" s="13" t="s">
        <v>424</v>
      </c>
      <c r="B542" s="13"/>
      <c r="C542" s="13" t="s">
        <v>33</v>
      </c>
      <c r="D542" s="13"/>
      <c r="E542" s="32">
        <v>47464</v>
      </c>
      <c r="G542" s="8">
        <v>6169954</v>
      </c>
      <c r="I542" s="8">
        <v>0</v>
      </c>
      <c r="K542" s="8">
        <v>2682363</v>
      </c>
      <c r="M542" s="8">
        <v>281827</v>
      </c>
      <c r="O542" s="8">
        <v>462427</v>
      </c>
      <c r="Q542" s="8">
        <v>20034</v>
      </c>
      <c r="S542" s="8">
        <v>151222</v>
      </c>
      <c r="U542" s="8">
        <v>36223</v>
      </c>
      <c r="W542" s="8">
        <v>68156</v>
      </c>
      <c r="Y542" s="3">
        <f t="shared" si="40"/>
        <v>9872206</v>
      </c>
      <c r="AA542" s="8">
        <v>0</v>
      </c>
      <c r="AE542" s="8">
        <v>0</v>
      </c>
      <c r="AG542" s="8">
        <v>2000</v>
      </c>
      <c r="AI542" s="8">
        <v>0</v>
      </c>
      <c r="AK542" s="8">
        <f t="shared" si="38"/>
        <v>2000</v>
      </c>
      <c r="AM542" s="8">
        <f t="shared" si="41"/>
        <v>9874206</v>
      </c>
    </row>
    <row r="543" spans="1:39">
      <c r="A543" s="13" t="s">
        <v>711</v>
      </c>
      <c r="B543" s="13"/>
      <c r="C543" s="13" t="s">
        <v>67</v>
      </c>
      <c r="D543" s="13"/>
      <c r="E543" s="32">
        <v>44966</v>
      </c>
      <c r="G543" s="8">
        <v>5549227</v>
      </c>
      <c r="I543" s="8">
        <v>2412276</v>
      </c>
      <c r="K543" s="8">
        <v>9695389</v>
      </c>
      <c r="M543" s="8">
        <v>325315</v>
      </c>
      <c r="O543" s="8">
        <v>717926</v>
      </c>
      <c r="Q543" s="8">
        <v>0</v>
      </c>
      <c r="S543" s="8">
        <v>128984</v>
      </c>
      <c r="U543" s="8">
        <v>18157</v>
      </c>
      <c r="W543" s="8">
        <f>6800+72616</f>
        <v>79416</v>
      </c>
      <c r="Y543" s="3">
        <f t="shared" si="40"/>
        <v>18926690</v>
      </c>
      <c r="AA543" s="8">
        <v>0</v>
      </c>
      <c r="AE543" s="8">
        <v>0</v>
      </c>
      <c r="AG543" s="8">
        <v>0</v>
      </c>
      <c r="AI543" s="8">
        <v>0</v>
      </c>
      <c r="AK543" s="8">
        <f t="shared" si="38"/>
        <v>0</v>
      </c>
      <c r="AM543" s="8">
        <f t="shared" si="41"/>
        <v>18926690</v>
      </c>
    </row>
    <row r="544" spans="1:39">
      <c r="A544" s="13" t="s">
        <v>565</v>
      </c>
      <c r="B544" s="13"/>
      <c r="C544" s="13" t="s">
        <v>50</v>
      </c>
      <c r="D544" s="13"/>
      <c r="E544" s="32">
        <v>44958</v>
      </c>
      <c r="G544" s="8">
        <v>23059926</v>
      </c>
      <c r="I544" s="8">
        <v>0</v>
      </c>
      <c r="K544" s="8">
        <v>10798382</v>
      </c>
      <c r="M544" s="8">
        <v>905192</v>
      </c>
      <c r="O544" s="8">
        <v>657377</v>
      </c>
      <c r="Q544" s="8">
        <v>0</v>
      </c>
      <c r="S544" s="8">
        <v>0</v>
      </c>
      <c r="U544" s="8">
        <v>0</v>
      </c>
      <c r="W544" s="8">
        <f>33998+57687</f>
        <v>91685</v>
      </c>
      <c r="Y544" s="3">
        <f t="shared" si="40"/>
        <v>35512562</v>
      </c>
      <c r="AA544" s="8">
        <v>0</v>
      </c>
      <c r="AE544" s="8">
        <v>0</v>
      </c>
      <c r="AG544" s="8">
        <v>0</v>
      </c>
      <c r="AI544" s="8">
        <v>0</v>
      </c>
      <c r="AK544" s="8">
        <f t="shared" si="38"/>
        <v>0</v>
      </c>
      <c r="AM544" s="8">
        <f t="shared" si="41"/>
        <v>35512562</v>
      </c>
    </row>
    <row r="545" spans="1:39" hidden="1">
      <c r="A545" s="13" t="s">
        <v>425</v>
      </c>
      <c r="B545" s="13"/>
      <c r="C545" s="13" t="s">
        <v>33</v>
      </c>
      <c r="D545" s="13"/>
      <c r="E545" s="32">
        <v>47472</v>
      </c>
      <c r="I545" s="8">
        <v>0</v>
      </c>
      <c r="Q545" s="8">
        <v>0</v>
      </c>
      <c r="S545" s="8">
        <v>0</v>
      </c>
      <c r="U545" s="8">
        <v>0</v>
      </c>
      <c r="Y545" s="3">
        <f t="shared" si="40"/>
        <v>0</v>
      </c>
      <c r="AA545" s="8">
        <v>0</v>
      </c>
      <c r="AE545" s="8">
        <v>0</v>
      </c>
      <c r="AG545" s="8">
        <v>0</v>
      </c>
      <c r="AI545" s="8">
        <v>0</v>
      </c>
      <c r="AK545" s="8">
        <f>SUM(AA545:AJ545)</f>
        <v>0</v>
      </c>
      <c r="AM545" s="8">
        <f t="shared" si="41"/>
        <v>0</v>
      </c>
    </row>
    <row r="546" spans="1:39">
      <c r="A546" s="13" t="s">
        <v>346</v>
      </c>
      <c r="B546" s="13"/>
      <c r="C546" s="13" t="s">
        <v>24</v>
      </c>
      <c r="D546" s="13"/>
      <c r="E546" s="32">
        <v>46821</v>
      </c>
      <c r="G546" s="8">
        <v>21692372</v>
      </c>
      <c r="I546" s="8">
        <v>0</v>
      </c>
      <c r="K546" s="8">
        <f>7839419+61430</f>
        <v>7900849</v>
      </c>
      <c r="M546" s="8">
        <v>536418</v>
      </c>
      <c r="O546" s="8">
        <f>312648+253</f>
        <v>312901</v>
      </c>
      <c r="Q546" s="8">
        <v>0</v>
      </c>
      <c r="S546" s="8">
        <v>0</v>
      </c>
      <c r="U546" s="8">
        <v>0</v>
      </c>
      <c r="W546" s="8">
        <f>750+32418</f>
        <v>33168</v>
      </c>
      <c r="Y546" s="3">
        <f t="shared" si="40"/>
        <v>30475708</v>
      </c>
      <c r="AA546" s="8">
        <v>0</v>
      </c>
      <c r="AE546" s="8">
        <v>0</v>
      </c>
      <c r="AG546" s="8">
        <v>2400000</v>
      </c>
      <c r="AI546" s="8">
        <v>0</v>
      </c>
      <c r="AK546" s="8">
        <f>SUM(AA546:AJ546)</f>
        <v>2400000</v>
      </c>
      <c r="AM546" s="8">
        <f t="shared" si="41"/>
        <v>32875708</v>
      </c>
    </row>
    <row r="547" spans="1:39">
      <c r="A547" s="13" t="s">
        <v>712</v>
      </c>
      <c r="B547" s="13"/>
      <c r="C547" s="13" t="s">
        <v>68</v>
      </c>
      <c r="D547" s="13"/>
      <c r="E547" s="32">
        <v>50393</v>
      </c>
      <c r="G547" s="8">
        <v>3043656</v>
      </c>
      <c r="I547" s="8">
        <v>0</v>
      </c>
      <c r="K547" s="8">
        <v>15630082</v>
      </c>
      <c r="M547" s="8">
        <v>600352</v>
      </c>
      <c r="O547" s="8">
        <v>376037</v>
      </c>
      <c r="Q547" s="8">
        <v>0</v>
      </c>
      <c r="S547" s="8">
        <v>0</v>
      </c>
      <c r="U547" s="8">
        <v>10000</v>
      </c>
      <c r="W547" s="8">
        <f>151820+734310</f>
        <v>886130</v>
      </c>
      <c r="Y547" s="3">
        <f t="shared" si="40"/>
        <v>20546257</v>
      </c>
      <c r="AA547" s="8">
        <v>0</v>
      </c>
      <c r="AE547" s="8">
        <v>0</v>
      </c>
      <c r="AG547" s="8">
        <f>4187+558551</f>
        <v>562738</v>
      </c>
      <c r="AI547" s="8">
        <v>0</v>
      </c>
      <c r="AK547" s="8">
        <f>SUM(AA547:AJ547)</f>
        <v>562738</v>
      </c>
      <c r="AM547" s="8">
        <f t="shared" si="41"/>
        <v>21108995</v>
      </c>
    </row>
    <row r="548" spans="1:39">
      <c r="A548" s="13" t="s">
        <v>536</v>
      </c>
      <c r="B548" s="13"/>
      <c r="C548" s="13" t="s">
        <v>47</v>
      </c>
      <c r="D548" s="13"/>
      <c r="E548" s="32">
        <v>44974</v>
      </c>
      <c r="G548" s="8">
        <v>15667936</v>
      </c>
      <c r="I548" s="8">
        <v>0</v>
      </c>
      <c r="K548" s="8">
        <v>18179240</v>
      </c>
      <c r="M548" s="8">
        <v>683693</v>
      </c>
      <c r="O548" s="8">
        <v>464702</v>
      </c>
      <c r="Q548" s="8">
        <v>0</v>
      </c>
      <c r="S548" s="8">
        <v>0</v>
      </c>
      <c r="U548" s="8">
        <v>0</v>
      </c>
      <c r="W548" s="8">
        <f>75219+78122</f>
        <v>153341</v>
      </c>
      <c r="Y548" s="3">
        <f t="shared" si="40"/>
        <v>35148912</v>
      </c>
      <c r="AA548" s="8">
        <v>27625</v>
      </c>
      <c r="AE548" s="8">
        <v>25985</v>
      </c>
      <c r="AG548" s="8">
        <v>0</v>
      </c>
      <c r="AI548" s="8">
        <v>0</v>
      </c>
      <c r="AK548" s="8">
        <f>SUM(AA548:AJ548)</f>
        <v>53610</v>
      </c>
      <c r="AM548" s="8">
        <f t="shared" ref="AM548:AM599" si="42">+AK548+Y548</f>
        <v>35202522</v>
      </c>
    </row>
    <row r="549" spans="1:39">
      <c r="A549" s="13" t="s">
        <v>697</v>
      </c>
      <c r="B549" s="13"/>
      <c r="C549" s="13" t="s">
        <v>64</v>
      </c>
      <c r="D549" s="13"/>
      <c r="E549" s="32">
        <v>44990</v>
      </c>
      <c r="G549" s="8">
        <v>15606550</v>
      </c>
      <c r="I549" s="8">
        <v>0</v>
      </c>
      <c r="K549" s="8">
        <f>38409013+3960</f>
        <v>38412973</v>
      </c>
      <c r="M549" s="8">
        <v>1074748</v>
      </c>
      <c r="O549" s="8">
        <f>1145928+62178</f>
        <v>1208106</v>
      </c>
      <c r="Q549" s="8">
        <v>0</v>
      </c>
      <c r="S549" s="8">
        <v>0</v>
      </c>
      <c r="U549" s="8">
        <v>0</v>
      </c>
      <c r="W549" s="8">
        <v>234830</v>
      </c>
      <c r="Y549" s="3">
        <f t="shared" si="40"/>
        <v>56537207</v>
      </c>
      <c r="AA549" s="8">
        <v>295</v>
      </c>
      <c r="AE549" s="8">
        <v>62631</v>
      </c>
      <c r="AG549" s="8">
        <v>0</v>
      </c>
      <c r="AI549" s="8">
        <v>0</v>
      </c>
      <c r="AK549" s="8">
        <f>SUM(AA549:AJ549)</f>
        <v>62926</v>
      </c>
      <c r="AM549" s="8">
        <f t="shared" si="42"/>
        <v>56600133</v>
      </c>
    </row>
    <row r="550" spans="1:39">
      <c r="A550" s="13" t="s">
        <v>725</v>
      </c>
      <c r="B550" s="13"/>
      <c r="C550" s="13" t="s">
        <v>70</v>
      </c>
      <c r="D550" s="13"/>
      <c r="E550" s="32">
        <v>50500</v>
      </c>
      <c r="G550" s="8">
        <v>6899703</v>
      </c>
      <c r="I550" s="8">
        <v>0</v>
      </c>
      <c r="K550" s="8">
        <v>12462717</v>
      </c>
      <c r="M550" s="8">
        <v>6000</v>
      </c>
      <c r="O550" s="8">
        <v>1320043</v>
      </c>
      <c r="Q550" s="8">
        <v>0</v>
      </c>
      <c r="S550" s="8">
        <v>0</v>
      </c>
      <c r="U550" s="8">
        <v>0</v>
      </c>
      <c r="W550" s="8">
        <v>52269</v>
      </c>
      <c r="Y550" s="3">
        <f t="shared" si="40"/>
        <v>20740732</v>
      </c>
      <c r="AA550" s="8">
        <v>0</v>
      </c>
      <c r="AE550" s="8">
        <v>0</v>
      </c>
      <c r="AG550" s="8">
        <v>0</v>
      </c>
      <c r="AI550" s="8">
        <v>0</v>
      </c>
      <c r="AK550" s="8">
        <f t="shared" ref="AK550:AK599" si="43">SUM(AA550:AJ550)</f>
        <v>0</v>
      </c>
      <c r="AM550" s="8">
        <f t="shared" si="42"/>
        <v>20740732</v>
      </c>
    </row>
    <row r="551" spans="1:39">
      <c r="A551" s="13" t="s">
        <v>328</v>
      </c>
      <c r="B551" s="13"/>
      <c r="C551" s="13" t="s">
        <v>20</v>
      </c>
      <c r="D551" s="13"/>
      <c r="E551" s="13">
        <v>45005</v>
      </c>
      <c r="G551" s="8">
        <v>19704667</v>
      </c>
      <c r="I551" s="8">
        <v>0</v>
      </c>
      <c r="K551" s="8">
        <v>13049334</v>
      </c>
      <c r="M551" s="8">
        <v>331395</v>
      </c>
      <c r="O551" s="8">
        <v>23758</v>
      </c>
      <c r="Q551" s="8">
        <v>38136</v>
      </c>
      <c r="S551" s="8">
        <v>0</v>
      </c>
      <c r="U551" s="8">
        <v>0</v>
      </c>
      <c r="W551" s="8">
        <f>1287+123357</f>
        <v>124644</v>
      </c>
      <c r="Y551" s="3">
        <f>SUM(G551:X551)</f>
        <v>33271934</v>
      </c>
      <c r="AA551" s="8">
        <v>3419</v>
      </c>
      <c r="AE551" s="8">
        <v>275000</v>
      </c>
      <c r="AG551" s="8">
        <v>0</v>
      </c>
      <c r="AI551" s="8">
        <v>0</v>
      </c>
      <c r="AK551" s="8">
        <f>SUM(AA551:AJ551)</f>
        <v>278419</v>
      </c>
      <c r="AM551" s="8">
        <f>+AK551+Y551</f>
        <v>33550353</v>
      </c>
    </row>
    <row r="552" spans="1:39">
      <c r="A552" s="13" t="s">
        <v>355</v>
      </c>
      <c r="B552" s="13"/>
      <c r="C552" s="13" t="s">
        <v>26</v>
      </c>
      <c r="D552" s="13"/>
      <c r="E552" s="32">
        <v>45013</v>
      </c>
      <c r="G552" s="8">
        <v>4387123</v>
      </c>
      <c r="I552" s="8">
        <v>0</v>
      </c>
      <c r="K552" s="8">
        <v>11893803</v>
      </c>
      <c r="M552" s="8">
        <v>45423</v>
      </c>
      <c r="O552" s="8">
        <v>496686</v>
      </c>
      <c r="Q552" s="8">
        <v>0</v>
      </c>
      <c r="S552" s="8">
        <v>18021</v>
      </c>
      <c r="U552" s="8">
        <v>15050</v>
      </c>
      <c r="W552" s="8">
        <f>31466+384+527</f>
        <v>32377</v>
      </c>
      <c r="Y552" s="3">
        <f t="shared" si="40"/>
        <v>16888483</v>
      </c>
      <c r="AA552" s="8">
        <v>0</v>
      </c>
      <c r="AE552" s="8">
        <v>0</v>
      </c>
      <c r="AG552" s="8">
        <v>11836</v>
      </c>
      <c r="AI552" s="8">
        <v>0</v>
      </c>
      <c r="AK552" s="8">
        <f t="shared" si="43"/>
        <v>11836</v>
      </c>
      <c r="AM552" s="8">
        <f t="shared" si="42"/>
        <v>16900319</v>
      </c>
    </row>
    <row r="553" spans="1:39">
      <c r="A553" s="13" t="s">
        <v>509</v>
      </c>
      <c r="B553" s="13"/>
      <c r="C553" s="13" t="s">
        <v>118</v>
      </c>
      <c r="D553" s="13"/>
      <c r="E553" s="32">
        <v>48231</v>
      </c>
      <c r="G553" s="8">
        <v>33276436</v>
      </c>
      <c r="I553" s="8">
        <v>0</v>
      </c>
      <c r="K553" s="8">
        <f>26032517+3014</f>
        <v>26035531</v>
      </c>
      <c r="M553" s="8">
        <v>2124240</v>
      </c>
      <c r="O553" s="8">
        <f>622771+124502</f>
        <v>747273</v>
      </c>
      <c r="Q553" s="8">
        <v>0</v>
      </c>
      <c r="S553" s="8">
        <v>5630449</v>
      </c>
      <c r="U553" s="8">
        <v>0</v>
      </c>
      <c r="W553" s="8">
        <f>45451+165381</f>
        <v>210832</v>
      </c>
      <c r="Y553" s="3">
        <f t="shared" si="40"/>
        <v>68024761</v>
      </c>
      <c r="AA553" s="8">
        <v>0</v>
      </c>
      <c r="AE553" s="8">
        <v>15508</v>
      </c>
      <c r="AG553" s="8">
        <v>0</v>
      </c>
      <c r="AI553" s="8">
        <v>0</v>
      </c>
      <c r="AK553" s="8">
        <f t="shared" si="43"/>
        <v>15508</v>
      </c>
      <c r="AM553" s="8">
        <f t="shared" si="42"/>
        <v>68040269</v>
      </c>
    </row>
    <row r="554" spans="1:39">
      <c r="A554" s="13" t="s">
        <v>638</v>
      </c>
      <c r="B554" s="13"/>
      <c r="C554" s="13" t="s">
        <v>59</v>
      </c>
      <c r="D554" s="13"/>
      <c r="E554" s="32">
        <v>49650</v>
      </c>
      <c r="G554" s="8">
        <v>1260723</v>
      </c>
      <c r="I554" s="8">
        <v>0</v>
      </c>
      <c r="K554" s="8">
        <v>9134938</v>
      </c>
      <c r="M554" s="8">
        <f>197623+18323</f>
        <v>215946</v>
      </c>
      <c r="O554" s="8">
        <v>1185791</v>
      </c>
      <c r="Q554" s="8">
        <v>0</v>
      </c>
      <c r="S554" s="8">
        <v>0</v>
      </c>
      <c r="U554" s="8">
        <v>500</v>
      </c>
      <c r="W554" s="8">
        <f>35673+89711</f>
        <v>125384</v>
      </c>
      <c r="Y554" s="3">
        <f t="shared" si="40"/>
        <v>11923282</v>
      </c>
      <c r="AA554" s="8">
        <v>0</v>
      </c>
      <c r="AE554" s="8">
        <v>3351</v>
      </c>
      <c r="AG554" s="8">
        <v>0</v>
      </c>
      <c r="AI554" s="8">
        <v>0</v>
      </c>
      <c r="AK554" s="8">
        <f t="shared" si="43"/>
        <v>3351</v>
      </c>
      <c r="AM554" s="8">
        <f t="shared" si="42"/>
        <v>11926633</v>
      </c>
    </row>
    <row r="555" spans="1:39">
      <c r="A555" s="13" t="s">
        <v>603</v>
      </c>
      <c r="B555" s="13"/>
      <c r="C555" s="13" t="s">
        <v>56</v>
      </c>
      <c r="D555" s="13"/>
      <c r="E555" s="32">
        <v>49247</v>
      </c>
      <c r="G555" s="8">
        <v>3176347</v>
      </c>
      <c r="I555" s="8">
        <v>0</v>
      </c>
      <c r="K555" s="8">
        <v>6698725</v>
      </c>
      <c r="M555" s="8">
        <v>146477</v>
      </c>
      <c r="O555" s="8">
        <f>199754+47546</f>
        <v>247300</v>
      </c>
      <c r="Q555" s="8">
        <v>0</v>
      </c>
      <c r="S555" s="8">
        <v>0</v>
      </c>
      <c r="U555" s="8">
        <v>0</v>
      </c>
      <c r="W555" s="8">
        <v>37059</v>
      </c>
      <c r="Y555" s="3">
        <f t="shared" si="40"/>
        <v>10305908</v>
      </c>
      <c r="AA555" s="8">
        <v>0</v>
      </c>
      <c r="AE555" s="8">
        <v>0</v>
      </c>
      <c r="AG555" s="8">
        <v>0</v>
      </c>
      <c r="AI555" s="8">
        <v>0</v>
      </c>
      <c r="AK555" s="8">
        <f t="shared" si="43"/>
        <v>0</v>
      </c>
      <c r="AM555" s="8">
        <f t="shared" si="42"/>
        <v>10305908</v>
      </c>
    </row>
    <row r="556" spans="1:39">
      <c r="A556" s="13" t="s">
        <v>378</v>
      </c>
      <c r="B556" s="13"/>
      <c r="C556" s="13" t="s">
        <v>28</v>
      </c>
      <c r="D556" s="13"/>
      <c r="E556" s="32">
        <v>45641</v>
      </c>
      <c r="G556" s="8">
        <v>4374755</v>
      </c>
      <c r="I556" s="8">
        <v>0</v>
      </c>
      <c r="K556" s="8">
        <v>8923194</v>
      </c>
      <c r="M556" s="8">
        <v>393309</v>
      </c>
      <c r="O556" s="8">
        <f>747321+30330+6305</f>
        <v>783956</v>
      </c>
      <c r="Q556" s="8">
        <v>0</v>
      </c>
      <c r="S556" s="8">
        <v>0</v>
      </c>
      <c r="U556" s="8">
        <v>0</v>
      </c>
      <c r="W556" s="8">
        <f>186383</f>
        <v>186383</v>
      </c>
      <c r="Y556" s="3">
        <f t="shared" si="40"/>
        <v>14661597</v>
      </c>
      <c r="AA556" s="8">
        <v>0</v>
      </c>
      <c r="AE556" s="8">
        <v>1575</v>
      </c>
      <c r="AG556" s="8">
        <v>0</v>
      </c>
      <c r="AI556" s="8">
        <v>0</v>
      </c>
      <c r="AK556" s="8">
        <f t="shared" si="43"/>
        <v>1575</v>
      </c>
      <c r="AM556" s="8">
        <f t="shared" si="42"/>
        <v>14663172</v>
      </c>
    </row>
    <row r="557" spans="1:39">
      <c r="A557" s="13" t="s">
        <v>593</v>
      </c>
      <c r="B557" s="13"/>
      <c r="C557" s="13" t="s">
        <v>55</v>
      </c>
      <c r="D557" s="13"/>
      <c r="E557" s="32">
        <v>49148</v>
      </c>
      <c r="G557" s="8">
        <v>2996018</v>
      </c>
      <c r="I557" s="8">
        <v>0</v>
      </c>
      <c r="K557" s="8">
        <v>10202573</v>
      </c>
      <c r="M557" s="8">
        <v>177586</v>
      </c>
      <c r="O557" s="8">
        <v>682625</v>
      </c>
      <c r="Q557" s="8">
        <v>0</v>
      </c>
      <c r="S557" s="8">
        <v>63215</v>
      </c>
      <c r="U557" s="8">
        <v>11803</v>
      </c>
      <c r="W557" s="8">
        <f>2498+1461</f>
        <v>3959</v>
      </c>
      <c r="Y557" s="3">
        <f t="shared" si="40"/>
        <v>14137779</v>
      </c>
      <c r="AA557" s="8">
        <v>0</v>
      </c>
      <c r="AE557" s="8">
        <v>7800</v>
      </c>
      <c r="AG557" s="8">
        <v>0</v>
      </c>
      <c r="AI557" s="8">
        <v>0</v>
      </c>
      <c r="AK557" s="8">
        <f t="shared" si="43"/>
        <v>7800</v>
      </c>
      <c r="AM557" s="8">
        <f t="shared" si="42"/>
        <v>14145579</v>
      </c>
    </row>
    <row r="558" spans="1:39" hidden="1">
      <c r="A558" s="13" t="s">
        <v>720</v>
      </c>
      <c r="B558" s="13"/>
      <c r="C558" s="13" t="s">
        <v>69</v>
      </c>
      <c r="D558" s="13"/>
      <c r="E558" s="32">
        <v>50468</v>
      </c>
      <c r="G558" s="8">
        <v>0</v>
      </c>
      <c r="I558" s="8">
        <v>0</v>
      </c>
      <c r="K558" s="8">
        <v>0</v>
      </c>
      <c r="M558" s="8">
        <v>0</v>
      </c>
      <c r="O558" s="8">
        <v>0</v>
      </c>
      <c r="Q558" s="8">
        <v>0</v>
      </c>
      <c r="S558" s="8">
        <v>0</v>
      </c>
      <c r="U558" s="8">
        <v>0</v>
      </c>
      <c r="W558" s="8">
        <v>0</v>
      </c>
      <c r="Y558" s="3">
        <f t="shared" si="40"/>
        <v>0</v>
      </c>
      <c r="AA558" s="8">
        <v>0</v>
      </c>
      <c r="AE558" s="8">
        <v>0</v>
      </c>
      <c r="AG558" s="8">
        <v>0</v>
      </c>
      <c r="AI558" s="8">
        <v>0</v>
      </c>
      <c r="AK558" s="8">
        <f t="shared" si="43"/>
        <v>0</v>
      </c>
      <c r="AM558" s="8">
        <f t="shared" si="42"/>
        <v>0</v>
      </c>
    </row>
    <row r="559" spans="1:39" hidden="1">
      <c r="A559" s="13" t="s">
        <v>585</v>
      </c>
      <c r="B559" s="13"/>
      <c r="C559" s="13" t="s">
        <v>583</v>
      </c>
      <c r="D559" s="13"/>
      <c r="E559" s="32">
        <v>49031</v>
      </c>
      <c r="G559" s="8">
        <v>0</v>
      </c>
      <c r="I559" s="8">
        <v>0</v>
      </c>
      <c r="K559" s="8">
        <v>0</v>
      </c>
      <c r="M559" s="8">
        <v>0</v>
      </c>
      <c r="O559" s="8">
        <v>0</v>
      </c>
      <c r="Q559" s="8">
        <v>0</v>
      </c>
      <c r="S559" s="8">
        <v>0</v>
      </c>
      <c r="U559" s="8">
        <v>0</v>
      </c>
      <c r="W559" s="8">
        <v>0</v>
      </c>
      <c r="Y559" s="3">
        <f t="shared" si="40"/>
        <v>0</v>
      </c>
      <c r="AA559" s="8">
        <v>0</v>
      </c>
      <c r="AE559" s="8">
        <v>0</v>
      </c>
      <c r="AG559" s="8">
        <v>0</v>
      </c>
      <c r="AI559" s="8">
        <v>0</v>
      </c>
      <c r="AK559" s="8">
        <f t="shared" si="43"/>
        <v>0</v>
      </c>
      <c r="AM559" s="8">
        <f t="shared" si="42"/>
        <v>0</v>
      </c>
    </row>
    <row r="560" spans="1:39" ht="11.25" hidden="1" customHeight="1">
      <c r="A560" s="13" t="s">
        <v>233</v>
      </c>
      <c r="B560" s="13"/>
      <c r="C560" s="13" t="s">
        <v>14</v>
      </c>
      <c r="D560" s="13"/>
      <c r="E560" s="32">
        <v>45971</v>
      </c>
      <c r="F560" s="11"/>
      <c r="G560" s="8">
        <v>0</v>
      </c>
      <c r="I560" s="8">
        <v>0</v>
      </c>
      <c r="K560" s="8">
        <v>0</v>
      </c>
      <c r="M560" s="8">
        <v>0</v>
      </c>
      <c r="O560" s="8">
        <v>0</v>
      </c>
      <c r="Q560" s="8">
        <v>0</v>
      </c>
      <c r="S560" s="8">
        <v>0</v>
      </c>
      <c r="U560" s="8">
        <v>0</v>
      </c>
      <c r="W560" s="8">
        <v>0</v>
      </c>
      <c r="Y560" s="3">
        <f t="shared" si="40"/>
        <v>0</v>
      </c>
      <c r="AA560" s="8">
        <v>0</v>
      </c>
      <c r="AE560" s="8">
        <v>0</v>
      </c>
      <c r="AG560" s="8">
        <v>0</v>
      </c>
      <c r="AI560" s="8">
        <v>0</v>
      </c>
      <c r="AK560" s="8">
        <f t="shared" si="43"/>
        <v>0</v>
      </c>
      <c r="AM560" s="8">
        <f t="shared" si="42"/>
        <v>0</v>
      </c>
    </row>
    <row r="561" spans="1:39">
      <c r="A561" s="13" t="s">
        <v>698</v>
      </c>
      <c r="B561" s="13"/>
      <c r="C561" s="13" t="s">
        <v>64</v>
      </c>
      <c r="D561" s="13"/>
      <c r="E561" s="32">
        <v>50252</v>
      </c>
      <c r="G561" s="8">
        <v>3172273</v>
      </c>
      <c r="I561" s="8">
        <v>0</v>
      </c>
      <c r="K561" s="8">
        <v>4068280</v>
      </c>
      <c r="M561" s="8">
        <v>106685</v>
      </c>
      <c r="O561" s="8">
        <v>1150204</v>
      </c>
      <c r="Q561" s="8">
        <v>0</v>
      </c>
      <c r="S561" s="8">
        <v>0</v>
      </c>
      <c r="U561" s="8">
        <v>0</v>
      </c>
      <c r="W561" s="8">
        <v>3489</v>
      </c>
      <c r="Y561" s="3">
        <f t="shared" si="40"/>
        <v>8500931</v>
      </c>
      <c r="AA561" s="8">
        <v>0</v>
      </c>
      <c r="AE561" s="8">
        <v>0</v>
      </c>
      <c r="AG561" s="8">
        <v>0</v>
      </c>
      <c r="AI561" s="8">
        <v>0</v>
      </c>
      <c r="AK561" s="8">
        <f t="shared" si="43"/>
        <v>0</v>
      </c>
      <c r="AM561" s="8">
        <f t="shared" si="42"/>
        <v>8500931</v>
      </c>
    </row>
    <row r="562" spans="1:39">
      <c r="A562" s="13" t="s">
        <v>501</v>
      </c>
      <c r="B562" s="13"/>
      <c r="C562" s="13" t="s">
        <v>44</v>
      </c>
      <c r="D562" s="13"/>
      <c r="E562" s="32">
        <v>45658</v>
      </c>
      <c r="G562" s="8">
        <v>3376425</v>
      </c>
      <c r="I562" s="8">
        <v>1758446</v>
      </c>
      <c r="K562" s="8">
        <v>6442371</v>
      </c>
      <c r="M562" s="8">
        <v>171425</v>
      </c>
      <c r="O562" s="8">
        <v>296641</v>
      </c>
      <c r="Q562" s="8">
        <v>42603</v>
      </c>
      <c r="S562" s="8">
        <v>0</v>
      </c>
      <c r="U562" s="8">
        <v>0</v>
      </c>
      <c r="W562" s="8">
        <v>45483</v>
      </c>
      <c r="Y562" s="3">
        <f t="shared" si="40"/>
        <v>12133394</v>
      </c>
      <c r="AA562" s="8">
        <v>567886</v>
      </c>
      <c r="AE562" s="8">
        <v>2750</v>
      </c>
      <c r="AG562" s="8">
        <v>0</v>
      </c>
      <c r="AI562" s="8">
        <v>0</v>
      </c>
      <c r="AK562" s="8">
        <f t="shared" si="43"/>
        <v>570636</v>
      </c>
      <c r="AM562" s="8">
        <f t="shared" si="42"/>
        <v>12704030</v>
      </c>
    </row>
    <row r="563" spans="1:39">
      <c r="A563" s="13" t="s">
        <v>454</v>
      </c>
      <c r="B563" s="13"/>
      <c r="C563" s="13" t="s">
        <v>38</v>
      </c>
      <c r="D563" s="13"/>
      <c r="E563" s="32">
        <v>45021</v>
      </c>
      <c r="G563" s="8">
        <v>2255513</v>
      </c>
      <c r="I563" s="8">
        <v>0</v>
      </c>
      <c r="K563" s="8">
        <v>10176667</v>
      </c>
      <c r="M563" s="8">
        <v>233975</v>
      </c>
      <c r="O563" s="8">
        <v>329686</v>
      </c>
      <c r="Q563" s="8">
        <v>0</v>
      </c>
      <c r="S563" s="8">
        <v>0</v>
      </c>
      <c r="U563" s="8">
        <v>0</v>
      </c>
      <c r="W563" s="8">
        <f>3900+11816</f>
        <v>15716</v>
      </c>
      <c r="Y563" s="3">
        <f t="shared" si="40"/>
        <v>13011557</v>
      </c>
      <c r="AA563" s="8">
        <v>0</v>
      </c>
      <c r="AE563" s="8">
        <v>0</v>
      </c>
      <c r="AG563" s="8">
        <v>11000</v>
      </c>
      <c r="AI563" s="8">
        <v>0</v>
      </c>
      <c r="AK563" s="8">
        <f t="shared" si="43"/>
        <v>11000</v>
      </c>
      <c r="AM563" s="8">
        <f t="shared" si="42"/>
        <v>13022557</v>
      </c>
    </row>
    <row r="564" spans="1:39">
      <c r="A564" s="13" t="s">
        <v>290</v>
      </c>
      <c r="B564" s="13"/>
      <c r="C564" s="13" t="s">
        <v>115</v>
      </c>
      <c r="D564" s="13"/>
      <c r="E564" s="32">
        <v>45039</v>
      </c>
      <c r="F564" s="11"/>
      <c r="G564" s="8">
        <v>1008341</v>
      </c>
      <c r="I564" s="8">
        <v>0</v>
      </c>
      <c r="K564" s="8">
        <v>5560746</v>
      </c>
      <c r="M564" s="8">
        <v>85975</v>
      </c>
      <c r="O564" s="8">
        <v>546386</v>
      </c>
      <c r="Q564" s="8">
        <v>1610</v>
      </c>
      <c r="S564" s="8">
        <v>0</v>
      </c>
      <c r="U564" s="8">
        <v>2017</v>
      </c>
      <c r="W564" s="8">
        <v>37316</v>
      </c>
      <c r="Y564" s="3">
        <f t="shared" si="40"/>
        <v>7242391</v>
      </c>
      <c r="AA564" s="8">
        <v>0</v>
      </c>
      <c r="AE564" s="8">
        <v>0</v>
      </c>
      <c r="AG564" s="8">
        <v>0</v>
      </c>
      <c r="AI564" s="8">
        <v>0</v>
      </c>
      <c r="AK564" s="8">
        <f t="shared" si="43"/>
        <v>0</v>
      </c>
      <c r="AM564" s="8">
        <f t="shared" si="42"/>
        <v>7242391</v>
      </c>
    </row>
    <row r="565" spans="1:39">
      <c r="A565" s="13" t="s">
        <v>524</v>
      </c>
      <c r="B565" s="13"/>
      <c r="C565" s="13" t="s">
        <v>45</v>
      </c>
      <c r="D565" s="13"/>
      <c r="E565" s="32">
        <v>48389</v>
      </c>
      <c r="G565" s="8">
        <v>4132641</v>
      </c>
      <c r="I565" s="8">
        <v>0</v>
      </c>
      <c r="K565" s="8">
        <f>5461+12335028+294</f>
        <v>12340783</v>
      </c>
      <c r="M565" s="8">
        <v>191525</v>
      </c>
      <c r="O565" s="8">
        <f>1198219+865</f>
        <v>1199084</v>
      </c>
      <c r="Q565" s="8">
        <v>7201</v>
      </c>
      <c r="S565" s="8">
        <v>0</v>
      </c>
      <c r="U565" s="8">
        <v>0</v>
      </c>
      <c r="W565" s="8">
        <f>285119</f>
        <v>285119</v>
      </c>
      <c r="Y565" s="3">
        <f t="shared" si="40"/>
        <v>18156353</v>
      </c>
      <c r="AA565" s="8">
        <v>0</v>
      </c>
      <c r="AE565" s="8">
        <v>8399</v>
      </c>
      <c r="AG565" s="8">
        <v>15547</v>
      </c>
      <c r="AI565" s="8">
        <v>0</v>
      </c>
      <c r="AK565" s="8">
        <f t="shared" si="43"/>
        <v>23946</v>
      </c>
      <c r="AM565" s="8">
        <f t="shared" si="42"/>
        <v>18180299</v>
      </c>
    </row>
    <row r="566" spans="1:39">
      <c r="A566" s="13" t="s">
        <v>276</v>
      </c>
      <c r="B566" s="13"/>
      <c r="C566" s="13" t="s">
        <v>116</v>
      </c>
      <c r="D566" s="13"/>
      <c r="E566" s="32">
        <v>46359</v>
      </c>
      <c r="F566" s="11"/>
      <c r="G566" s="8">
        <v>36832787</v>
      </c>
      <c r="I566" s="8">
        <v>0</v>
      </c>
      <c r="K566" s="8">
        <v>30889854</v>
      </c>
      <c r="M566" s="8">
        <v>566303</v>
      </c>
      <c r="O566" s="8">
        <v>513355</v>
      </c>
      <c r="Q566" s="8">
        <v>0</v>
      </c>
      <c r="S566" s="8">
        <v>0</v>
      </c>
      <c r="U566" s="8">
        <v>0</v>
      </c>
      <c r="W566" s="8">
        <f>665+226685</f>
        <v>227350</v>
      </c>
      <c r="Y566" s="3">
        <f t="shared" ref="Y566:Y599" si="44">SUM(G566:X566)</f>
        <v>69029649</v>
      </c>
      <c r="AA566" s="8">
        <v>0</v>
      </c>
      <c r="AE566" s="8">
        <v>0</v>
      </c>
      <c r="AG566" s="8">
        <v>0</v>
      </c>
      <c r="AI566" s="8">
        <v>0</v>
      </c>
      <c r="AK566" s="8">
        <f t="shared" si="43"/>
        <v>0</v>
      </c>
      <c r="AM566" s="8">
        <f t="shared" si="42"/>
        <v>69029649</v>
      </c>
    </row>
    <row r="567" spans="1:39">
      <c r="A567" s="13" t="s">
        <v>387</v>
      </c>
      <c r="B567" s="13"/>
      <c r="C567" s="13" t="s">
        <v>30</v>
      </c>
      <c r="D567" s="13"/>
      <c r="E567" s="32">
        <v>47225</v>
      </c>
      <c r="G567" s="8">
        <v>15604984</v>
      </c>
      <c r="I567" s="8">
        <v>0</v>
      </c>
      <c r="K567" s="8">
        <v>6710749</v>
      </c>
      <c r="M567" s="8">
        <v>508802</v>
      </c>
      <c r="O567" s="8">
        <v>293649</v>
      </c>
      <c r="Q567" s="8">
        <v>2060</v>
      </c>
      <c r="S567" s="8">
        <v>0</v>
      </c>
      <c r="U567" s="8">
        <v>1750</v>
      </c>
      <c r="W567" s="8">
        <f>10884+8533+17438</f>
        <v>36855</v>
      </c>
      <c r="Y567" s="3">
        <f t="shared" si="44"/>
        <v>23158849</v>
      </c>
      <c r="AA567" s="8">
        <v>0</v>
      </c>
      <c r="AE567" s="8">
        <v>0</v>
      </c>
      <c r="AG567" s="8">
        <v>0</v>
      </c>
      <c r="AI567" s="8">
        <v>0</v>
      </c>
      <c r="AK567" s="8">
        <f t="shared" si="43"/>
        <v>0</v>
      </c>
      <c r="AM567" s="8">
        <f t="shared" si="42"/>
        <v>23158849</v>
      </c>
    </row>
    <row r="568" spans="1:39">
      <c r="A568" s="13" t="s">
        <v>447</v>
      </c>
      <c r="B568" s="13"/>
      <c r="C568" s="13" t="s">
        <v>36</v>
      </c>
      <c r="D568" s="13"/>
      <c r="E568" s="32">
        <v>47696</v>
      </c>
      <c r="G568" s="8">
        <v>6481554</v>
      </c>
      <c r="I568" s="8">
        <v>0</v>
      </c>
      <c r="K568" s="8">
        <v>12066330</v>
      </c>
      <c r="M568" s="8">
        <v>498586</v>
      </c>
      <c r="O568" s="8">
        <v>459061</v>
      </c>
      <c r="Q568" s="8">
        <v>33365</v>
      </c>
      <c r="S568" s="8">
        <v>0</v>
      </c>
      <c r="U568" s="8">
        <v>0</v>
      </c>
      <c r="W568" s="8">
        <f>50837+9413</f>
        <v>60250</v>
      </c>
      <c r="Y568" s="3">
        <f t="shared" si="44"/>
        <v>19599146</v>
      </c>
      <c r="AA568" s="8">
        <v>0</v>
      </c>
      <c r="AE568" s="8">
        <v>0</v>
      </c>
      <c r="AG568" s="8">
        <v>0</v>
      </c>
      <c r="AI568" s="8">
        <v>0</v>
      </c>
      <c r="AK568" s="8">
        <f t="shared" si="43"/>
        <v>0</v>
      </c>
      <c r="AM568" s="8">
        <f t="shared" si="42"/>
        <v>19599146</v>
      </c>
    </row>
    <row r="569" spans="1:39">
      <c r="A569" s="13" t="s">
        <v>263</v>
      </c>
      <c r="B569" s="13"/>
      <c r="C569" s="13" t="s">
        <v>259</v>
      </c>
      <c r="D569" s="13"/>
      <c r="E569" s="32">
        <v>46219</v>
      </c>
      <c r="F569" s="11"/>
      <c r="G569" s="8">
        <v>2219622</v>
      </c>
      <c r="I569" s="8">
        <v>1783303</v>
      </c>
      <c r="K569" s="8">
        <v>6205171</v>
      </c>
      <c r="M569" s="8">
        <v>166474</v>
      </c>
      <c r="O569" s="8">
        <v>712270</v>
      </c>
      <c r="Q569" s="8">
        <v>0</v>
      </c>
      <c r="S569" s="8">
        <v>0</v>
      </c>
      <c r="U569" s="8">
        <v>0</v>
      </c>
      <c r="W569" s="8">
        <v>37031</v>
      </c>
      <c r="Y569" s="3">
        <f t="shared" si="44"/>
        <v>11123871</v>
      </c>
      <c r="AA569" s="8">
        <v>0</v>
      </c>
      <c r="AE569" s="8">
        <v>0</v>
      </c>
      <c r="AG569" s="8">
        <v>92676</v>
      </c>
      <c r="AI569" s="8">
        <v>0</v>
      </c>
      <c r="AK569" s="8">
        <f t="shared" si="43"/>
        <v>92676</v>
      </c>
      <c r="AM569" s="8">
        <f t="shared" si="42"/>
        <v>11216547</v>
      </c>
    </row>
    <row r="570" spans="1:39">
      <c r="A570" s="13" t="s">
        <v>575</v>
      </c>
      <c r="B570" s="13"/>
      <c r="C570" s="13" t="s">
        <v>51</v>
      </c>
      <c r="D570" s="13"/>
      <c r="E570" s="32">
        <v>48884</v>
      </c>
      <c r="G570" s="8">
        <v>3687987</v>
      </c>
      <c r="I570" s="8">
        <v>0</v>
      </c>
      <c r="K570" s="8">
        <v>6965277</v>
      </c>
      <c r="M570" s="8">
        <v>171160</v>
      </c>
      <c r="O570" s="8">
        <v>959467</v>
      </c>
      <c r="Q570" s="8">
        <v>0</v>
      </c>
      <c r="S570" s="8">
        <v>1364</v>
      </c>
      <c r="U570" s="8">
        <v>114</v>
      </c>
      <c r="W570" s="8">
        <f>151965+22023</f>
        <v>173988</v>
      </c>
      <c r="Y570" s="3">
        <f t="shared" si="44"/>
        <v>11959357</v>
      </c>
      <c r="AA570" s="8">
        <v>0</v>
      </c>
      <c r="AE570" s="8">
        <v>0</v>
      </c>
      <c r="AG570" s="8">
        <v>9691</v>
      </c>
      <c r="AI570" s="8">
        <v>0</v>
      </c>
      <c r="AK570" s="8">
        <f t="shared" si="43"/>
        <v>9691</v>
      </c>
      <c r="AM570" s="8">
        <f t="shared" si="42"/>
        <v>11969048</v>
      </c>
    </row>
    <row r="571" spans="1:39">
      <c r="A571" s="13" t="s">
        <v>244</v>
      </c>
      <c r="B571" s="13"/>
      <c r="C571" s="13" t="s">
        <v>77</v>
      </c>
      <c r="D571" s="13"/>
      <c r="E571" s="32">
        <v>46060</v>
      </c>
      <c r="F571" s="11"/>
      <c r="G571" s="8">
        <v>4070158</v>
      </c>
      <c r="I571" s="8">
        <v>0</v>
      </c>
      <c r="K571" s="8">
        <v>19280242</v>
      </c>
      <c r="M571" s="8">
        <v>210415</v>
      </c>
      <c r="O571" s="8">
        <v>1192371</v>
      </c>
      <c r="Q571" s="8">
        <v>0</v>
      </c>
      <c r="S571" s="8">
        <v>0</v>
      </c>
      <c r="U571" s="8">
        <v>1750</v>
      </c>
      <c r="W571" s="8">
        <f>51432+14444</f>
        <v>65876</v>
      </c>
      <c r="Y571" s="3">
        <f t="shared" si="44"/>
        <v>24820812</v>
      </c>
      <c r="AA571" s="8">
        <v>0</v>
      </c>
      <c r="AE571" s="8">
        <v>0</v>
      </c>
      <c r="AG571" s="8">
        <v>0</v>
      </c>
      <c r="AI571" s="8">
        <v>0</v>
      </c>
      <c r="AK571" s="8">
        <f t="shared" si="43"/>
        <v>0</v>
      </c>
      <c r="AM571" s="8">
        <f t="shared" si="42"/>
        <v>24820812</v>
      </c>
    </row>
    <row r="572" spans="1:39">
      <c r="A572" s="13" t="s">
        <v>594</v>
      </c>
      <c r="B572" s="13"/>
      <c r="C572" s="13" t="s">
        <v>55</v>
      </c>
      <c r="D572" s="13"/>
      <c r="E572" s="32">
        <v>49155</v>
      </c>
      <c r="G572" s="8">
        <v>693209</v>
      </c>
      <c r="I572" s="8">
        <v>0</v>
      </c>
      <c r="K572" s="8">
        <v>5554447</v>
      </c>
      <c r="M572" s="8">
        <v>253734</v>
      </c>
      <c r="O572" s="8">
        <v>262728</v>
      </c>
      <c r="Q572" s="8">
        <v>0</v>
      </c>
      <c r="S572" s="8">
        <v>0</v>
      </c>
      <c r="U572" s="8">
        <v>350</v>
      </c>
      <c r="W572" s="8">
        <f>15249+2235+390</f>
        <v>17874</v>
      </c>
      <c r="Y572" s="3">
        <f t="shared" si="44"/>
        <v>6782342</v>
      </c>
      <c r="AA572" s="8">
        <v>0</v>
      </c>
      <c r="AE572" s="8">
        <v>0</v>
      </c>
      <c r="AG572" s="8">
        <v>4285</v>
      </c>
      <c r="AI572" s="8">
        <v>0</v>
      </c>
      <c r="AK572" s="8">
        <f t="shared" si="43"/>
        <v>4285</v>
      </c>
      <c r="AM572" s="8">
        <f t="shared" si="42"/>
        <v>6786627</v>
      </c>
    </row>
    <row r="573" spans="1:39">
      <c r="A573" s="13" t="s">
        <v>452</v>
      </c>
      <c r="B573" s="13"/>
      <c r="C573" s="13" t="s">
        <v>37</v>
      </c>
      <c r="D573" s="13"/>
      <c r="E573" s="32">
        <v>47746</v>
      </c>
      <c r="G573" s="8">
        <v>3927622</v>
      </c>
      <c r="I573" s="8">
        <v>0</v>
      </c>
      <c r="K573" s="8">
        <f>70948+6594280</f>
        <v>6665228</v>
      </c>
      <c r="M573" s="8">
        <v>43067</v>
      </c>
      <c r="O573" s="8">
        <v>478206</v>
      </c>
      <c r="Q573" s="8">
        <v>550</v>
      </c>
      <c r="S573" s="8">
        <v>0</v>
      </c>
      <c r="U573" s="8">
        <v>0</v>
      </c>
      <c r="W573" s="8">
        <v>46769</v>
      </c>
      <c r="Y573" s="3">
        <f t="shared" si="44"/>
        <v>11161442</v>
      </c>
      <c r="AA573" s="8">
        <v>0</v>
      </c>
      <c r="AE573" s="8">
        <v>0</v>
      </c>
      <c r="AG573" s="8">
        <v>0</v>
      </c>
      <c r="AI573" s="8">
        <v>0</v>
      </c>
      <c r="AK573" s="8">
        <f t="shared" si="43"/>
        <v>0</v>
      </c>
      <c r="AM573" s="8">
        <f t="shared" si="42"/>
        <v>11161442</v>
      </c>
    </row>
    <row r="574" spans="1:39">
      <c r="A574" s="13" t="s">
        <v>452</v>
      </c>
      <c r="B574" s="13"/>
      <c r="C574" s="13" t="s">
        <v>45</v>
      </c>
      <c r="D574" s="13"/>
      <c r="E574" s="13">
        <v>48397</v>
      </c>
      <c r="G574" s="8">
        <v>2647490</v>
      </c>
      <c r="I574" s="8">
        <v>0</v>
      </c>
      <c r="K574" s="8">
        <v>2938301</v>
      </c>
      <c r="M574" s="8">
        <v>61582</v>
      </c>
      <c r="O574" s="8">
        <v>614619</v>
      </c>
      <c r="Q574" s="8">
        <v>3245</v>
      </c>
      <c r="S574" s="8">
        <v>0</v>
      </c>
      <c r="U574" s="8">
        <v>20869</v>
      </c>
      <c r="W574" s="8">
        <f>6775+1271</f>
        <v>8046</v>
      </c>
      <c r="Y574" s="3">
        <f>SUM(G574:X574)</f>
        <v>6294152</v>
      </c>
      <c r="AA574" s="8">
        <v>0</v>
      </c>
      <c r="AE574" s="8">
        <v>0</v>
      </c>
      <c r="AG574" s="8">
        <v>223</v>
      </c>
      <c r="AI574" s="8">
        <v>0</v>
      </c>
      <c r="AK574" s="8">
        <f>SUM(AA574:AJ574)</f>
        <v>223</v>
      </c>
      <c r="AM574" s="8">
        <f>+AK574+Y574</f>
        <v>6294375</v>
      </c>
    </row>
    <row r="575" spans="1:39">
      <c r="A575" s="13" t="s">
        <v>369</v>
      </c>
      <c r="B575" s="13"/>
      <c r="C575" s="13" t="s">
        <v>27</v>
      </c>
      <c r="D575" s="13"/>
      <c r="E575" s="13">
        <v>45047</v>
      </c>
      <c r="G575" s="8">
        <v>78389515</v>
      </c>
      <c r="I575" s="8">
        <v>0</v>
      </c>
      <c r="K575" s="8">
        <f>680171+45602558</f>
        <v>46282729</v>
      </c>
      <c r="M575" s="8">
        <v>1242148</v>
      </c>
      <c r="O575" s="8">
        <v>934914</v>
      </c>
      <c r="Q575" s="8">
        <v>216796</v>
      </c>
      <c r="S575" s="8">
        <v>0</v>
      </c>
      <c r="U575" s="8">
        <v>0</v>
      </c>
      <c r="W575" s="8">
        <f>325475+519700</f>
        <v>845175</v>
      </c>
      <c r="Y575" s="3">
        <f t="shared" si="44"/>
        <v>127911277</v>
      </c>
      <c r="AA575" s="8">
        <v>0</v>
      </c>
      <c r="AE575" s="8">
        <v>0</v>
      </c>
      <c r="AG575" s="8">
        <v>0</v>
      </c>
      <c r="AI575" s="8">
        <v>0</v>
      </c>
      <c r="AK575" s="8">
        <f t="shared" si="43"/>
        <v>0</v>
      </c>
      <c r="AM575" s="8">
        <f t="shared" si="42"/>
        <v>127911277</v>
      </c>
    </row>
    <row r="576" spans="1:39">
      <c r="A576" s="13" t="s">
        <v>591</v>
      </c>
      <c r="B576" s="13"/>
      <c r="C576" s="13" t="s">
        <v>54</v>
      </c>
      <c r="D576" s="13"/>
      <c r="E576" s="32">
        <v>49106</v>
      </c>
      <c r="G576" s="8">
        <v>2743975</v>
      </c>
      <c r="I576" s="8">
        <v>0</v>
      </c>
      <c r="K576" s="8">
        <v>7875179</v>
      </c>
      <c r="M576" s="8">
        <v>102897</v>
      </c>
      <c r="O576" s="8">
        <v>510564</v>
      </c>
      <c r="Q576" s="8">
        <v>13078</v>
      </c>
      <c r="S576" s="8">
        <v>510657</v>
      </c>
      <c r="U576" s="8">
        <v>458</v>
      </c>
      <c r="W576" s="8">
        <v>204158</v>
      </c>
      <c r="Y576" s="3">
        <f t="shared" si="44"/>
        <v>11960966</v>
      </c>
      <c r="AA576" s="8">
        <v>0</v>
      </c>
      <c r="AE576" s="8">
        <v>0</v>
      </c>
      <c r="AG576" s="8">
        <v>743</v>
      </c>
      <c r="AI576" s="8">
        <v>0</v>
      </c>
      <c r="AK576" s="8">
        <f t="shared" si="43"/>
        <v>743</v>
      </c>
      <c r="AM576" s="8">
        <f t="shared" si="42"/>
        <v>11961709</v>
      </c>
    </row>
    <row r="577" spans="1:39">
      <c r="A577" s="13" t="s">
        <v>329</v>
      </c>
      <c r="B577" s="13"/>
      <c r="C577" s="13" t="s">
        <v>20</v>
      </c>
      <c r="D577" s="13"/>
      <c r="E577" s="32">
        <v>45062</v>
      </c>
      <c r="G577" s="8">
        <v>42167356</v>
      </c>
      <c r="I577" s="8">
        <v>0</v>
      </c>
      <c r="K577" s="8">
        <v>9194226</v>
      </c>
      <c r="M577" s="8">
        <v>980041</v>
      </c>
      <c r="O577" s="8">
        <v>49089</v>
      </c>
      <c r="Q577" s="8">
        <v>0</v>
      </c>
      <c r="S577" s="8">
        <v>0</v>
      </c>
      <c r="U577" s="8">
        <v>0</v>
      </c>
      <c r="W577" s="8">
        <f>104321+91900+14757+15676</f>
        <v>226654</v>
      </c>
      <c r="Y577" s="3">
        <f t="shared" si="44"/>
        <v>52617366</v>
      </c>
      <c r="AA577" s="8">
        <v>2089</v>
      </c>
      <c r="AE577" s="8">
        <v>0</v>
      </c>
      <c r="AG577" s="8">
        <v>6501</v>
      </c>
      <c r="AI577" s="8">
        <v>0</v>
      </c>
      <c r="AK577" s="8">
        <f t="shared" si="43"/>
        <v>8590</v>
      </c>
      <c r="AM577" s="8">
        <f t="shared" si="42"/>
        <v>52625956</v>
      </c>
    </row>
    <row r="578" spans="1:39">
      <c r="A578" s="13" t="s">
        <v>639</v>
      </c>
      <c r="B578" s="13"/>
      <c r="C578" s="13" t="s">
        <v>59</v>
      </c>
      <c r="D578" s="13"/>
      <c r="E578" s="32">
        <v>49668</v>
      </c>
      <c r="G578" s="8">
        <v>2526233</v>
      </c>
      <c r="I578" s="8">
        <v>0</v>
      </c>
      <c r="K578" s="8">
        <v>6761476</v>
      </c>
      <c r="M578" s="8">
        <f>104527+12080</f>
        <v>116607</v>
      </c>
      <c r="O578" s="8">
        <v>1260079</v>
      </c>
      <c r="Q578" s="8">
        <v>0</v>
      </c>
      <c r="S578" s="8">
        <v>0</v>
      </c>
      <c r="U578" s="8">
        <v>750</v>
      </c>
      <c r="W578" s="8">
        <v>57509</v>
      </c>
      <c r="Y578" s="3">
        <f t="shared" si="44"/>
        <v>10722654</v>
      </c>
      <c r="AA578" s="8">
        <v>0</v>
      </c>
      <c r="AE578" s="8">
        <v>0</v>
      </c>
      <c r="AG578" s="8">
        <v>0</v>
      </c>
      <c r="AI578" s="8">
        <v>0</v>
      </c>
      <c r="AK578" s="8">
        <f t="shared" si="43"/>
        <v>0</v>
      </c>
      <c r="AM578" s="8">
        <f t="shared" si="42"/>
        <v>10722654</v>
      </c>
    </row>
    <row r="579" spans="1:39">
      <c r="A579" s="13" t="s">
        <v>370</v>
      </c>
      <c r="B579" s="13"/>
      <c r="C579" s="13" t="s">
        <v>27</v>
      </c>
      <c r="D579" s="13"/>
      <c r="E579" s="32">
        <v>45070</v>
      </c>
      <c r="G579" s="8">
        <v>7799581</v>
      </c>
      <c r="I579" s="8">
        <v>0</v>
      </c>
      <c r="K579" s="8">
        <f>37285+15051628+198203</f>
        <v>15287116</v>
      </c>
      <c r="M579" s="8">
        <v>787913</v>
      </c>
      <c r="O579" s="8">
        <v>209627</v>
      </c>
      <c r="Q579" s="8">
        <v>14682</v>
      </c>
      <c r="S579" s="8">
        <v>0</v>
      </c>
      <c r="U579" s="8">
        <v>0</v>
      </c>
      <c r="W579" s="8">
        <v>58865</v>
      </c>
      <c r="Y579" s="3">
        <f t="shared" si="44"/>
        <v>24157784</v>
      </c>
      <c r="AA579" s="8">
        <v>0</v>
      </c>
      <c r="AE579" s="8">
        <v>0</v>
      </c>
      <c r="AG579" s="8">
        <v>0</v>
      </c>
      <c r="AI579" s="8">
        <v>0</v>
      </c>
      <c r="AK579" s="8">
        <f t="shared" si="43"/>
        <v>0</v>
      </c>
      <c r="AM579" s="8">
        <f t="shared" si="42"/>
        <v>24157784</v>
      </c>
    </row>
    <row r="580" spans="1:39" hidden="1">
      <c r="A580" s="13" t="s">
        <v>873</v>
      </c>
      <c r="B580" s="13"/>
      <c r="C580" s="13" t="s">
        <v>41</v>
      </c>
      <c r="D580" s="13"/>
      <c r="E580" s="32">
        <v>45088</v>
      </c>
      <c r="G580" s="8">
        <v>0</v>
      </c>
      <c r="I580" s="8">
        <v>0</v>
      </c>
      <c r="K580" s="8">
        <v>0</v>
      </c>
      <c r="M580" s="8">
        <v>0</v>
      </c>
      <c r="O580" s="8">
        <v>0</v>
      </c>
      <c r="Q580" s="8">
        <v>0</v>
      </c>
      <c r="S580" s="8">
        <v>0</v>
      </c>
      <c r="U580" s="8">
        <v>0</v>
      </c>
      <c r="W580" s="8">
        <v>0</v>
      </c>
      <c r="Y580" s="3">
        <f t="shared" si="44"/>
        <v>0</v>
      </c>
      <c r="AA580" s="8">
        <v>0</v>
      </c>
      <c r="AE580" s="8">
        <v>0</v>
      </c>
      <c r="AG580" s="8">
        <v>0</v>
      </c>
      <c r="AI580" s="8">
        <v>0</v>
      </c>
      <c r="AK580" s="8">
        <f t="shared" si="43"/>
        <v>0</v>
      </c>
      <c r="AM580" s="8">
        <f t="shared" si="42"/>
        <v>0</v>
      </c>
    </row>
    <row r="581" spans="1:39">
      <c r="A581" s="13" t="s">
        <v>453</v>
      </c>
      <c r="B581" s="13"/>
      <c r="C581" s="13" t="s">
        <v>37</v>
      </c>
      <c r="D581" s="13"/>
      <c r="E581" s="32">
        <v>45096</v>
      </c>
      <c r="G581" s="8">
        <v>6161464</v>
      </c>
      <c r="I581" s="8">
        <v>0</v>
      </c>
      <c r="K581" s="8">
        <v>10305186</v>
      </c>
      <c r="M581" s="8">
        <v>238394</v>
      </c>
      <c r="O581" s="8">
        <v>219278</v>
      </c>
      <c r="Q581" s="8">
        <v>0</v>
      </c>
      <c r="S581" s="8">
        <v>0</v>
      </c>
      <c r="U581" s="8">
        <v>0</v>
      </c>
      <c r="W581" s="8">
        <f>119489+11855+12690</f>
        <v>144034</v>
      </c>
      <c r="Y581" s="3">
        <f t="shared" si="44"/>
        <v>17068356</v>
      </c>
      <c r="AA581" s="8">
        <v>0</v>
      </c>
      <c r="AE581" s="8">
        <v>0</v>
      </c>
      <c r="AG581" s="8">
        <v>234471</v>
      </c>
      <c r="AI581" s="8">
        <v>0</v>
      </c>
      <c r="AK581" s="8">
        <f t="shared" si="43"/>
        <v>234471</v>
      </c>
      <c r="AM581" s="8">
        <f t="shared" si="42"/>
        <v>17302827</v>
      </c>
    </row>
    <row r="582" spans="1:39">
      <c r="A582" s="13" t="s">
        <v>277</v>
      </c>
      <c r="B582" s="13"/>
      <c r="C582" s="13" t="s">
        <v>116</v>
      </c>
      <c r="D582" s="13"/>
      <c r="E582" s="32">
        <v>46367</v>
      </c>
      <c r="F582" s="11"/>
      <c r="G582" s="8">
        <v>2928478</v>
      </c>
      <c r="I582" s="8">
        <v>0</v>
      </c>
      <c r="K582" s="8">
        <v>4492213</v>
      </c>
      <c r="M582" s="8">
        <v>219552</v>
      </c>
      <c r="O582" s="8">
        <v>252456</v>
      </c>
      <c r="Q582" s="8">
        <v>94</v>
      </c>
      <c r="S582" s="8">
        <v>311063</v>
      </c>
      <c r="U582" s="8">
        <v>31691</v>
      </c>
      <c r="W582" s="8">
        <f>113223+225091</f>
        <v>338314</v>
      </c>
      <c r="Y582" s="3">
        <f t="shared" si="44"/>
        <v>8573861</v>
      </c>
      <c r="AA582" s="8">
        <v>0</v>
      </c>
      <c r="AE582" s="8">
        <v>0</v>
      </c>
      <c r="AG582" s="8">
        <v>0</v>
      </c>
      <c r="AI582" s="8">
        <v>0</v>
      </c>
      <c r="AK582" s="8">
        <f t="shared" si="43"/>
        <v>0</v>
      </c>
      <c r="AM582" s="8">
        <f t="shared" si="42"/>
        <v>8573861</v>
      </c>
    </row>
    <row r="583" spans="1:39">
      <c r="A583" s="13" t="s">
        <v>469</v>
      </c>
      <c r="B583" s="13"/>
      <c r="C583" s="13" t="s">
        <v>41</v>
      </c>
      <c r="D583" s="13"/>
      <c r="E583" s="13">
        <v>45104</v>
      </c>
      <c r="G583" s="8">
        <v>50652766</v>
      </c>
      <c r="I583" s="8">
        <v>0</v>
      </c>
      <c r="K583" s="8">
        <v>24857842</v>
      </c>
      <c r="M583" s="8">
        <v>1357990</v>
      </c>
      <c r="O583" s="8">
        <v>1647214</v>
      </c>
      <c r="Q583" s="8">
        <v>0</v>
      </c>
      <c r="S583" s="8">
        <v>0</v>
      </c>
      <c r="U583" s="8">
        <v>0</v>
      </c>
      <c r="W583" s="8">
        <f>1319696+25771+225379</f>
        <v>1570846</v>
      </c>
      <c r="Y583" s="3">
        <f t="shared" si="44"/>
        <v>80086658</v>
      </c>
      <c r="AA583" s="8">
        <v>2475746</v>
      </c>
      <c r="AE583" s="8">
        <v>0</v>
      </c>
      <c r="AG583" s="8">
        <v>0</v>
      </c>
      <c r="AI583" s="8">
        <v>0</v>
      </c>
      <c r="AK583" s="8">
        <f t="shared" si="43"/>
        <v>2475746</v>
      </c>
      <c r="AM583" s="8">
        <f t="shared" si="42"/>
        <v>82562404</v>
      </c>
    </row>
    <row r="584" spans="1:39">
      <c r="A584" s="13" t="s">
        <v>281</v>
      </c>
      <c r="B584" s="13"/>
      <c r="C584" s="13" t="s">
        <v>18</v>
      </c>
      <c r="D584" s="13"/>
      <c r="E584" s="32">
        <v>45112</v>
      </c>
      <c r="F584" s="11"/>
      <c r="G584" s="8">
        <v>13193110</v>
      </c>
      <c r="I584" s="8">
        <v>0</v>
      </c>
      <c r="K584" s="8">
        <v>10165407</v>
      </c>
      <c r="M584" s="8">
        <v>386341</v>
      </c>
      <c r="O584" s="8">
        <v>695070</v>
      </c>
      <c r="Q584" s="8">
        <v>0</v>
      </c>
      <c r="S584" s="8">
        <v>0</v>
      </c>
      <c r="U584" s="8">
        <v>0</v>
      </c>
      <c r="W584" s="8">
        <v>34015</v>
      </c>
      <c r="Y584" s="3">
        <f t="shared" si="44"/>
        <v>24473943</v>
      </c>
      <c r="AA584" s="8">
        <v>1840</v>
      </c>
      <c r="AE584" s="8">
        <v>0</v>
      </c>
      <c r="AG584" s="8">
        <v>5844</v>
      </c>
      <c r="AI584" s="8">
        <v>0</v>
      </c>
      <c r="AK584" s="8">
        <f t="shared" si="43"/>
        <v>7684</v>
      </c>
      <c r="AM584" s="8">
        <f t="shared" si="42"/>
        <v>24481627</v>
      </c>
    </row>
    <row r="585" spans="1:39">
      <c r="A585" s="13" t="s">
        <v>604</v>
      </c>
      <c r="B585" s="13"/>
      <c r="C585" s="13" t="s">
        <v>56</v>
      </c>
      <c r="D585" s="13"/>
      <c r="E585" s="32">
        <v>45666</v>
      </c>
      <c r="G585" s="8">
        <v>1553849</v>
      </c>
      <c r="I585" s="8">
        <v>0</v>
      </c>
      <c r="K585" s="8">
        <f>6008542+125541</f>
        <v>6134083</v>
      </c>
      <c r="M585" s="8">
        <v>24396</v>
      </c>
      <c r="O585" s="8">
        <v>269604</v>
      </c>
      <c r="Q585" s="8">
        <v>0</v>
      </c>
      <c r="S585" s="8">
        <v>0</v>
      </c>
      <c r="U585" s="8">
        <v>0</v>
      </c>
      <c r="W585" s="8">
        <f>13226+4297</f>
        <v>17523</v>
      </c>
      <c r="Y585" s="3">
        <f t="shared" si="44"/>
        <v>7999455</v>
      </c>
      <c r="AA585" s="8">
        <v>0</v>
      </c>
      <c r="AE585" s="8">
        <v>0</v>
      </c>
      <c r="AG585" s="8">
        <v>0</v>
      </c>
      <c r="AI585" s="8">
        <v>0</v>
      </c>
      <c r="AK585" s="8">
        <f t="shared" si="43"/>
        <v>0</v>
      </c>
      <c r="AM585" s="8">
        <f t="shared" si="42"/>
        <v>7999455</v>
      </c>
    </row>
    <row r="586" spans="1:39">
      <c r="A586" s="13" t="s">
        <v>416</v>
      </c>
      <c r="B586" s="13"/>
      <c r="C586" s="13" t="s">
        <v>32</v>
      </c>
      <c r="D586" s="13"/>
      <c r="E586" s="32">
        <v>44081</v>
      </c>
      <c r="G586" s="8">
        <v>20682076</v>
      </c>
      <c r="I586" s="8">
        <v>0</v>
      </c>
      <c r="K586" s="8">
        <v>17525586</v>
      </c>
      <c r="M586" s="8">
        <v>416620</v>
      </c>
      <c r="O586" s="8">
        <v>710397</v>
      </c>
      <c r="Q586" s="8">
        <v>43158</v>
      </c>
      <c r="S586" s="8">
        <v>0</v>
      </c>
      <c r="U586" s="8">
        <v>0</v>
      </c>
      <c r="W586" s="8">
        <v>458227</v>
      </c>
      <c r="Y586" s="3">
        <f t="shared" si="44"/>
        <v>39836064</v>
      </c>
      <c r="AA586" s="8">
        <v>0</v>
      </c>
      <c r="AE586" s="8">
        <v>0</v>
      </c>
      <c r="AG586" s="8">
        <v>18902</v>
      </c>
      <c r="AI586" s="8">
        <v>0</v>
      </c>
      <c r="AK586" s="8">
        <f t="shared" si="43"/>
        <v>18902</v>
      </c>
      <c r="AM586" s="8">
        <f t="shared" si="42"/>
        <v>39854966</v>
      </c>
    </row>
    <row r="587" spans="1:39">
      <c r="A587" s="13" t="s">
        <v>726</v>
      </c>
      <c r="B587" s="13"/>
      <c r="C587" s="13" t="s">
        <v>70</v>
      </c>
      <c r="D587" s="13"/>
      <c r="E587" s="32">
        <v>50518</v>
      </c>
      <c r="G587" s="8">
        <v>4093323</v>
      </c>
      <c r="I587" s="8">
        <v>0</v>
      </c>
      <c r="K587" s="8">
        <v>2355089</v>
      </c>
      <c r="M587" s="8">
        <v>128456</v>
      </c>
      <c r="O587" s="8">
        <v>318702</v>
      </c>
      <c r="Q587" s="8">
        <v>0</v>
      </c>
      <c r="S587" s="8">
        <v>0</v>
      </c>
      <c r="U587" s="8">
        <v>107620</v>
      </c>
      <c r="W587" s="8">
        <f>575</f>
        <v>575</v>
      </c>
      <c r="Y587" s="3">
        <f t="shared" si="44"/>
        <v>7003765</v>
      </c>
      <c r="AA587" s="8">
        <v>0</v>
      </c>
      <c r="AE587" s="8">
        <v>0</v>
      </c>
      <c r="AG587" s="8">
        <v>0</v>
      </c>
      <c r="AI587" s="8">
        <v>0</v>
      </c>
      <c r="AK587" s="8">
        <f t="shared" si="43"/>
        <v>0</v>
      </c>
      <c r="AM587" s="8">
        <f t="shared" si="42"/>
        <v>7003765</v>
      </c>
    </row>
    <row r="588" spans="1:39">
      <c r="A588" s="13" t="s">
        <v>630</v>
      </c>
      <c r="B588" s="13"/>
      <c r="C588" s="13" t="s">
        <v>79</v>
      </c>
      <c r="D588" s="13"/>
      <c r="E588" s="32">
        <v>49577</v>
      </c>
      <c r="G588" s="8">
        <v>3694349</v>
      </c>
      <c r="I588" s="8">
        <v>0</v>
      </c>
      <c r="K588" s="8">
        <v>4299047</v>
      </c>
      <c r="M588" s="8">
        <v>65772</v>
      </c>
      <c r="O588" s="8">
        <v>202905</v>
      </c>
      <c r="Q588" s="8">
        <v>9200</v>
      </c>
      <c r="S588" s="8">
        <v>87712</v>
      </c>
      <c r="U588" s="8">
        <v>0</v>
      </c>
      <c r="W588" s="8">
        <f>13017+42420</f>
        <v>55437</v>
      </c>
      <c r="Y588" s="3">
        <f t="shared" si="44"/>
        <v>8414422</v>
      </c>
      <c r="AA588" s="8">
        <v>0</v>
      </c>
      <c r="AE588" s="8">
        <v>0</v>
      </c>
      <c r="AG588" s="8">
        <v>71033</v>
      </c>
      <c r="AI588" s="8">
        <v>0</v>
      </c>
      <c r="AK588" s="8">
        <f t="shared" si="43"/>
        <v>71033</v>
      </c>
      <c r="AM588" s="8">
        <f t="shared" si="42"/>
        <v>8485455</v>
      </c>
    </row>
    <row r="589" spans="1:39">
      <c r="A589" s="13" t="s">
        <v>679</v>
      </c>
      <c r="B589" s="13"/>
      <c r="C589" s="13" t="s">
        <v>63</v>
      </c>
      <c r="D589" s="13"/>
      <c r="E589" s="32">
        <v>49973</v>
      </c>
      <c r="G589" s="8">
        <v>14993443</v>
      </c>
      <c r="I589" s="8">
        <v>0</v>
      </c>
      <c r="K589" s="8">
        <v>4322176</v>
      </c>
      <c r="M589" s="8">
        <v>507936</v>
      </c>
      <c r="O589" s="8">
        <v>1161992</v>
      </c>
      <c r="Q589" s="8">
        <v>0</v>
      </c>
      <c r="S589" s="8">
        <v>0</v>
      </c>
      <c r="U589" s="8">
        <v>86</v>
      </c>
      <c r="W589" s="8">
        <f>124+217350</f>
        <v>217474</v>
      </c>
      <c r="Y589" s="3">
        <f t="shared" si="44"/>
        <v>21203107</v>
      </c>
      <c r="AA589" s="8">
        <v>0</v>
      </c>
      <c r="AE589" s="8">
        <v>0</v>
      </c>
      <c r="AG589" s="8">
        <v>0</v>
      </c>
      <c r="AI589" s="8">
        <v>0</v>
      </c>
      <c r="AK589" s="8">
        <f t="shared" si="43"/>
        <v>0</v>
      </c>
      <c r="AM589" s="8">
        <f t="shared" si="42"/>
        <v>21203107</v>
      </c>
    </row>
    <row r="590" spans="1:39">
      <c r="A590" s="13" t="s">
        <v>874</v>
      </c>
      <c r="B590" s="13"/>
      <c r="C590" s="13" t="s">
        <v>71</v>
      </c>
      <c r="D590" s="13"/>
      <c r="E590" s="32">
        <v>45138</v>
      </c>
      <c r="G590" s="8">
        <v>25590947</v>
      </c>
      <c r="I590" s="8">
        <v>0</v>
      </c>
      <c r="K590" s="8">
        <v>13900296</v>
      </c>
      <c r="M590" s="8">
        <v>758415</v>
      </c>
      <c r="O590" s="8">
        <v>682549</v>
      </c>
      <c r="Q590" s="8">
        <v>133850</v>
      </c>
      <c r="S590" s="8">
        <v>0</v>
      </c>
      <c r="U590" s="8">
        <v>0</v>
      </c>
      <c r="W590" s="8">
        <f>50299+79214</f>
        <v>129513</v>
      </c>
      <c r="Y590" s="3">
        <f t="shared" si="44"/>
        <v>41195570</v>
      </c>
      <c r="AA590" s="8">
        <v>0</v>
      </c>
      <c r="AE590" s="8">
        <v>0</v>
      </c>
      <c r="AG590" s="8">
        <v>2151</v>
      </c>
      <c r="AI590" s="8">
        <v>0</v>
      </c>
      <c r="AK590" s="8">
        <f t="shared" si="43"/>
        <v>2151</v>
      </c>
      <c r="AM590" s="8">
        <f t="shared" si="42"/>
        <v>41197721</v>
      </c>
    </row>
    <row r="591" spans="1:39">
      <c r="A591" s="13" t="s">
        <v>371</v>
      </c>
      <c r="B591" s="13"/>
      <c r="C591" s="13" t="s">
        <v>27</v>
      </c>
      <c r="D591" s="13"/>
      <c r="E591" s="32">
        <v>46524</v>
      </c>
      <c r="G591" s="8">
        <v>72147705</v>
      </c>
      <c r="I591" s="8">
        <v>0</v>
      </c>
      <c r="K591" s="8">
        <v>30836768</v>
      </c>
      <c r="M591" s="8">
        <v>2666611</v>
      </c>
      <c r="O591" s="8">
        <v>1259168</v>
      </c>
      <c r="Q591" s="8">
        <v>0</v>
      </c>
      <c r="S591" s="8">
        <v>0</v>
      </c>
      <c r="U591" s="8">
        <v>0</v>
      </c>
      <c r="W591" s="8">
        <v>389078</v>
      </c>
      <c r="Y591" s="3">
        <f t="shared" si="44"/>
        <v>107299330</v>
      </c>
      <c r="AA591" s="8">
        <v>0</v>
      </c>
      <c r="AE591" s="8">
        <v>0</v>
      </c>
      <c r="AG591" s="8">
        <v>0</v>
      </c>
      <c r="AI591" s="8">
        <v>0</v>
      </c>
      <c r="AK591" s="8">
        <f t="shared" si="43"/>
        <v>0</v>
      </c>
      <c r="AM591" s="8">
        <f t="shared" si="42"/>
        <v>107299330</v>
      </c>
    </row>
    <row r="592" spans="1:39">
      <c r="A592" s="13"/>
      <c r="B592" s="13"/>
      <c r="C592" s="13"/>
      <c r="D592" s="13"/>
      <c r="E592" s="32"/>
      <c r="Y592" s="3"/>
    </row>
    <row r="593" spans="1:39">
      <c r="A593" s="13"/>
      <c r="B593" s="13"/>
      <c r="C593" s="13"/>
      <c r="D593" s="13"/>
      <c r="E593" s="32"/>
      <c r="Y593" s="3"/>
      <c r="AM593" s="8" t="s">
        <v>819</v>
      </c>
    </row>
    <row r="594" spans="1:39" s="35" customFormat="1">
      <c r="A594" s="34" t="s">
        <v>299</v>
      </c>
      <c r="B594" s="34"/>
      <c r="C594" s="34" t="s">
        <v>114</v>
      </c>
      <c r="D594" s="34"/>
      <c r="E594" s="34">
        <v>45146</v>
      </c>
      <c r="G594" s="35">
        <v>3459077</v>
      </c>
      <c r="I594" s="35">
        <v>0</v>
      </c>
      <c r="K594" s="35">
        <v>5470697</v>
      </c>
      <c r="M594" s="35">
        <v>112081</v>
      </c>
      <c r="O594" s="35">
        <v>424301</v>
      </c>
      <c r="Q594" s="35">
        <v>0</v>
      </c>
      <c r="S594" s="35">
        <v>0</v>
      </c>
      <c r="U594" s="35">
        <v>0</v>
      </c>
      <c r="W594" s="35">
        <f>26630+55151+22595</f>
        <v>104376</v>
      </c>
      <c r="Y594" s="42">
        <f t="shared" si="44"/>
        <v>9570532</v>
      </c>
      <c r="AA594" s="35">
        <v>0</v>
      </c>
      <c r="AE594" s="35">
        <v>0</v>
      </c>
      <c r="AG594" s="35">
        <v>0</v>
      </c>
      <c r="AI594" s="35">
        <v>0</v>
      </c>
      <c r="AK594" s="35">
        <f t="shared" si="43"/>
        <v>0</v>
      </c>
      <c r="AM594" s="35">
        <f t="shared" si="42"/>
        <v>9570532</v>
      </c>
    </row>
    <row r="595" spans="1:39">
      <c r="A595" s="13" t="s">
        <v>417</v>
      </c>
      <c r="B595" s="13"/>
      <c r="C595" s="13" t="s">
        <v>32</v>
      </c>
      <c r="D595" s="13"/>
      <c r="E595" s="32">
        <v>45153</v>
      </c>
      <c r="G595" s="8">
        <v>15144959</v>
      </c>
      <c r="I595" s="8">
        <v>0</v>
      </c>
      <c r="K595" s="8">
        <v>6940462</v>
      </c>
      <c r="M595" s="8">
        <v>425472</v>
      </c>
      <c r="O595" s="8">
        <v>421083</v>
      </c>
      <c r="Q595" s="8">
        <v>0</v>
      </c>
      <c r="S595" s="8">
        <v>0</v>
      </c>
      <c r="U595" s="8">
        <v>0</v>
      </c>
      <c r="W595" s="8">
        <v>273683</v>
      </c>
      <c r="Y595" s="3">
        <f t="shared" si="44"/>
        <v>23205659</v>
      </c>
      <c r="AA595" s="8">
        <v>0</v>
      </c>
      <c r="AE595" s="8">
        <v>0</v>
      </c>
      <c r="AG595" s="8">
        <v>0</v>
      </c>
      <c r="AI595" s="8">
        <v>0</v>
      </c>
      <c r="AK595" s="8">
        <f t="shared" si="43"/>
        <v>0</v>
      </c>
      <c r="AM595" s="8">
        <f t="shared" si="42"/>
        <v>23205659</v>
      </c>
    </row>
    <row r="596" spans="1:39">
      <c r="A596" s="13" t="s">
        <v>392</v>
      </c>
      <c r="B596" s="13"/>
      <c r="C596" s="13" t="s">
        <v>117</v>
      </c>
      <c r="D596" s="13"/>
      <c r="E596" s="32">
        <v>45674</v>
      </c>
      <c r="G596" s="8">
        <v>2195895</v>
      </c>
      <c r="I596" s="8">
        <v>1367364</v>
      </c>
      <c r="K596" s="8">
        <v>1585052</v>
      </c>
      <c r="M596" s="8">
        <v>178765</v>
      </c>
      <c r="O596" s="8">
        <v>724524</v>
      </c>
      <c r="Q596" s="8">
        <v>0</v>
      </c>
      <c r="S596" s="8">
        <v>0</v>
      </c>
      <c r="U596" s="8">
        <v>0</v>
      </c>
      <c r="W596" s="8">
        <f>47605+2600</f>
        <v>50205</v>
      </c>
      <c r="Y596" s="3">
        <f t="shared" si="44"/>
        <v>6101805</v>
      </c>
      <c r="AA596" s="8">
        <v>0</v>
      </c>
      <c r="AE596" s="8">
        <v>0</v>
      </c>
      <c r="AG596" s="8">
        <v>0</v>
      </c>
      <c r="AI596" s="8">
        <v>0</v>
      </c>
      <c r="AK596" s="8">
        <f t="shared" si="43"/>
        <v>0</v>
      </c>
      <c r="AM596" s="8">
        <f t="shared" si="42"/>
        <v>6101805</v>
      </c>
    </row>
    <row r="597" spans="1:39">
      <c r="A597" s="13" t="s">
        <v>525</v>
      </c>
      <c r="B597" s="13"/>
      <c r="C597" s="13" t="s">
        <v>45</v>
      </c>
      <c r="D597" s="13"/>
      <c r="E597" s="32">
        <v>45161</v>
      </c>
      <c r="G597" s="8">
        <v>19464034</v>
      </c>
      <c r="I597" s="8">
        <v>0</v>
      </c>
      <c r="K597" s="8">
        <v>70850386</v>
      </c>
      <c r="M597" s="8">
        <v>1518738</v>
      </c>
      <c r="O597" s="8">
        <v>897268</v>
      </c>
      <c r="Q597" s="8">
        <v>0</v>
      </c>
      <c r="S597" s="8">
        <v>0</v>
      </c>
      <c r="U597" s="8">
        <v>0</v>
      </c>
      <c r="W597" s="8">
        <f>99818+216522</f>
        <v>316340</v>
      </c>
      <c r="Y597" s="3">
        <f t="shared" si="44"/>
        <v>93046766</v>
      </c>
      <c r="AA597" s="8">
        <v>0</v>
      </c>
      <c r="AE597" s="8">
        <v>0</v>
      </c>
      <c r="AG597" s="8">
        <v>38842</v>
      </c>
      <c r="AI597" s="8">
        <v>0</v>
      </c>
      <c r="AK597" s="8">
        <f t="shared" si="43"/>
        <v>38842</v>
      </c>
      <c r="AM597" s="8">
        <f t="shared" si="42"/>
        <v>93085608</v>
      </c>
    </row>
    <row r="598" spans="1:39">
      <c r="A598" s="13" t="s">
        <v>626</v>
      </c>
      <c r="B598" s="13"/>
      <c r="C598" s="13" t="s">
        <v>58</v>
      </c>
      <c r="D598" s="13"/>
      <c r="E598" s="32">
        <v>49544</v>
      </c>
      <c r="G598" s="8">
        <v>3960219</v>
      </c>
      <c r="I598" s="8">
        <v>29916</v>
      </c>
      <c r="K598" s="8">
        <v>7416791</v>
      </c>
      <c r="M598" s="8">
        <v>490626</v>
      </c>
      <c r="O598" s="8">
        <v>244157</v>
      </c>
      <c r="Q598" s="8">
        <v>17015</v>
      </c>
      <c r="S598" s="8">
        <v>0</v>
      </c>
      <c r="U598" s="8">
        <v>0</v>
      </c>
      <c r="W598" s="8">
        <f>69874+15107</f>
        <v>84981</v>
      </c>
      <c r="Y598" s="3">
        <f t="shared" si="44"/>
        <v>12243705</v>
      </c>
      <c r="AA598" s="8">
        <v>0</v>
      </c>
      <c r="AE598" s="8">
        <v>0</v>
      </c>
      <c r="AG598" s="8">
        <v>0</v>
      </c>
      <c r="AI598" s="8">
        <v>0</v>
      </c>
      <c r="AK598" s="8">
        <f t="shared" si="43"/>
        <v>0</v>
      </c>
      <c r="AM598" s="8">
        <f t="shared" si="42"/>
        <v>12243705</v>
      </c>
    </row>
    <row r="599" spans="1:39">
      <c r="A599" s="13" t="s">
        <v>576</v>
      </c>
      <c r="B599" s="13"/>
      <c r="C599" s="13" t="s">
        <v>51</v>
      </c>
      <c r="D599" s="13"/>
      <c r="E599" s="32">
        <v>45179</v>
      </c>
      <c r="G599" s="8">
        <v>6041996</v>
      </c>
      <c r="I599" s="8">
        <v>0</v>
      </c>
      <c r="K599" s="8">
        <v>19856628</v>
      </c>
      <c r="M599" s="8">
        <v>247881</v>
      </c>
      <c r="O599" s="8">
        <v>1256525</v>
      </c>
      <c r="Q599" s="8">
        <v>0</v>
      </c>
      <c r="S599" s="8">
        <v>46120</v>
      </c>
      <c r="U599" s="8">
        <v>103</v>
      </c>
      <c r="W599" s="8">
        <f>123338+847</f>
        <v>124185</v>
      </c>
      <c r="Y599" s="3">
        <f t="shared" si="44"/>
        <v>27573438</v>
      </c>
      <c r="AA599" s="8">
        <v>0</v>
      </c>
      <c r="AE599" s="8">
        <v>0</v>
      </c>
      <c r="AG599" s="8">
        <v>155472</v>
      </c>
      <c r="AI599" s="8">
        <v>0</v>
      </c>
      <c r="AK599" s="8">
        <f t="shared" si="43"/>
        <v>155472</v>
      </c>
      <c r="AM599" s="8">
        <f t="shared" si="42"/>
        <v>27728910</v>
      </c>
    </row>
    <row r="600" spans="1:39">
      <c r="A600" s="13"/>
      <c r="B600" s="13"/>
      <c r="C600" s="13"/>
      <c r="D600" s="13"/>
      <c r="Y600" s="3"/>
    </row>
    <row r="602" spans="1:39">
      <c r="A602" s="94" t="s">
        <v>788</v>
      </c>
      <c r="B602" s="94"/>
      <c r="C602" s="94"/>
      <c r="D602" s="94"/>
      <c r="E602" s="94"/>
      <c r="F602" s="94"/>
      <c r="G602" s="94"/>
      <c r="H602" s="94"/>
      <c r="I602" s="94"/>
    </row>
    <row r="603" spans="1:39">
      <c r="A603" s="8" t="s">
        <v>827</v>
      </c>
    </row>
  </sheetData>
  <mergeCells count="2">
    <mergeCell ref="A602:I602"/>
    <mergeCell ref="AA6:AG6"/>
  </mergeCells>
  <phoneticPr fontId="3" type="noConversion"/>
  <pageMargins left="0.75" right="0.75" top="0.5" bottom="0.75" header="0" footer="0.26"/>
  <pageSetup scale="74" firstPageNumber="86" fitToWidth="2" fitToHeight="18" pageOrder="overThenDown" orientation="portrait" useFirstPageNumber="1" r:id="rId1"/>
  <headerFooter alignWithMargins="0">
    <oddFooter>&amp;C&amp;"Times New Roman,Regular"&amp;12&amp;P</oddFooter>
  </headerFooter>
  <colBreaks count="1" manualBreakCount="1">
    <brk id="17" max="59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BW602"/>
  <sheetViews>
    <sheetView tabSelected="1" view="pageBreakPreview" zoomScale="120" zoomScaleNormal="90" zoomScaleSheetLayoutView="120" workbookViewId="0">
      <pane xSplit="5" ySplit="9" topLeftCell="AB341" activePane="bottomRight" state="frozen"/>
      <selection sqref="A1:IV65536"/>
      <selection pane="topRight" sqref="A1:IV65536"/>
      <selection pane="bottomLeft" sqref="A1:IV65536"/>
      <selection pane="bottomRight" activeCell="R439" sqref="R349:AI439"/>
    </sheetView>
  </sheetViews>
  <sheetFormatPr defaultColWidth="9.109375" defaultRowHeight="12"/>
  <cols>
    <col min="1" max="1" width="31.5546875" style="8" customWidth="1"/>
    <col min="2" max="2" width="1.6640625" style="8" customWidth="1"/>
    <col min="3" max="3" width="11.6640625" style="8" customWidth="1"/>
    <col min="4" max="4" width="1.6640625" style="8" hidden="1" customWidth="1"/>
    <col min="5" max="5" width="11.6640625" style="30" hidden="1" customWidth="1"/>
    <col min="6" max="6" width="1.6640625" style="8" customWidth="1"/>
    <col min="7" max="7" width="11.6640625" style="8" customWidth="1"/>
    <col min="8" max="8" width="1.6640625" style="8" customWidth="1"/>
    <col min="9" max="9" width="11.6640625" style="8" customWidth="1"/>
    <col min="10" max="10" width="1.6640625" style="8" customWidth="1"/>
    <col min="11" max="11" width="11.6640625" style="8" customWidth="1"/>
    <col min="12" max="12" width="1.6640625" style="8" customWidth="1"/>
    <col min="13" max="13" width="11.6640625" style="8" customWidth="1"/>
    <col min="14" max="14" width="1.6640625" style="8" customWidth="1"/>
    <col min="15" max="15" width="11.6640625" style="8" customWidth="1"/>
    <col min="16" max="16" width="1.6640625" style="8" customWidth="1"/>
    <col min="17" max="17" width="11.6640625" style="8" customWidth="1"/>
    <col min="18" max="18" width="1.6640625" style="8" customWidth="1"/>
    <col min="19" max="19" width="11.6640625" style="8" customWidth="1"/>
    <col min="20" max="20" width="1.6640625" style="8" customWidth="1"/>
    <col min="21" max="21" width="11.6640625" style="8" customWidth="1"/>
    <col min="22" max="22" width="1.6640625" style="8" customWidth="1"/>
    <col min="23" max="23" width="11.6640625" style="8" customWidth="1"/>
    <col min="24" max="24" width="1.6640625" style="8" customWidth="1"/>
    <col min="25" max="25" width="11.6640625" style="8" customWidth="1"/>
    <col min="26" max="26" width="1.6640625" style="8" customWidth="1"/>
    <col min="27" max="27" width="11.6640625" style="8" customWidth="1"/>
    <col min="28" max="28" width="1.6640625" style="8" customWidth="1"/>
    <col min="29" max="29" width="11.6640625" style="8" customWidth="1"/>
    <col min="30" max="30" width="1.6640625" style="8" customWidth="1"/>
    <col min="31" max="31" width="11.6640625" style="8" customWidth="1"/>
    <col min="32" max="32" width="1.6640625" style="8" customWidth="1"/>
    <col min="33" max="33" width="11.6640625" style="8" customWidth="1"/>
    <col min="34" max="34" width="1.6640625" style="8" customWidth="1"/>
    <col min="35" max="35" width="11.6640625" style="8" customWidth="1"/>
    <col min="36" max="36" width="25.6640625" style="8" customWidth="1"/>
    <col min="37" max="37" width="1.6640625" style="8" customWidth="1"/>
    <col min="38" max="38" width="11.6640625" style="8" customWidth="1"/>
    <col min="39" max="39" width="1.6640625" style="8" customWidth="1"/>
    <col min="40" max="40" width="11.6640625" style="8" customWidth="1"/>
    <col min="41" max="41" width="1.6640625" style="8" customWidth="1"/>
    <col min="42" max="42" width="11.6640625" style="8" customWidth="1"/>
    <col min="43" max="43" width="1.6640625" style="8" customWidth="1"/>
    <col min="44" max="44" width="11.6640625" style="8" hidden="1" customWidth="1"/>
    <col min="45" max="45" width="1.6640625" style="8" hidden="1" customWidth="1"/>
    <col min="46" max="46" width="11.6640625" style="8" customWidth="1"/>
    <col min="47" max="47" width="1.6640625" style="8" customWidth="1"/>
    <col min="48" max="48" width="11.6640625" style="8" customWidth="1"/>
    <col min="49" max="49" width="1.6640625" style="8" customWidth="1"/>
    <col min="50" max="50" width="11.6640625" style="8" customWidth="1"/>
    <col min="51" max="51" width="1.6640625" style="8" customWidth="1"/>
    <col min="52" max="52" width="11.6640625" style="8" customWidth="1"/>
    <col min="53" max="53" width="1.6640625" style="8" customWidth="1"/>
    <col min="54" max="54" width="11.6640625" style="8" customWidth="1"/>
    <col min="55" max="55" width="1.6640625" style="8" customWidth="1"/>
    <col min="56" max="56" width="11.6640625" style="8" hidden="1" customWidth="1"/>
    <col min="57" max="57" width="1.6640625" style="8" hidden="1" customWidth="1"/>
    <col min="58" max="58" width="11.6640625" style="8" hidden="1" customWidth="1"/>
    <col min="59" max="59" width="1.6640625" style="8" hidden="1" customWidth="1"/>
    <col min="60" max="60" width="11.6640625" style="8" customWidth="1"/>
    <col min="61" max="61" width="1.6640625" style="8" customWidth="1"/>
    <col min="62" max="62" width="11.6640625" style="8" customWidth="1"/>
    <col min="63" max="63" width="1.6640625" style="8" customWidth="1"/>
    <col min="64" max="64" width="11.6640625" style="8" customWidth="1"/>
    <col min="65" max="65" width="1.6640625" style="8" customWidth="1"/>
    <col min="66" max="66" width="11.6640625" style="8" customWidth="1"/>
    <col min="67" max="67" width="1.6640625" style="8" customWidth="1"/>
    <col min="68" max="68" width="13" style="8" customWidth="1"/>
    <col min="69" max="69" width="10.88671875" style="8" bestFit="1" customWidth="1"/>
    <col min="70" max="70" width="1.6640625" style="8" customWidth="1"/>
    <col min="71" max="71" width="11.6640625" style="8" customWidth="1"/>
    <col min="72" max="72" width="1.6640625" style="8" customWidth="1"/>
    <col min="73" max="73" width="11.6640625" style="9" customWidth="1"/>
    <col min="74" max="74" width="1.6640625" style="8" customWidth="1"/>
    <col min="75" max="16384" width="9.109375" style="8"/>
  </cols>
  <sheetData>
    <row r="1" spans="1:73" s="15" customFormat="1">
      <c r="A1" s="55" t="s">
        <v>135</v>
      </c>
      <c r="B1" s="55"/>
      <c r="C1" s="55"/>
      <c r="D1" s="55"/>
      <c r="E1" s="56"/>
      <c r="F1" s="55"/>
      <c r="G1" s="55"/>
      <c r="H1" s="55"/>
      <c r="I1" s="58"/>
      <c r="J1" s="58"/>
      <c r="K1" s="58"/>
      <c r="L1" s="58"/>
      <c r="M1" s="58"/>
      <c r="N1" s="58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55" t="s">
        <v>135</v>
      </c>
      <c r="AK1" s="55"/>
      <c r="AL1" s="55"/>
      <c r="AM1" s="24"/>
      <c r="AN1" s="24"/>
      <c r="AO1" s="24"/>
      <c r="AP1" s="24"/>
      <c r="AQ1" s="27"/>
      <c r="AR1" s="27"/>
      <c r="AS1" s="27"/>
      <c r="AT1" s="27"/>
      <c r="BU1" s="25"/>
    </row>
    <row r="2" spans="1:73" s="15" customFormat="1">
      <c r="A2" s="55" t="s">
        <v>912</v>
      </c>
      <c r="B2" s="55"/>
      <c r="C2" s="55"/>
      <c r="D2" s="55"/>
      <c r="E2" s="56"/>
      <c r="F2" s="55"/>
      <c r="G2" s="55"/>
      <c r="H2" s="55"/>
      <c r="I2" s="58"/>
      <c r="J2" s="58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55" t="s">
        <v>838</v>
      </c>
      <c r="AK2" s="55"/>
      <c r="AL2" s="55"/>
      <c r="AM2" s="24"/>
      <c r="AN2" s="24"/>
      <c r="AO2" s="24"/>
      <c r="AP2" s="24"/>
      <c r="AQ2" s="27"/>
      <c r="AR2" s="27"/>
      <c r="AS2" s="27"/>
      <c r="AT2" s="27"/>
      <c r="BU2" s="25"/>
    </row>
    <row r="3" spans="1:73" s="15" customFormat="1">
      <c r="A3" s="55"/>
      <c r="B3" s="55"/>
      <c r="C3" s="55"/>
      <c r="D3" s="55"/>
      <c r="E3" s="56"/>
      <c r="F3" s="55"/>
      <c r="G3" s="55"/>
      <c r="H3" s="55"/>
      <c r="I3" s="58"/>
      <c r="J3" s="58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55"/>
      <c r="AK3" s="55"/>
      <c r="AL3" s="55"/>
      <c r="AM3" s="24"/>
      <c r="AN3" s="24"/>
      <c r="AO3" s="24"/>
      <c r="AP3" s="24"/>
      <c r="AQ3" s="27"/>
      <c r="AR3" s="27"/>
      <c r="AS3" s="27"/>
      <c r="AT3" s="27"/>
      <c r="BU3" s="25"/>
    </row>
    <row r="4" spans="1:73">
      <c r="A4" s="27" t="s">
        <v>177</v>
      </c>
      <c r="B4" s="27"/>
      <c r="C4" s="27"/>
      <c r="D4" s="27"/>
      <c r="E4" s="57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27" t="s">
        <v>177</v>
      </c>
      <c r="AK4" s="27"/>
      <c r="AL4" s="27"/>
      <c r="AM4" s="11"/>
      <c r="AN4" s="11"/>
      <c r="AO4" s="11"/>
      <c r="AP4" s="11"/>
      <c r="AQ4" s="11"/>
      <c r="AR4" s="11"/>
      <c r="AS4" s="11"/>
      <c r="AT4" s="11"/>
    </row>
    <row r="5" spans="1:73" s="15" customFormat="1">
      <c r="A5" s="27"/>
      <c r="B5" s="11"/>
      <c r="C5" s="11"/>
      <c r="D5" s="11"/>
      <c r="E5" s="31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AK5" s="11"/>
      <c r="AL5" s="11"/>
      <c r="BJ5" s="16" t="s">
        <v>3</v>
      </c>
    </row>
    <row r="6" spans="1:73">
      <c r="A6" s="15" t="s">
        <v>819</v>
      </c>
      <c r="B6" s="15"/>
      <c r="C6" s="15"/>
      <c r="D6" s="15"/>
      <c r="E6" s="64"/>
      <c r="G6" s="19" t="s">
        <v>151</v>
      </c>
      <c r="H6" s="19"/>
      <c r="I6" s="19"/>
      <c r="J6" s="19"/>
      <c r="K6" s="19"/>
      <c r="L6" s="19"/>
      <c r="M6" s="19"/>
      <c r="O6" s="19" t="s">
        <v>152</v>
      </c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G6" s="19" t="s">
        <v>164</v>
      </c>
      <c r="AH6" s="19"/>
      <c r="AI6" s="19"/>
      <c r="AJ6" s="27" t="s">
        <v>819</v>
      </c>
      <c r="AK6" s="15"/>
      <c r="AL6" s="15"/>
      <c r="AT6" s="19" t="s">
        <v>187</v>
      </c>
      <c r="AU6" s="19"/>
      <c r="AV6" s="19"/>
      <c r="BB6" s="19" t="s">
        <v>188</v>
      </c>
      <c r="BC6" s="19"/>
      <c r="BD6" s="19"/>
      <c r="BE6" s="19"/>
      <c r="BF6" s="19"/>
      <c r="BG6" s="19"/>
      <c r="BH6" s="19"/>
      <c r="BJ6" s="16" t="s">
        <v>74</v>
      </c>
      <c r="BK6" s="16"/>
      <c r="BL6" s="16" t="s">
        <v>192</v>
      </c>
      <c r="BM6" s="16"/>
      <c r="BN6" s="16" t="s">
        <v>92</v>
      </c>
      <c r="BO6" s="16"/>
      <c r="BP6" s="16"/>
      <c r="BQ6" s="16"/>
      <c r="BR6" s="16"/>
      <c r="BS6" s="16" t="s">
        <v>92</v>
      </c>
      <c r="BT6" s="16"/>
    </row>
    <row r="7" spans="1:73">
      <c r="AA7" s="16" t="s">
        <v>159</v>
      </c>
      <c r="AR7" s="16" t="s">
        <v>1</v>
      </c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 t="s">
        <v>780</v>
      </c>
      <c r="BG7" s="16"/>
      <c r="BH7" s="16" t="s">
        <v>191</v>
      </c>
      <c r="BJ7" s="16" t="s">
        <v>203</v>
      </c>
      <c r="BK7" s="16"/>
      <c r="BL7" s="16" t="s">
        <v>123</v>
      </c>
      <c r="BM7" s="16"/>
      <c r="BN7" s="16" t="s">
        <v>193</v>
      </c>
      <c r="BO7" s="16"/>
      <c r="BP7" s="16" t="s">
        <v>774</v>
      </c>
      <c r="BQ7" s="16"/>
      <c r="BR7" s="16"/>
      <c r="BS7" s="16" t="s">
        <v>193</v>
      </c>
      <c r="BT7" s="16"/>
      <c r="BU7" s="16" t="s">
        <v>141</v>
      </c>
    </row>
    <row r="8" spans="1:73">
      <c r="A8" s="5"/>
      <c r="B8" s="5"/>
      <c r="C8" s="5"/>
      <c r="D8" s="5"/>
      <c r="E8" s="60"/>
      <c r="G8" s="5"/>
      <c r="H8" s="5"/>
      <c r="I8" s="5"/>
      <c r="J8" s="5"/>
      <c r="K8" s="5"/>
      <c r="L8" s="5"/>
      <c r="M8" s="5"/>
      <c r="N8" s="5"/>
      <c r="O8" s="5"/>
      <c r="P8" s="5"/>
      <c r="Q8" s="5" t="s">
        <v>153</v>
      </c>
      <c r="R8" s="5"/>
      <c r="S8" s="5" t="s">
        <v>155</v>
      </c>
      <c r="T8" s="5"/>
      <c r="U8" s="5"/>
      <c r="V8" s="5"/>
      <c r="W8" s="5"/>
      <c r="X8" s="5"/>
      <c r="Y8" s="5"/>
      <c r="Z8" s="5"/>
      <c r="AA8" s="5" t="s">
        <v>160</v>
      </c>
      <c r="AB8" s="5"/>
      <c r="AC8" s="5" t="s">
        <v>162</v>
      </c>
      <c r="AD8" s="5"/>
      <c r="AE8" s="5"/>
      <c r="AF8" s="5"/>
      <c r="AG8" s="16" t="s">
        <v>165</v>
      </c>
      <c r="AH8" s="16"/>
      <c r="AI8" s="16"/>
      <c r="AJ8" s="5"/>
      <c r="AK8" s="5"/>
      <c r="AL8" s="5"/>
      <c r="AM8" s="16"/>
      <c r="AN8" s="16" t="s">
        <v>167</v>
      </c>
      <c r="AO8" s="16"/>
      <c r="AP8" s="16" t="s">
        <v>73</v>
      </c>
      <c r="AQ8" s="16"/>
      <c r="AR8" s="16" t="s">
        <v>7</v>
      </c>
      <c r="AS8" s="16"/>
      <c r="AT8" s="16" t="s">
        <v>76</v>
      </c>
      <c r="AU8" s="16"/>
      <c r="AV8" s="16"/>
      <c r="AW8" s="16"/>
      <c r="AX8" s="16" t="s">
        <v>134</v>
      </c>
      <c r="AY8" s="16"/>
      <c r="AZ8" s="16" t="s">
        <v>3</v>
      </c>
      <c r="BA8" s="16"/>
      <c r="BB8" s="16" t="s">
        <v>170</v>
      </c>
      <c r="BC8" s="16"/>
      <c r="BD8" s="16" t="s">
        <v>189</v>
      </c>
      <c r="BE8" s="16"/>
      <c r="BF8" s="16" t="s">
        <v>779</v>
      </c>
      <c r="BG8" s="16"/>
      <c r="BH8" s="16" t="s">
        <v>83</v>
      </c>
      <c r="BI8" s="16"/>
      <c r="BJ8" s="16" t="s">
        <v>201</v>
      </c>
      <c r="BK8" s="16"/>
      <c r="BL8" s="16" t="s">
        <v>92</v>
      </c>
      <c r="BM8" s="16"/>
      <c r="BN8" s="5" t="s">
        <v>171</v>
      </c>
      <c r="BO8" s="16"/>
      <c r="BP8" s="16" t="s">
        <v>772</v>
      </c>
      <c r="BQ8" s="16" t="s">
        <v>809</v>
      </c>
      <c r="BR8" s="16"/>
      <c r="BS8" s="5" t="s">
        <v>194</v>
      </c>
      <c r="BT8" s="16"/>
      <c r="BU8" s="16" t="s">
        <v>142</v>
      </c>
    </row>
    <row r="9" spans="1:73">
      <c r="A9" s="1" t="s">
        <v>208</v>
      </c>
      <c r="B9" s="16"/>
      <c r="C9" s="1" t="s">
        <v>4</v>
      </c>
      <c r="D9" s="16"/>
      <c r="E9" s="61" t="s">
        <v>207</v>
      </c>
      <c r="G9" s="2" t="s">
        <v>789</v>
      </c>
      <c r="I9" s="2" t="s">
        <v>2</v>
      </c>
      <c r="K9" s="2" t="s">
        <v>150</v>
      </c>
      <c r="M9" s="2" t="s">
        <v>83</v>
      </c>
      <c r="O9" s="2" t="s">
        <v>800</v>
      </c>
      <c r="Q9" s="2" t="s">
        <v>154</v>
      </c>
      <c r="S9" s="2" t="s">
        <v>156</v>
      </c>
      <c r="U9" s="2" t="s">
        <v>157</v>
      </c>
      <c r="W9" s="2" t="s">
        <v>158</v>
      </c>
      <c r="X9" s="5"/>
      <c r="Y9" s="1" t="s">
        <v>750</v>
      </c>
      <c r="AA9" s="2" t="s">
        <v>161</v>
      </c>
      <c r="AB9" s="5"/>
      <c r="AC9" s="1" t="s">
        <v>163</v>
      </c>
      <c r="AD9" s="5"/>
      <c r="AE9" s="1" t="s">
        <v>751</v>
      </c>
      <c r="AG9" s="1" t="s">
        <v>166</v>
      </c>
      <c r="AI9" s="1" t="s">
        <v>83</v>
      </c>
      <c r="AJ9" s="1" t="s">
        <v>208</v>
      </c>
      <c r="AK9" s="16"/>
      <c r="AL9" s="1" t="s">
        <v>4</v>
      </c>
      <c r="AM9" s="5"/>
      <c r="AN9" s="1" t="s">
        <v>168</v>
      </c>
      <c r="AO9" s="5"/>
      <c r="AP9" s="1" t="s">
        <v>75</v>
      </c>
      <c r="AQ9" s="5"/>
      <c r="AR9" s="1" t="s">
        <v>776</v>
      </c>
      <c r="AS9" s="5"/>
      <c r="AT9" s="1" t="s">
        <v>785</v>
      </c>
      <c r="AU9" s="5"/>
      <c r="AV9" s="1" t="s">
        <v>169</v>
      </c>
      <c r="AW9" s="5"/>
      <c r="AX9" s="1" t="s">
        <v>74</v>
      </c>
      <c r="AY9" s="5"/>
      <c r="AZ9" s="1" t="s">
        <v>74</v>
      </c>
      <c r="BA9" s="5"/>
      <c r="BB9" s="1" t="s">
        <v>122</v>
      </c>
      <c r="BC9" s="5"/>
      <c r="BD9" s="1" t="s">
        <v>122</v>
      </c>
      <c r="BE9" s="5"/>
      <c r="BF9" s="5" t="s">
        <v>781</v>
      </c>
      <c r="BG9" s="5"/>
      <c r="BH9" s="1" t="s">
        <v>190</v>
      </c>
      <c r="BI9" s="5"/>
      <c r="BJ9" s="1" t="s">
        <v>190</v>
      </c>
      <c r="BK9" s="5"/>
      <c r="BL9" s="1" t="s">
        <v>193</v>
      </c>
      <c r="BM9" s="16"/>
      <c r="BN9" s="1" t="s">
        <v>172</v>
      </c>
      <c r="BO9" s="16"/>
      <c r="BP9" s="1" t="s">
        <v>773</v>
      </c>
      <c r="BQ9" s="1" t="s">
        <v>810</v>
      </c>
      <c r="BR9" s="16"/>
      <c r="BS9" s="1" t="s">
        <v>172</v>
      </c>
      <c r="BT9" s="16"/>
      <c r="BU9" s="1" t="s">
        <v>143</v>
      </c>
    </row>
    <row r="10" spans="1:73">
      <c r="A10" s="13"/>
      <c r="B10" s="13"/>
      <c r="C10" s="13"/>
      <c r="D10" s="13"/>
      <c r="E10" s="32"/>
      <c r="F10" s="11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3"/>
      <c r="AK10" s="13"/>
      <c r="AL10" s="13"/>
      <c r="AM10" s="14"/>
      <c r="AN10" s="14"/>
      <c r="AO10" s="14"/>
      <c r="AP10" s="14"/>
      <c r="AQ10" s="21"/>
      <c r="AR10" s="21"/>
      <c r="AS10" s="21"/>
      <c r="AT10" s="11"/>
    </row>
    <row r="11" spans="1:73" s="35" customFormat="1">
      <c r="A11" s="34" t="s">
        <v>784</v>
      </c>
      <c r="B11" s="34"/>
      <c r="C11" s="34" t="s">
        <v>44</v>
      </c>
      <c r="D11" s="34"/>
      <c r="E11" s="32">
        <v>45195</v>
      </c>
      <c r="F11" s="48"/>
      <c r="G11" s="35">
        <v>17035309</v>
      </c>
      <c r="I11" s="35">
        <v>4015072</v>
      </c>
      <c r="K11" s="35">
        <v>357961</v>
      </c>
      <c r="M11" s="35">
        <v>0</v>
      </c>
      <c r="O11" s="35">
        <v>1348372</v>
      </c>
      <c r="Q11" s="35">
        <v>1655516</v>
      </c>
      <c r="S11" s="35">
        <v>16805</v>
      </c>
      <c r="U11" s="35">
        <v>2841186</v>
      </c>
      <c r="W11" s="35">
        <v>596638</v>
      </c>
      <c r="Y11" s="35">
        <v>0</v>
      </c>
      <c r="AA11" s="35">
        <v>3214859</v>
      </c>
      <c r="AC11" s="35">
        <v>1109865</v>
      </c>
      <c r="AE11" s="35">
        <v>0</v>
      </c>
      <c r="AG11" s="35">
        <v>0</v>
      </c>
      <c r="AI11" s="35">
        <v>0</v>
      </c>
      <c r="AJ11" s="34" t="s">
        <v>784</v>
      </c>
      <c r="AK11" s="34"/>
      <c r="AL11" s="34" t="s">
        <v>44</v>
      </c>
      <c r="AN11" s="35">
        <v>522968</v>
      </c>
      <c r="AP11" s="35">
        <v>0</v>
      </c>
      <c r="AR11" s="35">
        <v>0</v>
      </c>
      <c r="AT11" s="35">
        <v>90000</v>
      </c>
      <c r="AV11" s="35">
        <v>45618</v>
      </c>
      <c r="AX11" s="35">
        <v>0</v>
      </c>
      <c r="AZ11" s="35">
        <f>SUM(G11:AX11)</f>
        <v>32850169</v>
      </c>
      <c r="BB11" s="35">
        <v>22500</v>
      </c>
      <c r="BD11" s="35">
        <v>0</v>
      </c>
      <c r="BF11" s="35">
        <v>0</v>
      </c>
      <c r="BH11" s="35">
        <v>0</v>
      </c>
      <c r="BJ11" s="35">
        <f>+AZ11+BB11+BD11+BH11</f>
        <v>32872669</v>
      </c>
      <c r="BL11" s="35">
        <f>+GenRev!AM11-GenExp!BJ11</f>
        <v>-2449854</v>
      </c>
      <c r="BN11" s="35">
        <v>4293428</v>
      </c>
      <c r="BP11" s="35">
        <v>0</v>
      </c>
      <c r="BQ11" s="35">
        <v>0</v>
      </c>
      <c r="BS11" s="35">
        <f>+BN11+BL11-BP11</f>
        <v>1843574</v>
      </c>
      <c r="BU11" s="44">
        <f>+BS11-'Gen Fd BS'!AA11+BQ11</f>
        <v>0</v>
      </c>
    </row>
    <row r="12" spans="1:73">
      <c r="A12" s="13" t="s">
        <v>209</v>
      </c>
      <c r="B12" s="13"/>
      <c r="C12" s="13" t="s">
        <v>210</v>
      </c>
      <c r="D12" s="13"/>
      <c r="E12" s="13">
        <v>61903</v>
      </c>
      <c r="F12" s="11"/>
      <c r="G12" s="8">
        <v>16020625</v>
      </c>
      <c r="I12" s="8">
        <v>2744494</v>
      </c>
      <c r="K12" s="8">
        <v>2647970</v>
      </c>
      <c r="M12" s="8">
        <f>223422+64276</f>
        <v>287698</v>
      </c>
      <c r="O12" s="8">
        <v>1472752</v>
      </c>
      <c r="Q12" s="8">
        <v>1173152</v>
      </c>
      <c r="S12" s="8">
        <v>47068</v>
      </c>
      <c r="U12" s="8">
        <v>2479125</v>
      </c>
      <c r="W12" s="8">
        <v>581971</v>
      </c>
      <c r="Y12" s="8">
        <v>512818</v>
      </c>
      <c r="AA12" s="8">
        <v>3017072</v>
      </c>
      <c r="AC12" s="8">
        <v>2323785</v>
      </c>
      <c r="AE12" s="8">
        <v>374325</v>
      </c>
      <c r="AG12" s="8">
        <v>0</v>
      </c>
      <c r="AI12" s="8">
        <v>69316</v>
      </c>
      <c r="AJ12" s="13" t="s">
        <v>209</v>
      </c>
      <c r="AK12" s="13"/>
      <c r="AL12" s="13" t="s">
        <v>210</v>
      </c>
      <c r="AN12" s="8">
        <v>253976</v>
      </c>
      <c r="AP12" s="8">
        <v>81356</v>
      </c>
      <c r="AT12" s="8">
        <v>0</v>
      </c>
      <c r="AV12" s="8">
        <v>0</v>
      </c>
      <c r="AX12" s="8">
        <v>0</v>
      </c>
      <c r="AZ12" s="8">
        <f>SUM(G12:AX12)</f>
        <v>34087503</v>
      </c>
      <c r="BB12" s="8">
        <v>930629</v>
      </c>
      <c r="BH12" s="8">
        <v>0</v>
      </c>
      <c r="BJ12" s="8">
        <f>+AZ12+BB12+BD12+BH12</f>
        <v>35018132</v>
      </c>
      <c r="BL12" s="8">
        <f>+GenRev!AM12-GenExp!BJ12</f>
        <v>-1195428</v>
      </c>
      <c r="BN12" s="8">
        <v>5322630</v>
      </c>
      <c r="BP12" s="8">
        <v>0</v>
      </c>
      <c r="BQ12" s="8">
        <v>0</v>
      </c>
      <c r="BS12" s="8">
        <f>+BN12+BL12-BP12</f>
        <v>4127202</v>
      </c>
      <c r="BU12" s="9">
        <f>+BS12-'Gen Fd BS'!AA12+BQ12</f>
        <v>0</v>
      </c>
    </row>
    <row r="13" spans="1:73">
      <c r="A13" s="13" t="s">
        <v>621</v>
      </c>
      <c r="B13" s="13"/>
      <c r="C13" s="13" t="s">
        <v>58</v>
      </c>
      <c r="D13" s="13"/>
      <c r="E13" s="32">
        <v>49494</v>
      </c>
      <c r="G13" s="8">
        <v>4537596</v>
      </c>
      <c r="I13" s="8">
        <v>688541</v>
      </c>
      <c r="K13" s="8">
        <v>1955</v>
      </c>
      <c r="M13" s="8">
        <v>529121</v>
      </c>
      <c r="O13" s="8">
        <v>362341</v>
      </c>
      <c r="Q13" s="8">
        <v>388210</v>
      </c>
      <c r="S13" s="8">
        <v>46675</v>
      </c>
      <c r="U13" s="8">
        <v>783238</v>
      </c>
      <c r="W13" s="8">
        <v>287783</v>
      </c>
      <c r="Y13" s="8">
        <v>0</v>
      </c>
      <c r="AA13" s="8">
        <v>867105</v>
      </c>
      <c r="AC13" s="8">
        <v>912820</v>
      </c>
      <c r="AE13" s="8">
        <v>111480</v>
      </c>
      <c r="AG13" s="8">
        <v>0</v>
      </c>
      <c r="AI13" s="8">
        <v>2546</v>
      </c>
      <c r="AJ13" s="13" t="s">
        <v>621</v>
      </c>
      <c r="AK13" s="13"/>
      <c r="AL13" s="13" t="s">
        <v>58</v>
      </c>
      <c r="AN13" s="8">
        <v>158451</v>
      </c>
      <c r="AP13" s="8">
        <v>0</v>
      </c>
      <c r="AT13" s="8">
        <v>39676</v>
      </c>
      <c r="AV13" s="8">
        <v>9274</v>
      </c>
      <c r="AX13" s="8">
        <v>0</v>
      </c>
      <c r="AZ13" s="8">
        <f t="shared" ref="AZ13:AZ76" si="0">SUM(G13:AX13)</f>
        <v>9726812</v>
      </c>
      <c r="BB13" s="8">
        <v>849</v>
      </c>
      <c r="BH13" s="8">
        <v>0</v>
      </c>
      <c r="BJ13" s="8">
        <f t="shared" ref="BJ13:BJ76" si="1">+AZ13+BB13+BD13+BH13</f>
        <v>9727661</v>
      </c>
      <c r="BL13" s="8">
        <f>+GenRev!AM13-GenExp!BJ13</f>
        <v>836037</v>
      </c>
      <c r="BN13" s="8">
        <v>993732</v>
      </c>
      <c r="BP13" s="8">
        <v>0</v>
      </c>
      <c r="BQ13" s="8">
        <v>0</v>
      </c>
      <c r="BS13" s="8">
        <f>+BN13+BL13-BP13</f>
        <v>1829769</v>
      </c>
      <c r="BU13" s="9">
        <f>+BS13-'Gen Fd BS'!AA13+BQ13</f>
        <v>0</v>
      </c>
    </row>
    <row r="14" spans="1:73">
      <c r="A14" s="13" t="s">
        <v>667</v>
      </c>
      <c r="B14" s="13"/>
      <c r="C14" s="13" t="s">
        <v>63</v>
      </c>
      <c r="D14" s="13"/>
      <c r="E14" s="32">
        <v>43489</v>
      </c>
      <c r="G14" s="8">
        <v>120182951</v>
      </c>
      <c r="I14" s="8">
        <v>31409051</v>
      </c>
      <c r="K14" s="8">
        <v>12477255</v>
      </c>
      <c r="M14" s="8">
        <f>299790+194199</f>
        <v>493989</v>
      </c>
      <c r="O14" s="8">
        <v>14632458</v>
      </c>
      <c r="Q14" s="8">
        <v>12060054</v>
      </c>
      <c r="S14" s="8">
        <v>133031</v>
      </c>
      <c r="U14" s="8">
        <v>19105599</v>
      </c>
      <c r="W14" s="8">
        <v>3912693</v>
      </c>
      <c r="Y14" s="8">
        <v>2680218</v>
      </c>
      <c r="AA14" s="8">
        <v>29835751</v>
      </c>
      <c r="AC14" s="8">
        <v>11362512</v>
      </c>
      <c r="AE14" s="8">
        <v>5137746</v>
      </c>
      <c r="AG14" s="8">
        <v>0</v>
      </c>
      <c r="AI14" s="8">
        <v>264563</v>
      </c>
      <c r="AJ14" s="13" t="s">
        <v>667</v>
      </c>
      <c r="AK14" s="13"/>
      <c r="AL14" s="13" t="s">
        <v>63</v>
      </c>
      <c r="AN14" s="8">
        <v>2775087</v>
      </c>
      <c r="AP14" s="8">
        <v>965614</v>
      </c>
      <c r="AT14" s="8">
        <v>0</v>
      </c>
      <c r="AV14" s="8">
        <v>0</v>
      </c>
      <c r="AX14" s="8">
        <v>0</v>
      </c>
      <c r="AZ14" s="8">
        <f t="shared" si="0"/>
        <v>267428572</v>
      </c>
      <c r="BB14" s="8">
        <v>95391</v>
      </c>
      <c r="BH14" s="8">
        <v>0</v>
      </c>
      <c r="BJ14" s="8">
        <f t="shared" si="1"/>
        <v>267523963</v>
      </c>
      <c r="BL14" s="8">
        <f>+GenRev!AM14-GenExp!BJ14</f>
        <v>5983010</v>
      </c>
      <c r="BN14" s="8">
        <v>30691181</v>
      </c>
      <c r="BP14" s="8">
        <v>0</v>
      </c>
      <c r="BQ14" s="8">
        <v>0</v>
      </c>
      <c r="BS14" s="8">
        <f t="shared" ref="BS14:BS77" si="2">+BN14+BL14-BP14</f>
        <v>36674191</v>
      </c>
      <c r="BU14" s="9">
        <f>+BS14-'Gen Fd BS'!AA14+BQ14</f>
        <v>0</v>
      </c>
    </row>
    <row r="15" spans="1:73" hidden="1">
      <c r="A15" s="13" t="s">
        <v>225</v>
      </c>
      <c r="B15" s="13"/>
      <c r="C15" s="13" t="s">
        <v>13</v>
      </c>
      <c r="D15" s="13"/>
      <c r="E15" s="32">
        <v>45906</v>
      </c>
      <c r="F15" s="11"/>
      <c r="AG15" s="8">
        <v>0</v>
      </c>
      <c r="AI15" s="8">
        <v>0</v>
      </c>
      <c r="AJ15" s="13" t="s">
        <v>225</v>
      </c>
      <c r="AK15" s="13"/>
      <c r="AL15" s="13" t="s">
        <v>13</v>
      </c>
      <c r="AT15" s="8">
        <v>0</v>
      </c>
      <c r="AV15" s="8">
        <v>0</v>
      </c>
      <c r="AX15" s="8">
        <v>0</v>
      </c>
      <c r="AZ15" s="8">
        <f t="shared" si="0"/>
        <v>0</v>
      </c>
      <c r="BH15" s="8">
        <v>0</v>
      </c>
      <c r="BJ15" s="8">
        <f t="shared" si="1"/>
        <v>0</v>
      </c>
      <c r="BL15" s="8">
        <f>+GenRev!AM15-GenExp!BJ15</f>
        <v>0</v>
      </c>
      <c r="BN15" s="8">
        <v>0</v>
      </c>
      <c r="BP15" s="8">
        <v>0</v>
      </c>
      <c r="BQ15" s="8">
        <v>0</v>
      </c>
      <c r="BS15" s="8">
        <f t="shared" si="2"/>
        <v>0</v>
      </c>
      <c r="BU15" s="9">
        <f>+BS15-'Gen Fd BS'!AA15+BQ15</f>
        <v>0</v>
      </c>
    </row>
    <row r="16" spans="1:73">
      <c r="A16" s="13" t="s">
        <v>653</v>
      </c>
      <c r="B16" s="13"/>
      <c r="C16" s="13" t="s">
        <v>62</v>
      </c>
      <c r="D16" s="13"/>
      <c r="E16" s="32">
        <v>43497</v>
      </c>
      <c r="G16" s="8">
        <v>10777223</v>
      </c>
      <c r="I16" s="8">
        <v>3278212</v>
      </c>
      <c r="K16" s="8">
        <v>790943</v>
      </c>
      <c r="M16" s="8">
        <v>684330</v>
      </c>
      <c r="O16" s="8">
        <v>634014</v>
      </c>
      <c r="Q16" s="8">
        <v>381555</v>
      </c>
      <c r="S16" s="8">
        <v>21520</v>
      </c>
      <c r="U16" s="8">
        <v>1822744</v>
      </c>
      <c r="W16" s="8">
        <v>213546</v>
      </c>
      <c r="Y16" s="8">
        <v>167963</v>
      </c>
      <c r="AA16" s="8">
        <v>3142192</v>
      </c>
      <c r="AC16" s="8">
        <v>598757</v>
      </c>
      <c r="AE16" s="8">
        <v>10901</v>
      </c>
      <c r="AG16" s="8">
        <v>0</v>
      </c>
      <c r="AI16" s="8">
        <v>0</v>
      </c>
      <c r="AJ16" s="13" t="s">
        <v>653</v>
      </c>
      <c r="AK16" s="13"/>
      <c r="AL16" s="13" t="s">
        <v>62</v>
      </c>
      <c r="AN16" s="8">
        <v>294272</v>
      </c>
      <c r="AP16" s="8">
        <v>33531</v>
      </c>
      <c r="AT16" s="8">
        <v>0</v>
      </c>
      <c r="AV16" s="8">
        <v>0</v>
      </c>
      <c r="AX16" s="8">
        <v>0</v>
      </c>
      <c r="AZ16" s="8">
        <f t="shared" si="0"/>
        <v>22851703</v>
      </c>
      <c r="BB16" s="8">
        <v>50000</v>
      </c>
      <c r="BH16" s="8">
        <v>0</v>
      </c>
      <c r="BJ16" s="8">
        <f t="shared" si="1"/>
        <v>22901703</v>
      </c>
      <c r="BL16" s="8">
        <f>+GenRev!AM16-GenExp!BJ16</f>
        <v>1817056</v>
      </c>
      <c r="BN16" s="8">
        <v>-1213299</v>
      </c>
      <c r="BP16" s="8">
        <v>0</v>
      </c>
      <c r="BQ16" s="8">
        <v>0</v>
      </c>
      <c r="BS16" s="8">
        <f t="shared" si="2"/>
        <v>603757</v>
      </c>
      <c r="BU16" s="9">
        <f>+BS16-'Gen Fd BS'!AA16+BQ16</f>
        <v>0</v>
      </c>
    </row>
    <row r="17" spans="1:73">
      <c r="A17" s="13" t="s">
        <v>347</v>
      </c>
      <c r="B17" s="13"/>
      <c r="C17" s="13" t="s">
        <v>25</v>
      </c>
      <c r="D17" s="13"/>
      <c r="E17" s="32">
        <v>46847</v>
      </c>
      <c r="G17" s="8">
        <v>6495807</v>
      </c>
      <c r="I17" s="8">
        <v>1409754</v>
      </c>
      <c r="K17" s="8">
        <v>485494</v>
      </c>
      <c r="M17" s="8">
        <v>65820</v>
      </c>
      <c r="O17" s="8">
        <v>518592</v>
      </c>
      <c r="Q17" s="8">
        <v>397444</v>
      </c>
      <c r="S17" s="8">
        <v>52347</v>
      </c>
      <c r="U17" s="8">
        <v>1193906</v>
      </c>
      <c r="W17" s="8">
        <v>331118</v>
      </c>
      <c r="Y17" s="8">
        <v>38070</v>
      </c>
      <c r="AA17" s="8">
        <v>1475491</v>
      </c>
      <c r="AC17" s="8">
        <v>950489</v>
      </c>
      <c r="AE17" s="8">
        <v>0</v>
      </c>
      <c r="AG17" s="8">
        <v>0</v>
      </c>
      <c r="AI17" s="8">
        <v>0</v>
      </c>
      <c r="AJ17" s="13" t="s">
        <v>347</v>
      </c>
      <c r="AK17" s="13"/>
      <c r="AL17" s="13" t="s">
        <v>25</v>
      </c>
      <c r="AN17" s="8">
        <v>291582</v>
      </c>
      <c r="AP17" s="8">
        <v>44863</v>
      </c>
      <c r="AT17" s="8">
        <v>0</v>
      </c>
      <c r="AV17" s="8">
        <v>0</v>
      </c>
      <c r="AX17" s="8">
        <v>0</v>
      </c>
      <c r="AZ17" s="8">
        <f t="shared" si="0"/>
        <v>13750777</v>
      </c>
      <c r="BB17" s="8">
        <v>0</v>
      </c>
      <c r="BH17" s="8">
        <v>0</v>
      </c>
      <c r="BJ17" s="8">
        <f t="shared" si="1"/>
        <v>13750777</v>
      </c>
      <c r="BL17" s="8">
        <f>+GenRev!AM17-GenExp!BJ17</f>
        <v>-449685</v>
      </c>
      <c r="BN17" s="8">
        <v>271600</v>
      </c>
      <c r="BP17" s="8">
        <v>0</v>
      </c>
      <c r="BQ17" s="8">
        <v>0</v>
      </c>
      <c r="BS17" s="8">
        <f t="shared" si="2"/>
        <v>-178085</v>
      </c>
      <c r="BU17" s="9">
        <f>+BS17-'Gen Fd BS'!AA17+BQ17</f>
        <v>0</v>
      </c>
    </row>
    <row r="18" spans="1:73">
      <c r="A18" s="13" t="s">
        <v>646</v>
      </c>
      <c r="B18" s="13"/>
      <c r="C18" s="13" t="s">
        <v>61</v>
      </c>
      <c r="D18" s="13"/>
      <c r="E18" s="32">
        <v>49759</v>
      </c>
      <c r="G18" s="8">
        <v>4524407</v>
      </c>
      <c r="I18" s="8">
        <v>562607</v>
      </c>
      <c r="K18" s="8">
        <v>302450</v>
      </c>
      <c r="M18" s="8">
        <v>496</v>
      </c>
      <c r="O18" s="8">
        <v>425105</v>
      </c>
      <c r="Q18" s="8">
        <v>296711</v>
      </c>
      <c r="S18" s="8">
        <v>56781</v>
      </c>
      <c r="U18" s="8">
        <v>762531</v>
      </c>
      <c r="W18" s="8">
        <v>382440</v>
      </c>
      <c r="Y18" s="8">
        <v>60807</v>
      </c>
      <c r="AA18" s="8">
        <v>951791</v>
      </c>
      <c r="AC18" s="8">
        <v>496847</v>
      </c>
      <c r="AE18" s="8">
        <v>4550</v>
      </c>
      <c r="AG18" s="8">
        <v>0</v>
      </c>
      <c r="AI18" s="8">
        <v>35660</v>
      </c>
      <c r="AJ18" s="13" t="s">
        <v>646</v>
      </c>
      <c r="AK18" s="13"/>
      <c r="AL18" s="13" t="s">
        <v>61</v>
      </c>
      <c r="AN18" s="8">
        <v>339131</v>
      </c>
      <c r="AP18" s="8">
        <v>6881</v>
      </c>
      <c r="AT18" s="8">
        <v>0</v>
      </c>
      <c r="AV18" s="8">
        <v>0</v>
      </c>
      <c r="AX18" s="8">
        <v>0</v>
      </c>
      <c r="AZ18" s="8">
        <f t="shared" si="0"/>
        <v>9209195</v>
      </c>
      <c r="BB18" s="8">
        <v>0</v>
      </c>
      <c r="BH18" s="8">
        <v>0</v>
      </c>
      <c r="BJ18" s="8">
        <f t="shared" si="1"/>
        <v>9209195</v>
      </c>
      <c r="BL18" s="8">
        <f>+GenRev!AM18-GenExp!BJ18</f>
        <v>-43402</v>
      </c>
      <c r="BN18" s="8">
        <v>3323252</v>
      </c>
      <c r="BP18" s="8">
        <v>0</v>
      </c>
      <c r="BQ18" s="8">
        <v>0</v>
      </c>
      <c r="BS18" s="8">
        <f t="shared" si="2"/>
        <v>3279850</v>
      </c>
      <c r="BU18" s="9">
        <f>+BS18-'Gen Fd BS'!AA18+BQ18</f>
        <v>0</v>
      </c>
    </row>
    <row r="19" spans="1:73">
      <c r="A19" s="13" t="s">
        <v>502</v>
      </c>
      <c r="B19" s="13"/>
      <c r="C19" s="13" t="s">
        <v>118</v>
      </c>
      <c r="D19" s="13"/>
      <c r="E19" s="32">
        <v>48207</v>
      </c>
      <c r="G19" s="8">
        <v>16800450</v>
      </c>
      <c r="I19" s="8">
        <v>2053379</v>
      </c>
      <c r="K19" s="8">
        <v>84928</v>
      </c>
      <c r="M19" s="8">
        <v>0</v>
      </c>
      <c r="O19" s="8">
        <v>1149142</v>
      </c>
      <c r="Q19" s="8">
        <v>936152</v>
      </c>
      <c r="S19" s="8">
        <v>866417</v>
      </c>
      <c r="U19" s="8">
        <v>2573592</v>
      </c>
      <c r="W19" s="8">
        <v>762479</v>
      </c>
      <c r="Y19" s="8">
        <v>119020</v>
      </c>
      <c r="AA19" s="8">
        <v>3628846</v>
      </c>
      <c r="AC19" s="8">
        <v>2104115</v>
      </c>
      <c r="AE19" s="8">
        <v>0</v>
      </c>
      <c r="AG19" s="8">
        <v>0</v>
      </c>
      <c r="AI19" s="8">
        <v>0</v>
      </c>
      <c r="AJ19" s="13" t="s">
        <v>502</v>
      </c>
      <c r="AK19" s="13"/>
      <c r="AL19" s="13" t="s">
        <v>118</v>
      </c>
      <c r="AN19" s="8">
        <v>533275</v>
      </c>
      <c r="AP19" s="8">
        <v>0</v>
      </c>
      <c r="AT19" s="8">
        <v>0</v>
      </c>
      <c r="AV19" s="8">
        <v>0</v>
      </c>
      <c r="AX19" s="8">
        <v>0</v>
      </c>
      <c r="AZ19" s="8">
        <f t="shared" si="0"/>
        <v>31611795</v>
      </c>
      <c r="BB19" s="8">
        <v>0</v>
      </c>
      <c r="BH19" s="8">
        <v>0</v>
      </c>
      <c r="BJ19" s="8">
        <f t="shared" si="1"/>
        <v>31611795</v>
      </c>
      <c r="BL19" s="8">
        <f>+GenRev!AM19-GenExp!BJ19</f>
        <v>2380447</v>
      </c>
      <c r="BN19" s="8">
        <v>-3167963</v>
      </c>
      <c r="BP19" s="8">
        <v>-42277</v>
      </c>
      <c r="BQ19" s="8">
        <v>0</v>
      </c>
      <c r="BS19" s="8">
        <f t="shared" si="2"/>
        <v>-745239</v>
      </c>
      <c r="BU19" s="9">
        <f>+BS19-'Gen Fd BS'!AA19+BQ19</f>
        <v>0</v>
      </c>
    </row>
    <row r="20" spans="1:73">
      <c r="A20" s="13" t="s">
        <v>418</v>
      </c>
      <c r="B20" s="13"/>
      <c r="C20" s="13" t="s">
        <v>33</v>
      </c>
      <c r="D20" s="13"/>
      <c r="E20" s="32">
        <v>47415</v>
      </c>
      <c r="G20" s="8">
        <v>2539127</v>
      </c>
      <c r="I20" s="8">
        <v>445289</v>
      </c>
      <c r="K20" s="8">
        <v>258372</v>
      </c>
      <c r="M20" s="8">
        <v>0</v>
      </c>
      <c r="O20" s="8">
        <v>182383</v>
      </c>
      <c r="Q20" s="8">
        <v>192998</v>
      </c>
      <c r="S20" s="8">
        <v>23908</v>
      </c>
      <c r="U20" s="8">
        <v>553313</v>
      </c>
      <c r="W20" s="8">
        <v>201145</v>
      </c>
      <c r="Y20" s="8">
        <v>0</v>
      </c>
      <c r="AA20" s="8">
        <v>545423</v>
      </c>
      <c r="AC20" s="8">
        <v>292648</v>
      </c>
      <c r="AE20" s="8">
        <v>1079</v>
      </c>
      <c r="AG20" s="8">
        <v>0</v>
      </c>
      <c r="AI20" s="8">
        <v>0</v>
      </c>
      <c r="AJ20" s="13" t="s">
        <v>418</v>
      </c>
      <c r="AK20" s="13"/>
      <c r="AL20" s="13" t="s">
        <v>33</v>
      </c>
      <c r="AN20" s="8">
        <v>134508</v>
      </c>
      <c r="AP20" s="8">
        <v>13277</v>
      </c>
      <c r="AT20" s="8">
        <v>0</v>
      </c>
      <c r="AV20" s="8">
        <v>0</v>
      </c>
      <c r="AX20" s="8">
        <v>0</v>
      </c>
      <c r="AZ20" s="8">
        <f t="shared" si="0"/>
        <v>5383470</v>
      </c>
      <c r="BB20" s="8">
        <v>0</v>
      </c>
      <c r="BH20" s="8">
        <v>0</v>
      </c>
      <c r="BJ20" s="8">
        <f t="shared" si="1"/>
        <v>5383470</v>
      </c>
      <c r="BL20" s="8">
        <f>+GenRev!AM20-GenExp!BJ20</f>
        <v>549876</v>
      </c>
      <c r="BN20" s="8">
        <v>1831272</v>
      </c>
      <c r="BP20" s="8">
        <v>0</v>
      </c>
      <c r="BQ20" s="8">
        <v>0</v>
      </c>
      <c r="BS20" s="8">
        <f t="shared" si="2"/>
        <v>2381148</v>
      </c>
      <c r="BU20" s="9">
        <f>+BS20-'Gen Fd BS'!AA20+BQ20</f>
        <v>0</v>
      </c>
    </row>
    <row r="21" spans="1:73" hidden="1">
      <c r="A21" s="13" t="s">
        <v>828</v>
      </c>
      <c r="B21" s="13"/>
      <c r="C21" s="13" t="s">
        <v>21</v>
      </c>
      <c r="D21" s="13"/>
      <c r="E21" s="32">
        <v>46631</v>
      </c>
      <c r="AG21" s="8">
        <v>0</v>
      </c>
      <c r="AI21" s="8">
        <v>0</v>
      </c>
      <c r="AJ21" s="13" t="s">
        <v>828</v>
      </c>
      <c r="AK21" s="13"/>
      <c r="AL21" s="13" t="s">
        <v>829</v>
      </c>
      <c r="AT21" s="8">
        <v>0</v>
      </c>
      <c r="AV21" s="8">
        <v>0</v>
      </c>
      <c r="AX21" s="8">
        <v>0</v>
      </c>
      <c r="AZ21" s="8">
        <f t="shared" si="0"/>
        <v>0</v>
      </c>
      <c r="BB21" s="8">
        <v>0</v>
      </c>
      <c r="BH21" s="8">
        <v>0</v>
      </c>
      <c r="BJ21" s="8">
        <f t="shared" si="1"/>
        <v>0</v>
      </c>
      <c r="BL21" s="8">
        <f>+GenRev!AM21-GenExp!BJ21</f>
        <v>0</v>
      </c>
      <c r="BN21" s="8">
        <v>0</v>
      </c>
      <c r="BP21" s="8">
        <v>0</v>
      </c>
      <c r="BQ21" s="8">
        <v>0</v>
      </c>
      <c r="BS21" s="8">
        <f t="shared" si="2"/>
        <v>0</v>
      </c>
      <c r="BU21" s="9">
        <f>+BS21-'Gen Fd BS'!AA21+BQ21</f>
        <v>0</v>
      </c>
    </row>
    <row r="22" spans="1:73">
      <c r="A22" s="13" t="s">
        <v>372</v>
      </c>
      <c r="B22" s="13"/>
      <c r="C22" s="13" t="s">
        <v>28</v>
      </c>
      <c r="D22" s="13"/>
      <c r="E22" s="32">
        <v>47043</v>
      </c>
      <c r="G22" s="8">
        <v>5921836</v>
      </c>
      <c r="I22" s="8">
        <v>851479</v>
      </c>
      <c r="K22" s="8">
        <v>177030</v>
      </c>
      <c r="M22" s="8">
        <v>59313</v>
      </c>
      <c r="O22" s="8">
        <v>545882</v>
      </c>
      <c r="Q22" s="8">
        <v>456115</v>
      </c>
      <c r="S22" s="8">
        <v>43474</v>
      </c>
      <c r="U22" s="8">
        <v>734463</v>
      </c>
      <c r="W22" s="8">
        <v>366489</v>
      </c>
      <c r="Y22" s="8">
        <v>0</v>
      </c>
      <c r="AA22" s="8">
        <v>1270632</v>
      </c>
      <c r="AC22" s="8">
        <v>687642</v>
      </c>
      <c r="AE22" s="8">
        <v>0</v>
      </c>
      <c r="AG22" s="8">
        <v>0</v>
      </c>
      <c r="AI22" s="8">
        <v>0</v>
      </c>
      <c r="AJ22" s="13" t="s">
        <v>372</v>
      </c>
      <c r="AK22" s="13"/>
      <c r="AL22" s="13" t="s">
        <v>28</v>
      </c>
      <c r="AN22" s="8">
        <v>356065</v>
      </c>
      <c r="AP22" s="8">
        <v>67648</v>
      </c>
      <c r="AT22" s="8">
        <v>0</v>
      </c>
      <c r="AV22" s="8">
        <v>0</v>
      </c>
      <c r="AX22" s="8">
        <v>0</v>
      </c>
      <c r="AZ22" s="8">
        <f t="shared" si="0"/>
        <v>11538068</v>
      </c>
      <c r="BB22" s="8">
        <v>0</v>
      </c>
      <c r="BH22" s="8">
        <v>0</v>
      </c>
      <c r="BJ22" s="8">
        <f t="shared" si="1"/>
        <v>11538068</v>
      </c>
      <c r="BL22" s="8">
        <f>+GenRev!AM22-GenExp!BJ22</f>
        <v>899431</v>
      </c>
      <c r="BN22" s="8">
        <v>2103962</v>
      </c>
      <c r="BP22" s="8">
        <v>0</v>
      </c>
      <c r="BQ22" s="8">
        <v>0</v>
      </c>
      <c r="BS22" s="8">
        <f t="shared" si="2"/>
        <v>3003393</v>
      </c>
      <c r="BU22" s="9">
        <f>+BS22-'Gen Fd BS'!AA22+BQ22</f>
        <v>0</v>
      </c>
    </row>
    <row r="23" spans="1:73">
      <c r="A23" s="13" t="s">
        <v>419</v>
      </c>
      <c r="B23" s="13"/>
      <c r="C23" s="13" t="s">
        <v>33</v>
      </c>
      <c r="D23" s="13"/>
      <c r="E23" s="32">
        <v>47423</v>
      </c>
      <c r="G23" s="8">
        <v>2726447</v>
      </c>
      <c r="I23" s="8">
        <v>580018</v>
      </c>
      <c r="K23" s="8">
        <v>258251</v>
      </c>
      <c r="M23" s="8">
        <v>0</v>
      </c>
      <c r="O23" s="8">
        <v>149387</v>
      </c>
      <c r="Q23" s="8">
        <v>327805</v>
      </c>
      <c r="S23" s="8">
        <v>36007</v>
      </c>
      <c r="U23" s="8">
        <v>465135</v>
      </c>
      <c r="W23" s="8">
        <v>204429</v>
      </c>
      <c r="Y23" s="8">
        <v>0</v>
      </c>
      <c r="AA23" s="8">
        <v>452031</v>
      </c>
      <c r="AC23" s="8">
        <v>201156</v>
      </c>
      <c r="AE23" s="8">
        <v>1703</v>
      </c>
      <c r="AG23" s="8">
        <v>0</v>
      </c>
      <c r="AI23" s="8">
        <v>0</v>
      </c>
      <c r="AJ23" s="13" t="s">
        <v>419</v>
      </c>
      <c r="AK23" s="13"/>
      <c r="AL23" s="13" t="s">
        <v>33</v>
      </c>
      <c r="AN23" s="8">
        <v>167762</v>
      </c>
      <c r="AP23" s="8">
        <v>7231</v>
      </c>
      <c r="AT23" s="8">
        <v>0</v>
      </c>
      <c r="AV23" s="8">
        <v>0</v>
      </c>
      <c r="AX23" s="8">
        <v>0</v>
      </c>
      <c r="AZ23" s="8">
        <f t="shared" si="0"/>
        <v>5577362</v>
      </c>
      <c r="BB23" s="8">
        <v>0</v>
      </c>
      <c r="BH23" s="8">
        <v>0</v>
      </c>
      <c r="BJ23" s="8">
        <f t="shared" si="1"/>
        <v>5577362</v>
      </c>
      <c r="BL23" s="8">
        <f>+GenRev!AM23-GenExp!BJ23</f>
        <v>64566</v>
      </c>
      <c r="BN23" s="8">
        <v>3116832</v>
      </c>
      <c r="BP23" s="8">
        <v>0</v>
      </c>
      <c r="BQ23" s="8">
        <v>0</v>
      </c>
      <c r="BS23" s="8">
        <f t="shared" si="2"/>
        <v>3181398</v>
      </c>
      <c r="BU23" s="9">
        <f>+BS23-'Gen Fd BS'!AA23+BQ23</f>
        <v>0</v>
      </c>
    </row>
    <row r="24" spans="1:73">
      <c r="A24" s="13" t="s">
        <v>215</v>
      </c>
      <c r="B24" s="13"/>
      <c r="C24" s="13" t="s">
        <v>11</v>
      </c>
      <c r="D24" s="13"/>
      <c r="E24" s="32">
        <v>43505</v>
      </c>
      <c r="F24" s="11"/>
      <c r="G24" s="8">
        <v>13450260</v>
      </c>
      <c r="I24" s="8">
        <v>3066030</v>
      </c>
      <c r="K24" s="8">
        <v>897308</v>
      </c>
      <c r="M24" s="8">
        <v>1673187</v>
      </c>
      <c r="O24" s="8">
        <v>1567778</v>
      </c>
      <c r="Q24" s="8">
        <v>1331928</v>
      </c>
      <c r="S24" s="8">
        <v>221949</v>
      </c>
      <c r="U24" s="8">
        <v>2354944</v>
      </c>
      <c r="W24" s="8">
        <v>829848</v>
      </c>
      <c r="Y24" s="8">
        <v>407764</v>
      </c>
      <c r="AA24" s="8">
        <v>2536084</v>
      </c>
      <c r="AC24" s="8">
        <v>904837</v>
      </c>
      <c r="AE24" s="8">
        <v>231401</v>
      </c>
      <c r="AG24" s="8">
        <v>0</v>
      </c>
      <c r="AI24" s="8">
        <v>0</v>
      </c>
      <c r="AJ24" s="13" t="s">
        <v>215</v>
      </c>
      <c r="AK24" s="13"/>
      <c r="AL24" s="13" t="s">
        <v>11</v>
      </c>
      <c r="AN24" s="8">
        <v>614167</v>
      </c>
      <c r="AP24" s="8">
        <v>185187</v>
      </c>
      <c r="AT24" s="8">
        <v>445000</v>
      </c>
      <c r="AV24" s="8">
        <v>59759</v>
      </c>
      <c r="AX24" s="8">
        <v>0</v>
      </c>
      <c r="AZ24" s="8">
        <f t="shared" si="0"/>
        <v>30777431</v>
      </c>
      <c r="BB24" s="8">
        <v>0</v>
      </c>
      <c r="BH24" s="8">
        <v>0</v>
      </c>
      <c r="BJ24" s="8">
        <f t="shared" si="1"/>
        <v>30777431</v>
      </c>
      <c r="BL24" s="8">
        <f>+GenRev!AM24-GenExp!BJ24</f>
        <v>-3047726</v>
      </c>
      <c r="BN24" s="8">
        <v>10803833</v>
      </c>
      <c r="BP24" s="8">
        <v>0</v>
      </c>
      <c r="BQ24" s="8">
        <v>0</v>
      </c>
      <c r="BS24" s="8">
        <f t="shared" si="2"/>
        <v>7756107</v>
      </c>
      <c r="BU24" s="9">
        <f>+BS24-'Gen Fd BS'!AA24+BQ24</f>
        <v>0</v>
      </c>
    </row>
    <row r="25" spans="1:73" hidden="1">
      <c r="A25" s="13" t="s">
        <v>768</v>
      </c>
      <c r="B25" s="13"/>
      <c r="C25" s="13" t="s">
        <v>12</v>
      </c>
      <c r="D25" s="13"/>
      <c r="E25" s="32">
        <v>43513</v>
      </c>
      <c r="F25" s="11"/>
      <c r="AG25" s="8">
        <v>0</v>
      </c>
      <c r="AI25" s="8">
        <v>0</v>
      </c>
      <c r="AJ25" s="13" t="s">
        <v>768</v>
      </c>
      <c r="AK25" s="13"/>
      <c r="AL25" s="13" t="s">
        <v>12</v>
      </c>
      <c r="AT25" s="8">
        <v>0</v>
      </c>
      <c r="AV25" s="8">
        <v>0</v>
      </c>
      <c r="AX25" s="8">
        <v>0</v>
      </c>
      <c r="AZ25" s="8">
        <f t="shared" si="0"/>
        <v>0</v>
      </c>
      <c r="BB25" s="8">
        <v>0</v>
      </c>
      <c r="BH25" s="8">
        <v>0</v>
      </c>
      <c r="BJ25" s="8">
        <f t="shared" si="1"/>
        <v>0</v>
      </c>
      <c r="BL25" s="8">
        <f>+GenRev!AM25-GenExp!BJ25</f>
        <v>0</v>
      </c>
      <c r="BN25" s="8">
        <v>0</v>
      </c>
      <c r="BP25" s="8">
        <v>0</v>
      </c>
      <c r="BQ25" s="8">
        <v>0</v>
      </c>
      <c r="BS25" s="8">
        <f t="shared" si="2"/>
        <v>0</v>
      </c>
      <c r="BU25" s="9">
        <f>+BS25-'Gen Fd BS'!AA25+BQ25</f>
        <v>0</v>
      </c>
    </row>
    <row r="26" spans="1:73">
      <c r="A26" s="13" t="s">
        <v>226</v>
      </c>
      <c r="B26" s="13"/>
      <c r="C26" s="13" t="s">
        <v>13</v>
      </c>
      <c r="D26" s="13"/>
      <c r="E26" s="32">
        <v>43521</v>
      </c>
      <c r="F26" s="11"/>
      <c r="G26" s="8">
        <v>11661919</v>
      </c>
      <c r="I26" s="8">
        <v>2469527</v>
      </c>
      <c r="K26" s="8">
        <v>286608</v>
      </c>
      <c r="M26" s="8">
        <v>154997</v>
      </c>
      <c r="O26" s="8">
        <v>994912</v>
      </c>
      <c r="Q26" s="8">
        <v>1141770</v>
      </c>
      <c r="S26" s="8">
        <v>112752</v>
      </c>
      <c r="U26" s="8">
        <v>1855665</v>
      </c>
      <c r="W26" s="8">
        <v>528708</v>
      </c>
      <c r="Y26" s="8">
        <v>605370</v>
      </c>
      <c r="AA26" s="8">
        <v>3294340</v>
      </c>
      <c r="AC26" s="8">
        <v>1712712</v>
      </c>
      <c r="AE26" s="8">
        <v>107913</v>
      </c>
      <c r="AG26" s="8">
        <v>0</v>
      </c>
      <c r="AI26" s="8">
        <v>304</v>
      </c>
      <c r="AJ26" s="13" t="s">
        <v>226</v>
      </c>
      <c r="AK26" s="13"/>
      <c r="AL26" s="13" t="s">
        <v>13</v>
      </c>
      <c r="AN26" s="8">
        <v>348766</v>
      </c>
      <c r="AP26" s="8">
        <v>19179</v>
      </c>
      <c r="AT26" s="8">
        <v>0</v>
      </c>
      <c r="AV26" s="8">
        <v>0</v>
      </c>
      <c r="AX26" s="8">
        <v>0</v>
      </c>
      <c r="AZ26" s="8">
        <f t="shared" si="0"/>
        <v>25295442</v>
      </c>
      <c r="BB26" s="8">
        <v>455562</v>
      </c>
      <c r="BH26" s="8">
        <v>0</v>
      </c>
      <c r="BJ26" s="8">
        <f t="shared" si="1"/>
        <v>25751004</v>
      </c>
      <c r="BL26" s="8">
        <f>+GenRev!AM26-GenExp!BJ26</f>
        <v>1587718</v>
      </c>
      <c r="BN26" s="8">
        <v>2535993</v>
      </c>
      <c r="BP26" s="8">
        <v>0</v>
      </c>
      <c r="BQ26" s="8">
        <v>0</v>
      </c>
      <c r="BS26" s="8">
        <f t="shared" si="2"/>
        <v>4123711</v>
      </c>
      <c r="BU26" s="9">
        <f>+BS26-'Gen Fd BS'!AA26+BQ26</f>
        <v>0</v>
      </c>
    </row>
    <row r="27" spans="1:73">
      <c r="A27" s="13" t="s">
        <v>595</v>
      </c>
      <c r="B27" s="13"/>
      <c r="C27" s="13" t="s">
        <v>56</v>
      </c>
      <c r="D27" s="13"/>
      <c r="E27" s="32">
        <v>49171</v>
      </c>
      <c r="G27" s="8">
        <v>13224052</v>
      </c>
      <c r="I27" s="8">
        <v>1657703</v>
      </c>
      <c r="K27" s="8">
        <v>165025</v>
      </c>
      <c r="M27" s="8">
        <v>667652</v>
      </c>
      <c r="O27" s="8">
        <v>1523579</v>
      </c>
      <c r="Q27" s="8">
        <v>1399515</v>
      </c>
      <c r="S27" s="8">
        <v>142829</v>
      </c>
      <c r="U27" s="8">
        <v>2435925</v>
      </c>
      <c r="W27" s="8">
        <v>731612</v>
      </c>
      <c r="Y27" s="8">
        <v>205508</v>
      </c>
      <c r="AA27" s="8">
        <v>2428341</v>
      </c>
      <c r="AC27" s="8">
        <v>1374117</v>
      </c>
      <c r="AE27" s="8">
        <v>0</v>
      </c>
      <c r="AG27" s="8">
        <v>0</v>
      </c>
      <c r="AI27" s="8">
        <v>0</v>
      </c>
      <c r="AJ27" s="13" t="s">
        <v>595</v>
      </c>
      <c r="AK27" s="13"/>
      <c r="AL27" s="13" t="s">
        <v>56</v>
      </c>
      <c r="AN27" s="8">
        <v>517023</v>
      </c>
      <c r="AP27" s="8">
        <v>284512</v>
      </c>
      <c r="AT27" s="8">
        <v>0</v>
      </c>
      <c r="AV27" s="8">
        <v>387756</v>
      </c>
      <c r="AX27" s="8">
        <v>0</v>
      </c>
      <c r="AZ27" s="8">
        <f t="shared" si="0"/>
        <v>27145149</v>
      </c>
      <c r="BB27" s="8">
        <v>74352</v>
      </c>
      <c r="BH27" s="8">
        <v>0</v>
      </c>
      <c r="BJ27" s="8">
        <f t="shared" si="1"/>
        <v>27219501</v>
      </c>
      <c r="BL27" s="8">
        <f>+GenRev!AM27-GenExp!BJ27</f>
        <v>-1014106</v>
      </c>
      <c r="BN27" s="8">
        <v>3119959</v>
      </c>
      <c r="BP27" s="8">
        <v>0</v>
      </c>
      <c r="BQ27" s="8">
        <v>0</v>
      </c>
      <c r="BS27" s="8">
        <f t="shared" si="2"/>
        <v>2105853</v>
      </c>
      <c r="BU27" s="9">
        <f>+BS27-'Gen Fd BS'!AA27+BQ27</f>
        <v>0</v>
      </c>
    </row>
    <row r="28" spans="1:73">
      <c r="A28" s="13" t="s">
        <v>514</v>
      </c>
      <c r="B28" s="13"/>
      <c r="C28" s="13" t="s">
        <v>45</v>
      </c>
      <c r="D28" s="13"/>
      <c r="E28" s="32">
        <v>48298</v>
      </c>
      <c r="G28" s="8">
        <v>18826290</v>
      </c>
      <c r="I28" s="8">
        <v>3914584</v>
      </c>
      <c r="K28" s="8">
        <v>271692</v>
      </c>
      <c r="M28" s="8">
        <v>1422449</v>
      </c>
      <c r="O28" s="8">
        <v>2523154</v>
      </c>
      <c r="Q28" s="8">
        <v>1090340</v>
      </c>
      <c r="S28" s="8">
        <v>58681</v>
      </c>
      <c r="U28" s="8">
        <v>3260906</v>
      </c>
      <c r="W28" s="8">
        <v>843532</v>
      </c>
      <c r="Y28" s="8">
        <v>58496</v>
      </c>
      <c r="AA28" s="8">
        <v>4196972</v>
      </c>
      <c r="AC28" s="8">
        <v>2468191</v>
      </c>
      <c r="AE28" s="8">
        <v>47782</v>
      </c>
      <c r="AG28" s="8">
        <v>0</v>
      </c>
      <c r="AI28" s="8">
        <v>4441</v>
      </c>
      <c r="AJ28" s="13" t="s">
        <v>514</v>
      </c>
      <c r="AK28" s="13"/>
      <c r="AL28" s="13" t="s">
        <v>45</v>
      </c>
      <c r="AN28" s="8">
        <v>585589</v>
      </c>
      <c r="AP28" s="8">
        <v>424522</v>
      </c>
      <c r="AT28" s="8">
        <v>0</v>
      </c>
      <c r="AV28" s="8">
        <v>0</v>
      </c>
      <c r="AX28" s="8">
        <v>0</v>
      </c>
      <c r="AZ28" s="8">
        <f t="shared" si="0"/>
        <v>39997621</v>
      </c>
      <c r="BB28" s="8">
        <v>1493005</v>
      </c>
      <c r="BH28" s="8">
        <v>0</v>
      </c>
      <c r="BJ28" s="8">
        <f t="shared" si="1"/>
        <v>41490626</v>
      </c>
      <c r="BL28" s="8">
        <f>+GenRev!AM28-GenExp!BJ28</f>
        <v>-1585265</v>
      </c>
      <c r="BN28" s="8">
        <v>282900</v>
      </c>
      <c r="BP28" s="8">
        <v>0</v>
      </c>
      <c r="BQ28" s="8">
        <v>0</v>
      </c>
      <c r="BS28" s="8">
        <f t="shared" si="2"/>
        <v>-1302365</v>
      </c>
      <c r="BU28" s="9">
        <f>+BS28-'Gen Fd BS'!AA28+BQ28</f>
        <v>0</v>
      </c>
    </row>
    <row r="29" spans="1:73">
      <c r="A29" s="13" t="s">
        <v>489</v>
      </c>
      <c r="B29" s="13"/>
      <c r="C29" s="13" t="s">
        <v>44</v>
      </c>
      <c r="D29" s="13"/>
      <c r="E29" s="32">
        <v>48124</v>
      </c>
      <c r="G29" s="8">
        <v>16673977</v>
      </c>
      <c r="I29" s="8">
        <v>2233371</v>
      </c>
      <c r="K29" s="8">
        <v>225510</v>
      </c>
      <c r="M29" s="8">
        <f>12723+873680</f>
        <v>886403</v>
      </c>
      <c r="O29" s="8">
        <v>2259986</v>
      </c>
      <c r="Q29" s="8">
        <v>739960</v>
      </c>
      <c r="S29" s="8">
        <v>22687</v>
      </c>
      <c r="U29" s="8">
        <v>2764738</v>
      </c>
      <c r="W29" s="8">
        <v>941415</v>
      </c>
      <c r="Y29" s="8">
        <v>152428</v>
      </c>
      <c r="AA29" s="8">
        <v>4051507</v>
      </c>
      <c r="AC29" s="8">
        <v>1395166</v>
      </c>
      <c r="AE29" s="8">
        <v>277186</v>
      </c>
      <c r="AG29" s="8">
        <v>0</v>
      </c>
      <c r="AI29" s="8">
        <v>0</v>
      </c>
      <c r="AJ29" s="13" t="s">
        <v>489</v>
      </c>
      <c r="AK29" s="13"/>
      <c r="AL29" s="13" t="s">
        <v>44</v>
      </c>
      <c r="AN29" s="8">
        <v>749935</v>
      </c>
      <c r="AP29" s="8">
        <v>0</v>
      </c>
      <c r="AT29" s="8">
        <v>58953</v>
      </c>
      <c r="AV29" s="8">
        <v>13539</v>
      </c>
      <c r="AX29" s="8">
        <v>0</v>
      </c>
      <c r="AZ29" s="8">
        <f t="shared" si="0"/>
        <v>33446761</v>
      </c>
      <c r="BB29" s="8">
        <v>35858</v>
      </c>
      <c r="BH29" s="8">
        <v>0</v>
      </c>
      <c r="BJ29" s="8">
        <f t="shared" si="1"/>
        <v>33482619</v>
      </c>
      <c r="BL29" s="8">
        <f>+GenRev!AM29-GenExp!BJ29</f>
        <v>2383260</v>
      </c>
      <c r="BN29" s="8">
        <v>9576987</v>
      </c>
      <c r="BP29" s="8">
        <v>0</v>
      </c>
      <c r="BQ29" s="8">
        <v>0</v>
      </c>
      <c r="BS29" s="8">
        <f t="shared" si="2"/>
        <v>11960247</v>
      </c>
      <c r="BU29" s="9">
        <f>+BS29-'Gen Fd BS'!AA29+BQ29</f>
        <v>0</v>
      </c>
    </row>
    <row r="30" spans="1:73">
      <c r="A30" s="13" t="s">
        <v>490</v>
      </c>
      <c r="B30" s="13"/>
      <c r="C30" s="13" t="s">
        <v>44</v>
      </c>
      <c r="D30" s="13"/>
      <c r="E30" s="32">
        <v>48116</v>
      </c>
      <c r="G30" s="8">
        <v>11591129</v>
      </c>
      <c r="I30" s="8">
        <v>1926353</v>
      </c>
      <c r="K30" s="8">
        <v>130641</v>
      </c>
      <c r="M30" s="8">
        <v>1105804</v>
      </c>
      <c r="O30" s="8">
        <v>857867</v>
      </c>
      <c r="Q30" s="8">
        <v>1242730</v>
      </c>
      <c r="S30" s="8">
        <v>295319</v>
      </c>
      <c r="U30" s="8">
        <v>1978452</v>
      </c>
      <c r="W30" s="8">
        <v>663155</v>
      </c>
      <c r="Y30" s="8">
        <v>31851</v>
      </c>
      <c r="AA30" s="8">
        <v>2459028</v>
      </c>
      <c r="AC30" s="8">
        <v>1942295</v>
      </c>
      <c r="AE30" s="8">
        <v>230322</v>
      </c>
      <c r="AG30" s="8">
        <v>0</v>
      </c>
      <c r="AI30" s="8">
        <v>0</v>
      </c>
      <c r="AJ30" s="13" t="s">
        <v>490</v>
      </c>
      <c r="AK30" s="13"/>
      <c r="AL30" s="13" t="s">
        <v>44</v>
      </c>
      <c r="AN30" s="8">
        <v>611100</v>
      </c>
      <c r="AP30" s="8">
        <v>0</v>
      </c>
      <c r="AT30" s="8">
        <v>45000</v>
      </c>
      <c r="AV30" s="8">
        <v>15750</v>
      </c>
      <c r="AX30" s="8">
        <v>0</v>
      </c>
      <c r="AZ30" s="8">
        <f t="shared" si="0"/>
        <v>25126796</v>
      </c>
      <c r="BB30" s="8">
        <v>0</v>
      </c>
      <c r="BH30" s="8">
        <v>0</v>
      </c>
      <c r="BJ30" s="8">
        <f t="shared" si="1"/>
        <v>25126796</v>
      </c>
      <c r="BL30" s="8">
        <f>+GenRev!AM30-GenExp!BJ30</f>
        <v>-93795</v>
      </c>
      <c r="BN30" s="8">
        <v>5287767</v>
      </c>
      <c r="BP30" s="8">
        <v>0</v>
      </c>
      <c r="BQ30" s="8">
        <v>0</v>
      </c>
      <c r="BS30" s="8">
        <f t="shared" si="2"/>
        <v>5193972</v>
      </c>
      <c r="BU30" s="9">
        <f>+BS30-'Gen Fd BS'!AA30+BQ30</f>
        <v>0</v>
      </c>
    </row>
    <row r="31" spans="1:73">
      <c r="A31" s="13" t="s">
        <v>334</v>
      </c>
      <c r="B31" s="13"/>
      <c r="C31" s="13" t="s">
        <v>22</v>
      </c>
      <c r="D31" s="13"/>
      <c r="E31" s="32">
        <v>46706</v>
      </c>
      <c r="G31" s="8">
        <v>3579348</v>
      </c>
      <c r="I31" s="8">
        <v>512330</v>
      </c>
      <c r="K31" s="8">
        <v>74913</v>
      </c>
      <c r="M31" s="8">
        <v>323153</v>
      </c>
      <c r="O31" s="8">
        <v>237869</v>
      </c>
      <c r="Q31" s="8">
        <v>231347</v>
      </c>
      <c r="S31" s="8">
        <v>19159</v>
      </c>
      <c r="U31" s="8">
        <v>640139</v>
      </c>
      <c r="W31" s="8">
        <v>271444</v>
      </c>
      <c r="Y31" s="8">
        <v>0</v>
      </c>
      <c r="AA31" s="8">
        <v>532911</v>
      </c>
      <c r="AC31" s="8">
        <v>329452</v>
      </c>
      <c r="AE31" s="8">
        <v>44171</v>
      </c>
      <c r="AG31" s="8">
        <v>0</v>
      </c>
      <c r="AI31" s="8">
        <v>14047</v>
      </c>
      <c r="AJ31" s="13" t="s">
        <v>334</v>
      </c>
      <c r="AK31" s="13"/>
      <c r="AL31" s="13" t="s">
        <v>22</v>
      </c>
      <c r="AN31" s="8">
        <v>248804</v>
      </c>
      <c r="AP31" s="8">
        <v>147490</v>
      </c>
      <c r="AT31" s="8">
        <v>51262</v>
      </c>
      <c r="AV31" s="8">
        <v>3786</v>
      </c>
      <c r="AX31" s="8">
        <v>0</v>
      </c>
      <c r="AZ31" s="8">
        <f t="shared" si="0"/>
        <v>7261625</v>
      </c>
      <c r="BB31" s="8">
        <v>144000</v>
      </c>
      <c r="BH31" s="8">
        <v>0</v>
      </c>
      <c r="BJ31" s="8">
        <f t="shared" si="1"/>
        <v>7405625</v>
      </c>
      <c r="BL31" s="8">
        <f>+GenRev!AM31-GenExp!BJ31</f>
        <v>26231</v>
      </c>
      <c r="BN31" s="8">
        <v>2027841</v>
      </c>
      <c r="BP31" s="8">
        <v>-2271</v>
      </c>
      <c r="BQ31" s="8">
        <v>0</v>
      </c>
      <c r="BS31" s="8">
        <f t="shared" si="2"/>
        <v>2056343</v>
      </c>
      <c r="BU31" s="9">
        <f>+BS31-'Gen Fd BS'!AA31+BQ31</f>
        <v>0</v>
      </c>
    </row>
    <row r="32" spans="1:73">
      <c r="A32" s="13" t="s">
        <v>668</v>
      </c>
      <c r="B32" s="13"/>
      <c r="C32" s="13" t="s">
        <v>63</v>
      </c>
      <c r="D32" s="13"/>
      <c r="E32" s="32">
        <v>43539</v>
      </c>
      <c r="G32" s="8">
        <v>14137795</v>
      </c>
      <c r="I32" s="8">
        <v>2732011</v>
      </c>
      <c r="K32" s="8">
        <v>1112141</v>
      </c>
      <c r="M32" s="8">
        <v>3693689</v>
      </c>
      <c r="O32" s="8">
        <v>1644951</v>
      </c>
      <c r="Q32" s="8">
        <v>1193960</v>
      </c>
      <c r="S32" s="8">
        <v>17624</v>
      </c>
      <c r="U32" s="8">
        <v>2976285</v>
      </c>
      <c r="W32" s="8">
        <v>548721</v>
      </c>
      <c r="Y32" s="8">
        <v>219335</v>
      </c>
      <c r="AA32" s="8">
        <v>3964040</v>
      </c>
      <c r="AC32" s="8">
        <v>654346</v>
      </c>
      <c r="AE32" s="8">
        <v>56933</v>
      </c>
      <c r="AG32" s="8">
        <v>0</v>
      </c>
      <c r="AI32" s="8">
        <v>0</v>
      </c>
      <c r="AJ32" s="13" t="s">
        <v>668</v>
      </c>
      <c r="AK32" s="13"/>
      <c r="AL32" s="13" t="s">
        <v>63</v>
      </c>
      <c r="AN32" s="8">
        <v>1015464</v>
      </c>
      <c r="AP32" s="8">
        <v>110878</v>
      </c>
      <c r="AT32" s="8">
        <v>189000</v>
      </c>
      <c r="AV32" s="8">
        <v>92095</v>
      </c>
      <c r="AX32" s="8">
        <v>0</v>
      </c>
      <c r="AZ32" s="8">
        <f t="shared" si="0"/>
        <v>34359268</v>
      </c>
      <c r="BB32" s="8">
        <v>0</v>
      </c>
      <c r="BH32" s="8">
        <v>0</v>
      </c>
      <c r="BJ32" s="8">
        <f t="shared" si="1"/>
        <v>34359268</v>
      </c>
      <c r="BL32" s="8">
        <f>+GenRev!AM32-GenExp!BJ32</f>
        <v>1549193</v>
      </c>
      <c r="BN32" s="8">
        <v>5029696</v>
      </c>
      <c r="BP32" s="8">
        <v>0</v>
      </c>
      <c r="BQ32" s="8">
        <v>0</v>
      </c>
      <c r="BS32" s="8">
        <f t="shared" si="2"/>
        <v>6578889</v>
      </c>
      <c r="BU32" s="9">
        <f>+BS32-'Gen Fd BS'!AA32+BQ32</f>
        <v>0</v>
      </c>
    </row>
    <row r="33" spans="1:74">
      <c r="A33" s="13" t="s">
        <v>831</v>
      </c>
      <c r="B33" s="13"/>
      <c r="C33" s="13" t="s">
        <v>15</v>
      </c>
      <c r="D33" s="13"/>
      <c r="E33" s="32"/>
      <c r="G33" s="8">
        <v>3723091</v>
      </c>
      <c r="I33" s="8">
        <v>697751</v>
      </c>
      <c r="K33" s="8">
        <v>241198</v>
      </c>
      <c r="M33" s="8">
        <v>0</v>
      </c>
      <c r="O33" s="8">
        <v>388970</v>
      </c>
      <c r="Q33" s="8">
        <v>137212</v>
      </c>
      <c r="S33" s="8">
        <v>141392</v>
      </c>
      <c r="U33" s="8">
        <v>621428</v>
      </c>
      <c r="W33" s="8">
        <v>376905</v>
      </c>
      <c r="Y33" s="8">
        <v>22430</v>
      </c>
      <c r="AA33" s="8">
        <v>1140872</v>
      </c>
      <c r="AC33" s="8">
        <v>627510</v>
      </c>
      <c r="AE33" s="8">
        <v>30696</v>
      </c>
      <c r="AG33" s="8">
        <v>0</v>
      </c>
      <c r="AI33" s="8">
        <v>0</v>
      </c>
      <c r="AJ33" s="13" t="s">
        <v>831</v>
      </c>
      <c r="AK33" s="13"/>
      <c r="AL33" s="13" t="s">
        <v>15</v>
      </c>
      <c r="AN33" s="8">
        <v>88488</v>
      </c>
      <c r="AP33" s="8">
        <v>125247</v>
      </c>
      <c r="AT33" s="8">
        <v>22581</v>
      </c>
      <c r="AV33" s="8">
        <v>1272</v>
      </c>
      <c r="AX33" s="8">
        <v>0</v>
      </c>
      <c r="AZ33" s="8">
        <f t="shared" si="0"/>
        <v>8387043</v>
      </c>
      <c r="BB33" s="8">
        <v>0</v>
      </c>
      <c r="BH33" s="8">
        <v>0</v>
      </c>
      <c r="BJ33" s="8">
        <f t="shared" si="1"/>
        <v>8387043</v>
      </c>
      <c r="BL33" s="8">
        <f>+GenRev!AM33-GenExp!BJ33</f>
        <v>439232</v>
      </c>
      <c r="BN33" s="8">
        <v>1325060</v>
      </c>
      <c r="BP33" s="8">
        <v>0</v>
      </c>
      <c r="BQ33" s="8">
        <v>0</v>
      </c>
      <c r="BS33" s="8">
        <f t="shared" si="2"/>
        <v>1764292</v>
      </c>
      <c r="BU33" s="9">
        <f>+BS33-'Gen Fd BS'!AA33+BQ33</f>
        <v>0</v>
      </c>
    </row>
    <row r="34" spans="1:74" hidden="1">
      <c r="A34" s="13" t="s">
        <v>270</v>
      </c>
      <c r="B34" s="13"/>
      <c r="C34" s="13" t="s">
        <v>116</v>
      </c>
      <c r="D34" s="13"/>
      <c r="E34" s="32">
        <v>46300</v>
      </c>
      <c r="F34" s="11"/>
      <c r="AG34" s="8">
        <v>0</v>
      </c>
      <c r="AI34" s="8">
        <v>0</v>
      </c>
      <c r="AJ34" s="13" t="s">
        <v>270</v>
      </c>
      <c r="AK34" s="13"/>
      <c r="AL34" s="13" t="s">
        <v>116</v>
      </c>
      <c r="AX34" s="8">
        <v>0</v>
      </c>
      <c r="AZ34" s="8">
        <f t="shared" si="0"/>
        <v>0</v>
      </c>
      <c r="BB34" s="8">
        <v>0</v>
      </c>
      <c r="BH34" s="8">
        <v>0</v>
      </c>
      <c r="BJ34" s="8">
        <f t="shared" si="1"/>
        <v>0</v>
      </c>
      <c r="BL34" s="8">
        <f>+GenRev!AM34-GenExp!BJ34</f>
        <v>0</v>
      </c>
      <c r="BN34" s="8">
        <v>0</v>
      </c>
      <c r="BP34" s="8">
        <v>0</v>
      </c>
      <c r="BQ34" s="8">
        <v>0</v>
      </c>
      <c r="BS34" s="8">
        <f t="shared" si="2"/>
        <v>0</v>
      </c>
      <c r="BU34" s="9">
        <f>+BS34-'Gen Fd BS'!AA34+BQ34</f>
        <v>0</v>
      </c>
    </row>
    <row r="35" spans="1:74" hidden="1">
      <c r="A35" s="13" t="s">
        <v>211</v>
      </c>
      <c r="B35" s="13"/>
      <c r="C35" s="13" t="s">
        <v>10</v>
      </c>
      <c r="D35" s="13"/>
      <c r="E35" s="32">
        <v>45765</v>
      </c>
      <c r="F35" s="11"/>
      <c r="AG35" s="8">
        <v>0</v>
      </c>
      <c r="AI35" s="8">
        <v>0</v>
      </c>
      <c r="AJ35" s="13" t="s">
        <v>211</v>
      </c>
      <c r="AK35" s="13"/>
      <c r="AL35" s="13" t="s">
        <v>10</v>
      </c>
      <c r="AX35" s="8">
        <v>0</v>
      </c>
      <c r="AZ35" s="8">
        <f t="shared" si="0"/>
        <v>0</v>
      </c>
      <c r="BB35" s="8">
        <v>0</v>
      </c>
      <c r="BH35" s="8">
        <v>0</v>
      </c>
      <c r="BJ35" s="8">
        <f t="shared" si="1"/>
        <v>0</v>
      </c>
      <c r="BL35" s="8">
        <f>+GenRev!AM35-GenExp!BJ35</f>
        <v>0</v>
      </c>
      <c r="BN35" s="8">
        <v>0</v>
      </c>
      <c r="BP35" s="8">
        <v>0</v>
      </c>
      <c r="BQ35" s="8">
        <v>0</v>
      </c>
      <c r="BS35" s="8">
        <f t="shared" si="2"/>
        <v>0</v>
      </c>
      <c r="BU35" s="9">
        <f>+BS35-'Gen Fd BS'!AA35+BQ35</f>
        <v>0</v>
      </c>
    </row>
    <row r="36" spans="1:74">
      <c r="A36" s="13" t="s">
        <v>300</v>
      </c>
      <c r="B36" s="13"/>
      <c r="C36" s="13" t="s">
        <v>20</v>
      </c>
      <c r="D36" s="13"/>
      <c r="E36" s="32">
        <v>43547</v>
      </c>
      <c r="G36" s="8">
        <v>11880987</v>
      </c>
      <c r="I36" s="8">
        <v>1790423</v>
      </c>
      <c r="K36" s="8">
        <v>292145</v>
      </c>
      <c r="M36" s="8">
        <v>820555</v>
      </c>
      <c r="O36" s="8">
        <v>2056881</v>
      </c>
      <c r="Q36" s="8">
        <v>887905</v>
      </c>
      <c r="S36" s="8">
        <v>22820</v>
      </c>
      <c r="U36" s="8">
        <v>1875333</v>
      </c>
      <c r="W36" s="8">
        <v>602231</v>
      </c>
      <c r="Y36" s="8">
        <v>331314</v>
      </c>
      <c r="AA36" s="8">
        <v>2792120</v>
      </c>
      <c r="AC36" s="8">
        <v>896991</v>
      </c>
      <c r="AE36" s="8">
        <v>365828</v>
      </c>
      <c r="AG36" s="8">
        <v>0</v>
      </c>
      <c r="AI36" s="8">
        <v>40628</v>
      </c>
      <c r="AJ36" s="13" t="s">
        <v>300</v>
      </c>
      <c r="AK36" s="13"/>
      <c r="AL36" s="13" t="s">
        <v>20</v>
      </c>
      <c r="AN36" s="8">
        <f>140156+554543</f>
        <v>694699</v>
      </c>
      <c r="AP36" s="8">
        <v>315981</v>
      </c>
      <c r="AT36" s="8">
        <v>131237</v>
      </c>
      <c r="AV36" s="8">
        <v>99736</v>
      </c>
      <c r="AX36" s="8">
        <v>0</v>
      </c>
      <c r="AZ36" s="8">
        <f t="shared" si="0"/>
        <v>25897814</v>
      </c>
      <c r="BB36" s="8">
        <v>3278</v>
      </c>
      <c r="BH36" s="8">
        <v>0</v>
      </c>
      <c r="BJ36" s="8">
        <f t="shared" si="1"/>
        <v>25901092</v>
      </c>
      <c r="BL36" s="8">
        <f>+GenRev!AM36-GenExp!BJ36</f>
        <v>1209701</v>
      </c>
      <c r="BN36" s="8">
        <v>3606327</v>
      </c>
      <c r="BP36" s="8">
        <v>0</v>
      </c>
      <c r="BQ36" s="8">
        <v>0</v>
      </c>
      <c r="BS36" s="8">
        <f t="shared" si="2"/>
        <v>4816028</v>
      </c>
      <c r="BU36" s="9">
        <f>+BS36-'Gen Fd BS'!AA36+BQ36</f>
        <v>0</v>
      </c>
    </row>
    <row r="37" spans="1:74">
      <c r="A37" s="13" t="s">
        <v>301</v>
      </c>
      <c r="B37" s="13"/>
      <c r="C37" s="13" t="s">
        <v>20</v>
      </c>
      <c r="D37" s="13"/>
      <c r="E37" s="32">
        <v>43554</v>
      </c>
      <c r="G37" s="8">
        <v>10437236</v>
      </c>
      <c r="I37" s="8">
        <v>4975585</v>
      </c>
      <c r="K37" s="8">
        <v>394367</v>
      </c>
      <c r="M37" s="8">
        <v>142359</v>
      </c>
      <c r="O37" s="8">
        <v>1635769</v>
      </c>
      <c r="Q37" s="8">
        <v>843564</v>
      </c>
      <c r="S37" s="8">
        <v>346279</v>
      </c>
      <c r="U37" s="8">
        <v>2301937</v>
      </c>
      <c r="W37" s="8">
        <v>866408</v>
      </c>
      <c r="Y37" s="8">
        <v>475683</v>
      </c>
      <c r="AA37" s="8">
        <v>3414609</v>
      </c>
      <c r="AC37" s="8">
        <v>1927821</v>
      </c>
      <c r="AE37" s="8">
        <v>1077905</v>
      </c>
      <c r="AG37" s="8">
        <v>0</v>
      </c>
      <c r="AI37" s="8">
        <v>0</v>
      </c>
      <c r="AJ37" s="13" t="s">
        <v>301</v>
      </c>
      <c r="AK37" s="13"/>
      <c r="AL37" s="13" t="s">
        <v>20</v>
      </c>
      <c r="AN37" s="8">
        <v>838924</v>
      </c>
      <c r="AP37" s="8">
        <v>0</v>
      </c>
      <c r="AT37" s="8">
        <v>0</v>
      </c>
      <c r="AV37" s="8">
        <v>0</v>
      </c>
      <c r="AX37" s="8">
        <v>0</v>
      </c>
      <c r="AZ37" s="8">
        <f t="shared" si="0"/>
        <v>29678446</v>
      </c>
      <c r="BB37" s="8">
        <v>350000</v>
      </c>
      <c r="BH37" s="8">
        <v>0</v>
      </c>
      <c r="BJ37" s="8">
        <f t="shared" si="1"/>
        <v>30028446</v>
      </c>
      <c r="BL37" s="8">
        <f>+GenRev!AM37-GenExp!BJ37</f>
        <v>3047130</v>
      </c>
      <c r="BN37" s="8">
        <v>11064853</v>
      </c>
      <c r="BP37" s="8">
        <v>0</v>
      </c>
      <c r="BQ37" s="8">
        <v>0</v>
      </c>
      <c r="BS37" s="8">
        <f t="shared" si="2"/>
        <v>14111983</v>
      </c>
      <c r="BU37" s="9">
        <f>+BS37-'Gen Fd BS'!AA37+BQ37</f>
        <v>0</v>
      </c>
    </row>
    <row r="38" spans="1:74">
      <c r="A38" s="13" t="s">
        <v>282</v>
      </c>
      <c r="B38" s="13"/>
      <c r="C38" s="13" t="s">
        <v>115</v>
      </c>
      <c r="D38" s="13"/>
      <c r="E38" s="32">
        <v>46425</v>
      </c>
      <c r="F38" s="11"/>
      <c r="G38" s="8">
        <v>10722099</v>
      </c>
      <c r="I38" s="8">
        <v>1545164</v>
      </c>
      <c r="K38" s="8">
        <v>19173</v>
      </c>
      <c r="M38" s="8">
        <f>3901+11313</f>
        <v>15214</v>
      </c>
      <c r="O38" s="8">
        <v>478120</v>
      </c>
      <c r="Q38" s="8">
        <v>442097</v>
      </c>
      <c r="S38" s="8">
        <v>20746</v>
      </c>
      <c r="U38" s="8">
        <v>1813596</v>
      </c>
      <c r="W38" s="8">
        <v>403912</v>
      </c>
      <c r="Y38" s="8">
        <v>0</v>
      </c>
      <c r="AA38" s="8">
        <v>1728608</v>
      </c>
      <c r="AC38" s="8">
        <v>1349607</v>
      </c>
      <c r="AE38" s="8">
        <v>0</v>
      </c>
      <c r="AG38" s="8">
        <v>0</v>
      </c>
      <c r="AI38" s="8">
        <v>0</v>
      </c>
      <c r="AJ38" s="13" t="s">
        <v>282</v>
      </c>
      <c r="AK38" s="13"/>
      <c r="AL38" s="13" t="s">
        <v>115</v>
      </c>
      <c r="AN38" s="8">
        <v>341432</v>
      </c>
      <c r="AP38" s="8">
        <v>0</v>
      </c>
      <c r="AT38" s="8">
        <v>0</v>
      </c>
      <c r="AV38" s="8">
        <v>0</v>
      </c>
      <c r="AX38" s="8">
        <v>0</v>
      </c>
      <c r="AZ38" s="8">
        <f t="shared" si="0"/>
        <v>18879768</v>
      </c>
      <c r="BB38" s="8">
        <v>93695</v>
      </c>
      <c r="BH38" s="8">
        <v>0</v>
      </c>
      <c r="BJ38" s="8">
        <f t="shared" si="1"/>
        <v>18973463</v>
      </c>
      <c r="BL38" s="8">
        <f>+GenRev!AM38-GenExp!BJ38</f>
        <v>-1042619</v>
      </c>
      <c r="BN38" s="8">
        <v>-554028</v>
      </c>
      <c r="BP38" s="8">
        <v>0</v>
      </c>
      <c r="BQ38" s="8">
        <v>0</v>
      </c>
      <c r="BS38" s="8">
        <f t="shared" si="2"/>
        <v>-1596647</v>
      </c>
      <c r="BU38" s="9">
        <f>+BS38-'Gen Fd BS'!AA38+BQ38</f>
        <v>0</v>
      </c>
    </row>
    <row r="39" spans="1:74">
      <c r="A39" s="13" t="s">
        <v>388</v>
      </c>
      <c r="B39" s="13"/>
      <c r="C39" s="13" t="s">
        <v>117</v>
      </c>
      <c r="D39" s="13"/>
      <c r="E39" s="32">
        <v>47241</v>
      </c>
      <c r="G39" s="8">
        <v>28548949</v>
      </c>
      <c r="I39" s="8">
        <v>7506579</v>
      </c>
      <c r="K39" s="8">
        <v>388819</v>
      </c>
      <c r="M39" s="8">
        <v>1391605</v>
      </c>
      <c r="O39" s="8">
        <v>4148321</v>
      </c>
      <c r="Q39" s="8">
        <v>3834044</v>
      </c>
      <c r="S39" s="8">
        <v>38471</v>
      </c>
      <c r="U39" s="8">
        <v>3904031</v>
      </c>
      <c r="W39" s="8">
        <v>1643392</v>
      </c>
      <c r="Y39" s="8">
        <v>503809</v>
      </c>
      <c r="AA39" s="8">
        <v>5950486</v>
      </c>
      <c r="AC39" s="8">
        <v>4496324</v>
      </c>
      <c r="AE39" s="8">
        <v>1071719</v>
      </c>
      <c r="AG39" s="8">
        <v>0</v>
      </c>
      <c r="AI39" s="8">
        <v>0</v>
      </c>
      <c r="AJ39" s="13" t="s">
        <v>388</v>
      </c>
      <c r="AK39" s="13"/>
      <c r="AL39" s="13" t="s">
        <v>117</v>
      </c>
      <c r="AN39" s="8">
        <f>82868+652761+24711</f>
        <v>760340</v>
      </c>
      <c r="AP39" s="8">
        <f>8238+1079+271050</f>
        <v>280367</v>
      </c>
      <c r="AT39" s="8">
        <v>125165</v>
      </c>
      <c r="AV39" s="8">
        <v>158446</v>
      </c>
      <c r="AX39" s="8">
        <v>0</v>
      </c>
      <c r="AZ39" s="8">
        <f t="shared" si="0"/>
        <v>64750867</v>
      </c>
      <c r="BB39" s="8">
        <v>64779</v>
      </c>
      <c r="BH39" s="8">
        <v>0</v>
      </c>
      <c r="BJ39" s="8">
        <f t="shared" si="1"/>
        <v>64815646</v>
      </c>
      <c r="BL39" s="8">
        <f>+GenRev!AM39-GenExp!BJ39</f>
        <v>2178963</v>
      </c>
      <c r="BN39" s="8">
        <v>29621840</v>
      </c>
      <c r="BP39" s="8">
        <v>0</v>
      </c>
      <c r="BQ39" s="8">
        <v>0</v>
      </c>
      <c r="BS39" s="8">
        <f t="shared" si="2"/>
        <v>31800803</v>
      </c>
      <c r="BU39" s="9">
        <f>+BS39-'Gen Fd BS'!AA39+BQ39</f>
        <v>0</v>
      </c>
    </row>
    <row r="40" spans="1:74">
      <c r="A40" s="13" t="s">
        <v>302</v>
      </c>
      <c r="B40" s="13"/>
      <c r="C40" s="13" t="s">
        <v>20</v>
      </c>
      <c r="D40" s="13"/>
      <c r="E40" s="32">
        <v>43562</v>
      </c>
      <c r="G40" s="8">
        <v>17820152</v>
      </c>
      <c r="I40" s="8">
        <v>5083250</v>
      </c>
      <c r="K40" s="8">
        <v>1550319</v>
      </c>
      <c r="M40" s="8">
        <v>0</v>
      </c>
      <c r="O40" s="8">
        <v>2750927</v>
      </c>
      <c r="Q40" s="8">
        <v>1479195</v>
      </c>
      <c r="S40" s="8">
        <v>235547</v>
      </c>
      <c r="U40" s="8">
        <v>3231379</v>
      </c>
      <c r="W40" s="8">
        <v>1316042</v>
      </c>
      <c r="Y40" s="8">
        <v>780169</v>
      </c>
      <c r="AA40" s="8">
        <v>6655288</v>
      </c>
      <c r="AC40" s="8">
        <v>3530841</v>
      </c>
      <c r="AE40" s="8">
        <v>306088</v>
      </c>
      <c r="AG40" s="8">
        <v>0</v>
      </c>
      <c r="AI40" s="8">
        <v>0</v>
      </c>
      <c r="AJ40" s="13" t="s">
        <v>302</v>
      </c>
      <c r="AK40" s="13"/>
      <c r="AL40" s="13" t="s">
        <v>20</v>
      </c>
      <c r="AN40" s="8">
        <v>502826</v>
      </c>
      <c r="AP40" s="8">
        <v>2256</v>
      </c>
      <c r="AT40" s="8">
        <v>334172</v>
      </c>
      <c r="AV40" s="8">
        <v>131932</v>
      </c>
      <c r="AX40" s="8">
        <v>0</v>
      </c>
      <c r="AZ40" s="8">
        <f t="shared" si="0"/>
        <v>45710383</v>
      </c>
      <c r="BB40" s="8">
        <v>104250</v>
      </c>
      <c r="BH40" s="8">
        <v>0</v>
      </c>
      <c r="BJ40" s="8">
        <f t="shared" si="1"/>
        <v>45814633</v>
      </c>
      <c r="BL40" s="8">
        <f>+GenRev!AM40-GenExp!BJ40</f>
        <v>197801</v>
      </c>
      <c r="BN40" s="8">
        <v>12989682</v>
      </c>
      <c r="BP40" s="8">
        <v>0</v>
      </c>
      <c r="BQ40" s="8">
        <v>0</v>
      </c>
      <c r="BS40" s="8">
        <f t="shared" si="2"/>
        <v>13187483</v>
      </c>
      <c r="BU40" s="9">
        <f>+BS40-'Gen Fd BS'!AA40+BQ40</f>
        <v>0</v>
      </c>
    </row>
    <row r="41" spans="1:74">
      <c r="A41" s="13" t="s">
        <v>234</v>
      </c>
      <c r="B41" s="13"/>
      <c r="C41" s="13" t="s">
        <v>15</v>
      </c>
      <c r="D41" s="13"/>
      <c r="E41" s="32">
        <v>43570</v>
      </c>
      <c r="G41" s="8">
        <v>6465769</v>
      </c>
      <c r="I41" s="8">
        <v>1189458</v>
      </c>
      <c r="K41" s="8">
        <v>170118</v>
      </c>
      <c r="M41" s="8">
        <v>0</v>
      </c>
      <c r="O41" s="8">
        <v>545528</v>
      </c>
      <c r="Q41" s="8">
        <v>1359</v>
      </c>
      <c r="S41" s="8">
        <v>23797</v>
      </c>
      <c r="U41" s="8">
        <v>1196834</v>
      </c>
      <c r="W41" s="8">
        <v>315120</v>
      </c>
      <c r="Y41" s="8">
        <v>0</v>
      </c>
      <c r="AA41" s="8">
        <v>1467515</v>
      </c>
      <c r="AC41" s="8">
        <v>1008631</v>
      </c>
      <c r="AE41" s="8">
        <v>0</v>
      </c>
      <c r="AG41" s="8">
        <v>0</v>
      </c>
      <c r="AI41" s="8">
        <v>0</v>
      </c>
      <c r="AJ41" s="13" t="s">
        <v>234</v>
      </c>
      <c r="AK41" s="13"/>
      <c r="AL41" s="13" t="s">
        <v>15</v>
      </c>
      <c r="AN41" s="8">
        <v>180819</v>
      </c>
      <c r="AP41" s="8">
        <v>0</v>
      </c>
      <c r="AT41" s="8">
        <v>56192</v>
      </c>
      <c r="AV41" s="8">
        <v>12138</v>
      </c>
      <c r="AX41" s="8">
        <v>0</v>
      </c>
      <c r="AZ41" s="8">
        <f t="shared" si="0"/>
        <v>12633278</v>
      </c>
      <c r="BB41" s="8">
        <v>15000</v>
      </c>
      <c r="BH41" s="8">
        <v>0</v>
      </c>
      <c r="BJ41" s="8">
        <f t="shared" si="1"/>
        <v>12648278</v>
      </c>
      <c r="BL41" s="8">
        <f>+GenRev!AM41-GenExp!BJ41</f>
        <v>-743817</v>
      </c>
      <c r="BN41" s="8">
        <v>-439426</v>
      </c>
      <c r="BP41" s="8">
        <v>0</v>
      </c>
      <c r="BQ41" s="8">
        <v>0</v>
      </c>
      <c r="BS41" s="8">
        <f t="shared" si="2"/>
        <v>-1183243</v>
      </c>
      <c r="BU41" s="9">
        <f>+BS41-'Gen Fd BS'!AA41+BQ41</f>
        <v>0</v>
      </c>
    </row>
    <row r="42" spans="1:74">
      <c r="A42" s="13" t="s">
        <v>448</v>
      </c>
      <c r="B42" s="13"/>
      <c r="C42" s="13" t="s">
        <v>37</v>
      </c>
      <c r="D42" s="13"/>
      <c r="E42" s="32">
        <v>43596</v>
      </c>
      <c r="G42" s="8">
        <v>7564018</v>
      </c>
      <c r="I42" s="8">
        <v>2385658</v>
      </c>
      <c r="K42" s="8">
        <v>632344</v>
      </c>
      <c r="M42" s="8">
        <f>7660+603011</f>
        <v>610671</v>
      </c>
      <c r="O42" s="8">
        <v>1109274</v>
      </c>
      <c r="Q42" s="8">
        <v>819520</v>
      </c>
      <c r="S42" s="8">
        <v>25053</v>
      </c>
      <c r="U42" s="8">
        <v>1470589</v>
      </c>
      <c r="W42" s="8">
        <v>509652</v>
      </c>
      <c r="Y42" s="8">
        <v>16225</v>
      </c>
      <c r="AA42" s="8">
        <v>1974289</v>
      </c>
      <c r="AC42" s="8">
        <v>963666</v>
      </c>
      <c r="AE42" s="8">
        <v>63552</v>
      </c>
      <c r="AG42" s="8">
        <v>0</v>
      </c>
      <c r="AI42" s="8">
        <v>57724</v>
      </c>
      <c r="AJ42" s="13" t="s">
        <v>448</v>
      </c>
      <c r="AK42" s="13"/>
      <c r="AL42" s="13" t="s">
        <v>37</v>
      </c>
      <c r="AN42" s="8">
        <v>442679</v>
      </c>
      <c r="AP42" s="8">
        <f>25984+161147</f>
        <v>187131</v>
      </c>
      <c r="AT42" s="8">
        <v>84805</v>
      </c>
      <c r="AV42" s="8">
        <v>19262</v>
      </c>
      <c r="AX42" s="8">
        <v>0</v>
      </c>
      <c r="AZ42" s="8">
        <f t="shared" si="0"/>
        <v>18936112</v>
      </c>
      <c r="BB42" s="8">
        <v>4951</v>
      </c>
      <c r="BH42" s="8">
        <v>0</v>
      </c>
      <c r="BJ42" s="8">
        <f t="shared" si="1"/>
        <v>18941063</v>
      </c>
      <c r="BL42" s="8">
        <f>+GenRev!AM42-GenExp!BJ42</f>
        <v>725784</v>
      </c>
      <c r="BN42" s="8">
        <v>1503387</v>
      </c>
      <c r="BP42" s="8">
        <v>-20403</v>
      </c>
      <c r="BQ42" s="8">
        <v>0</v>
      </c>
      <c r="BS42" s="8">
        <f t="shared" si="2"/>
        <v>2249574</v>
      </c>
      <c r="BU42" s="9">
        <f>+BS42-'Gen Fd BS'!AA42+BQ42</f>
        <v>0</v>
      </c>
      <c r="BV42" s="72"/>
    </row>
    <row r="43" spans="1:74">
      <c r="A43" s="13" t="s">
        <v>721</v>
      </c>
      <c r="B43" s="13"/>
      <c r="C43" s="13" t="s">
        <v>70</v>
      </c>
      <c r="D43" s="13"/>
      <c r="E43" s="32">
        <v>43604</v>
      </c>
      <c r="G43" s="8">
        <v>4728412</v>
      </c>
      <c r="I43" s="8">
        <v>732434</v>
      </c>
      <c r="K43" s="8">
        <v>14542</v>
      </c>
      <c r="M43" s="8">
        <v>0</v>
      </c>
      <c r="O43" s="8">
        <v>810027</v>
      </c>
      <c r="Q43" s="8">
        <v>162480</v>
      </c>
      <c r="S43" s="8">
        <v>46461</v>
      </c>
      <c r="U43" s="8">
        <v>843930</v>
      </c>
      <c r="W43" s="8">
        <v>412556</v>
      </c>
      <c r="Y43" s="8">
        <v>1808</v>
      </c>
      <c r="AA43" s="8">
        <v>1021066</v>
      </c>
      <c r="AC43" s="8">
        <v>376841</v>
      </c>
      <c r="AE43" s="8">
        <v>1129</v>
      </c>
      <c r="AG43" s="8">
        <v>0</v>
      </c>
      <c r="AI43" s="8">
        <v>0</v>
      </c>
      <c r="AJ43" s="13" t="s">
        <v>721</v>
      </c>
      <c r="AK43" s="13"/>
      <c r="AL43" s="13" t="s">
        <v>70</v>
      </c>
      <c r="AN43" s="8">
        <v>181690</v>
      </c>
      <c r="AP43" s="8">
        <v>18759</v>
      </c>
      <c r="AT43" s="8">
        <v>0</v>
      </c>
      <c r="AV43" s="8">
        <v>0</v>
      </c>
      <c r="AX43" s="8">
        <v>0</v>
      </c>
      <c r="AZ43" s="8">
        <f t="shared" si="0"/>
        <v>9352135</v>
      </c>
      <c r="BB43" s="8">
        <v>39651</v>
      </c>
      <c r="BH43" s="8">
        <v>0</v>
      </c>
      <c r="BJ43" s="8">
        <f t="shared" si="1"/>
        <v>9391786</v>
      </c>
      <c r="BL43" s="8">
        <f>+GenRev!AM43-GenExp!BJ43</f>
        <v>-86207</v>
      </c>
      <c r="BN43" s="8">
        <v>686653</v>
      </c>
      <c r="BP43" s="8">
        <v>0</v>
      </c>
      <c r="BQ43" s="8">
        <v>0</v>
      </c>
      <c r="BS43" s="8">
        <f t="shared" si="2"/>
        <v>600446</v>
      </c>
      <c r="BU43" s="9">
        <f>+BS43-'Gen Fd BS'!AA43+BQ43</f>
        <v>0</v>
      </c>
      <c r="BV43" s="72"/>
    </row>
    <row r="44" spans="1:74">
      <c r="A44" s="13" t="s">
        <v>579</v>
      </c>
      <c r="B44" s="13"/>
      <c r="C44" s="13" t="s">
        <v>53</v>
      </c>
      <c r="D44" s="13"/>
      <c r="E44" s="32">
        <v>48926</v>
      </c>
      <c r="G44" s="8">
        <v>8204645</v>
      </c>
      <c r="I44" s="8">
        <v>1238881</v>
      </c>
      <c r="K44" s="8">
        <v>20488</v>
      </c>
      <c r="M44" s="8">
        <v>270246</v>
      </c>
      <c r="O44" s="8">
        <v>906471</v>
      </c>
      <c r="Q44" s="8">
        <v>884176</v>
      </c>
      <c r="S44" s="8">
        <v>165291</v>
      </c>
      <c r="U44" s="8">
        <v>1416192</v>
      </c>
      <c r="W44" s="8">
        <v>450442</v>
      </c>
      <c r="Y44" s="8">
        <v>0</v>
      </c>
      <c r="AA44" s="8">
        <v>2602052</v>
      </c>
      <c r="AC44" s="8">
        <v>1050202</v>
      </c>
      <c r="AE44" s="8">
        <v>214023</v>
      </c>
      <c r="AG44" s="8">
        <v>0</v>
      </c>
      <c r="AI44" s="8">
        <v>12620</v>
      </c>
      <c r="AJ44" s="13" t="s">
        <v>579</v>
      </c>
      <c r="AK44" s="13"/>
      <c r="AL44" s="13" t="s">
        <v>53</v>
      </c>
      <c r="AN44" s="8">
        <v>354990</v>
      </c>
      <c r="AP44" s="8">
        <v>124</v>
      </c>
      <c r="AT44" s="8">
        <v>0</v>
      </c>
      <c r="AV44" s="8">
        <v>0</v>
      </c>
      <c r="AX44" s="8">
        <v>0</v>
      </c>
      <c r="AZ44" s="8">
        <f t="shared" si="0"/>
        <v>17790843</v>
      </c>
      <c r="BB44" s="8">
        <v>723324</v>
      </c>
      <c r="BH44" s="8">
        <v>0</v>
      </c>
      <c r="BJ44" s="8">
        <f t="shared" si="1"/>
        <v>18514167</v>
      </c>
      <c r="BL44" s="8">
        <f>+GenRev!AM44-GenExp!BJ44</f>
        <v>251395</v>
      </c>
      <c r="BN44" s="8">
        <v>4230869</v>
      </c>
      <c r="BP44" s="8">
        <v>0</v>
      </c>
      <c r="BQ44" s="8">
        <v>0</v>
      </c>
      <c r="BS44" s="8">
        <f t="shared" si="2"/>
        <v>4482264</v>
      </c>
      <c r="BU44" s="9">
        <f>+BS44-'Gen Fd BS'!AA44+BQ44</f>
        <v>0</v>
      </c>
    </row>
    <row r="45" spans="1:74">
      <c r="A45" s="13" t="s">
        <v>303</v>
      </c>
      <c r="B45" s="13"/>
      <c r="C45" s="13" t="s">
        <v>20</v>
      </c>
      <c r="D45" s="13"/>
      <c r="E45" s="32">
        <v>43612</v>
      </c>
      <c r="G45" s="8">
        <v>33505206</v>
      </c>
      <c r="I45" s="8">
        <v>10152343</v>
      </c>
      <c r="K45" s="8">
        <v>757472</v>
      </c>
      <c r="M45" s="8">
        <v>0</v>
      </c>
      <c r="O45" s="8">
        <v>4146738</v>
      </c>
      <c r="Q45" s="8">
        <v>5725091</v>
      </c>
      <c r="S45" s="8">
        <v>42261</v>
      </c>
      <c r="U45" s="8">
        <v>4296967</v>
      </c>
      <c r="W45" s="8">
        <v>2588737</v>
      </c>
      <c r="Y45" s="8">
        <v>751120</v>
      </c>
      <c r="AA45" s="8">
        <v>8192643</v>
      </c>
      <c r="AC45" s="8">
        <v>4163569</v>
      </c>
      <c r="AE45" s="8">
        <v>2922341</v>
      </c>
      <c r="AG45" s="8">
        <v>0</v>
      </c>
      <c r="AI45" s="8">
        <v>20396</v>
      </c>
      <c r="AJ45" s="13" t="s">
        <v>303</v>
      </c>
      <c r="AK45" s="13"/>
      <c r="AL45" s="13" t="s">
        <v>20</v>
      </c>
      <c r="AN45" s="8">
        <v>1239130</v>
      </c>
      <c r="AP45" s="8">
        <v>0</v>
      </c>
      <c r="AT45" s="8">
        <v>0</v>
      </c>
      <c r="AV45" s="8">
        <v>0</v>
      </c>
      <c r="AX45" s="8">
        <v>0</v>
      </c>
      <c r="AZ45" s="8">
        <f t="shared" si="0"/>
        <v>78504014</v>
      </c>
      <c r="BB45" s="8">
        <v>261714</v>
      </c>
      <c r="BH45" s="8">
        <v>0</v>
      </c>
      <c r="BJ45" s="8">
        <f t="shared" si="1"/>
        <v>78765728</v>
      </c>
      <c r="BL45" s="8">
        <f>+GenRev!AM45-GenExp!BJ45</f>
        <v>5902444</v>
      </c>
      <c r="BN45" s="8">
        <v>23501333</v>
      </c>
      <c r="BP45" s="8">
        <v>0</v>
      </c>
      <c r="BQ45" s="8">
        <v>0</v>
      </c>
      <c r="BS45" s="8">
        <f t="shared" si="2"/>
        <v>29403777</v>
      </c>
      <c r="BU45" s="9">
        <f>+BS45-'Gen Fd BS'!AA45+BQ45</f>
        <v>0</v>
      </c>
    </row>
    <row r="46" spans="1:74">
      <c r="A46" s="13" t="s">
        <v>381</v>
      </c>
      <c r="B46" s="13"/>
      <c r="C46" s="13" t="s">
        <v>30</v>
      </c>
      <c r="D46" s="13"/>
      <c r="E46" s="32">
        <v>47167</v>
      </c>
      <c r="G46" s="8">
        <v>4463215</v>
      </c>
      <c r="I46" s="8">
        <v>967979</v>
      </c>
      <c r="K46" s="8">
        <v>63351</v>
      </c>
      <c r="M46" s="8">
        <v>0</v>
      </c>
      <c r="O46" s="8">
        <v>517721</v>
      </c>
      <c r="Q46" s="8">
        <v>458452</v>
      </c>
      <c r="S46" s="8">
        <v>54834</v>
      </c>
      <c r="U46" s="8">
        <v>987360</v>
      </c>
      <c r="W46" s="8">
        <v>332881</v>
      </c>
      <c r="Y46" s="8">
        <v>32706</v>
      </c>
      <c r="AA46" s="8">
        <v>958097</v>
      </c>
      <c r="AC46" s="8">
        <v>752534</v>
      </c>
      <c r="AE46" s="8">
        <v>0</v>
      </c>
      <c r="AG46" s="8">
        <v>4519</v>
      </c>
      <c r="AI46" s="8">
        <v>0</v>
      </c>
      <c r="AJ46" s="13" t="s">
        <v>381</v>
      </c>
      <c r="AK46" s="13"/>
      <c r="AL46" s="13" t="s">
        <v>30</v>
      </c>
      <c r="AN46" s="8">
        <v>295996</v>
      </c>
      <c r="AP46" s="8">
        <v>0</v>
      </c>
      <c r="AT46" s="8">
        <v>0</v>
      </c>
      <c r="AV46" s="8">
        <v>0</v>
      </c>
      <c r="AX46" s="8">
        <v>0</v>
      </c>
      <c r="AZ46" s="8">
        <f t="shared" si="0"/>
        <v>9889645</v>
      </c>
      <c r="BB46" s="8">
        <v>130000</v>
      </c>
      <c r="BH46" s="8">
        <v>0</v>
      </c>
      <c r="BJ46" s="8">
        <f t="shared" si="1"/>
        <v>10019645</v>
      </c>
      <c r="BL46" s="8">
        <f>+GenRev!AM46-GenExp!BJ46</f>
        <v>491229</v>
      </c>
      <c r="BN46" s="8">
        <v>2504125</v>
      </c>
      <c r="BP46" s="8">
        <v>0</v>
      </c>
      <c r="BQ46" s="8">
        <v>0</v>
      </c>
      <c r="BS46" s="8">
        <f t="shared" si="2"/>
        <v>2995354</v>
      </c>
      <c r="BU46" s="9">
        <f>+BS46-'Gen Fd BS'!AA46+BQ46</f>
        <v>0</v>
      </c>
    </row>
    <row r="47" spans="1:74">
      <c r="A47" s="13" t="s">
        <v>340</v>
      </c>
      <c r="B47" s="13"/>
      <c r="C47" s="13" t="s">
        <v>24</v>
      </c>
      <c r="D47" s="13"/>
      <c r="E47" s="32">
        <v>46789</v>
      </c>
      <c r="G47" s="8">
        <v>6231844</v>
      </c>
      <c r="I47" s="8">
        <v>1953581</v>
      </c>
      <c r="K47" s="8">
        <v>60447</v>
      </c>
      <c r="M47" s="8">
        <v>365236</v>
      </c>
      <c r="O47" s="8">
        <v>545505</v>
      </c>
      <c r="Q47" s="8">
        <v>339485</v>
      </c>
      <c r="S47" s="8">
        <v>28845</v>
      </c>
      <c r="U47" s="8">
        <v>1205194</v>
      </c>
      <c r="W47" s="8">
        <v>276491</v>
      </c>
      <c r="AA47" s="8">
        <v>1069310</v>
      </c>
      <c r="AC47" s="8">
        <v>768381</v>
      </c>
      <c r="AE47" s="8">
        <v>146265</v>
      </c>
      <c r="AG47" s="8">
        <v>0</v>
      </c>
      <c r="AI47" s="8">
        <v>0</v>
      </c>
      <c r="AJ47" s="13" t="s">
        <v>340</v>
      </c>
      <c r="AK47" s="13"/>
      <c r="AL47" s="13" t="s">
        <v>24</v>
      </c>
      <c r="AN47" s="8">
        <v>382044</v>
      </c>
      <c r="AP47" s="8">
        <v>0</v>
      </c>
      <c r="AT47" s="8">
        <v>62040</v>
      </c>
      <c r="AV47" s="8">
        <v>2793</v>
      </c>
      <c r="AX47" s="8">
        <v>0</v>
      </c>
      <c r="AZ47" s="8">
        <f t="shared" si="0"/>
        <v>13437461</v>
      </c>
      <c r="BB47" s="8">
        <v>0</v>
      </c>
      <c r="BH47" s="8">
        <v>0</v>
      </c>
      <c r="BJ47" s="8">
        <f t="shared" si="1"/>
        <v>13437461</v>
      </c>
      <c r="BL47" s="8">
        <f>+GenRev!AM47-GenExp!BJ47</f>
        <v>828985</v>
      </c>
      <c r="BN47" s="8">
        <v>2791488</v>
      </c>
      <c r="BP47" s="8">
        <v>-23423</v>
      </c>
      <c r="BQ47" s="8">
        <v>0</v>
      </c>
      <c r="BS47" s="8">
        <f t="shared" si="2"/>
        <v>3643896</v>
      </c>
      <c r="BU47" s="9">
        <f>+BS47-'Gen Fd BS'!AA47+BQ47</f>
        <v>0</v>
      </c>
    </row>
    <row r="48" spans="1:74">
      <c r="A48" s="13" t="s">
        <v>348</v>
      </c>
      <c r="B48" s="13"/>
      <c r="C48" s="13" t="s">
        <v>25</v>
      </c>
      <c r="D48" s="13"/>
      <c r="E48" s="32">
        <v>46854</v>
      </c>
      <c r="G48" s="8">
        <v>3361601</v>
      </c>
      <c r="I48" s="8">
        <v>938345</v>
      </c>
      <c r="K48" s="8">
        <v>136525</v>
      </c>
      <c r="M48" s="8">
        <v>0</v>
      </c>
      <c r="O48" s="8">
        <v>260348</v>
      </c>
      <c r="Q48" s="8">
        <v>379488</v>
      </c>
      <c r="S48" s="8">
        <v>22771</v>
      </c>
      <c r="U48" s="8">
        <v>1008036</v>
      </c>
      <c r="W48" s="8">
        <v>234282</v>
      </c>
      <c r="Y48" s="8">
        <v>5658</v>
      </c>
      <c r="AA48" s="8">
        <v>892628</v>
      </c>
      <c r="AC48" s="8">
        <v>568025</v>
      </c>
      <c r="AE48" s="8">
        <v>23432</v>
      </c>
      <c r="AG48" s="8">
        <v>0</v>
      </c>
      <c r="AI48" s="8">
        <v>0</v>
      </c>
      <c r="AJ48" s="13" t="s">
        <v>348</v>
      </c>
      <c r="AK48" s="13"/>
      <c r="AL48" s="13" t="s">
        <v>25</v>
      </c>
      <c r="AN48" s="8">
        <v>157117</v>
      </c>
      <c r="AP48" s="8">
        <v>1054075</v>
      </c>
      <c r="AT48" s="8">
        <v>26619</v>
      </c>
      <c r="AV48" s="8">
        <v>12236</v>
      </c>
      <c r="AX48" s="8">
        <v>0</v>
      </c>
      <c r="AZ48" s="8">
        <f t="shared" si="0"/>
        <v>9081186</v>
      </c>
      <c r="BB48" s="8">
        <v>632</v>
      </c>
      <c r="BH48" s="8">
        <v>0</v>
      </c>
      <c r="BJ48" s="8">
        <f t="shared" si="1"/>
        <v>9081818</v>
      </c>
      <c r="BL48" s="8">
        <f>+GenRev!AM48-GenExp!BJ48</f>
        <v>458599</v>
      </c>
      <c r="BN48" s="8">
        <v>1453000</v>
      </c>
      <c r="BP48" s="8">
        <v>0</v>
      </c>
      <c r="BQ48" s="8">
        <v>0</v>
      </c>
      <c r="BS48" s="8">
        <f t="shared" si="2"/>
        <v>1911599</v>
      </c>
      <c r="BU48" s="9">
        <f>+BS48-'Gen Fd BS'!AA48+BQ48</f>
        <v>0</v>
      </c>
    </row>
    <row r="49" spans="1:75">
      <c r="A49" s="13" t="s">
        <v>543</v>
      </c>
      <c r="B49" s="13"/>
      <c r="C49" s="13" t="s">
        <v>48</v>
      </c>
      <c r="D49" s="13"/>
      <c r="E49" s="32">
        <v>48611</v>
      </c>
      <c r="G49" s="8">
        <v>3074552</v>
      </c>
      <c r="I49" s="8">
        <v>759483</v>
      </c>
      <c r="K49" s="8">
        <v>0</v>
      </c>
      <c r="M49" s="8">
        <v>263344</v>
      </c>
      <c r="O49" s="8">
        <v>160394</v>
      </c>
      <c r="Q49" s="8">
        <v>247665</v>
      </c>
      <c r="S49" s="8">
        <v>38584</v>
      </c>
      <c r="U49" s="8">
        <v>702709</v>
      </c>
      <c r="W49" s="8">
        <v>287328</v>
      </c>
      <c r="Y49" s="8">
        <v>66999</v>
      </c>
      <c r="AA49" s="8">
        <v>610518</v>
      </c>
      <c r="AC49" s="8">
        <v>575246</v>
      </c>
      <c r="AE49" s="8">
        <v>159004</v>
      </c>
      <c r="AG49" s="8">
        <v>0</v>
      </c>
      <c r="AI49" s="8">
        <v>0</v>
      </c>
      <c r="AJ49" s="13" t="s">
        <v>543</v>
      </c>
      <c r="AK49" s="13"/>
      <c r="AL49" s="13" t="s">
        <v>48</v>
      </c>
      <c r="AN49" s="8">
        <v>192343</v>
      </c>
      <c r="AP49" s="8">
        <v>0</v>
      </c>
      <c r="AT49" s="8">
        <v>21000</v>
      </c>
      <c r="AV49" s="8">
        <v>46560</v>
      </c>
      <c r="AX49" s="8">
        <v>0</v>
      </c>
      <c r="AZ49" s="8">
        <f t="shared" si="0"/>
        <v>7205729</v>
      </c>
      <c r="BB49" s="8">
        <v>0</v>
      </c>
      <c r="BH49" s="8">
        <v>0</v>
      </c>
      <c r="BJ49" s="8">
        <f t="shared" si="1"/>
        <v>7205729</v>
      </c>
      <c r="BL49" s="8">
        <f>+GenRev!AM49-GenExp!BJ49</f>
        <v>-156931</v>
      </c>
      <c r="BN49" s="8">
        <v>1713103</v>
      </c>
      <c r="BP49" s="8">
        <v>0</v>
      </c>
      <c r="BQ49" s="8">
        <v>0</v>
      </c>
      <c r="BS49" s="8">
        <f t="shared" si="2"/>
        <v>1556172</v>
      </c>
      <c r="BU49" s="9">
        <f>+BS49-'Gen Fd BS'!AA49+BQ49</f>
        <v>0</v>
      </c>
    </row>
    <row r="50" spans="1:75">
      <c r="A50" s="13" t="s">
        <v>271</v>
      </c>
      <c r="B50" s="13"/>
      <c r="C50" s="13" t="s">
        <v>116</v>
      </c>
      <c r="D50" s="13"/>
      <c r="E50" s="32">
        <v>46318</v>
      </c>
      <c r="F50" s="11"/>
      <c r="G50" s="8">
        <v>7627172</v>
      </c>
      <c r="I50" s="8">
        <v>1309408</v>
      </c>
      <c r="K50" s="8">
        <v>216614</v>
      </c>
      <c r="M50" s="8">
        <v>71320</v>
      </c>
      <c r="O50" s="8">
        <v>507752</v>
      </c>
      <c r="Q50" s="8">
        <v>795685</v>
      </c>
      <c r="S50" s="8">
        <v>26304</v>
      </c>
      <c r="U50" s="8">
        <v>1015731</v>
      </c>
      <c r="W50" s="8">
        <v>412220</v>
      </c>
      <c r="Y50" s="8">
        <v>0</v>
      </c>
      <c r="AA50" s="8">
        <v>1415242</v>
      </c>
      <c r="AC50" s="8">
        <v>1271494</v>
      </c>
      <c r="AE50" s="8">
        <v>0</v>
      </c>
      <c r="AG50" s="8">
        <v>0</v>
      </c>
      <c r="AI50" s="8">
        <v>0</v>
      </c>
      <c r="AJ50" s="13" t="s">
        <v>271</v>
      </c>
      <c r="AK50" s="13"/>
      <c r="AL50" s="13" t="s">
        <v>116</v>
      </c>
      <c r="AN50" s="8">
        <v>30760</v>
      </c>
      <c r="AP50" s="8">
        <v>228320</v>
      </c>
      <c r="AT50" s="8">
        <v>84050</v>
      </c>
      <c r="AV50" s="8">
        <v>107912</v>
      </c>
      <c r="AX50" s="8">
        <v>0</v>
      </c>
      <c r="AZ50" s="8">
        <f t="shared" si="0"/>
        <v>15119984</v>
      </c>
      <c r="BB50" s="8">
        <v>320077</v>
      </c>
      <c r="BH50" s="8">
        <v>0</v>
      </c>
      <c r="BJ50" s="8">
        <f t="shared" si="1"/>
        <v>15440061</v>
      </c>
      <c r="BL50" s="8">
        <f>+GenRev!AM50-GenExp!BJ50</f>
        <v>-1228975</v>
      </c>
      <c r="BN50" s="8">
        <v>1997780</v>
      </c>
      <c r="BP50" s="8">
        <v>0</v>
      </c>
      <c r="BQ50" s="8">
        <v>0</v>
      </c>
      <c r="BS50" s="8">
        <f t="shared" si="2"/>
        <v>768805</v>
      </c>
      <c r="BU50" s="9">
        <f>+BS50-'Gen Fd BS'!AA50+BQ50</f>
        <v>0</v>
      </c>
    </row>
    <row r="51" spans="1:75" hidden="1">
      <c r="A51" s="13" t="s">
        <v>640</v>
      </c>
      <c r="B51" s="13"/>
      <c r="C51" s="13" t="s">
        <v>60</v>
      </c>
      <c r="D51" s="13"/>
      <c r="E51" s="32">
        <v>49692</v>
      </c>
      <c r="AJ51" s="13" t="s">
        <v>640</v>
      </c>
      <c r="AK51" s="13"/>
      <c r="AL51" s="13" t="s">
        <v>60</v>
      </c>
      <c r="AZ51" s="8">
        <f t="shared" si="0"/>
        <v>0</v>
      </c>
      <c r="BB51" s="8">
        <v>0</v>
      </c>
      <c r="BH51" s="8">
        <v>0</v>
      </c>
      <c r="BJ51" s="8">
        <f t="shared" si="1"/>
        <v>0</v>
      </c>
      <c r="BL51" s="8">
        <f>+GenRev!AM51-GenExp!BJ51</f>
        <v>0</v>
      </c>
      <c r="BN51" s="8">
        <v>0</v>
      </c>
      <c r="BP51" s="8">
        <v>0</v>
      </c>
      <c r="BQ51" s="8">
        <v>0</v>
      </c>
      <c r="BS51" s="8">
        <f t="shared" si="2"/>
        <v>0</v>
      </c>
      <c r="BU51" s="9">
        <f>+BS51-'Gen Fd BS'!AA51+BQ51</f>
        <v>0</v>
      </c>
    </row>
    <row r="52" spans="1:75">
      <c r="A52" s="13" t="s">
        <v>356</v>
      </c>
      <c r="B52" s="13"/>
      <c r="C52" s="13" t="s">
        <v>27</v>
      </c>
      <c r="D52" s="13"/>
      <c r="E52" s="32">
        <v>43620</v>
      </c>
      <c r="G52" s="8">
        <v>14085372</v>
      </c>
      <c r="I52" s="8">
        <v>2628330</v>
      </c>
      <c r="K52" s="8">
        <v>360262</v>
      </c>
      <c r="M52" s="8">
        <v>0</v>
      </c>
      <c r="O52" s="8">
        <v>1089608</v>
      </c>
      <c r="Q52" s="8">
        <v>1805875</v>
      </c>
      <c r="S52" s="8">
        <v>45043</v>
      </c>
      <c r="U52" s="8">
        <v>1834328</v>
      </c>
      <c r="W52" s="8">
        <v>0</v>
      </c>
      <c r="Y52" s="8">
        <v>1069201</v>
      </c>
      <c r="AA52" s="8">
        <v>3149926</v>
      </c>
      <c r="AC52" s="8">
        <v>627702</v>
      </c>
      <c r="AE52" s="8">
        <v>163998</v>
      </c>
      <c r="AG52" s="8">
        <v>0</v>
      </c>
      <c r="AI52" s="8">
        <v>3082</v>
      </c>
      <c r="AJ52" s="13" t="s">
        <v>356</v>
      </c>
      <c r="AK52" s="13"/>
      <c r="AL52" s="13" t="s">
        <v>27</v>
      </c>
      <c r="AN52" s="8">
        <v>792618</v>
      </c>
      <c r="AP52" s="8">
        <v>783457</v>
      </c>
      <c r="AT52" s="8">
        <v>0</v>
      </c>
      <c r="AV52" s="8">
        <v>0</v>
      </c>
      <c r="AX52" s="8">
        <v>0</v>
      </c>
      <c r="AZ52" s="8">
        <f t="shared" si="0"/>
        <v>28438802</v>
      </c>
      <c r="BB52" s="8">
        <v>326427</v>
      </c>
      <c r="BH52" s="8">
        <v>0</v>
      </c>
      <c r="BJ52" s="8">
        <f t="shared" si="1"/>
        <v>28765229</v>
      </c>
      <c r="BL52" s="8">
        <f>+GenRev!AM52-GenExp!BJ52</f>
        <v>1894638</v>
      </c>
      <c r="BN52" s="8">
        <v>18479325</v>
      </c>
      <c r="BP52" s="8">
        <v>0</v>
      </c>
      <c r="BQ52" s="8">
        <v>0</v>
      </c>
      <c r="BS52" s="8">
        <f t="shared" si="2"/>
        <v>20373963</v>
      </c>
      <c r="BU52" s="9">
        <f>+BS52-'Gen Fd BS'!AA52+BQ52</f>
        <v>0</v>
      </c>
    </row>
    <row r="53" spans="1:75">
      <c r="A53" s="13" t="s">
        <v>336</v>
      </c>
      <c r="B53" s="13"/>
      <c r="C53" s="13" t="s">
        <v>23</v>
      </c>
      <c r="D53" s="13"/>
      <c r="E53" s="32">
        <v>46748</v>
      </c>
      <c r="G53" s="8">
        <v>11193894</v>
      </c>
      <c r="I53" s="8">
        <v>2693426</v>
      </c>
      <c r="K53" s="8">
        <v>416015</v>
      </c>
      <c r="M53" s="8">
        <v>0</v>
      </c>
      <c r="O53" s="8">
        <v>1195777</v>
      </c>
      <c r="Q53" s="8">
        <v>841560</v>
      </c>
      <c r="S53" s="8">
        <v>203318</v>
      </c>
      <c r="U53" s="8">
        <v>2412858</v>
      </c>
      <c r="W53" s="8">
        <v>767316</v>
      </c>
      <c r="Y53" s="8">
        <v>219046</v>
      </c>
      <c r="AA53" s="8">
        <v>2151577</v>
      </c>
      <c r="AC53" s="8">
        <v>1970238</v>
      </c>
      <c r="AE53" s="8">
        <v>0</v>
      </c>
      <c r="AG53" s="8">
        <v>0</v>
      </c>
      <c r="AI53" s="8">
        <v>0</v>
      </c>
      <c r="AJ53" s="13" t="s">
        <v>336</v>
      </c>
      <c r="AK53" s="13"/>
      <c r="AL53" s="13" t="s">
        <v>23</v>
      </c>
      <c r="AN53" s="8">
        <v>466062</v>
      </c>
      <c r="AP53" s="8">
        <v>541713</v>
      </c>
      <c r="AT53" s="8">
        <v>24372</v>
      </c>
      <c r="AV53" s="8">
        <v>6509</v>
      </c>
      <c r="AX53" s="8">
        <v>0</v>
      </c>
      <c r="AZ53" s="8">
        <f t="shared" si="0"/>
        <v>25103681</v>
      </c>
      <c r="BB53" s="8">
        <v>189687</v>
      </c>
      <c r="BH53" s="8">
        <v>0</v>
      </c>
      <c r="BJ53" s="8">
        <f t="shared" si="1"/>
        <v>25293368</v>
      </c>
      <c r="BL53" s="8">
        <f>+GenRev!AM53-GenExp!BJ53</f>
        <v>-1131800</v>
      </c>
      <c r="BN53" s="8">
        <v>3265406</v>
      </c>
      <c r="BP53" s="8">
        <v>0</v>
      </c>
      <c r="BQ53" s="8">
        <v>0</v>
      </c>
      <c r="BS53" s="8">
        <f t="shared" si="2"/>
        <v>2133606</v>
      </c>
      <c r="BU53" s="9">
        <f>+BS53-'Gen Fd BS'!AA53+BQ53</f>
        <v>0</v>
      </c>
    </row>
    <row r="54" spans="1:75">
      <c r="A54" s="13" t="s">
        <v>531</v>
      </c>
      <c r="B54" s="13"/>
      <c r="C54" s="13" t="s">
        <v>47</v>
      </c>
      <c r="D54" s="13"/>
      <c r="E54" s="32">
        <v>48462</v>
      </c>
      <c r="G54" s="8">
        <v>7255603</v>
      </c>
      <c r="I54" s="8">
        <v>1200320</v>
      </c>
      <c r="K54" s="8">
        <v>149132</v>
      </c>
      <c r="M54" s="8">
        <v>838</v>
      </c>
      <c r="O54" s="8">
        <v>561345</v>
      </c>
      <c r="Q54" s="8">
        <v>552432</v>
      </c>
      <c r="S54" s="8">
        <v>31048</v>
      </c>
      <c r="U54" s="8">
        <v>1042981</v>
      </c>
      <c r="W54" s="8">
        <v>400581</v>
      </c>
      <c r="Y54" s="8">
        <v>17118</v>
      </c>
      <c r="AA54" s="8">
        <v>1008368</v>
      </c>
      <c r="AC54" s="8">
        <v>1178160</v>
      </c>
      <c r="AE54" s="8">
        <v>43619</v>
      </c>
      <c r="AG54" s="8">
        <v>0</v>
      </c>
      <c r="AI54" s="8">
        <v>0</v>
      </c>
      <c r="AJ54" s="13" t="s">
        <v>531</v>
      </c>
      <c r="AK54" s="13"/>
      <c r="AL54" s="13" t="s">
        <v>47</v>
      </c>
      <c r="AN54" s="8">
        <v>171972</v>
      </c>
      <c r="AP54" s="8">
        <f>16300+63036</f>
        <v>79336</v>
      </c>
      <c r="AT54" s="8">
        <v>11528</v>
      </c>
      <c r="AV54" s="8">
        <v>3861</v>
      </c>
      <c r="AX54" s="8">
        <v>0</v>
      </c>
      <c r="AZ54" s="8">
        <f t="shared" si="0"/>
        <v>13708242</v>
      </c>
      <c r="BB54" s="8">
        <v>86925</v>
      </c>
      <c r="BH54" s="8">
        <v>0</v>
      </c>
      <c r="BJ54" s="8">
        <f t="shared" si="1"/>
        <v>13795167</v>
      </c>
      <c r="BL54" s="8">
        <f>+GenRev!AM54-GenExp!BJ54</f>
        <v>-1846145</v>
      </c>
      <c r="BN54" s="8">
        <v>2123853</v>
      </c>
      <c r="BP54" s="8">
        <v>0</v>
      </c>
      <c r="BQ54" s="8">
        <v>0</v>
      </c>
      <c r="BS54" s="8">
        <f t="shared" si="2"/>
        <v>277708</v>
      </c>
      <c r="BU54" s="9">
        <f>+BS54-'Gen Fd BS'!AA54+BQ54</f>
        <v>0</v>
      </c>
    </row>
    <row r="55" spans="1:75">
      <c r="A55" s="13" t="s">
        <v>278</v>
      </c>
      <c r="B55" s="13"/>
      <c r="C55" s="13" t="s">
        <v>18</v>
      </c>
      <c r="D55" s="13"/>
      <c r="E55" s="32">
        <v>46383</v>
      </c>
      <c r="F55" s="11"/>
      <c r="G55" s="8">
        <v>5580075</v>
      </c>
      <c r="I55" s="8">
        <v>1025019</v>
      </c>
      <c r="K55" s="8">
        <v>377190</v>
      </c>
      <c r="M55" s="8">
        <v>615357</v>
      </c>
      <c r="O55" s="8">
        <v>582153</v>
      </c>
      <c r="Q55" s="8">
        <v>1144401</v>
      </c>
      <c r="S55" s="8">
        <v>27810</v>
      </c>
      <c r="U55" s="8">
        <v>959640</v>
      </c>
      <c r="W55" s="8">
        <v>355277</v>
      </c>
      <c r="Y55" s="8">
        <v>8261</v>
      </c>
      <c r="AA55" s="8">
        <v>1291456</v>
      </c>
      <c r="AC55" s="8">
        <v>895668</v>
      </c>
      <c r="AE55" s="8">
        <v>23233</v>
      </c>
      <c r="AG55" s="8">
        <v>0</v>
      </c>
      <c r="AI55" s="8">
        <v>12057</v>
      </c>
      <c r="AJ55" s="13" t="s">
        <v>278</v>
      </c>
      <c r="AK55" s="13"/>
      <c r="AL55" s="13" t="s">
        <v>18</v>
      </c>
      <c r="AN55" s="8">
        <v>250328</v>
      </c>
      <c r="AP55" s="8">
        <v>0</v>
      </c>
      <c r="AT55" s="8">
        <v>0</v>
      </c>
      <c r="AV55" s="8">
        <v>0</v>
      </c>
      <c r="AX55" s="8">
        <v>0</v>
      </c>
      <c r="AZ55" s="8">
        <f t="shared" si="0"/>
        <v>13147925</v>
      </c>
      <c r="BB55" s="8">
        <v>0</v>
      </c>
      <c r="BH55" s="8">
        <v>0</v>
      </c>
      <c r="BJ55" s="8">
        <f t="shared" si="1"/>
        <v>13147925</v>
      </c>
      <c r="BL55" s="8">
        <f>+GenRev!AM55-GenExp!BJ55</f>
        <v>-258110</v>
      </c>
      <c r="BN55" s="8">
        <v>739641</v>
      </c>
      <c r="BP55" s="8">
        <v>0</v>
      </c>
      <c r="BQ55" s="8">
        <v>0</v>
      </c>
      <c r="BS55" s="8">
        <f t="shared" si="2"/>
        <v>481531</v>
      </c>
      <c r="BU55" s="9">
        <f>+BS55-'Gen Fd BS'!AA55+BQ55</f>
        <v>0</v>
      </c>
    </row>
    <row r="56" spans="1:75">
      <c r="A56" s="13" t="s">
        <v>349</v>
      </c>
      <c r="B56" s="13"/>
      <c r="C56" s="13" t="s">
        <v>25</v>
      </c>
      <c r="D56" s="13"/>
      <c r="E56" s="32">
        <v>46862</v>
      </c>
      <c r="G56" s="8">
        <v>5312645</v>
      </c>
      <c r="I56" s="8">
        <v>1253810</v>
      </c>
      <c r="K56" s="8">
        <v>224480</v>
      </c>
      <c r="M56" s="8">
        <v>667500</v>
      </c>
      <c r="O56" s="8">
        <v>555910</v>
      </c>
      <c r="Q56" s="8">
        <v>721682</v>
      </c>
      <c r="S56" s="8">
        <v>99366</v>
      </c>
      <c r="U56" s="8">
        <v>1642085</v>
      </c>
      <c r="W56" s="8">
        <v>145312</v>
      </c>
      <c r="Y56" s="8">
        <v>0</v>
      </c>
      <c r="AA56" s="8">
        <v>785307</v>
      </c>
      <c r="AC56" s="8">
        <v>865319</v>
      </c>
      <c r="AE56" s="8">
        <v>46158</v>
      </c>
      <c r="AG56" s="8">
        <v>0</v>
      </c>
      <c r="AI56" s="8">
        <v>0</v>
      </c>
      <c r="AJ56" s="13" t="s">
        <v>349</v>
      </c>
      <c r="AK56" s="13"/>
      <c r="AL56" s="13" t="s">
        <v>25</v>
      </c>
      <c r="AN56" s="8">
        <v>412235</v>
      </c>
      <c r="AP56" s="8">
        <v>0</v>
      </c>
      <c r="AT56" s="8">
        <v>0</v>
      </c>
      <c r="AV56" s="8">
        <v>0</v>
      </c>
      <c r="AX56" s="8">
        <v>0</v>
      </c>
      <c r="AZ56" s="8">
        <f t="shared" si="0"/>
        <v>12731809</v>
      </c>
      <c r="BB56" s="8">
        <v>1214</v>
      </c>
      <c r="BH56" s="8">
        <v>0</v>
      </c>
      <c r="BJ56" s="8">
        <f t="shared" si="1"/>
        <v>12733023</v>
      </c>
      <c r="BL56" s="8">
        <f>+GenRev!AM56-GenExp!BJ56</f>
        <v>1246039</v>
      </c>
      <c r="BN56" s="8">
        <v>1000129</v>
      </c>
      <c r="BP56" s="8">
        <v>0</v>
      </c>
      <c r="BQ56" s="8">
        <v>0</v>
      </c>
      <c r="BS56" s="8">
        <f t="shared" si="2"/>
        <v>2246168</v>
      </c>
      <c r="BU56" s="9">
        <f>+BS56-'Gen Fd BS'!AA56+BQ56</f>
        <v>0</v>
      </c>
    </row>
    <row r="57" spans="1:75">
      <c r="A57" s="13" t="s">
        <v>680</v>
      </c>
      <c r="B57" s="13"/>
      <c r="C57" s="13" t="s">
        <v>64</v>
      </c>
      <c r="D57" s="13"/>
      <c r="E57" s="32">
        <v>50096</v>
      </c>
      <c r="G57" s="8">
        <v>1317193</v>
      </c>
      <c r="I57" s="8">
        <v>68807</v>
      </c>
      <c r="K57" s="8">
        <v>65549</v>
      </c>
      <c r="M57" s="8">
        <v>0</v>
      </c>
      <c r="O57" s="8">
        <v>123378</v>
      </c>
      <c r="Q57" s="8">
        <v>65739</v>
      </c>
      <c r="S57" s="8">
        <v>20844</v>
      </c>
      <c r="U57" s="8">
        <v>378560</v>
      </c>
      <c r="W57" s="8">
        <v>195329</v>
      </c>
      <c r="Y57" s="8">
        <v>0</v>
      </c>
      <c r="AA57" s="8">
        <v>354468</v>
      </c>
      <c r="AC57" s="8">
        <v>176185</v>
      </c>
      <c r="AE57" s="8">
        <v>0</v>
      </c>
      <c r="AG57" s="8">
        <v>0</v>
      </c>
      <c r="AI57" s="8">
        <v>2516</v>
      </c>
      <c r="AJ57" s="13" t="s">
        <v>680</v>
      </c>
      <c r="AK57" s="13"/>
      <c r="AL57" s="13" t="s">
        <v>64</v>
      </c>
      <c r="AN57" s="8">
        <v>49736</v>
      </c>
      <c r="AP57" s="8">
        <v>0</v>
      </c>
      <c r="AT57" s="8">
        <v>7087</v>
      </c>
      <c r="AV57" s="8">
        <v>167</v>
      </c>
      <c r="AX57" s="8">
        <v>0</v>
      </c>
      <c r="AZ57" s="8">
        <f t="shared" si="0"/>
        <v>2825558</v>
      </c>
      <c r="BB57" s="8">
        <v>0</v>
      </c>
      <c r="BH57" s="8">
        <v>0</v>
      </c>
      <c r="BJ57" s="8">
        <f t="shared" si="1"/>
        <v>2825558</v>
      </c>
      <c r="BL57" s="8">
        <f>+GenRev!AM57-GenExp!BJ57</f>
        <v>15463</v>
      </c>
      <c r="BN57" s="8">
        <v>521988</v>
      </c>
      <c r="BP57" s="8">
        <v>0</v>
      </c>
      <c r="BQ57" s="8">
        <v>0</v>
      </c>
      <c r="BS57" s="8">
        <f t="shared" si="2"/>
        <v>537451</v>
      </c>
      <c r="BU57" s="9">
        <f>+BS57-'Gen Fd BS'!AA57+BQ57</f>
        <v>0</v>
      </c>
    </row>
    <row r="58" spans="1:75" hidden="1">
      <c r="A58" s="12" t="s">
        <v>916</v>
      </c>
      <c r="B58" s="12"/>
      <c r="C58" s="12" t="s">
        <v>10</v>
      </c>
      <c r="D58" s="13"/>
      <c r="E58" s="32">
        <v>49593</v>
      </c>
      <c r="AJ58" s="12" t="s">
        <v>916</v>
      </c>
      <c r="AK58" s="12"/>
      <c r="AL58" s="12" t="s">
        <v>10</v>
      </c>
      <c r="AZ58" s="8">
        <f>SUM(G58:AX58)</f>
        <v>0</v>
      </c>
      <c r="BB58" s="8">
        <v>0</v>
      </c>
      <c r="BH58" s="8">
        <v>0</v>
      </c>
      <c r="BJ58" s="8">
        <f>+AZ58+BB58+BD58+BH58</f>
        <v>0</v>
      </c>
      <c r="BL58" s="8">
        <f>+GenRev!AM58-GenExp!BJ58</f>
        <v>0</v>
      </c>
      <c r="BN58" s="8">
        <v>0</v>
      </c>
      <c r="BP58" s="8">
        <v>0</v>
      </c>
      <c r="BQ58" s="8">
        <v>0</v>
      </c>
      <c r="BS58" s="8">
        <f>+BN58+BL58-BP58</f>
        <v>0</v>
      </c>
      <c r="BU58" s="9">
        <f>+BS58-'Gen Fd BS'!AA58+BQ58</f>
        <v>0</v>
      </c>
      <c r="BW58" s="10" t="s">
        <v>917</v>
      </c>
    </row>
    <row r="59" spans="1:75">
      <c r="A59" s="13" t="s">
        <v>631</v>
      </c>
      <c r="B59" s="13"/>
      <c r="C59" s="13" t="s">
        <v>59</v>
      </c>
      <c r="D59" s="13"/>
      <c r="E59" s="32">
        <v>49593</v>
      </c>
      <c r="G59" s="8">
        <v>3666695</v>
      </c>
      <c r="I59" s="8">
        <v>512884</v>
      </c>
      <c r="K59" s="8">
        <v>0</v>
      </c>
      <c r="M59" s="8">
        <v>2835</v>
      </c>
      <c r="O59" s="8">
        <v>305210</v>
      </c>
      <c r="Q59" s="8">
        <v>391505</v>
      </c>
      <c r="S59" s="8">
        <v>29204</v>
      </c>
      <c r="U59" s="8">
        <v>747749</v>
      </c>
      <c r="W59" s="8">
        <v>227821</v>
      </c>
      <c r="Y59" s="8">
        <v>40105</v>
      </c>
      <c r="AA59" s="8">
        <v>1104622</v>
      </c>
      <c r="AC59" s="8">
        <v>721536</v>
      </c>
      <c r="AE59" s="8">
        <v>4217</v>
      </c>
      <c r="AG59" s="8">
        <v>0</v>
      </c>
      <c r="AI59" s="8">
        <v>677</v>
      </c>
      <c r="AJ59" s="13" t="s">
        <v>631</v>
      </c>
      <c r="AK59" s="13"/>
      <c r="AL59" s="13" t="s">
        <v>59</v>
      </c>
      <c r="AN59" s="8">
        <v>124179</v>
      </c>
      <c r="AP59" s="8">
        <v>7178</v>
      </c>
      <c r="AT59" s="8">
        <v>0</v>
      </c>
      <c r="AV59" s="8">
        <v>0</v>
      </c>
      <c r="AX59" s="8">
        <v>43500</v>
      </c>
      <c r="AZ59" s="8">
        <f t="shared" si="0"/>
        <v>7929917</v>
      </c>
      <c r="BB59" s="8">
        <v>471</v>
      </c>
      <c r="BH59" s="8">
        <v>0</v>
      </c>
      <c r="BJ59" s="8">
        <f t="shared" si="1"/>
        <v>7930388</v>
      </c>
      <c r="BL59" s="8">
        <f>+GenRev!AM59-GenExp!BJ59</f>
        <v>-250509</v>
      </c>
      <c r="BN59" s="8">
        <v>368455</v>
      </c>
      <c r="BP59" s="8">
        <v>0</v>
      </c>
      <c r="BQ59" s="8">
        <v>0</v>
      </c>
      <c r="BS59" s="8">
        <f t="shared" si="2"/>
        <v>117946</v>
      </c>
      <c r="BU59" s="9">
        <f>+BS59-'Gen Fd BS'!AA59+BQ59</f>
        <v>0</v>
      </c>
    </row>
    <row r="60" spans="1:75">
      <c r="A60" s="13" t="s">
        <v>515</v>
      </c>
      <c r="B60" s="13"/>
      <c r="C60" s="13" t="s">
        <v>45</v>
      </c>
      <c r="D60" s="13"/>
      <c r="E60" s="32">
        <v>48306</v>
      </c>
      <c r="G60" s="8">
        <v>21129312</v>
      </c>
      <c r="I60" s="8">
        <v>2721155</v>
      </c>
      <c r="K60" s="8">
        <v>0</v>
      </c>
      <c r="M60" s="8">
        <f>7449+225809</f>
        <v>233258</v>
      </c>
      <c r="O60" s="8">
        <v>1436276</v>
      </c>
      <c r="Q60" s="8">
        <v>2317921</v>
      </c>
      <c r="S60" s="8">
        <v>117064</v>
      </c>
      <c r="U60" s="8">
        <v>2346910</v>
      </c>
      <c r="W60" s="8">
        <v>995758</v>
      </c>
      <c r="Y60" s="8">
        <v>136822</v>
      </c>
      <c r="AA60" s="8">
        <v>4453771</v>
      </c>
      <c r="AC60" s="8">
        <v>2874764</v>
      </c>
      <c r="AE60" s="8">
        <v>116028</v>
      </c>
      <c r="AG60" s="8">
        <v>0</v>
      </c>
      <c r="AI60" s="8">
        <v>0</v>
      </c>
      <c r="AJ60" s="13" t="s">
        <v>515</v>
      </c>
      <c r="AK60" s="13"/>
      <c r="AL60" s="13" t="s">
        <v>45</v>
      </c>
      <c r="AN60" s="8">
        <v>670348</v>
      </c>
      <c r="AP60" s="8">
        <v>0</v>
      </c>
      <c r="AT60" s="8">
        <v>54548</v>
      </c>
      <c r="AV60" s="8">
        <v>3644</v>
      </c>
      <c r="AX60" s="8">
        <v>0</v>
      </c>
      <c r="AZ60" s="8">
        <f t="shared" si="0"/>
        <v>39607579</v>
      </c>
      <c r="BB60" s="8">
        <v>725390</v>
      </c>
      <c r="BH60" s="8">
        <v>0</v>
      </c>
      <c r="BJ60" s="8">
        <f t="shared" si="1"/>
        <v>40332969</v>
      </c>
      <c r="BL60" s="8">
        <f>+GenRev!AM60-GenExp!BJ60</f>
        <v>1276408</v>
      </c>
      <c r="BN60" s="8">
        <v>7358276</v>
      </c>
      <c r="BP60" s="8">
        <v>0</v>
      </c>
      <c r="BQ60" s="8">
        <v>0</v>
      </c>
      <c r="BS60" s="8">
        <f t="shared" si="2"/>
        <v>8634684</v>
      </c>
      <c r="BU60" s="9">
        <f>+BS60-'Gen Fd BS'!AA60+BQ60</f>
        <v>0</v>
      </c>
    </row>
    <row r="61" spans="1:75">
      <c r="A61" s="13" t="s">
        <v>647</v>
      </c>
      <c r="B61" s="13"/>
      <c r="C61" s="13" t="s">
        <v>61</v>
      </c>
      <c r="D61" s="13"/>
      <c r="E61" s="32">
        <v>49767</v>
      </c>
      <c r="G61" s="8">
        <v>2174356</v>
      </c>
      <c r="I61" s="8">
        <v>329479</v>
      </c>
      <c r="K61" s="8">
        <v>148486</v>
      </c>
      <c r="M61" s="8">
        <v>40035</v>
      </c>
      <c r="O61" s="8">
        <v>160250</v>
      </c>
      <c r="Q61" s="8">
        <v>236357</v>
      </c>
      <c r="S61" s="8">
        <v>11227</v>
      </c>
      <c r="U61" s="8">
        <v>377311</v>
      </c>
      <c r="W61" s="8">
        <v>174823</v>
      </c>
      <c r="Y61" s="8">
        <v>0</v>
      </c>
      <c r="AA61" s="8">
        <v>330414</v>
      </c>
      <c r="AC61" s="8">
        <v>130121</v>
      </c>
      <c r="AE61" s="8">
        <v>2492</v>
      </c>
      <c r="AG61" s="8">
        <v>0</v>
      </c>
      <c r="AI61" s="8">
        <v>0</v>
      </c>
      <c r="AJ61" s="13" t="s">
        <v>647</v>
      </c>
      <c r="AK61" s="13"/>
      <c r="AL61" s="13" t="s">
        <v>61</v>
      </c>
      <c r="AN61" s="8">
        <v>171710</v>
      </c>
      <c r="AP61" s="8">
        <v>0</v>
      </c>
      <c r="AT61" s="8">
        <v>1850</v>
      </c>
      <c r="AV61" s="8">
        <v>25</v>
      </c>
      <c r="AX61" s="8">
        <v>0</v>
      </c>
      <c r="AZ61" s="8">
        <f t="shared" si="0"/>
        <v>4288936</v>
      </c>
      <c r="BB61" s="8">
        <v>0</v>
      </c>
      <c r="BH61" s="8">
        <v>0</v>
      </c>
      <c r="BJ61" s="8">
        <f t="shared" si="1"/>
        <v>4288936</v>
      </c>
      <c r="BL61" s="8">
        <f>+GenRev!AM61-GenExp!BJ61</f>
        <v>-185285</v>
      </c>
      <c r="BN61" s="8">
        <v>583383</v>
      </c>
      <c r="BP61" s="8">
        <v>0</v>
      </c>
      <c r="BQ61" s="8">
        <v>0</v>
      </c>
      <c r="BS61" s="8">
        <f t="shared" si="2"/>
        <v>398098</v>
      </c>
      <c r="BU61" s="9">
        <f>+BS61-'Gen Fd BS'!AA61+BQ61</f>
        <v>0</v>
      </c>
    </row>
    <row r="62" spans="1:75">
      <c r="A62" s="13" t="s">
        <v>739</v>
      </c>
      <c r="B62" s="13"/>
      <c r="C62" s="13" t="s">
        <v>72</v>
      </c>
      <c r="D62" s="13"/>
      <c r="E62" s="32">
        <v>43638</v>
      </c>
      <c r="G62" s="8">
        <v>18440395</v>
      </c>
      <c r="I62" s="8">
        <v>0</v>
      </c>
      <c r="K62" s="8">
        <v>0</v>
      </c>
      <c r="M62" s="8">
        <v>0</v>
      </c>
      <c r="O62" s="8">
        <v>10857167</v>
      </c>
      <c r="Q62" s="8">
        <v>0</v>
      </c>
      <c r="S62" s="8">
        <v>0</v>
      </c>
      <c r="U62" s="8">
        <v>0</v>
      </c>
      <c r="W62" s="8">
        <v>0</v>
      </c>
      <c r="Y62" s="8">
        <v>0</v>
      </c>
      <c r="AA62" s="8">
        <v>0</v>
      </c>
      <c r="AC62" s="8">
        <v>0</v>
      </c>
      <c r="AE62" s="8">
        <v>0</v>
      </c>
      <c r="AG62" s="8">
        <v>0</v>
      </c>
      <c r="AI62" s="8">
        <v>10999</v>
      </c>
      <c r="AJ62" s="13" t="s">
        <v>739</v>
      </c>
      <c r="AK62" s="13"/>
      <c r="AL62" s="13" t="s">
        <v>72</v>
      </c>
      <c r="AN62" s="8">
        <v>679954</v>
      </c>
      <c r="AP62" s="8">
        <v>1440</v>
      </c>
      <c r="AT62" s="8">
        <v>0</v>
      </c>
      <c r="AV62" s="8">
        <v>0</v>
      </c>
      <c r="AX62" s="8">
        <v>0</v>
      </c>
      <c r="AZ62" s="8">
        <f t="shared" si="0"/>
        <v>29989955</v>
      </c>
      <c r="BB62" s="8">
        <v>347000</v>
      </c>
      <c r="BH62" s="8">
        <v>131</v>
      </c>
      <c r="BJ62" s="8">
        <f t="shared" si="1"/>
        <v>30337086</v>
      </c>
      <c r="BL62" s="8">
        <f>+GenRev!AM62-GenExp!BJ62</f>
        <v>-485691</v>
      </c>
      <c r="BN62" s="8">
        <v>9803897</v>
      </c>
      <c r="BP62" s="8">
        <v>0</v>
      </c>
      <c r="BQ62" s="8">
        <v>0</v>
      </c>
      <c r="BS62" s="8">
        <f t="shared" si="2"/>
        <v>9318206</v>
      </c>
      <c r="BU62" s="9">
        <f>+BS62-'Gen Fd BS'!AA62+BQ62</f>
        <v>0</v>
      </c>
    </row>
    <row r="63" spans="1:75" hidden="1">
      <c r="A63" s="13" t="s">
        <v>922</v>
      </c>
      <c r="B63" s="13"/>
      <c r="C63" s="13" t="s">
        <v>48</v>
      </c>
      <c r="D63" s="13"/>
      <c r="E63" s="32">
        <v>43646</v>
      </c>
      <c r="AJ63" s="13" t="s">
        <v>304</v>
      </c>
      <c r="AK63" s="13"/>
      <c r="AL63" s="13" t="s">
        <v>20</v>
      </c>
      <c r="AZ63" s="8">
        <f>SUM(G63:AX63)</f>
        <v>0</v>
      </c>
      <c r="BB63" s="8">
        <v>0</v>
      </c>
      <c r="BH63" s="8">
        <v>0</v>
      </c>
      <c r="BJ63" s="8">
        <f>+AZ63+BB63+BD63+BH63</f>
        <v>0</v>
      </c>
      <c r="BL63" s="8">
        <f>+GenRev!AM63-GenExp!BJ63</f>
        <v>0</v>
      </c>
      <c r="BN63" s="8">
        <v>0</v>
      </c>
      <c r="BP63" s="8">
        <v>0</v>
      </c>
      <c r="BQ63" s="8">
        <v>0</v>
      </c>
      <c r="BS63" s="8">
        <f>+BN63+BL63-BP63</f>
        <v>0</v>
      </c>
      <c r="BU63" s="9">
        <f>+BS63-'Gen Fd BS'!AA63+BQ63</f>
        <v>0</v>
      </c>
    </row>
    <row r="64" spans="1:75">
      <c r="A64" s="12" t="s">
        <v>984</v>
      </c>
      <c r="B64" s="13"/>
      <c r="C64" s="13" t="s">
        <v>20</v>
      </c>
      <c r="D64" s="13"/>
      <c r="E64" s="32">
        <v>43646</v>
      </c>
      <c r="G64" s="8">
        <v>21152598</v>
      </c>
      <c r="I64" s="8">
        <v>5161082</v>
      </c>
      <c r="K64" s="8">
        <v>222910</v>
      </c>
      <c r="M64" s="8">
        <v>0</v>
      </c>
      <c r="O64" s="8">
        <v>3327957</v>
      </c>
      <c r="Q64" s="8">
        <v>2427315</v>
      </c>
      <c r="S64" s="8">
        <v>71971</v>
      </c>
      <c r="U64" s="8">
        <v>3264239</v>
      </c>
      <c r="W64" s="8">
        <v>1025516</v>
      </c>
      <c r="Y64" s="8">
        <v>472557</v>
      </c>
      <c r="AA64" s="8">
        <v>4637060</v>
      </c>
      <c r="AC64" s="8">
        <v>3431924</v>
      </c>
      <c r="AE64" s="8">
        <v>255249</v>
      </c>
      <c r="AG64" s="8">
        <v>0</v>
      </c>
      <c r="AI64" s="8">
        <v>0</v>
      </c>
      <c r="AJ64" s="13" t="s">
        <v>304</v>
      </c>
      <c r="AK64" s="13"/>
      <c r="AL64" s="13" t="s">
        <v>20</v>
      </c>
      <c r="AN64" s="8">
        <v>848201</v>
      </c>
      <c r="AP64" s="8">
        <v>0</v>
      </c>
      <c r="AT64" s="8">
        <v>96430</v>
      </c>
      <c r="AV64" s="8">
        <v>5946</v>
      </c>
      <c r="AX64" s="8">
        <v>0</v>
      </c>
      <c r="AZ64" s="8">
        <f t="shared" si="0"/>
        <v>46400955</v>
      </c>
      <c r="BB64" s="8">
        <v>397500</v>
      </c>
      <c r="BH64" s="8">
        <v>0</v>
      </c>
      <c r="BJ64" s="8">
        <f t="shared" si="1"/>
        <v>46798455</v>
      </c>
      <c r="BL64" s="8">
        <f>+GenRev!AM64-GenExp!BJ64</f>
        <v>4215034</v>
      </c>
      <c r="BN64" s="8">
        <v>12295432</v>
      </c>
      <c r="BP64" s="8">
        <v>0</v>
      </c>
      <c r="BQ64" s="8">
        <v>0</v>
      </c>
      <c r="BS64" s="8">
        <f t="shared" si="2"/>
        <v>16510466</v>
      </c>
      <c r="BU64" s="9">
        <f>+BS64-'Gen Fd BS'!AA64+BQ64</f>
        <v>0</v>
      </c>
    </row>
    <row r="65" spans="1:75">
      <c r="A65" s="13" t="s">
        <v>235</v>
      </c>
      <c r="B65" s="13"/>
      <c r="C65" s="13" t="s">
        <v>15</v>
      </c>
      <c r="D65" s="13"/>
      <c r="E65" s="32">
        <v>45237</v>
      </c>
      <c r="F65" s="11"/>
      <c r="G65" s="8">
        <v>2878178</v>
      </c>
      <c r="I65" s="8">
        <v>654248</v>
      </c>
      <c r="K65" s="8">
        <v>37043</v>
      </c>
      <c r="M65" s="8">
        <v>0</v>
      </c>
      <c r="O65" s="8">
        <v>233898</v>
      </c>
      <c r="Q65" s="8">
        <v>123165</v>
      </c>
      <c r="S65" s="8">
        <v>25033</v>
      </c>
      <c r="U65" s="8">
        <v>548122</v>
      </c>
      <c r="W65" s="8">
        <v>246728</v>
      </c>
      <c r="Y65" s="8">
        <v>0</v>
      </c>
      <c r="AA65" s="8">
        <v>674704</v>
      </c>
      <c r="AC65" s="8">
        <v>271128</v>
      </c>
      <c r="AE65" s="8">
        <v>6307</v>
      </c>
      <c r="AG65" s="8">
        <v>0</v>
      </c>
      <c r="AI65" s="8">
        <v>0</v>
      </c>
      <c r="AJ65" s="13" t="s">
        <v>235</v>
      </c>
      <c r="AK65" s="13"/>
      <c r="AL65" s="13" t="s">
        <v>15</v>
      </c>
      <c r="AN65" s="8">
        <v>85294</v>
      </c>
      <c r="AP65" s="8">
        <v>0</v>
      </c>
      <c r="AT65" s="8">
        <v>13915</v>
      </c>
      <c r="AV65" s="8">
        <v>2685</v>
      </c>
      <c r="AX65" s="8">
        <v>0</v>
      </c>
      <c r="AZ65" s="8">
        <f t="shared" si="0"/>
        <v>5800448</v>
      </c>
      <c r="BB65" s="8">
        <v>0</v>
      </c>
      <c r="BH65" s="8">
        <v>0</v>
      </c>
      <c r="BJ65" s="8">
        <f t="shared" si="1"/>
        <v>5800448</v>
      </c>
      <c r="BL65" s="8">
        <f>+GenRev!AM65-GenExp!BJ65</f>
        <v>206821</v>
      </c>
      <c r="BN65" s="8">
        <v>0</v>
      </c>
      <c r="BP65" s="8">
        <v>0</v>
      </c>
      <c r="BQ65" s="8">
        <v>0</v>
      </c>
      <c r="BS65" s="8">
        <v>-354704</v>
      </c>
      <c r="BU65" s="9">
        <f>+BS65-'Gen Fd BS'!AA65+BQ65</f>
        <v>0</v>
      </c>
    </row>
    <row r="66" spans="1:75">
      <c r="A66" s="13" t="s">
        <v>439</v>
      </c>
      <c r="B66" s="13"/>
      <c r="C66" s="13" t="s">
        <v>440</v>
      </c>
      <c r="D66" s="13"/>
      <c r="E66" s="32">
        <v>47613</v>
      </c>
      <c r="G66" s="8">
        <v>3397015</v>
      </c>
      <c r="I66" s="8">
        <v>517722</v>
      </c>
      <c r="K66" s="8">
        <v>231665</v>
      </c>
      <c r="M66" s="8">
        <v>45391</v>
      </c>
      <c r="O66" s="8">
        <v>363956</v>
      </c>
      <c r="Q66" s="8">
        <v>249499</v>
      </c>
      <c r="S66" s="8">
        <v>36538</v>
      </c>
      <c r="U66" s="8">
        <v>494693</v>
      </c>
      <c r="W66" s="8">
        <v>276465</v>
      </c>
      <c r="Y66" s="8">
        <v>4340</v>
      </c>
      <c r="AA66" s="8">
        <v>592922</v>
      </c>
      <c r="AC66" s="8">
        <v>625440</v>
      </c>
      <c r="AE66" s="8">
        <v>0</v>
      </c>
      <c r="AG66" s="8">
        <v>0</v>
      </c>
      <c r="AI66" s="8">
        <v>146</v>
      </c>
      <c r="AJ66" s="13" t="s">
        <v>439</v>
      </c>
      <c r="AK66" s="13"/>
      <c r="AL66" s="13" t="s">
        <v>440</v>
      </c>
      <c r="AN66" s="8">
        <v>84785</v>
      </c>
      <c r="AP66" s="8">
        <v>41799</v>
      </c>
      <c r="AT66" s="8">
        <v>0</v>
      </c>
      <c r="AV66" s="8">
        <v>0</v>
      </c>
      <c r="AX66" s="8">
        <v>0</v>
      </c>
      <c r="AZ66" s="8">
        <f t="shared" si="0"/>
        <v>6962376</v>
      </c>
      <c r="BB66" s="8">
        <v>500</v>
      </c>
      <c r="BH66" s="8">
        <v>0</v>
      </c>
      <c r="BJ66" s="8">
        <f t="shared" si="1"/>
        <v>6962876</v>
      </c>
      <c r="BL66" s="8">
        <f>+GenRev!AM66-GenExp!BJ66</f>
        <v>-201821</v>
      </c>
      <c r="BN66" s="8">
        <v>1368393</v>
      </c>
      <c r="BP66" s="8">
        <v>0</v>
      </c>
      <c r="BQ66" s="8">
        <v>0</v>
      </c>
      <c r="BS66" s="8">
        <f t="shared" si="2"/>
        <v>1166572</v>
      </c>
      <c r="BU66" s="9">
        <f>+BS66-'Gen Fd BS'!AA66+BQ66</f>
        <v>0</v>
      </c>
    </row>
    <row r="67" spans="1:75">
      <c r="A67" s="13" t="s">
        <v>681</v>
      </c>
      <c r="B67" s="13"/>
      <c r="C67" s="13" t="s">
        <v>64</v>
      </c>
      <c r="D67" s="13"/>
      <c r="E67" s="32">
        <v>50112</v>
      </c>
      <c r="G67" s="8">
        <v>3574944</v>
      </c>
      <c r="I67" s="8">
        <v>438839</v>
      </c>
      <c r="K67" s="8">
        <v>48913</v>
      </c>
      <c r="M67" s="8">
        <v>3354</v>
      </c>
      <c r="O67" s="8">
        <v>216919</v>
      </c>
      <c r="Q67" s="8">
        <v>158656</v>
      </c>
      <c r="S67" s="8">
        <v>22113</v>
      </c>
      <c r="U67" s="8">
        <v>513293</v>
      </c>
      <c r="W67" s="8">
        <v>159395</v>
      </c>
      <c r="Y67" s="8">
        <v>26076</v>
      </c>
      <c r="AA67" s="8">
        <v>271087</v>
      </c>
      <c r="AC67" s="8">
        <v>240759</v>
      </c>
      <c r="AE67" s="8">
        <v>1739</v>
      </c>
      <c r="AG67" s="8">
        <v>0</v>
      </c>
      <c r="AI67" s="8">
        <v>498</v>
      </c>
      <c r="AJ67" s="13" t="s">
        <v>681</v>
      </c>
      <c r="AK67" s="13"/>
      <c r="AL67" s="13" t="s">
        <v>64</v>
      </c>
      <c r="AN67" s="8">
        <v>17890</v>
      </c>
      <c r="AP67" s="8">
        <v>0</v>
      </c>
      <c r="AT67" s="8">
        <v>0</v>
      </c>
      <c r="AV67" s="8">
        <v>0</v>
      </c>
      <c r="AX67" s="8">
        <v>0</v>
      </c>
      <c r="AZ67" s="8">
        <f t="shared" si="0"/>
        <v>5694475</v>
      </c>
      <c r="BB67" s="8">
        <v>85612</v>
      </c>
      <c r="BH67" s="8">
        <v>0</v>
      </c>
      <c r="BJ67" s="8">
        <f t="shared" si="1"/>
        <v>5780087</v>
      </c>
      <c r="BL67" s="8">
        <f>+GenRev!AM67-GenExp!BJ67</f>
        <v>439433</v>
      </c>
      <c r="BN67" s="8">
        <v>514182</v>
      </c>
      <c r="BP67" s="8">
        <v>0</v>
      </c>
      <c r="BQ67" s="8">
        <v>0</v>
      </c>
      <c r="BS67" s="8">
        <f t="shared" si="2"/>
        <v>953615</v>
      </c>
      <c r="BU67" s="9">
        <f>+BS67-'Gen Fd BS'!AA67+BQ67</f>
        <v>0</v>
      </c>
    </row>
    <row r="68" spans="1:75">
      <c r="A68" s="13" t="s">
        <v>682</v>
      </c>
      <c r="B68" s="13"/>
      <c r="C68" s="13" t="s">
        <v>64</v>
      </c>
      <c r="D68" s="13"/>
      <c r="E68" s="32">
        <v>50120</v>
      </c>
      <c r="G68" s="8">
        <v>4817282</v>
      </c>
      <c r="I68" s="8">
        <v>871975</v>
      </c>
      <c r="K68" s="8">
        <v>132669</v>
      </c>
      <c r="M68" s="8">
        <v>0</v>
      </c>
      <c r="O68" s="8">
        <v>439105</v>
      </c>
      <c r="Q68" s="8">
        <v>89839</v>
      </c>
      <c r="S68" s="8">
        <v>7002</v>
      </c>
      <c r="U68" s="8">
        <v>795173</v>
      </c>
      <c r="W68" s="8">
        <v>220151</v>
      </c>
      <c r="Y68" s="8">
        <v>59505</v>
      </c>
      <c r="AA68" s="8">
        <v>1146166</v>
      </c>
      <c r="AC68" s="8">
        <v>457143</v>
      </c>
      <c r="AE68" s="8">
        <v>0</v>
      </c>
      <c r="AG68" s="8">
        <v>1050</v>
      </c>
      <c r="AI68" s="8">
        <v>0</v>
      </c>
      <c r="AJ68" s="13" t="s">
        <v>682</v>
      </c>
      <c r="AK68" s="13"/>
      <c r="AL68" s="13" t="s">
        <v>64</v>
      </c>
      <c r="AN68" s="8">
        <v>185382</v>
      </c>
      <c r="AP68" s="8">
        <v>0</v>
      </c>
      <c r="AT68" s="8">
        <v>2700</v>
      </c>
      <c r="AV68" s="8">
        <v>14830</v>
      </c>
      <c r="AX68" s="8">
        <v>0</v>
      </c>
      <c r="AZ68" s="8">
        <f t="shared" si="0"/>
        <v>9239972</v>
      </c>
      <c r="BB68" s="8">
        <v>0</v>
      </c>
      <c r="BH68" s="8">
        <v>0</v>
      </c>
      <c r="BJ68" s="8">
        <f>+AZ68+BB68+BD68+BH68</f>
        <v>9239972</v>
      </c>
      <c r="BL68" s="8">
        <f>+GenRev!AM68-GenExp!BJ68</f>
        <v>363803</v>
      </c>
      <c r="BN68" s="8">
        <v>-1187450</v>
      </c>
      <c r="BP68" s="8">
        <v>0</v>
      </c>
      <c r="BQ68" s="8">
        <v>0</v>
      </c>
      <c r="BS68" s="8">
        <f>+BN68+BL68-BP68</f>
        <v>-823647</v>
      </c>
      <c r="BU68" s="9">
        <f>+BS68-'Gen Fd BS'!AA68+BQ68</f>
        <v>0</v>
      </c>
    </row>
    <row r="69" spans="1:75">
      <c r="A69" s="13" t="s">
        <v>305</v>
      </c>
      <c r="B69" s="13"/>
      <c r="C69" s="13" t="s">
        <v>20</v>
      </c>
      <c r="D69" s="13"/>
      <c r="E69" s="32">
        <v>43653</v>
      </c>
      <c r="G69" s="8">
        <v>7188031</v>
      </c>
      <c r="I69" s="8">
        <v>1571549</v>
      </c>
      <c r="K69" s="8">
        <v>104499</v>
      </c>
      <c r="M69" s="8">
        <v>0</v>
      </c>
      <c r="O69" s="8">
        <v>1013699</v>
      </c>
      <c r="Q69" s="8">
        <v>257788</v>
      </c>
      <c r="S69" s="8">
        <v>23584</v>
      </c>
      <c r="U69" s="8">
        <v>1688069</v>
      </c>
      <c r="W69" s="8">
        <v>531136</v>
      </c>
      <c r="Y69" s="8">
        <v>107629</v>
      </c>
      <c r="AA69" s="8">
        <v>1482603</v>
      </c>
      <c r="AC69" s="8">
        <v>452312</v>
      </c>
      <c r="AE69" s="8">
        <v>151581</v>
      </c>
      <c r="AG69" s="8">
        <v>0</v>
      </c>
      <c r="AI69" s="8">
        <v>0</v>
      </c>
      <c r="AJ69" s="13" t="s">
        <v>305</v>
      </c>
      <c r="AK69" s="13"/>
      <c r="AL69" s="13" t="s">
        <v>20</v>
      </c>
      <c r="AN69" s="8">
        <v>297869</v>
      </c>
      <c r="AP69" s="8">
        <v>5495</v>
      </c>
      <c r="AT69" s="8">
        <v>0</v>
      </c>
      <c r="AV69" s="8">
        <v>0</v>
      </c>
      <c r="AX69" s="8">
        <v>0</v>
      </c>
      <c r="AZ69" s="8">
        <f t="shared" si="0"/>
        <v>14875844</v>
      </c>
      <c r="BB69" s="8">
        <v>0</v>
      </c>
      <c r="BH69" s="8">
        <v>0</v>
      </c>
      <c r="BJ69" s="8">
        <f t="shared" si="1"/>
        <v>14875844</v>
      </c>
      <c r="BL69" s="8">
        <f>+GenRev!AM69-GenExp!BJ69</f>
        <v>-623607</v>
      </c>
      <c r="BN69" s="8">
        <v>1369562</v>
      </c>
      <c r="BP69" s="8">
        <v>0</v>
      </c>
      <c r="BQ69" s="8">
        <v>0</v>
      </c>
      <c r="BS69" s="8">
        <f t="shared" si="2"/>
        <v>745955</v>
      </c>
      <c r="BU69" s="9">
        <f>+BS69-'Gen Fd BS'!AA69+BQ69</f>
        <v>0</v>
      </c>
    </row>
    <row r="70" spans="1:75">
      <c r="A70" s="13" t="s">
        <v>552</v>
      </c>
      <c r="B70" s="13"/>
      <c r="C70" s="13" t="s">
        <v>50</v>
      </c>
      <c r="D70" s="13"/>
      <c r="E70" s="32">
        <v>48678</v>
      </c>
      <c r="G70" s="8">
        <v>4943018</v>
      </c>
      <c r="I70" s="8">
        <v>810648</v>
      </c>
      <c r="K70" s="8">
        <v>77401</v>
      </c>
      <c r="M70" s="8">
        <v>35521</v>
      </c>
      <c r="O70" s="8">
        <v>731073</v>
      </c>
      <c r="Q70" s="8">
        <v>587797</v>
      </c>
      <c r="S70" s="8">
        <v>27228</v>
      </c>
      <c r="U70" s="8">
        <v>1076317</v>
      </c>
      <c r="W70" s="8">
        <v>277738</v>
      </c>
      <c r="Y70" s="8">
        <v>4830</v>
      </c>
      <c r="AA70" s="8">
        <v>1133585</v>
      </c>
      <c r="AC70" s="8">
        <v>626837</v>
      </c>
      <c r="AE70" s="8">
        <v>24206</v>
      </c>
      <c r="AG70" s="8">
        <v>0</v>
      </c>
      <c r="AI70" s="8">
        <v>14003</v>
      </c>
      <c r="AJ70" s="13" t="s">
        <v>552</v>
      </c>
      <c r="AK70" s="13"/>
      <c r="AL70" s="13" t="s">
        <v>50</v>
      </c>
      <c r="AN70" s="8">
        <v>330962</v>
      </c>
      <c r="AP70" s="8">
        <v>0</v>
      </c>
      <c r="AT70" s="8">
        <v>0</v>
      </c>
      <c r="AV70" s="8">
        <v>0</v>
      </c>
      <c r="AX70" s="8">
        <v>0</v>
      </c>
      <c r="AZ70" s="8">
        <f t="shared" si="0"/>
        <v>10701164</v>
      </c>
      <c r="BB70" s="8">
        <v>141948</v>
      </c>
      <c r="BH70" s="8">
        <v>0</v>
      </c>
      <c r="BJ70" s="8">
        <f t="shared" si="1"/>
        <v>10843112</v>
      </c>
      <c r="BL70" s="8">
        <f>+GenRev!AM70-GenExp!BJ70</f>
        <v>588024</v>
      </c>
      <c r="BN70" s="8">
        <v>1960291</v>
      </c>
      <c r="BP70" s="8">
        <v>0</v>
      </c>
      <c r="BQ70" s="8">
        <v>0</v>
      </c>
      <c r="BS70" s="8">
        <f t="shared" si="2"/>
        <v>2548315</v>
      </c>
      <c r="BU70" s="9">
        <f>+BS70-'Gen Fd BS'!AA70+BQ70</f>
        <v>0</v>
      </c>
    </row>
    <row r="71" spans="1:75">
      <c r="A71" s="13" t="s">
        <v>256</v>
      </c>
      <c r="B71" s="13"/>
      <c r="C71" s="13" t="s">
        <v>16</v>
      </c>
      <c r="D71" s="13"/>
      <c r="E71" s="32">
        <v>46177</v>
      </c>
      <c r="F71" s="11"/>
      <c r="G71" s="8">
        <v>3997625</v>
      </c>
      <c r="I71" s="8">
        <v>221851</v>
      </c>
      <c r="K71" s="8">
        <v>0</v>
      </c>
      <c r="M71" s="8">
        <v>0</v>
      </c>
      <c r="O71" s="8">
        <v>92290</v>
      </c>
      <c r="Q71" s="8">
        <v>208981</v>
      </c>
      <c r="S71" s="8">
        <v>194162</v>
      </c>
      <c r="U71" s="8">
        <v>641414</v>
      </c>
      <c r="W71" s="8">
        <v>162192</v>
      </c>
      <c r="Y71" s="8">
        <v>0</v>
      </c>
      <c r="AA71" s="8">
        <v>472986</v>
      </c>
      <c r="AC71" s="8">
        <v>296645</v>
      </c>
      <c r="AE71" s="8">
        <v>0</v>
      </c>
      <c r="AG71" s="8">
        <v>0</v>
      </c>
      <c r="AI71" s="8">
        <v>0</v>
      </c>
      <c r="AJ71" s="13" t="s">
        <v>256</v>
      </c>
      <c r="AK71" s="13"/>
      <c r="AL71" s="13" t="s">
        <v>16</v>
      </c>
      <c r="AN71" s="8">
        <v>167724</v>
      </c>
      <c r="AP71" s="8">
        <v>0</v>
      </c>
      <c r="AT71" s="8">
        <v>2284</v>
      </c>
      <c r="AV71" s="8">
        <v>826</v>
      </c>
      <c r="AX71" s="8">
        <v>0</v>
      </c>
      <c r="AZ71" s="8">
        <f t="shared" si="0"/>
        <v>6458980</v>
      </c>
      <c r="BB71" s="8">
        <v>0</v>
      </c>
      <c r="BH71" s="8">
        <v>170100</v>
      </c>
      <c r="BJ71" s="8">
        <f t="shared" si="1"/>
        <v>6629080</v>
      </c>
      <c r="BL71" s="8">
        <f>+GenRev!AM71-GenExp!BJ71</f>
        <v>1038538</v>
      </c>
      <c r="BN71" s="8">
        <v>554932</v>
      </c>
      <c r="BP71" s="8">
        <v>0</v>
      </c>
      <c r="BQ71" s="8">
        <v>0</v>
      </c>
      <c r="BS71" s="8">
        <f t="shared" si="2"/>
        <v>1593470</v>
      </c>
      <c r="BU71" s="9">
        <f>+BS71-'Gen Fd BS'!AA71+BQ71</f>
        <v>0</v>
      </c>
    </row>
    <row r="72" spans="1:75">
      <c r="A72" s="13" t="s">
        <v>532</v>
      </c>
      <c r="B72" s="13"/>
      <c r="C72" s="13" t="s">
        <v>47</v>
      </c>
      <c r="D72" s="13"/>
      <c r="E72" s="32">
        <v>43661</v>
      </c>
      <c r="G72" s="8">
        <v>26481105</v>
      </c>
      <c r="I72" s="8">
        <v>6266150</v>
      </c>
      <c r="K72" s="8">
        <v>136158</v>
      </c>
      <c r="M72" s="8">
        <v>1041936</v>
      </c>
      <c r="O72" s="8">
        <v>3851061</v>
      </c>
      <c r="Q72" s="8">
        <v>1801221</v>
      </c>
      <c r="S72" s="8">
        <v>746908</v>
      </c>
      <c r="U72" s="8">
        <v>3799399</v>
      </c>
      <c r="W72" s="8">
        <v>1205262</v>
      </c>
      <c r="Y72" s="8">
        <v>355914</v>
      </c>
      <c r="AA72" s="8">
        <v>5399295</v>
      </c>
      <c r="AC72" s="8">
        <v>3596241</v>
      </c>
      <c r="AE72" s="8">
        <v>263126</v>
      </c>
      <c r="AG72" s="8">
        <v>2794</v>
      </c>
      <c r="AI72" s="8">
        <v>748</v>
      </c>
      <c r="AJ72" s="13" t="s">
        <v>532</v>
      </c>
      <c r="AK72" s="13"/>
      <c r="AL72" s="13" t="s">
        <v>47</v>
      </c>
      <c r="AN72" s="8">
        <v>1233849</v>
      </c>
      <c r="AP72" s="8">
        <v>0</v>
      </c>
      <c r="AT72" s="8">
        <v>39873</v>
      </c>
      <c r="AV72" s="8">
        <v>761</v>
      </c>
      <c r="AX72" s="8">
        <v>0</v>
      </c>
      <c r="AZ72" s="8">
        <f t="shared" si="0"/>
        <v>56221801</v>
      </c>
      <c r="BB72" s="8">
        <v>55685</v>
      </c>
      <c r="BH72" s="8">
        <v>0</v>
      </c>
      <c r="BJ72" s="8">
        <f t="shared" si="1"/>
        <v>56277486</v>
      </c>
      <c r="BL72" s="8">
        <f>+GenRev!AM72-GenExp!BJ72</f>
        <v>1737066</v>
      </c>
      <c r="BN72" s="8">
        <v>-1012391</v>
      </c>
      <c r="BP72" s="8">
        <v>0</v>
      </c>
      <c r="BQ72" s="8">
        <v>0</v>
      </c>
      <c r="BS72" s="8">
        <f t="shared" si="2"/>
        <v>724675</v>
      </c>
      <c r="BU72" s="9">
        <f>+BS72-'Gen Fd BS'!AA72+BQ72</f>
        <v>0</v>
      </c>
    </row>
    <row r="73" spans="1:75" hidden="1">
      <c r="A73" s="13" t="s">
        <v>732</v>
      </c>
      <c r="B73" s="13"/>
      <c r="C73" s="13" t="s">
        <v>733</v>
      </c>
      <c r="D73" s="13"/>
      <c r="E73" s="32">
        <v>43679</v>
      </c>
      <c r="AG73" s="8">
        <v>0</v>
      </c>
      <c r="AJ73" s="13" t="s">
        <v>732</v>
      </c>
      <c r="AK73" s="13"/>
      <c r="AL73" s="13" t="s">
        <v>733</v>
      </c>
      <c r="AZ73" s="8">
        <f t="shared" si="0"/>
        <v>0</v>
      </c>
      <c r="BB73" s="8">
        <v>0</v>
      </c>
      <c r="BH73" s="8">
        <v>0</v>
      </c>
      <c r="BJ73" s="8">
        <f t="shared" si="1"/>
        <v>0</v>
      </c>
      <c r="BL73" s="8">
        <f>+GenRev!AM73-GenExp!BJ73</f>
        <v>0</v>
      </c>
      <c r="BN73" s="8">
        <v>0</v>
      </c>
      <c r="BP73" s="8">
        <v>0</v>
      </c>
      <c r="BQ73" s="8">
        <v>0</v>
      </c>
      <c r="BS73" s="8">
        <f t="shared" si="2"/>
        <v>0</v>
      </c>
      <c r="BU73" s="9">
        <f>+BS73-'Gen Fd BS'!AA73+BQ73</f>
        <v>0</v>
      </c>
      <c r="BW73" s="8" t="s">
        <v>917</v>
      </c>
    </row>
    <row r="74" spans="1:75">
      <c r="A74" s="13" t="s">
        <v>294</v>
      </c>
      <c r="B74" s="13"/>
      <c r="C74" s="13" t="s">
        <v>114</v>
      </c>
      <c r="D74" s="13"/>
      <c r="E74" s="32">
        <v>46508</v>
      </c>
      <c r="F74" s="11"/>
      <c r="G74" s="8">
        <v>4489202</v>
      </c>
      <c r="I74" s="8">
        <v>467565</v>
      </c>
      <c r="K74" s="8">
        <v>121384</v>
      </c>
      <c r="M74" s="8">
        <v>22492</v>
      </c>
      <c r="O74" s="8">
        <v>127891</v>
      </c>
      <c r="Q74" s="8">
        <v>202326</v>
      </c>
      <c r="S74" s="8">
        <v>16261</v>
      </c>
      <c r="U74" s="8">
        <v>919570</v>
      </c>
      <c r="W74" s="8">
        <v>250176</v>
      </c>
      <c r="Y74" s="8">
        <v>24171</v>
      </c>
      <c r="AA74" s="8">
        <v>601541</v>
      </c>
      <c r="AC74" s="8">
        <v>459359</v>
      </c>
      <c r="AE74" s="8">
        <v>0</v>
      </c>
      <c r="AG74" s="8">
        <v>0</v>
      </c>
      <c r="AI74" s="8">
        <v>26844</v>
      </c>
      <c r="AJ74" s="13" t="s">
        <v>294</v>
      </c>
      <c r="AK74" s="13"/>
      <c r="AL74" s="13" t="s">
        <v>114</v>
      </c>
      <c r="AN74" s="8">
        <v>252233</v>
      </c>
      <c r="AP74" s="8">
        <v>0</v>
      </c>
      <c r="AT74" s="8">
        <v>23485</v>
      </c>
      <c r="AV74" s="8">
        <v>25953</v>
      </c>
      <c r="AX74" s="8">
        <v>0</v>
      </c>
      <c r="AZ74" s="8">
        <f t="shared" si="0"/>
        <v>8030453</v>
      </c>
      <c r="BB74" s="8">
        <v>82500</v>
      </c>
      <c r="BH74" s="8">
        <v>0</v>
      </c>
      <c r="BJ74" s="8">
        <f t="shared" si="1"/>
        <v>8112953</v>
      </c>
      <c r="BL74" s="8">
        <f>+GenRev!AM74-GenExp!BJ74</f>
        <v>239687</v>
      </c>
      <c r="BN74" s="8">
        <v>1827183</v>
      </c>
      <c r="BP74" s="8">
        <v>0</v>
      </c>
      <c r="BQ74" s="8">
        <v>0</v>
      </c>
      <c r="BS74" s="8">
        <f t="shared" si="2"/>
        <v>2066870</v>
      </c>
      <c r="BU74" s="9">
        <f>+BS74-'Gen Fd BS'!AA74+BQ74</f>
        <v>0</v>
      </c>
    </row>
    <row r="75" spans="1:75">
      <c r="A75" s="13" t="s">
        <v>219</v>
      </c>
      <c r="B75" s="13"/>
      <c r="C75" s="13" t="s">
        <v>12</v>
      </c>
      <c r="D75" s="13"/>
      <c r="E75" s="32">
        <v>45856</v>
      </c>
      <c r="F75" s="11"/>
      <c r="G75" s="8">
        <v>9977658</v>
      </c>
      <c r="I75" s="8">
        <v>1712631</v>
      </c>
      <c r="K75" s="8">
        <v>266820</v>
      </c>
      <c r="M75" s="8">
        <v>0</v>
      </c>
      <c r="O75" s="8">
        <v>517367</v>
      </c>
      <c r="Q75" s="8">
        <v>225681</v>
      </c>
      <c r="S75" s="8">
        <v>40977</v>
      </c>
      <c r="U75" s="8">
        <v>1361117</v>
      </c>
      <c r="W75" s="8">
        <v>520319</v>
      </c>
      <c r="Y75" s="8">
        <v>79459</v>
      </c>
      <c r="AA75" s="8">
        <v>1821382</v>
      </c>
      <c r="AC75" s="8">
        <v>1023195</v>
      </c>
      <c r="AE75" s="8">
        <v>28358</v>
      </c>
      <c r="AG75" s="8">
        <v>0</v>
      </c>
      <c r="AI75" s="8">
        <v>7965</v>
      </c>
      <c r="AJ75" s="13" t="s">
        <v>219</v>
      </c>
      <c r="AK75" s="13"/>
      <c r="AL75" s="13" t="s">
        <v>12</v>
      </c>
      <c r="AN75" s="8">
        <v>429788</v>
      </c>
      <c r="AP75" s="8">
        <v>62821</v>
      </c>
      <c r="AT75" s="8">
        <v>0</v>
      </c>
      <c r="AV75" s="8">
        <v>0</v>
      </c>
      <c r="AX75" s="8">
        <v>0</v>
      </c>
      <c r="AZ75" s="8">
        <f t="shared" si="0"/>
        <v>18075538</v>
      </c>
      <c r="BB75" s="8">
        <v>0</v>
      </c>
      <c r="BH75" s="8">
        <v>0</v>
      </c>
      <c r="BJ75" s="8">
        <f t="shared" si="1"/>
        <v>18075538</v>
      </c>
      <c r="BL75" s="8">
        <f>+GenRev!AM75-GenExp!BJ75</f>
        <v>813729</v>
      </c>
      <c r="BN75" s="8">
        <v>3437702</v>
      </c>
      <c r="BP75" s="8">
        <v>0</v>
      </c>
      <c r="BQ75" s="8">
        <v>0</v>
      </c>
      <c r="BS75" s="8">
        <f t="shared" si="2"/>
        <v>4251431</v>
      </c>
      <c r="BU75" s="9">
        <f>+BS75-'Gen Fd BS'!AA75+BQ75</f>
        <v>0</v>
      </c>
    </row>
    <row r="76" spans="1:75">
      <c r="A76" s="13" t="s">
        <v>219</v>
      </c>
      <c r="B76" s="13"/>
      <c r="C76" s="13" t="s">
        <v>39</v>
      </c>
      <c r="D76" s="13"/>
      <c r="E76" s="32">
        <v>47787</v>
      </c>
      <c r="G76" s="8">
        <v>8058410</v>
      </c>
      <c r="I76" s="8">
        <v>1453889</v>
      </c>
      <c r="K76" s="8">
        <v>733807</v>
      </c>
      <c r="M76" s="8">
        <v>0</v>
      </c>
      <c r="O76" s="8">
        <v>499726</v>
      </c>
      <c r="Q76" s="8">
        <v>341859</v>
      </c>
      <c r="S76" s="8">
        <v>60536</v>
      </c>
      <c r="U76" s="8">
        <v>1777560</v>
      </c>
      <c r="W76" s="8">
        <v>440080</v>
      </c>
      <c r="Y76" s="8">
        <v>0</v>
      </c>
      <c r="AA76" s="8">
        <v>2278372</v>
      </c>
      <c r="AC76" s="8">
        <v>1733079</v>
      </c>
      <c r="AE76" s="8">
        <v>0</v>
      </c>
      <c r="AG76" s="8">
        <v>0</v>
      </c>
      <c r="AI76" s="8">
        <v>113292</v>
      </c>
      <c r="AJ76" s="13" t="s">
        <v>219</v>
      </c>
      <c r="AK76" s="13"/>
      <c r="AL76" s="13" t="s">
        <v>39</v>
      </c>
      <c r="AN76" s="8">
        <v>278336</v>
      </c>
      <c r="AP76" s="8">
        <v>0</v>
      </c>
      <c r="AT76" s="8">
        <v>67000</v>
      </c>
      <c r="AV76" s="8">
        <v>3040</v>
      </c>
      <c r="AX76" s="8">
        <v>0</v>
      </c>
      <c r="AZ76" s="8">
        <f t="shared" si="0"/>
        <v>17838986</v>
      </c>
      <c r="BB76" s="8">
        <v>0</v>
      </c>
      <c r="BH76" s="8">
        <v>0</v>
      </c>
      <c r="BJ76" s="8">
        <f t="shared" si="1"/>
        <v>17838986</v>
      </c>
      <c r="BL76" s="8">
        <f>+GenRev!AM76-GenExp!BJ76</f>
        <v>-870605</v>
      </c>
      <c r="BN76" s="8">
        <v>137521</v>
      </c>
      <c r="BP76" s="8">
        <v>0</v>
      </c>
      <c r="BQ76" s="8">
        <v>0</v>
      </c>
      <c r="BS76" s="8">
        <f t="shared" si="2"/>
        <v>-733084</v>
      </c>
      <c r="BU76" s="9">
        <f>+BS76-'Gen Fd BS'!AA76+BQ76</f>
        <v>0</v>
      </c>
    </row>
    <row r="77" spans="1:75" hidden="1">
      <c r="A77" s="13" t="s">
        <v>219</v>
      </c>
      <c r="B77" s="13"/>
      <c r="C77" s="13" t="s">
        <v>47</v>
      </c>
      <c r="D77" s="13"/>
      <c r="E77" s="32">
        <v>48470</v>
      </c>
      <c r="AG77" s="8">
        <v>0</v>
      </c>
      <c r="AJ77" s="13" t="s">
        <v>219</v>
      </c>
      <c r="AK77" s="13"/>
      <c r="AL77" s="13" t="s">
        <v>47</v>
      </c>
      <c r="AX77" s="8">
        <v>0</v>
      </c>
      <c r="AZ77" s="8">
        <f>SUM(G77:AX77)</f>
        <v>0</v>
      </c>
      <c r="BB77" s="8">
        <v>0</v>
      </c>
      <c r="BH77" s="8">
        <v>0</v>
      </c>
      <c r="BJ77" s="8">
        <f>+AZ77+BB77+BD77+BH77</f>
        <v>0</v>
      </c>
      <c r="BL77" s="8">
        <f>+GenRev!AM77-GenExp!BJ77</f>
        <v>0</v>
      </c>
      <c r="BN77" s="8">
        <v>0</v>
      </c>
      <c r="BP77" s="8">
        <v>0</v>
      </c>
      <c r="BQ77" s="8">
        <v>0</v>
      </c>
      <c r="BS77" s="8">
        <f t="shared" si="2"/>
        <v>0</v>
      </c>
      <c r="BU77" s="9">
        <f>+BS77-'Gen Fd BS'!AA77+BQ77</f>
        <v>0</v>
      </c>
    </row>
    <row r="78" spans="1:75" hidden="1">
      <c r="A78" s="13" t="s">
        <v>918</v>
      </c>
      <c r="B78" s="13"/>
      <c r="C78" s="13" t="s">
        <v>115</v>
      </c>
      <c r="D78" s="13"/>
      <c r="E78" s="32">
        <v>46755</v>
      </c>
      <c r="AG78" s="8">
        <v>0</v>
      </c>
      <c r="AJ78" s="13" t="s">
        <v>918</v>
      </c>
      <c r="AK78" s="13"/>
      <c r="AL78" s="13" t="s">
        <v>115</v>
      </c>
      <c r="AX78" s="8">
        <v>0</v>
      </c>
      <c r="AZ78" s="8">
        <f>SUM(G78:AX78)</f>
        <v>0</v>
      </c>
      <c r="BB78" s="8">
        <v>0</v>
      </c>
      <c r="BH78" s="8">
        <v>0</v>
      </c>
      <c r="BJ78" s="8">
        <f>+AZ78+BB78+BD78+BH78</f>
        <v>0</v>
      </c>
      <c r="BL78" s="8">
        <f>+GenRev!AM78-GenExp!BJ78</f>
        <v>0</v>
      </c>
      <c r="BN78" s="8">
        <v>0</v>
      </c>
      <c r="BP78" s="8">
        <v>0</v>
      </c>
      <c r="BQ78" s="8">
        <v>0</v>
      </c>
      <c r="BS78" s="8">
        <f>+BN78+BL78-BP78</f>
        <v>0</v>
      </c>
      <c r="BU78" s="9">
        <f>+BS78-'Gen Fd BS'!AA78+BQ78</f>
        <v>0</v>
      </c>
      <c r="BW78" s="10" t="s">
        <v>926</v>
      </c>
    </row>
    <row r="79" spans="1:75">
      <c r="A79" s="13" t="s">
        <v>337</v>
      </c>
      <c r="B79" s="13"/>
      <c r="C79" s="13" t="s">
        <v>23</v>
      </c>
      <c r="D79" s="13"/>
      <c r="E79" s="32">
        <v>46755</v>
      </c>
      <c r="G79" s="8">
        <v>9625977</v>
      </c>
      <c r="I79" s="8">
        <v>1857837</v>
      </c>
      <c r="K79" s="8">
        <v>356591</v>
      </c>
      <c r="M79" s="8">
        <v>1890</v>
      </c>
      <c r="O79" s="8">
        <v>1239872</v>
      </c>
      <c r="Q79" s="8">
        <v>444118</v>
      </c>
      <c r="S79" s="8">
        <v>206425</v>
      </c>
      <c r="U79" s="8">
        <v>1633046</v>
      </c>
      <c r="W79" s="8">
        <v>605623</v>
      </c>
      <c r="Y79" s="8">
        <v>0</v>
      </c>
      <c r="AA79" s="8">
        <v>2047467</v>
      </c>
      <c r="AC79" s="8">
        <v>1664333</v>
      </c>
      <c r="AE79" s="8">
        <v>26694</v>
      </c>
      <c r="AG79" s="8">
        <v>0</v>
      </c>
      <c r="AI79" s="8">
        <v>708</v>
      </c>
      <c r="AJ79" s="13" t="s">
        <v>337</v>
      </c>
      <c r="AK79" s="13"/>
      <c r="AL79" s="13" t="s">
        <v>23</v>
      </c>
      <c r="AN79" s="8">
        <v>293613</v>
      </c>
      <c r="AP79" s="8">
        <v>18934</v>
      </c>
      <c r="AT79" s="8">
        <v>49431</v>
      </c>
      <c r="AV79" s="8">
        <v>23166</v>
      </c>
      <c r="AX79" s="8">
        <v>0</v>
      </c>
      <c r="AZ79" s="8">
        <f>SUM(G79:AX79)</f>
        <v>20095725</v>
      </c>
      <c r="BB79" s="8">
        <v>550000</v>
      </c>
      <c r="BH79" s="8">
        <v>0</v>
      </c>
      <c r="BJ79" s="8">
        <f>+AZ79+BB79+BD79+BH79</f>
        <v>20645725</v>
      </c>
      <c r="BL79" s="8">
        <f>+GenRev!AM79-GenExp!BJ79</f>
        <v>343066</v>
      </c>
      <c r="BN79" s="8">
        <v>4227261</v>
      </c>
      <c r="BP79" s="8">
        <v>0</v>
      </c>
      <c r="BQ79" s="8">
        <v>0</v>
      </c>
      <c r="BS79" s="8">
        <f>+BN79+BL79-BP79</f>
        <v>4570327</v>
      </c>
      <c r="BU79" s="9">
        <f>+BS79-'Gen Fd BS'!AA79+BQ79</f>
        <v>0</v>
      </c>
    </row>
    <row r="80" spans="1:75">
      <c r="A80" s="13" t="s">
        <v>295</v>
      </c>
      <c r="B80" s="13"/>
      <c r="C80" s="13" t="s">
        <v>114</v>
      </c>
      <c r="D80" s="13"/>
      <c r="E80" s="32">
        <v>43687</v>
      </c>
      <c r="G80" s="8">
        <v>5240659</v>
      </c>
      <c r="I80" s="8">
        <v>1327866</v>
      </c>
      <c r="K80" s="8">
        <v>190398</v>
      </c>
      <c r="M80" s="8">
        <v>1134406</v>
      </c>
      <c r="O80" s="8">
        <v>747620</v>
      </c>
      <c r="Q80" s="8">
        <v>861737</v>
      </c>
      <c r="S80" s="8">
        <v>124072</v>
      </c>
      <c r="U80" s="8">
        <v>1412056</v>
      </c>
      <c r="W80" s="8">
        <v>374485</v>
      </c>
      <c r="Y80" s="8">
        <v>108060</v>
      </c>
      <c r="AA80" s="8">
        <v>1033118</v>
      </c>
      <c r="AC80" s="8">
        <v>348275</v>
      </c>
      <c r="AE80" s="8">
        <v>116961</v>
      </c>
      <c r="AG80" s="8">
        <v>0</v>
      </c>
      <c r="AI80" s="8">
        <v>48116</v>
      </c>
      <c r="AJ80" s="13" t="s">
        <v>295</v>
      </c>
      <c r="AK80" s="13"/>
      <c r="AL80" s="13" t="s">
        <v>114</v>
      </c>
      <c r="AN80" s="8">
        <v>301715</v>
      </c>
      <c r="AP80" s="8">
        <v>0</v>
      </c>
      <c r="AT80" s="8">
        <v>14330</v>
      </c>
      <c r="AV80" s="8">
        <v>1915</v>
      </c>
      <c r="AX80" s="8">
        <v>0</v>
      </c>
      <c r="AZ80" s="8">
        <f>SUM(G80:AX80)</f>
        <v>13385789</v>
      </c>
      <c r="BB80" s="8">
        <v>816483</v>
      </c>
      <c r="BH80" s="8">
        <v>0</v>
      </c>
      <c r="BJ80" s="8">
        <f>+AZ80+BB80+BD80+BH80</f>
        <v>14202272</v>
      </c>
      <c r="BL80" s="8">
        <f>+GenRev!AM80-GenExp!BJ80</f>
        <v>65459</v>
      </c>
      <c r="BN80" s="8">
        <v>5982245</v>
      </c>
      <c r="BP80" s="8">
        <v>0</v>
      </c>
      <c r="BQ80" s="8">
        <v>0</v>
      </c>
      <c r="BS80" s="8">
        <f>+BN80+BL80-BP80</f>
        <v>6047704</v>
      </c>
      <c r="BU80" s="9">
        <f>+BS80-'Gen Fd BS'!AA80+BQ80</f>
        <v>0</v>
      </c>
    </row>
    <row r="81" spans="1:73">
      <c r="A81" s="13" t="s">
        <v>577</v>
      </c>
      <c r="B81" s="13"/>
      <c r="C81" s="13" t="s">
        <v>52</v>
      </c>
      <c r="D81" s="13"/>
      <c r="E81" s="32">
        <v>45252</v>
      </c>
      <c r="G81" s="8">
        <v>3526610</v>
      </c>
      <c r="I81" s="8">
        <v>591468</v>
      </c>
      <c r="K81" s="8">
        <v>67282</v>
      </c>
      <c r="M81" s="8">
        <f>5094+23601</f>
        <v>28695</v>
      </c>
      <c r="O81" s="8">
        <v>429827</v>
      </c>
      <c r="Q81" s="8">
        <v>218324</v>
      </c>
      <c r="S81" s="8">
        <v>66626</v>
      </c>
      <c r="U81" s="8">
        <v>552915</v>
      </c>
      <c r="W81" s="8">
        <v>281385</v>
      </c>
      <c r="Y81" s="8">
        <v>0</v>
      </c>
      <c r="AA81" s="8">
        <v>501880</v>
      </c>
      <c r="AC81" s="8">
        <v>656431</v>
      </c>
      <c r="AE81" s="8">
        <v>0</v>
      </c>
      <c r="AG81" s="8">
        <v>0</v>
      </c>
      <c r="AJ81" s="13" t="s">
        <v>577</v>
      </c>
      <c r="AK81" s="13"/>
      <c r="AL81" s="13" t="s">
        <v>52</v>
      </c>
      <c r="AN81" s="8">
        <v>133275</v>
      </c>
      <c r="AP81" s="8">
        <v>0</v>
      </c>
      <c r="AT81" s="8">
        <v>0</v>
      </c>
      <c r="AV81" s="8">
        <v>0</v>
      </c>
      <c r="AX81" s="8">
        <v>0</v>
      </c>
      <c r="AZ81" s="8">
        <f t="shared" ref="AZ81:AZ98" si="3">SUM(G81:AX81)</f>
        <v>7054718</v>
      </c>
      <c r="BB81" s="8">
        <v>43000</v>
      </c>
      <c r="BH81" s="8">
        <v>0</v>
      </c>
      <c r="BJ81" s="8">
        <f t="shared" ref="BJ81:BJ98" si="4">+AZ81+BB81+BD81+BH81</f>
        <v>7097718</v>
      </c>
      <c r="BL81" s="8">
        <f>+GenRev!AM81-GenExp!BJ81</f>
        <v>-278827</v>
      </c>
      <c r="BN81" s="8">
        <v>399981</v>
      </c>
      <c r="BP81" s="8">
        <v>0</v>
      </c>
      <c r="BQ81" s="8">
        <v>0</v>
      </c>
      <c r="BS81" s="8">
        <f t="shared" ref="BS81:BS98" si="5">+BN81+BL81-BP81</f>
        <v>121154</v>
      </c>
      <c r="BU81" s="9">
        <f>+BS81-'Gen Fd BS'!AA81+BQ81</f>
        <v>0</v>
      </c>
    </row>
    <row r="82" spans="1:73">
      <c r="A82" s="13" t="s">
        <v>393</v>
      </c>
      <c r="B82" s="13"/>
      <c r="C82" s="13" t="s">
        <v>31</v>
      </c>
      <c r="D82" s="13"/>
      <c r="E82" s="32">
        <v>43695</v>
      </c>
      <c r="G82" s="8">
        <v>9968349</v>
      </c>
      <c r="I82" s="8">
        <v>1423939</v>
      </c>
      <c r="K82" s="8">
        <v>145641</v>
      </c>
      <c r="M82" s="8">
        <v>111477</v>
      </c>
      <c r="O82" s="8">
        <v>835072</v>
      </c>
      <c r="Q82" s="8">
        <v>269972</v>
      </c>
      <c r="S82" s="8">
        <v>31571</v>
      </c>
      <c r="U82" s="8">
        <v>1482546</v>
      </c>
      <c r="W82" s="8">
        <v>473514</v>
      </c>
      <c r="Y82" s="8">
        <v>115857</v>
      </c>
      <c r="AA82" s="8">
        <v>1801261</v>
      </c>
      <c r="AC82" s="8">
        <v>1051837</v>
      </c>
      <c r="AE82" s="8">
        <v>90088</v>
      </c>
      <c r="AG82" s="8">
        <v>0</v>
      </c>
      <c r="AI82" s="8">
        <v>2622</v>
      </c>
      <c r="AJ82" s="13" t="s">
        <v>393</v>
      </c>
      <c r="AK82" s="13"/>
      <c r="AL82" s="13" t="s">
        <v>31</v>
      </c>
      <c r="AN82" s="8">
        <v>179146</v>
      </c>
      <c r="AP82" s="8">
        <v>243</v>
      </c>
      <c r="AT82" s="8">
        <v>0</v>
      </c>
      <c r="AV82" s="8">
        <v>0</v>
      </c>
      <c r="AX82" s="8">
        <v>0</v>
      </c>
      <c r="AZ82" s="8">
        <f t="shared" si="3"/>
        <v>17983135</v>
      </c>
      <c r="BB82" s="8">
        <v>700000</v>
      </c>
      <c r="BH82" s="8">
        <v>0</v>
      </c>
      <c r="BJ82" s="8">
        <f t="shared" si="4"/>
        <v>18683135</v>
      </c>
      <c r="BL82" s="8">
        <f>+GenRev!AM82-GenExp!BJ82</f>
        <v>442942</v>
      </c>
      <c r="BN82" s="8">
        <v>-342777</v>
      </c>
      <c r="BP82" s="8">
        <v>0</v>
      </c>
      <c r="BQ82" s="8">
        <v>0</v>
      </c>
      <c r="BS82" s="8">
        <f t="shared" si="5"/>
        <v>100165</v>
      </c>
      <c r="BU82" s="9">
        <f>+BS82-'Gen Fd BS'!AA82+BQ82</f>
        <v>0</v>
      </c>
    </row>
    <row r="83" spans="1:73" hidden="1">
      <c r="A83" s="13" t="s">
        <v>516</v>
      </c>
      <c r="B83" s="13"/>
      <c r="C83" s="13" t="s">
        <v>45</v>
      </c>
      <c r="D83" s="13"/>
      <c r="E83" s="32">
        <v>43703</v>
      </c>
      <c r="AG83" s="8">
        <v>0</v>
      </c>
      <c r="AJ83" s="13" t="s">
        <v>516</v>
      </c>
      <c r="AK83" s="13"/>
      <c r="AL83" s="13" t="s">
        <v>45</v>
      </c>
      <c r="AP83" s="8">
        <v>0</v>
      </c>
      <c r="AT83" s="8">
        <v>0</v>
      </c>
      <c r="AV83" s="8">
        <v>0</v>
      </c>
      <c r="AX83" s="8">
        <v>0</v>
      </c>
      <c r="AZ83" s="8">
        <f t="shared" si="3"/>
        <v>0</v>
      </c>
      <c r="BB83" s="8">
        <v>0</v>
      </c>
      <c r="BH83" s="8">
        <v>0</v>
      </c>
      <c r="BJ83" s="8">
        <f t="shared" si="4"/>
        <v>0</v>
      </c>
      <c r="BL83" s="8">
        <f>+GenRev!AM83-GenExp!BJ83</f>
        <v>0</v>
      </c>
      <c r="BN83" s="8">
        <v>0</v>
      </c>
      <c r="BP83" s="8">
        <v>0</v>
      </c>
      <c r="BQ83" s="8">
        <v>0</v>
      </c>
      <c r="BS83" s="8">
        <f t="shared" si="5"/>
        <v>0</v>
      </c>
      <c r="BU83" s="9">
        <f>+BS83-'Gen Fd BS'!AA83+BQ83</f>
        <v>0</v>
      </c>
    </row>
    <row r="84" spans="1:73">
      <c r="A84" s="13" t="s">
        <v>357</v>
      </c>
      <c r="B84" s="13"/>
      <c r="C84" s="13" t="s">
        <v>27</v>
      </c>
      <c r="D84" s="13"/>
      <c r="E84" s="32">
        <v>46946</v>
      </c>
      <c r="G84" s="8">
        <v>12935885</v>
      </c>
      <c r="I84" s="8">
        <v>3339713</v>
      </c>
      <c r="K84" s="8">
        <v>686155</v>
      </c>
      <c r="M84" s="8">
        <v>0</v>
      </c>
      <c r="O84" s="8">
        <v>1240437</v>
      </c>
      <c r="Q84" s="8">
        <v>1107763</v>
      </c>
      <c r="S84" s="8">
        <v>436996</v>
      </c>
      <c r="U84" s="8">
        <v>2466103</v>
      </c>
      <c r="W84" s="8">
        <v>709121</v>
      </c>
      <c r="Y84" s="8">
        <v>0</v>
      </c>
      <c r="AA84" s="8">
        <v>3462808</v>
      </c>
      <c r="AC84" s="8">
        <v>2022378</v>
      </c>
      <c r="AE84" s="8">
        <v>201640</v>
      </c>
      <c r="AG84" s="8">
        <v>0</v>
      </c>
      <c r="AI84" s="8">
        <v>0</v>
      </c>
      <c r="AJ84" s="13" t="s">
        <v>357</v>
      </c>
      <c r="AK84" s="13"/>
      <c r="AL84" s="13" t="s">
        <v>27</v>
      </c>
      <c r="AN84" s="8">
        <v>521342</v>
      </c>
      <c r="AP84" s="8">
        <v>175000</v>
      </c>
      <c r="AT84" s="8">
        <v>61747</v>
      </c>
      <c r="AV84" s="8">
        <v>63237</v>
      </c>
      <c r="AX84" s="8">
        <v>0</v>
      </c>
      <c r="AZ84" s="8">
        <f t="shared" si="3"/>
        <v>29430325</v>
      </c>
      <c r="BB84" s="8">
        <v>26388</v>
      </c>
      <c r="BH84" s="8">
        <v>0</v>
      </c>
      <c r="BJ84" s="8">
        <f t="shared" si="4"/>
        <v>29456713</v>
      </c>
      <c r="BL84" s="8">
        <f>+GenRev!AM84-GenExp!BJ84</f>
        <v>-229424</v>
      </c>
      <c r="BN84" s="8">
        <v>4903070</v>
      </c>
      <c r="BP84" s="8">
        <v>0</v>
      </c>
      <c r="BQ84" s="8">
        <v>0</v>
      </c>
      <c r="BS84" s="8">
        <f t="shared" si="5"/>
        <v>4673646</v>
      </c>
      <c r="BU84" s="9">
        <f>+BS84-'Gen Fd BS'!AA84+BQ84</f>
        <v>0</v>
      </c>
    </row>
    <row r="85" spans="1:73">
      <c r="A85" s="13" t="s">
        <v>517</v>
      </c>
      <c r="B85" s="13"/>
      <c r="C85" s="13" t="s">
        <v>45</v>
      </c>
      <c r="D85" s="13"/>
      <c r="E85" s="32">
        <v>48314</v>
      </c>
      <c r="G85" s="8">
        <v>12627915</v>
      </c>
      <c r="I85" s="8">
        <v>1502276</v>
      </c>
      <c r="K85" s="8">
        <v>250967</v>
      </c>
      <c r="M85" s="8">
        <v>0</v>
      </c>
      <c r="O85" s="8">
        <v>873688</v>
      </c>
      <c r="Q85" s="8">
        <v>1288293</v>
      </c>
      <c r="S85" s="8">
        <v>34042</v>
      </c>
      <c r="U85" s="8">
        <v>1406967</v>
      </c>
      <c r="W85" s="8">
        <v>556169</v>
      </c>
      <c r="Y85" s="8">
        <v>264112</v>
      </c>
      <c r="AA85" s="8">
        <v>2168194</v>
      </c>
      <c r="AC85" s="8">
        <v>1737898</v>
      </c>
      <c r="AE85" s="8">
        <v>106414</v>
      </c>
      <c r="AG85" s="8">
        <v>0</v>
      </c>
      <c r="AI85" s="8">
        <v>80</v>
      </c>
      <c r="AJ85" s="13" t="s">
        <v>517</v>
      </c>
      <c r="AK85" s="13"/>
      <c r="AL85" s="13" t="s">
        <v>45</v>
      </c>
      <c r="AN85" s="8">
        <v>533897</v>
      </c>
      <c r="AP85" s="8">
        <v>0</v>
      </c>
      <c r="AT85" s="8">
        <v>0</v>
      </c>
      <c r="AV85" s="8">
        <v>0</v>
      </c>
      <c r="AX85" s="8">
        <v>0</v>
      </c>
      <c r="AZ85" s="8">
        <f t="shared" si="3"/>
        <v>23350912</v>
      </c>
      <c r="BB85" s="8">
        <v>85000</v>
      </c>
      <c r="BH85" s="8">
        <v>0</v>
      </c>
      <c r="BJ85" s="8">
        <f t="shared" si="4"/>
        <v>23435912</v>
      </c>
      <c r="BL85" s="8">
        <f>+GenRev!AM85-GenExp!BJ85</f>
        <v>750497</v>
      </c>
      <c r="BN85" s="8">
        <v>4323981</v>
      </c>
      <c r="BP85" s="8">
        <v>0</v>
      </c>
      <c r="BQ85" s="8">
        <v>0</v>
      </c>
      <c r="BS85" s="8">
        <f t="shared" si="5"/>
        <v>5074478</v>
      </c>
      <c r="BU85" s="9">
        <f>+BS85-'Gen Fd BS'!AA85+BQ85</f>
        <v>0</v>
      </c>
    </row>
    <row r="86" spans="1:73">
      <c r="A86" s="13" t="s">
        <v>655</v>
      </c>
      <c r="B86" s="13"/>
      <c r="C86" s="13" t="s">
        <v>62</v>
      </c>
      <c r="D86" s="13"/>
      <c r="E86" s="32">
        <v>43711</v>
      </c>
      <c r="G86" s="8">
        <v>9012054</v>
      </c>
      <c r="I86" s="8">
        <v>1770721</v>
      </c>
      <c r="K86" s="8">
        <v>1811214</v>
      </c>
      <c r="M86" s="8">
        <v>1298923</v>
      </c>
      <c r="O86" s="8">
        <v>1111715</v>
      </c>
      <c r="Q86" s="8">
        <v>1236213</v>
      </c>
      <c r="S86" s="8">
        <v>23650</v>
      </c>
      <c r="U86" s="8">
        <v>1703819</v>
      </c>
      <c r="W86" s="8">
        <v>277580</v>
      </c>
      <c r="Y86" s="8">
        <v>337768</v>
      </c>
      <c r="AA86" s="8">
        <v>2141556</v>
      </c>
      <c r="AC86" s="8">
        <v>1020137</v>
      </c>
      <c r="AE86" s="8">
        <v>341154</v>
      </c>
      <c r="AG86" s="8">
        <v>0</v>
      </c>
      <c r="AI86" s="8">
        <v>0</v>
      </c>
      <c r="AJ86" s="13" t="s">
        <v>654</v>
      </c>
      <c r="AK86" s="13"/>
      <c r="AL86" s="13" t="s">
        <v>62</v>
      </c>
      <c r="AN86" s="8">
        <v>553456</v>
      </c>
      <c r="AP86" s="8">
        <v>0</v>
      </c>
      <c r="AT86" s="8">
        <v>23697</v>
      </c>
      <c r="AV86" s="8">
        <v>1410</v>
      </c>
      <c r="AX86" s="8">
        <v>0</v>
      </c>
      <c r="AZ86" s="8">
        <f t="shared" si="3"/>
        <v>22665067</v>
      </c>
      <c r="BB86" s="8">
        <v>17258</v>
      </c>
      <c r="BH86" s="8">
        <v>0</v>
      </c>
      <c r="BJ86" s="8">
        <f t="shared" si="4"/>
        <v>22682325</v>
      </c>
      <c r="BL86" s="8">
        <f>+GenRev!AM86-GenExp!BJ86</f>
        <v>-930522</v>
      </c>
      <c r="BN86" s="8">
        <v>-2493948</v>
      </c>
      <c r="BP86" s="8">
        <v>0</v>
      </c>
      <c r="BQ86" s="8">
        <v>0</v>
      </c>
      <c r="BS86" s="8">
        <f t="shared" si="5"/>
        <v>-3424470</v>
      </c>
      <c r="BU86" s="9">
        <f>+BS86-'Gen Fd BS'!AA86+BQ86</f>
        <v>0</v>
      </c>
    </row>
    <row r="87" spans="1:73">
      <c r="A87" s="13" t="s">
        <v>654</v>
      </c>
      <c r="B87" s="13"/>
      <c r="C87" s="13" t="s">
        <v>62</v>
      </c>
      <c r="D87" s="13"/>
      <c r="E87" s="32">
        <v>49833</v>
      </c>
      <c r="G87" s="8">
        <v>33954</v>
      </c>
      <c r="I87" s="8">
        <v>7861</v>
      </c>
      <c r="K87" s="8">
        <v>1691</v>
      </c>
      <c r="M87" s="8">
        <v>10901</v>
      </c>
      <c r="O87" s="8">
        <v>5726</v>
      </c>
      <c r="Q87" s="8">
        <v>2074</v>
      </c>
      <c r="S87" s="8">
        <v>20</v>
      </c>
      <c r="U87" s="8">
        <v>6859</v>
      </c>
      <c r="W87" s="8">
        <v>1275</v>
      </c>
      <c r="Y87" s="8">
        <v>611</v>
      </c>
      <c r="AA87" s="8">
        <v>9570</v>
      </c>
      <c r="AC87" s="8">
        <v>2738</v>
      </c>
      <c r="AE87" s="8">
        <v>3184</v>
      </c>
      <c r="AG87" s="8">
        <v>0</v>
      </c>
      <c r="AI87" s="8">
        <v>263</v>
      </c>
      <c r="AJ87" s="13" t="s">
        <v>655</v>
      </c>
      <c r="AK87" s="13"/>
      <c r="AL87" s="13" t="s">
        <v>62</v>
      </c>
      <c r="AN87" s="8">
        <v>1363</v>
      </c>
      <c r="AP87" s="8">
        <v>68</v>
      </c>
      <c r="AT87" s="8">
        <v>163</v>
      </c>
      <c r="AV87" s="8">
        <v>12</v>
      </c>
      <c r="AX87" s="8">
        <v>0</v>
      </c>
      <c r="AZ87" s="8">
        <f t="shared" si="3"/>
        <v>88333</v>
      </c>
      <c r="BB87" s="8">
        <v>860</v>
      </c>
      <c r="BH87" s="8">
        <v>0</v>
      </c>
      <c r="BJ87" s="8">
        <f t="shared" si="4"/>
        <v>89193</v>
      </c>
      <c r="BL87" s="8">
        <f>+GenRev!AM87-GenExp!BJ87</f>
        <v>4689</v>
      </c>
      <c r="BN87" s="8">
        <v>-7049</v>
      </c>
      <c r="BP87" s="8">
        <v>-92</v>
      </c>
      <c r="BQ87" s="8">
        <v>0</v>
      </c>
      <c r="BS87" s="8">
        <f t="shared" si="5"/>
        <v>-2268</v>
      </c>
      <c r="BU87" s="9">
        <f>+BS87-'Gen Fd BS'!AA87+BQ87</f>
        <v>0</v>
      </c>
    </row>
    <row r="88" spans="1:73">
      <c r="A88" s="13" t="s">
        <v>382</v>
      </c>
      <c r="B88" s="13"/>
      <c r="C88" s="13" t="s">
        <v>30</v>
      </c>
      <c r="D88" s="13"/>
      <c r="E88" s="32">
        <v>47175</v>
      </c>
      <c r="G88" s="8">
        <v>5421762</v>
      </c>
      <c r="I88" s="8">
        <v>1464411</v>
      </c>
      <c r="K88" s="8">
        <v>0</v>
      </c>
      <c r="M88" s="8">
        <v>0</v>
      </c>
      <c r="O88" s="8">
        <v>778361</v>
      </c>
      <c r="Q88" s="8">
        <v>256456</v>
      </c>
      <c r="S88" s="8">
        <v>23370</v>
      </c>
      <c r="U88" s="8">
        <v>1045217</v>
      </c>
      <c r="W88" s="8">
        <v>412532</v>
      </c>
      <c r="Y88" s="8">
        <v>49142</v>
      </c>
      <c r="AA88" s="8">
        <v>1342841</v>
      </c>
      <c r="AC88" s="8">
        <v>1353666</v>
      </c>
      <c r="AE88" s="8">
        <v>239434</v>
      </c>
      <c r="AG88" s="8">
        <v>7208</v>
      </c>
      <c r="AI88" s="8">
        <v>0</v>
      </c>
      <c r="AJ88" s="13" t="s">
        <v>382</v>
      </c>
      <c r="AK88" s="13"/>
      <c r="AL88" s="13" t="s">
        <v>30</v>
      </c>
      <c r="AN88" s="8">
        <v>246599</v>
      </c>
      <c r="AP88" s="8">
        <v>0</v>
      </c>
      <c r="AT88" s="8">
        <v>0</v>
      </c>
      <c r="AV88" s="8">
        <v>0</v>
      </c>
      <c r="AX88" s="8">
        <v>0</v>
      </c>
      <c r="AZ88" s="8">
        <f t="shared" si="3"/>
        <v>12640999</v>
      </c>
      <c r="BB88" s="8">
        <v>399525</v>
      </c>
      <c r="BH88" s="8">
        <v>0</v>
      </c>
      <c r="BJ88" s="8">
        <f t="shared" si="4"/>
        <v>13040524</v>
      </c>
      <c r="BL88" s="8">
        <f>+GenRev!AM88-GenExp!BJ88</f>
        <v>-534462</v>
      </c>
      <c r="BN88" s="8">
        <v>2120818</v>
      </c>
      <c r="BP88" s="8">
        <v>0</v>
      </c>
      <c r="BQ88" s="8">
        <v>0</v>
      </c>
      <c r="BS88" s="8">
        <f t="shared" si="5"/>
        <v>1586356</v>
      </c>
      <c r="BU88" s="9">
        <f>+BS88-'Gen Fd BS'!AA88+BQ88</f>
        <v>0</v>
      </c>
    </row>
    <row r="89" spans="1:73">
      <c r="A89" s="13" t="s">
        <v>568</v>
      </c>
      <c r="B89" s="13"/>
      <c r="C89" s="13" t="s">
        <v>78</v>
      </c>
      <c r="D89" s="13"/>
      <c r="E89" s="32">
        <v>48793</v>
      </c>
      <c r="G89" s="8">
        <v>4530874</v>
      </c>
      <c r="I89" s="8">
        <v>627215</v>
      </c>
      <c r="K89" s="8">
        <v>306723</v>
      </c>
      <c r="M89" s="8">
        <v>1333168</v>
      </c>
      <c r="O89" s="8">
        <v>463678</v>
      </c>
      <c r="Q89" s="8">
        <v>384446</v>
      </c>
      <c r="S89" s="8">
        <v>24008</v>
      </c>
      <c r="U89" s="8">
        <v>797652</v>
      </c>
      <c r="W89" s="8">
        <v>228720</v>
      </c>
      <c r="Y89" s="8">
        <v>0</v>
      </c>
      <c r="AA89" s="8">
        <v>1565951</v>
      </c>
      <c r="AC89" s="8">
        <v>542001</v>
      </c>
      <c r="AE89" s="8">
        <v>0</v>
      </c>
      <c r="AG89" s="8">
        <v>0</v>
      </c>
      <c r="AI89" s="8">
        <v>1522</v>
      </c>
      <c r="AJ89" s="13" t="s">
        <v>568</v>
      </c>
      <c r="AK89" s="13"/>
      <c r="AL89" s="13" t="s">
        <v>78</v>
      </c>
      <c r="AN89" s="8">
        <v>172490</v>
      </c>
      <c r="AP89" s="8">
        <v>0</v>
      </c>
      <c r="AT89" s="8">
        <v>3437</v>
      </c>
      <c r="AV89" s="8">
        <v>0</v>
      </c>
      <c r="AX89" s="8">
        <v>0</v>
      </c>
      <c r="AZ89" s="8">
        <f t="shared" si="3"/>
        <v>10981885</v>
      </c>
      <c r="BB89" s="8">
        <v>0</v>
      </c>
      <c r="BH89" s="8">
        <v>0</v>
      </c>
      <c r="BJ89" s="8">
        <f t="shared" si="4"/>
        <v>10981885</v>
      </c>
      <c r="BL89" s="8">
        <f>+GenRev!AM89-GenExp!BJ89</f>
        <v>91158</v>
      </c>
      <c r="BN89" s="8">
        <v>1995472</v>
      </c>
      <c r="BP89" s="8">
        <v>0</v>
      </c>
      <c r="BQ89" s="8">
        <v>0</v>
      </c>
      <c r="BS89" s="8">
        <f t="shared" si="5"/>
        <v>2086630</v>
      </c>
      <c r="BU89" s="9">
        <f>+BS89-'Gen Fd BS'!AA89+BQ89</f>
        <v>0</v>
      </c>
    </row>
    <row r="90" spans="1:73" hidden="1">
      <c r="A90" s="13" t="s">
        <v>746</v>
      </c>
      <c r="B90" s="13"/>
      <c r="C90" s="13" t="s">
        <v>747</v>
      </c>
      <c r="D90" s="13"/>
      <c r="E90" s="32">
        <v>45260</v>
      </c>
      <c r="AG90" s="8">
        <v>0</v>
      </c>
      <c r="AJ90" s="13" t="s">
        <v>746</v>
      </c>
      <c r="AK90" s="13"/>
      <c r="AL90" s="13" t="s">
        <v>747</v>
      </c>
      <c r="AN90" s="8">
        <v>0</v>
      </c>
      <c r="AP90" s="8">
        <v>0</v>
      </c>
      <c r="AT90" s="8">
        <v>0</v>
      </c>
      <c r="AV90" s="8">
        <v>0</v>
      </c>
      <c r="AX90" s="8">
        <v>0</v>
      </c>
      <c r="AZ90" s="8">
        <f t="shared" si="3"/>
        <v>0</v>
      </c>
      <c r="BB90" s="8">
        <v>0</v>
      </c>
      <c r="BH90" s="8">
        <v>0</v>
      </c>
      <c r="BJ90" s="8">
        <f t="shared" si="4"/>
        <v>0</v>
      </c>
      <c r="BL90" s="8">
        <f>+GenRev!AM90-GenExp!BJ90</f>
        <v>0</v>
      </c>
      <c r="BN90" s="8">
        <v>0</v>
      </c>
      <c r="BP90" s="8">
        <v>0</v>
      </c>
      <c r="BQ90" s="8">
        <v>0</v>
      </c>
      <c r="BS90" s="8">
        <f t="shared" si="5"/>
        <v>0</v>
      </c>
      <c r="BU90" s="9">
        <f>+BS90-'Gen Fd BS'!AA90+BQ90</f>
        <v>0</v>
      </c>
    </row>
    <row r="91" spans="1:73" hidden="1">
      <c r="A91" s="13" t="s">
        <v>713</v>
      </c>
      <c r="B91" s="13"/>
      <c r="C91" s="13" t="s">
        <v>69</v>
      </c>
      <c r="D91" s="13"/>
      <c r="E91" s="32">
        <v>50419</v>
      </c>
      <c r="AG91" s="8">
        <v>0</v>
      </c>
      <c r="AJ91" s="13" t="s">
        <v>713</v>
      </c>
      <c r="AK91" s="13"/>
      <c r="AL91" s="13" t="s">
        <v>69</v>
      </c>
      <c r="AN91" s="8">
        <v>0</v>
      </c>
      <c r="AP91" s="8">
        <v>0</v>
      </c>
      <c r="AT91" s="8">
        <v>0</v>
      </c>
      <c r="AV91" s="8">
        <v>0</v>
      </c>
      <c r="AX91" s="8">
        <v>0</v>
      </c>
      <c r="AZ91" s="8">
        <f t="shared" si="3"/>
        <v>0</v>
      </c>
      <c r="BB91" s="8">
        <v>0</v>
      </c>
      <c r="BH91" s="8">
        <v>0</v>
      </c>
      <c r="BJ91" s="8">
        <f t="shared" si="4"/>
        <v>0</v>
      </c>
      <c r="BL91" s="8">
        <f>+GenRev!AM91-GenExp!BJ91</f>
        <v>0</v>
      </c>
      <c r="BN91" s="8">
        <v>0</v>
      </c>
      <c r="BP91" s="8">
        <v>0</v>
      </c>
      <c r="BQ91" s="8">
        <v>0</v>
      </c>
      <c r="BS91" s="8">
        <f t="shared" si="5"/>
        <v>0</v>
      </c>
      <c r="BU91" s="9">
        <f>+BS91-'Gen Fd BS'!AA91+BQ91</f>
        <v>0</v>
      </c>
    </row>
    <row r="92" spans="1:73">
      <c r="A92" s="13" t="s">
        <v>713</v>
      </c>
      <c r="B92" s="13"/>
      <c r="C92" s="13" t="s">
        <v>69</v>
      </c>
      <c r="D92" s="13"/>
      <c r="E92" s="32">
        <v>48793</v>
      </c>
      <c r="G92" s="8">
        <v>6933837</v>
      </c>
      <c r="I92" s="8">
        <v>1074026</v>
      </c>
      <c r="K92" s="8">
        <v>240410</v>
      </c>
      <c r="M92" s="8">
        <v>44231</v>
      </c>
      <c r="O92" s="8">
        <v>720607</v>
      </c>
      <c r="Q92" s="8">
        <v>884509</v>
      </c>
      <c r="S92" s="8">
        <v>23095</v>
      </c>
      <c r="U92" s="8">
        <v>1248823</v>
      </c>
      <c r="W92" s="8">
        <v>440046</v>
      </c>
      <c r="Y92" s="8">
        <v>43264</v>
      </c>
      <c r="AA92" s="8">
        <v>1255554</v>
      </c>
      <c r="AC92" s="8">
        <v>745289</v>
      </c>
      <c r="AE92" s="8">
        <v>40678</v>
      </c>
      <c r="AG92" s="8">
        <v>0</v>
      </c>
      <c r="AI92" s="8">
        <v>3332</v>
      </c>
      <c r="AJ92" s="13" t="s">
        <v>713</v>
      </c>
      <c r="AK92" s="13"/>
      <c r="AL92" s="13" t="s">
        <v>69</v>
      </c>
      <c r="AN92" s="8">
        <v>298754</v>
      </c>
      <c r="AP92" s="8">
        <v>0</v>
      </c>
      <c r="AT92" s="8">
        <v>44712</v>
      </c>
      <c r="AV92" s="8">
        <v>6920</v>
      </c>
      <c r="AX92" s="8">
        <v>0</v>
      </c>
      <c r="AZ92" s="8">
        <f>SUM(G92:AX92)</f>
        <v>14048087</v>
      </c>
      <c r="BB92" s="8">
        <v>0</v>
      </c>
      <c r="BH92" s="8">
        <v>0</v>
      </c>
      <c r="BJ92" s="8">
        <f>+AZ92+BB92+BD92+BH92</f>
        <v>14048087</v>
      </c>
      <c r="BL92" s="8">
        <f>+GenRev!AM92-GenExp!BJ92</f>
        <v>601272</v>
      </c>
      <c r="BN92" s="8">
        <v>-999385</v>
      </c>
      <c r="BP92" s="8">
        <v>0</v>
      </c>
      <c r="BQ92" s="8">
        <v>0</v>
      </c>
      <c r="BS92" s="8">
        <f>+BN92+BL92-BP92</f>
        <v>-398113</v>
      </c>
      <c r="BU92" s="9">
        <f>+BS92-'Gen Fd BS'!AA92+BQ92</f>
        <v>0</v>
      </c>
    </row>
    <row r="93" spans="1:73">
      <c r="A93" s="13" t="s">
        <v>257</v>
      </c>
      <c r="B93" s="13"/>
      <c r="C93" s="13" t="s">
        <v>16</v>
      </c>
      <c r="D93" s="13"/>
      <c r="E93" s="32">
        <v>45278</v>
      </c>
      <c r="G93" s="8">
        <v>9054509</v>
      </c>
      <c r="I93" s="8">
        <v>1834453</v>
      </c>
      <c r="K93" s="8">
        <v>237352</v>
      </c>
      <c r="M93" s="8">
        <v>324332</v>
      </c>
      <c r="O93" s="8">
        <v>840398</v>
      </c>
      <c r="Q93" s="8">
        <v>620114</v>
      </c>
      <c r="S93" s="8">
        <v>33839</v>
      </c>
      <c r="U93" s="8">
        <v>1515555</v>
      </c>
      <c r="W93" s="8">
        <v>523417</v>
      </c>
      <c r="Y93" s="8">
        <v>50415</v>
      </c>
      <c r="AA93" s="8">
        <v>1731214</v>
      </c>
      <c r="AC93" s="8">
        <v>1615240</v>
      </c>
      <c r="AE93" s="8">
        <v>43235</v>
      </c>
      <c r="AG93" s="8">
        <v>0</v>
      </c>
      <c r="AI93" s="8">
        <v>16802</v>
      </c>
      <c r="AJ93" s="13" t="s">
        <v>257</v>
      </c>
      <c r="AK93" s="13"/>
      <c r="AL93" s="13" t="s">
        <v>16</v>
      </c>
      <c r="AN93" s="8">
        <v>392305</v>
      </c>
      <c r="AP93" s="8">
        <v>49793</v>
      </c>
      <c r="AT93" s="8">
        <v>57945</v>
      </c>
      <c r="AV93" s="8">
        <v>5203</v>
      </c>
      <c r="AX93" s="8">
        <v>0</v>
      </c>
      <c r="AZ93" s="8">
        <f t="shared" si="3"/>
        <v>18946121</v>
      </c>
      <c r="BB93" s="8">
        <v>81000</v>
      </c>
      <c r="BH93" s="8">
        <v>0</v>
      </c>
      <c r="BJ93" s="8">
        <f t="shared" si="4"/>
        <v>19027121</v>
      </c>
      <c r="BL93" s="8">
        <f>+GenRev!AM93-GenExp!BJ93</f>
        <v>1764354</v>
      </c>
      <c r="BN93" s="8">
        <v>763801</v>
      </c>
      <c r="BP93" s="8">
        <v>0</v>
      </c>
      <c r="BQ93" s="8">
        <v>0</v>
      </c>
      <c r="BS93" s="8">
        <f t="shared" si="5"/>
        <v>2528155</v>
      </c>
      <c r="BU93" s="9">
        <f>+BS93-'Gen Fd BS'!AA93+BQ93</f>
        <v>0</v>
      </c>
    </row>
    <row r="94" spans="1:73">
      <c r="A94" s="13" t="s">
        <v>389</v>
      </c>
      <c r="B94" s="13"/>
      <c r="C94" s="13" t="s">
        <v>117</v>
      </c>
      <c r="D94" s="13"/>
      <c r="E94" s="32">
        <v>47258</v>
      </c>
      <c r="G94" s="8">
        <v>2416548</v>
      </c>
      <c r="I94" s="8">
        <v>424268</v>
      </c>
      <c r="K94" s="8">
        <v>8387</v>
      </c>
      <c r="M94" s="8">
        <v>319812</v>
      </c>
      <c r="O94" s="8">
        <v>329173</v>
      </c>
      <c r="Q94" s="8">
        <v>180390</v>
      </c>
      <c r="S94" s="8">
        <v>40216</v>
      </c>
      <c r="U94" s="8">
        <v>536286</v>
      </c>
      <c r="W94" s="8">
        <v>224955</v>
      </c>
      <c r="Y94" s="8">
        <v>1555</v>
      </c>
      <c r="AA94" s="8">
        <v>458501</v>
      </c>
      <c r="AC94" s="8">
        <v>201816</v>
      </c>
      <c r="AE94" s="8">
        <v>1948</v>
      </c>
      <c r="AG94" s="8">
        <v>0</v>
      </c>
      <c r="AI94" s="8">
        <v>85</v>
      </c>
      <c r="AJ94" s="13" t="s">
        <v>389</v>
      </c>
      <c r="AK94" s="13"/>
      <c r="AL94" s="13" t="s">
        <v>117</v>
      </c>
      <c r="AN94" s="8">
        <v>135422</v>
      </c>
      <c r="AP94" s="8">
        <v>0</v>
      </c>
      <c r="AT94" s="8">
        <v>0</v>
      </c>
      <c r="AV94" s="8">
        <v>0</v>
      </c>
      <c r="AX94" s="8">
        <v>0</v>
      </c>
      <c r="AZ94" s="8">
        <f t="shared" si="3"/>
        <v>5279362</v>
      </c>
      <c r="BB94" s="8">
        <v>5000</v>
      </c>
      <c r="BH94" s="8">
        <v>0</v>
      </c>
      <c r="BJ94" s="8">
        <f t="shared" si="4"/>
        <v>5284362</v>
      </c>
      <c r="BL94" s="8">
        <f>+GenRev!AM94-GenExp!BJ94</f>
        <v>456882</v>
      </c>
      <c r="BN94" s="8">
        <v>857058</v>
      </c>
      <c r="BP94" s="8">
        <v>0</v>
      </c>
      <c r="BQ94" s="8">
        <v>0</v>
      </c>
      <c r="BS94" s="8">
        <f t="shared" si="5"/>
        <v>1313940</v>
      </c>
      <c r="BU94" s="9">
        <f>+BS94-'Gen Fd BS'!AA94+BQ94</f>
        <v>0</v>
      </c>
    </row>
    <row r="95" spans="1:73" hidden="1">
      <c r="A95" s="13" t="s">
        <v>539</v>
      </c>
      <c r="B95" s="13"/>
      <c r="C95" s="13" t="s">
        <v>540</v>
      </c>
      <c r="D95" s="13"/>
      <c r="E95" s="32">
        <v>43729</v>
      </c>
      <c r="AG95" s="8">
        <v>0</v>
      </c>
      <c r="AI95" s="8">
        <v>0</v>
      </c>
      <c r="AJ95" s="13" t="s">
        <v>539</v>
      </c>
      <c r="AK95" s="13"/>
      <c r="AL95" s="13" t="s">
        <v>540</v>
      </c>
      <c r="AN95" s="8">
        <v>0</v>
      </c>
      <c r="AP95" s="8">
        <v>0</v>
      </c>
      <c r="AT95" s="8">
        <v>0</v>
      </c>
      <c r="AV95" s="8">
        <v>0</v>
      </c>
      <c r="AX95" s="8">
        <v>0</v>
      </c>
      <c r="AZ95" s="8">
        <f t="shared" si="3"/>
        <v>0</v>
      </c>
      <c r="BB95" s="8">
        <v>0</v>
      </c>
      <c r="BH95" s="8">
        <v>0</v>
      </c>
      <c r="BJ95" s="8">
        <f t="shared" si="4"/>
        <v>0</v>
      </c>
      <c r="BL95" s="8">
        <f>+GenRev!AM95-GenExp!BJ95</f>
        <v>0</v>
      </c>
      <c r="BN95" s="8">
        <v>0</v>
      </c>
      <c r="BP95" s="8">
        <v>0</v>
      </c>
      <c r="BQ95" s="8">
        <v>0</v>
      </c>
      <c r="BS95" s="8">
        <f t="shared" si="5"/>
        <v>0</v>
      </c>
      <c r="BU95" s="9">
        <f>+BS95-'Gen Fd BS'!AA95+BQ95</f>
        <v>0</v>
      </c>
    </row>
    <row r="96" spans="1:73">
      <c r="A96" s="13" t="s">
        <v>459</v>
      </c>
      <c r="B96" s="13"/>
      <c r="C96" s="13" t="s">
        <v>40</v>
      </c>
      <c r="D96" s="13"/>
      <c r="E96" s="32">
        <v>47829</v>
      </c>
      <c r="G96" s="8">
        <v>3977138</v>
      </c>
      <c r="I96" s="8">
        <v>1309599</v>
      </c>
      <c r="K96" s="8">
        <v>176360</v>
      </c>
      <c r="M96" s="8">
        <v>0</v>
      </c>
      <c r="O96" s="8">
        <v>298197</v>
      </c>
      <c r="Q96" s="8">
        <v>124179</v>
      </c>
      <c r="S96" s="8">
        <v>7609</v>
      </c>
      <c r="U96" s="8">
        <v>813315</v>
      </c>
      <c r="W96" s="8">
        <v>327085</v>
      </c>
      <c r="Y96" s="8">
        <v>0</v>
      </c>
      <c r="AA96" s="8">
        <v>938423</v>
      </c>
      <c r="AC96" s="8">
        <v>732769</v>
      </c>
      <c r="AE96" s="8">
        <v>0</v>
      </c>
      <c r="AG96" s="8">
        <v>0</v>
      </c>
      <c r="AI96" s="8">
        <v>0</v>
      </c>
      <c r="AJ96" s="13" t="s">
        <v>459</v>
      </c>
      <c r="AK96" s="13"/>
      <c r="AL96" s="13" t="s">
        <v>40</v>
      </c>
      <c r="AN96" s="8">
        <v>199747</v>
      </c>
      <c r="AP96" s="8">
        <v>0</v>
      </c>
      <c r="AT96" s="8">
        <v>0</v>
      </c>
      <c r="AV96" s="8">
        <v>0</v>
      </c>
      <c r="AX96" s="8">
        <v>0</v>
      </c>
      <c r="AZ96" s="8">
        <f t="shared" si="3"/>
        <v>8904421</v>
      </c>
      <c r="BB96" s="8">
        <v>0</v>
      </c>
      <c r="BH96" s="8">
        <v>0</v>
      </c>
      <c r="BJ96" s="8">
        <f t="shared" si="4"/>
        <v>8904421</v>
      </c>
      <c r="BL96" s="8">
        <f>+GenRev!AM96-GenExp!BJ96</f>
        <v>-338980</v>
      </c>
      <c r="BN96" s="8">
        <v>4071828</v>
      </c>
      <c r="BP96" s="8">
        <v>0</v>
      </c>
      <c r="BQ96" s="8">
        <v>0</v>
      </c>
      <c r="BS96" s="8">
        <f t="shared" si="5"/>
        <v>3732848</v>
      </c>
      <c r="BU96" s="9">
        <f>+BS96-'Gen Fd BS'!AA96+BQ96</f>
        <v>0</v>
      </c>
    </row>
    <row r="97" spans="1:73" s="35" customFormat="1">
      <c r="A97" s="34" t="s">
        <v>553</v>
      </c>
      <c r="B97" s="34"/>
      <c r="C97" s="34" t="s">
        <v>50</v>
      </c>
      <c r="D97" s="34"/>
      <c r="E97" s="32">
        <v>43737</v>
      </c>
      <c r="G97" s="8">
        <v>38011213</v>
      </c>
      <c r="H97" s="8"/>
      <c r="I97" s="8">
        <v>7300245</v>
      </c>
      <c r="J97" s="8"/>
      <c r="K97" s="8">
        <v>2525309</v>
      </c>
      <c r="L97" s="8"/>
      <c r="M97" s="8">
        <v>662986</v>
      </c>
      <c r="N97" s="8"/>
      <c r="O97" s="8">
        <v>3892182</v>
      </c>
      <c r="P97" s="8"/>
      <c r="Q97" s="8">
        <v>6146023</v>
      </c>
      <c r="R97" s="8"/>
      <c r="S97" s="8">
        <v>27428</v>
      </c>
      <c r="T97" s="8"/>
      <c r="U97" s="8">
        <v>4529411</v>
      </c>
      <c r="V97" s="8"/>
      <c r="W97" s="8">
        <v>1462751</v>
      </c>
      <c r="X97" s="8"/>
      <c r="Y97" s="8">
        <v>637467</v>
      </c>
      <c r="Z97" s="8"/>
      <c r="AA97" s="8">
        <v>5570682</v>
      </c>
      <c r="AB97" s="8"/>
      <c r="AC97" s="8">
        <v>5703096</v>
      </c>
      <c r="AD97" s="8"/>
      <c r="AE97" s="8">
        <v>88823</v>
      </c>
      <c r="AF97" s="8"/>
      <c r="AG97" s="8">
        <v>0</v>
      </c>
      <c r="AH97" s="8"/>
      <c r="AI97" s="8">
        <v>0</v>
      </c>
      <c r="AJ97" s="13" t="s">
        <v>553</v>
      </c>
      <c r="AK97" s="13"/>
      <c r="AL97" s="13" t="s">
        <v>50</v>
      </c>
      <c r="AM97" s="8"/>
      <c r="AN97" s="8">
        <v>0</v>
      </c>
      <c r="AO97" s="8"/>
      <c r="AP97" s="8">
        <v>0</v>
      </c>
      <c r="AQ97" s="8"/>
      <c r="AR97" s="8"/>
      <c r="AS97" s="8"/>
      <c r="AT97" s="8">
        <v>0</v>
      </c>
      <c r="AU97" s="8"/>
      <c r="AV97" s="8">
        <v>0</v>
      </c>
      <c r="AW97" s="8"/>
      <c r="AX97" s="8">
        <v>0</v>
      </c>
      <c r="AY97" s="8"/>
      <c r="AZ97" s="8">
        <f t="shared" si="3"/>
        <v>76557616</v>
      </c>
      <c r="BA97" s="8"/>
      <c r="BB97" s="8">
        <v>0</v>
      </c>
      <c r="BC97" s="8"/>
      <c r="BD97" s="8"/>
      <c r="BE97" s="8"/>
      <c r="BF97" s="8"/>
      <c r="BG97" s="8"/>
      <c r="BH97" s="8">
        <v>0</v>
      </c>
      <c r="BI97" s="8"/>
      <c r="BJ97" s="8">
        <f t="shared" si="4"/>
        <v>76557616</v>
      </c>
      <c r="BK97" s="8"/>
      <c r="BL97" s="8">
        <f>+GenRev!AM99-GenExp!BJ97</f>
        <v>-2986318</v>
      </c>
      <c r="BM97" s="8"/>
      <c r="BN97" s="8">
        <v>22512967</v>
      </c>
      <c r="BO97" s="8"/>
      <c r="BP97" s="8">
        <v>0</v>
      </c>
      <c r="BQ97" s="8">
        <v>0</v>
      </c>
      <c r="BR97" s="8"/>
      <c r="BS97" s="8">
        <f t="shared" si="5"/>
        <v>19526649</v>
      </c>
      <c r="BT97" s="8"/>
      <c r="BU97" s="9">
        <f>+BS97-'Gen Fd BS'!AA99+BQ97</f>
        <v>0</v>
      </c>
    </row>
    <row r="98" spans="1:73">
      <c r="A98" s="13" t="s">
        <v>807</v>
      </c>
      <c r="B98" s="13"/>
      <c r="C98" s="13" t="s">
        <v>22</v>
      </c>
      <c r="D98" s="13"/>
      <c r="E98" s="32">
        <v>46714</v>
      </c>
      <c r="G98" s="8">
        <v>4262145</v>
      </c>
      <c r="I98" s="8">
        <v>926757</v>
      </c>
      <c r="K98" s="8">
        <v>194772</v>
      </c>
      <c r="M98" s="8">
        <f>25663+619751</f>
        <v>645414</v>
      </c>
      <c r="O98" s="8">
        <v>424891</v>
      </c>
      <c r="Q98" s="8">
        <v>162415</v>
      </c>
      <c r="S98" s="8">
        <v>27221</v>
      </c>
      <c r="U98" s="8">
        <v>784457</v>
      </c>
      <c r="W98" s="8">
        <v>236365</v>
      </c>
      <c r="Y98" s="8">
        <v>56934</v>
      </c>
      <c r="AA98" s="8">
        <v>757281</v>
      </c>
      <c r="AC98" s="8">
        <v>686640</v>
      </c>
      <c r="AE98" s="8">
        <v>161008</v>
      </c>
      <c r="AG98" s="8">
        <v>0</v>
      </c>
      <c r="AI98" s="8">
        <v>0</v>
      </c>
      <c r="AJ98" s="13" t="s">
        <v>807</v>
      </c>
      <c r="AK98" s="13"/>
      <c r="AL98" s="13" t="s">
        <v>22</v>
      </c>
      <c r="AN98" s="8">
        <v>292240</v>
      </c>
      <c r="AP98" s="8">
        <v>19399</v>
      </c>
      <c r="AT98" s="8">
        <v>0</v>
      </c>
      <c r="AV98" s="8">
        <v>0</v>
      </c>
      <c r="AX98" s="8">
        <v>0</v>
      </c>
      <c r="AZ98" s="8">
        <f t="shared" si="3"/>
        <v>9637939</v>
      </c>
      <c r="BB98" s="8">
        <v>10600</v>
      </c>
      <c r="BH98" s="8">
        <v>0</v>
      </c>
      <c r="BJ98" s="8">
        <f t="shared" si="4"/>
        <v>9648539</v>
      </c>
      <c r="BL98" s="8">
        <f>+GenRev!AM100-GenExp!BJ98</f>
        <v>-59858</v>
      </c>
      <c r="BN98" s="8">
        <v>1667455</v>
      </c>
      <c r="BP98" s="8">
        <v>0</v>
      </c>
      <c r="BQ98" s="8">
        <v>0</v>
      </c>
      <c r="BS98" s="8">
        <f t="shared" si="5"/>
        <v>1607597</v>
      </c>
      <c r="BU98" s="9">
        <f>+BS98-'Gen Fd BS'!AA100+BQ98</f>
        <v>0</v>
      </c>
    </row>
    <row r="99" spans="1:73">
      <c r="A99" s="13"/>
      <c r="B99" s="13"/>
      <c r="C99" s="13"/>
      <c r="D99" s="13"/>
      <c r="E99" s="32"/>
      <c r="AJ99" s="13"/>
      <c r="AK99" s="13"/>
      <c r="AL99" s="13"/>
    </row>
    <row r="100" spans="1:73">
      <c r="A100" s="13"/>
      <c r="B100" s="13"/>
      <c r="C100" s="13"/>
      <c r="D100" s="13"/>
      <c r="E100" s="32"/>
      <c r="AI100" s="8" t="s">
        <v>819</v>
      </c>
      <c r="AJ100" s="13"/>
      <c r="AK100" s="13"/>
      <c r="AL100" s="13"/>
      <c r="BS100" s="8" t="s">
        <v>819</v>
      </c>
    </row>
    <row r="101" spans="1:73" s="35" customFormat="1">
      <c r="A101" s="34" t="s">
        <v>306</v>
      </c>
      <c r="B101" s="34"/>
      <c r="C101" s="34" t="s">
        <v>20</v>
      </c>
      <c r="D101" s="34"/>
      <c r="E101" s="34">
        <v>45286</v>
      </c>
      <c r="G101" s="35">
        <v>9370975</v>
      </c>
      <c r="I101" s="35">
        <v>1842475</v>
      </c>
      <c r="K101" s="35">
        <v>108040</v>
      </c>
      <c r="M101" s="35">
        <v>0</v>
      </c>
      <c r="O101" s="35">
        <v>819936</v>
      </c>
      <c r="Q101" s="35">
        <v>872824</v>
      </c>
      <c r="S101" s="35">
        <v>62223</v>
      </c>
      <c r="U101" s="35">
        <v>2024559</v>
      </c>
      <c r="W101" s="35">
        <v>702245</v>
      </c>
      <c r="Y101" s="35">
        <v>800</v>
      </c>
      <c r="AA101" s="35">
        <v>2253916</v>
      </c>
      <c r="AC101" s="35">
        <v>1124880</v>
      </c>
      <c r="AE101" s="35">
        <v>16001</v>
      </c>
      <c r="AG101" s="35">
        <v>0</v>
      </c>
      <c r="AI101" s="35">
        <v>3827</v>
      </c>
      <c r="AJ101" s="34" t="s">
        <v>306</v>
      </c>
      <c r="AK101" s="34"/>
      <c r="AL101" s="34" t="s">
        <v>20</v>
      </c>
      <c r="AN101" s="35">
        <v>431184</v>
      </c>
      <c r="AP101" s="35">
        <v>0</v>
      </c>
      <c r="AT101" s="35">
        <v>0</v>
      </c>
      <c r="AV101" s="35">
        <v>0</v>
      </c>
      <c r="AX101" s="35">
        <v>0</v>
      </c>
      <c r="AZ101" s="35">
        <f t="shared" ref="AZ101:AZ112" si="6">SUM(G101:AX101)</f>
        <v>19633885</v>
      </c>
      <c r="BB101" s="35">
        <v>313600</v>
      </c>
      <c r="BH101" s="35">
        <v>0</v>
      </c>
      <c r="BJ101" s="35">
        <f>+AZ101+BB101+BD101+BH101</f>
        <v>19947485</v>
      </c>
      <c r="BL101" s="35">
        <f>+GenRev!AM101-GenExp!BJ101</f>
        <v>2140972</v>
      </c>
      <c r="BN101" s="35">
        <v>-134696</v>
      </c>
      <c r="BP101" s="35">
        <v>0</v>
      </c>
      <c r="BQ101" s="35">
        <v>0</v>
      </c>
      <c r="BS101" s="35">
        <f>+BN101+BL101-BP101</f>
        <v>2006276</v>
      </c>
      <c r="BU101" s="44">
        <f>+BS101-'Gen Fd BS'!AA101+BQ101</f>
        <v>0</v>
      </c>
    </row>
    <row r="102" spans="1:73">
      <c r="A102" s="13" t="s">
        <v>683</v>
      </c>
      <c r="B102" s="13"/>
      <c r="C102" s="13" t="s">
        <v>64</v>
      </c>
      <c r="D102" s="13"/>
      <c r="E102" s="32">
        <v>50138</v>
      </c>
      <c r="G102" s="8">
        <v>4248693</v>
      </c>
      <c r="I102" s="8">
        <v>1120187</v>
      </c>
      <c r="K102" s="8">
        <v>186616</v>
      </c>
      <c r="M102" s="8">
        <v>493524</v>
      </c>
      <c r="O102" s="8">
        <v>638968</v>
      </c>
      <c r="Q102" s="8">
        <v>479031</v>
      </c>
      <c r="S102" s="8">
        <v>47382</v>
      </c>
      <c r="U102" s="8">
        <v>1808669</v>
      </c>
      <c r="W102" s="8">
        <v>325451</v>
      </c>
      <c r="Y102" s="8">
        <v>0</v>
      </c>
      <c r="AA102" s="8">
        <v>1099473</v>
      </c>
      <c r="AC102" s="8">
        <v>927974</v>
      </c>
      <c r="AE102" s="8">
        <v>6160</v>
      </c>
      <c r="AG102" s="8">
        <v>0</v>
      </c>
      <c r="AI102" s="8">
        <v>569</v>
      </c>
      <c r="AJ102" s="13" t="s">
        <v>683</v>
      </c>
      <c r="AK102" s="13"/>
      <c r="AL102" s="13" t="s">
        <v>64</v>
      </c>
      <c r="AN102" s="8">
        <v>295074</v>
      </c>
      <c r="AP102" s="8">
        <v>0</v>
      </c>
      <c r="AT102" s="8">
        <v>94266</v>
      </c>
      <c r="AV102" s="8">
        <v>85257</v>
      </c>
      <c r="AX102" s="8">
        <v>0</v>
      </c>
      <c r="AZ102" s="8">
        <f t="shared" si="6"/>
        <v>11857294</v>
      </c>
      <c r="BB102" s="8">
        <v>48742</v>
      </c>
      <c r="BH102" s="8">
        <v>0</v>
      </c>
      <c r="BJ102" s="8">
        <f t="shared" ref="BJ102:BJ148" si="7">+AZ102+BB102+BD102+BH102</f>
        <v>11906036</v>
      </c>
      <c r="BL102" s="8">
        <f>+GenRev!AM102-GenExp!BJ102</f>
        <v>-321102</v>
      </c>
      <c r="BN102" s="8">
        <v>-938377</v>
      </c>
      <c r="BP102" s="8">
        <v>-995</v>
      </c>
      <c r="BQ102" s="8">
        <v>0</v>
      </c>
      <c r="BS102" s="8">
        <f t="shared" ref="BS102:BS144" si="8">+BN102+BL102-BP102</f>
        <v>-1258484</v>
      </c>
      <c r="BU102" s="9">
        <f>+BS102-'Gen Fd BS'!AA102+BQ102</f>
        <v>0</v>
      </c>
    </row>
    <row r="103" spans="1:73">
      <c r="A103" s="13" t="s">
        <v>383</v>
      </c>
      <c r="B103" s="13"/>
      <c r="C103" s="13" t="s">
        <v>30</v>
      </c>
      <c r="D103" s="13"/>
      <c r="E103" s="32">
        <v>47183</v>
      </c>
      <c r="G103" s="8">
        <v>12771132</v>
      </c>
      <c r="I103" s="8">
        <v>3767200</v>
      </c>
      <c r="K103" s="8">
        <v>217380</v>
      </c>
      <c r="M103" s="8">
        <v>0</v>
      </c>
      <c r="O103" s="8">
        <v>1161086</v>
      </c>
      <c r="Q103" s="8">
        <v>1436412</v>
      </c>
      <c r="S103" s="8">
        <v>117374</v>
      </c>
      <c r="U103" s="8">
        <v>2243493</v>
      </c>
      <c r="W103" s="8">
        <v>904622</v>
      </c>
      <c r="Y103" s="8">
        <v>356139</v>
      </c>
      <c r="AA103" s="8">
        <v>2450491</v>
      </c>
      <c r="AC103" s="8">
        <v>2410568</v>
      </c>
      <c r="AE103" s="8">
        <v>219417</v>
      </c>
      <c r="AG103" s="8">
        <v>0</v>
      </c>
      <c r="AI103" s="8">
        <v>74131</v>
      </c>
      <c r="AJ103" s="13" t="s">
        <v>383</v>
      </c>
      <c r="AK103" s="13"/>
      <c r="AL103" s="13" t="s">
        <v>30</v>
      </c>
      <c r="AN103" s="8">
        <v>441802</v>
      </c>
      <c r="AP103" s="8">
        <v>0</v>
      </c>
      <c r="AT103" s="8">
        <v>4913</v>
      </c>
      <c r="AV103" s="8">
        <v>523</v>
      </c>
      <c r="AX103" s="8">
        <v>0</v>
      </c>
      <c r="AZ103" s="8">
        <f t="shared" si="6"/>
        <v>28576683</v>
      </c>
      <c r="BB103" s="8">
        <v>204506</v>
      </c>
      <c r="BH103" s="8">
        <v>0</v>
      </c>
      <c r="BJ103" s="8">
        <f t="shared" si="7"/>
        <v>28781189</v>
      </c>
      <c r="BL103" s="8">
        <f>+GenRev!AM103-GenExp!BJ103</f>
        <v>448495</v>
      </c>
      <c r="BN103" s="8">
        <v>2537820</v>
      </c>
      <c r="BP103" s="8">
        <v>0</v>
      </c>
      <c r="BQ103" s="8">
        <v>0</v>
      </c>
      <c r="BS103" s="8">
        <f t="shared" si="8"/>
        <v>2986315</v>
      </c>
      <c r="BU103" s="9">
        <f>+BS103-'Gen Fd BS'!AA103+BQ103</f>
        <v>0</v>
      </c>
    </row>
    <row r="104" spans="1:73">
      <c r="A104" s="13" t="s">
        <v>470</v>
      </c>
      <c r="B104" s="13"/>
      <c r="C104" s="13" t="s">
        <v>471</v>
      </c>
      <c r="D104" s="13"/>
      <c r="E104" s="32">
        <v>45294</v>
      </c>
      <c r="G104" s="8">
        <v>5015631</v>
      </c>
      <c r="I104" s="8">
        <v>706524</v>
      </c>
      <c r="K104" s="8">
        <v>0</v>
      </c>
      <c r="M104" s="8">
        <v>321077</v>
      </c>
      <c r="O104" s="8">
        <v>473713</v>
      </c>
      <c r="Q104" s="8">
        <v>275047</v>
      </c>
      <c r="S104" s="8">
        <v>58587</v>
      </c>
      <c r="U104" s="8">
        <v>868201</v>
      </c>
      <c r="W104" s="8">
        <v>261852</v>
      </c>
      <c r="Y104" s="8">
        <v>0</v>
      </c>
      <c r="AA104" s="8">
        <v>1082569</v>
      </c>
      <c r="AC104" s="8">
        <v>533813</v>
      </c>
      <c r="AE104" s="8">
        <v>121765</v>
      </c>
      <c r="AG104" s="8">
        <v>0</v>
      </c>
      <c r="AI104" s="8">
        <v>0</v>
      </c>
      <c r="AJ104" s="13" t="s">
        <v>470</v>
      </c>
      <c r="AK104" s="13"/>
      <c r="AL104" s="13" t="s">
        <v>471</v>
      </c>
      <c r="AN104" s="8">
        <v>195087</v>
      </c>
      <c r="AP104" s="8">
        <v>666</v>
      </c>
      <c r="AT104" s="8">
        <v>198</v>
      </c>
      <c r="AV104" s="8">
        <v>2</v>
      </c>
      <c r="AX104" s="8">
        <v>0</v>
      </c>
      <c r="AZ104" s="8">
        <f t="shared" si="6"/>
        <v>9914732</v>
      </c>
      <c r="BB104" s="8">
        <v>199769</v>
      </c>
      <c r="BH104" s="8">
        <v>0</v>
      </c>
      <c r="BJ104" s="8">
        <f t="shared" si="7"/>
        <v>10114501</v>
      </c>
      <c r="BL104" s="8">
        <f>+GenRev!AM104-GenExp!BJ104</f>
        <v>-214327</v>
      </c>
      <c r="BN104" s="8">
        <v>867532</v>
      </c>
      <c r="BP104" s="8">
        <v>0</v>
      </c>
      <c r="BQ104" s="8">
        <v>0</v>
      </c>
      <c r="BS104" s="8">
        <f t="shared" si="8"/>
        <v>653205</v>
      </c>
      <c r="BU104" s="9">
        <f>+BS104-'Gen Fd BS'!AA104+BQ104</f>
        <v>0</v>
      </c>
    </row>
    <row r="105" spans="1:73">
      <c r="A105" s="13" t="s">
        <v>622</v>
      </c>
      <c r="B105" s="13"/>
      <c r="C105" s="13" t="s">
        <v>58</v>
      </c>
      <c r="D105" s="13"/>
      <c r="E105" s="32">
        <v>43745</v>
      </c>
      <c r="G105" s="8">
        <v>12062376</v>
      </c>
      <c r="I105" s="8">
        <v>2030512</v>
      </c>
      <c r="K105" s="8">
        <v>5675</v>
      </c>
      <c r="M105" s="8">
        <v>127625</v>
      </c>
      <c r="O105" s="8">
        <v>1099739</v>
      </c>
      <c r="Q105" s="8">
        <v>787947</v>
      </c>
      <c r="S105" s="8">
        <v>79622</v>
      </c>
      <c r="U105" s="8">
        <v>1875146</v>
      </c>
      <c r="W105" s="8">
        <v>772232</v>
      </c>
      <c r="Y105" s="8">
        <v>127767</v>
      </c>
      <c r="AA105" s="8">
        <v>2442610</v>
      </c>
      <c r="AC105" s="8">
        <v>754424</v>
      </c>
      <c r="AE105" s="8">
        <v>232200</v>
      </c>
      <c r="AG105" s="8">
        <v>0</v>
      </c>
      <c r="AI105" s="8">
        <v>9024</v>
      </c>
      <c r="AJ105" s="13" t="s">
        <v>622</v>
      </c>
      <c r="AK105" s="13"/>
      <c r="AL105" s="13" t="s">
        <v>58</v>
      </c>
      <c r="AN105" s="8">
        <v>410860</v>
      </c>
      <c r="AP105" s="8">
        <v>0</v>
      </c>
      <c r="AT105" s="8">
        <v>170000</v>
      </c>
      <c r="AV105" s="8">
        <v>57750</v>
      </c>
      <c r="AX105" s="8">
        <v>0</v>
      </c>
      <c r="AZ105" s="8">
        <f t="shared" si="6"/>
        <v>23045509</v>
      </c>
      <c r="BB105" s="8">
        <v>109035</v>
      </c>
      <c r="BH105" s="8">
        <v>0</v>
      </c>
      <c r="BJ105" s="8">
        <f t="shared" si="7"/>
        <v>23154544</v>
      </c>
      <c r="BL105" s="8">
        <f>+GenRev!AM105-GenExp!BJ105</f>
        <v>2061009</v>
      </c>
      <c r="BN105" s="8">
        <v>1190492</v>
      </c>
      <c r="BP105" s="8">
        <v>0</v>
      </c>
      <c r="BQ105" s="8">
        <v>0</v>
      </c>
      <c r="BS105" s="8">
        <f t="shared" si="8"/>
        <v>3251501</v>
      </c>
      <c r="BU105" s="9">
        <f>+BS105-'Gen Fd BS'!AA105+BQ105</f>
        <v>0</v>
      </c>
    </row>
    <row r="106" spans="1:73" hidden="1">
      <c r="A106" s="13" t="s">
        <v>727</v>
      </c>
      <c r="B106" s="13"/>
      <c r="C106" s="13" t="s">
        <v>71</v>
      </c>
      <c r="D106" s="13"/>
      <c r="E106" s="32">
        <v>50534</v>
      </c>
      <c r="AE106" s="8">
        <v>0</v>
      </c>
      <c r="AG106" s="8">
        <v>0</v>
      </c>
      <c r="AI106" s="8">
        <v>0</v>
      </c>
      <c r="AJ106" s="13" t="s">
        <v>727</v>
      </c>
      <c r="AK106" s="13"/>
      <c r="AL106" s="13" t="s">
        <v>71</v>
      </c>
      <c r="AN106" s="8">
        <v>0</v>
      </c>
      <c r="AP106" s="8">
        <v>0</v>
      </c>
      <c r="AT106" s="8">
        <v>0</v>
      </c>
      <c r="AV106" s="8">
        <v>0</v>
      </c>
      <c r="AX106" s="8">
        <v>0</v>
      </c>
      <c r="AZ106" s="8">
        <f t="shared" si="6"/>
        <v>0</v>
      </c>
      <c r="BB106" s="8">
        <v>0</v>
      </c>
      <c r="BH106" s="8">
        <v>0</v>
      </c>
      <c r="BJ106" s="8">
        <f t="shared" si="7"/>
        <v>0</v>
      </c>
      <c r="BL106" s="8">
        <f>+GenRev!AM106-GenExp!BJ106</f>
        <v>0</v>
      </c>
      <c r="BN106" s="8">
        <v>0</v>
      </c>
      <c r="BP106" s="8">
        <v>0</v>
      </c>
      <c r="BQ106" s="8">
        <v>0</v>
      </c>
      <c r="BS106" s="8">
        <f t="shared" si="8"/>
        <v>0</v>
      </c>
      <c r="BU106" s="9" t="e">
        <f>+BS106-'Gen Fd BS'!#REF!+BQ106</f>
        <v>#REF!</v>
      </c>
    </row>
    <row r="107" spans="1:73">
      <c r="A107" s="8" t="s">
        <v>727</v>
      </c>
      <c r="C107" s="8" t="s">
        <v>71</v>
      </c>
      <c r="G107" s="8">
        <v>4504709</v>
      </c>
      <c r="I107" s="8">
        <v>750773</v>
      </c>
      <c r="K107" s="8">
        <v>33999</v>
      </c>
      <c r="M107" s="8">
        <v>297036</v>
      </c>
      <c r="O107" s="8">
        <v>198153</v>
      </c>
      <c r="Q107" s="8">
        <v>257092</v>
      </c>
      <c r="S107" s="8">
        <v>27654</v>
      </c>
      <c r="U107" s="8">
        <v>871416</v>
      </c>
      <c r="W107" s="8">
        <v>281562</v>
      </c>
      <c r="Y107" s="8">
        <v>0</v>
      </c>
      <c r="AA107" s="8">
        <v>901879</v>
      </c>
      <c r="AC107" s="8">
        <v>547548</v>
      </c>
      <c r="AE107" s="8">
        <v>142197</v>
      </c>
      <c r="AG107" s="8">
        <v>0</v>
      </c>
      <c r="AI107" s="8">
        <v>0</v>
      </c>
      <c r="AJ107" s="8" t="s">
        <v>396</v>
      </c>
      <c r="AL107" s="8" t="s">
        <v>32</v>
      </c>
      <c r="AN107" s="8">
        <v>240202</v>
      </c>
      <c r="AP107" s="8">
        <v>0</v>
      </c>
      <c r="AT107" s="8">
        <v>0</v>
      </c>
      <c r="AV107" s="8">
        <v>0</v>
      </c>
      <c r="AX107" s="8">
        <v>0</v>
      </c>
      <c r="AZ107" s="8">
        <f>SUM(G107:AX107)</f>
        <v>9054220</v>
      </c>
      <c r="BB107" s="8">
        <v>0</v>
      </c>
      <c r="BH107" s="8">
        <v>0</v>
      </c>
      <c r="BJ107" s="8">
        <f>+AZ107+BB107+BD107+BH107</f>
        <v>9054220</v>
      </c>
      <c r="BL107" s="8">
        <f>+GenRev!AM107-GenExp!BJ107</f>
        <v>1680374</v>
      </c>
      <c r="BN107" s="8">
        <v>59870</v>
      </c>
      <c r="BP107" s="8">
        <v>0</v>
      </c>
      <c r="BQ107" s="8">
        <v>0</v>
      </c>
      <c r="BS107" s="8">
        <f>+BN107+BL107-BP107</f>
        <v>1740244</v>
      </c>
      <c r="BU107" s="9">
        <f>+BS107-'Gen Fd BS'!AA106+BQ107</f>
        <v>0</v>
      </c>
    </row>
    <row r="108" spans="1:73">
      <c r="A108" s="8" t="s">
        <v>396</v>
      </c>
      <c r="C108" s="8" t="s">
        <v>32</v>
      </c>
      <c r="G108" s="8">
        <v>74697670</v>
      </c>
      <c r="I108" s="8">
        <v>31093339</v>
      </c>
      <c r="K108" s="8">
        <v>5574640</v>
      </c>
      <c r="M108" s="8">
        <v>441675</v>
      </c>
      <c r="O108" s="8">
        <v>12163533</v>
      </c>
      <c r="Q108" s="8">
        <v>11572925</v>
      </c>
      <c r="S108" s="8">
        <v>398416</v>
      </c>
      <c r="U108" s="8">
        <v>15852466</v>
      </c>
      <c r="W108" s="8">
        <v>2023194</v>
      </c>
      <c r="Y108" s="8">
        <v>876504</v>
      </c>
      <c r="AA108" s="8">
        <v>32804812</v>
      </c>
      <c r="AC108" s="8">
        <v>21959056</v>
      </c>
      <c r="AE108" s="8">
        <v>14658469</v>
      </c>
      <c r="AG108" s="8">
        <v>0</v>
      </c>
      <c r="AI108" s="8">
        <v>0</v>
      </c>
      <c r="AJ108" s="8" t="s">
        <v>396</v>
      </c>
      <c r="AL108" s="8" t="s">
        <v>32</v>
      </c>
      <c r="AN108" s="8">
        <v>3336054</v>
      </c>
      <c r="AP108" s="8">
        <v>592227</v>
      </c>
      <c r="AT108" s="8">
        <v>0</v>
      </c>
      <c r="AV108" s="8">
        <v>1441708</v>
      </c>
      <c r="AX108" s="8">
        <v>0</v>
      </c>
      <c r="AZ108" s="8">
        <f t="shared" si="6"/>
        <v>229486688</v>
      </c>
      <c r="BB108" s="8">
        <v>138173617</v>
      </c>
      <c r="BH108" s="8">
        <v>0</v>
      </c>
      <c r="BJ108" s="8">
        <f t="shared" si="7"/>
        <v>367660305</v>
      </c>
      <c r="BL108" s="8">
        <f>+GenRev!AM108-GenExp!BJ108</f>
        <v>12915781</v>
      </c>
      <c r="BN108" s="8">
        <v>28798095</v>
      </c>
      <c r="BP108" s="8">
        <v>0</v>
      </c>
      <c r="BQ108" s="8">
        <v>0</v>
      </c>
      <c r="BS108" s="8">
        <f t="shared" si="8"/>
        <v>41713876</v>
      </c>
      <c r="BU108" s="9">
        <f>+BS108-'Gen Fd BS'!AA107+BQ106</f>
        <v>0</v>
      </c>
    </row>
    <row r="109" spans="1:73">
      <c r="A109" s="13" t="s">
        <v>588</v>
      </c>
      <c r="B109" s="13"/>
      <c r="C109" s="13" t="s">
        <v>54</v>
      </c>
      <c r="D109" s="13"/>
      <c r="E109" s="32">
        <v>43760</v>
      </c>
      <c r="G109" s="8">
        <v>8483923</v>
      </c>
      <c r="I109" s="8">
        <v>1802181</v>
      </c>
      <c r="K109" s="8">
        <v>19905</v>
      </c>
      <c r="M109" s="8">
        <v>97245</v>
      </c>
      <c r="O109" s="8">
        <v>994269</v>
      </c>
      <c r="Q109" s="8">
        <v>1163596</v>
      </c>
      <c r="S109" s="8">
        <v>103247</v>
      </c>
      <c r="U109" s="8">
        <v>1522220</v>
      </c>
      <c r="W109" s="8">
        <v>783949</v>
      </c>
      <c r="Y109" s="8">
        <v>0</v>
      </c>
      <c r="AA109" s="8">
        <v>1969456</v>
      </c>
      <c r="AC109" s="8">
        <v>695435</v>
      </c>
      <c r="AE109" s="8">
        <v>0</v>
      </c>
      <c r="AG109" s="8">
        <v>0</v>
      </c>
      <c r="AI109" s="8">
        <v>0</v>
      </c>
      <c r="AJ109" s="13" t="s">
        <v>588</v>
      </c>
      <c r="AK109" s="13"/>
      <c r="AL109" s="13" t="s">
        <v>54</v>
      </c>
      <c r="AN109" s="8">
        <v>357933</v>
      </c>
      <c r="AP109" s="8">
        <v>0</v>
      </c>
      <c r="AT109" s="8">
        <v>0</v>
      </c>
      <c r="AV109" s="8">
        <v>6209</v>
      </c>
      <c r="AX109" s="8">
        <v>0</v>
      </c>
      <c r="AZ109" s="8">
        <f t="shared" si="6"/>
        <v>17999568</v>
      </c>
      <c r="BB109" s="8">
        <v>177029</v>
      </c>
      <c r="BH109" s="8">
        <v>0</v>
      </c>
      <c r="BJ109" s="8">
        <f t="shared" si="7"/>
        <v>18176597</v>
      </c>
      <c r="BL109" s="8">
        <f>+GenRev!AM109-GenExp!BJ109</f>
        <v>3448427</v>
      </c>
      <c r="BN109" s="8">
        <v>6759910</v>
      </c>
      <c r="BP109" s="8">
        <v>207</v>
      </c>
      <c r="BQ109" s="8">
        <v>0</v>
      </c>
      <c r="BS109" s="8">
        <f t="shared" si="8"/>
        <v>10208130</v>
      </c>
      <c r="BU109" s="9">
        <f>+BS109-'Gen Fd BS'!AA108+BQ109</f>
        <v>0</v>
      </c>
    </row>
    <row r="110" spans="1:73">
      <c r="A110" s="13" t="s">
        <v>264</v>
      </c>
      <c r="B110" s="13"/>
      <c r="C110" s="13" t="s">
        <v>17</v>
      </c>
      <c r="D110" s="13"/>
      <c r="E110" s="32">
        <v>46284</v>
      </c>
      <c r="G110" s="8">
        <v>10202533</v>
      </c>
      <c r="I110" s="8">
        <v>1248119</v>
      </c>
      <c r="K110" s="8">
        <v>189222</v>
      </c>
      <c r="M110" s="8">
        <v>33884</v>
      </c>
      <c r="O110" s="8">
        <v>807549</v>
      </c>
      <c r="Q110" s="8">
        <v>632212</v>
      </c>
      <c r="S110" s="8">
        <v>85247</v>
      </c>
      <c r="U110" s="8">
        <v>1613205</v>
      </c>
      <c r="W110" s="8">
        <v>524751</v>
      </c>
      <c r="Y110" s="8">
        <v>13383</v>
      </c>
      <c r="AA110" s="8">
        <v>1609017</v>
      </c>
      <c r="AC110" s="8">
        <v>1078429</v>
      </c>
      <c r="AE110" s="8">
        <v>40146</v>
      </c>
      <c r="AG110" s="8">
        <v>0</v>
      </c>
      <c r="AI110" s="8">
        <v>6616</v>
      </c>
      <c r="AJ110" s="13" t="s">
        <v>264</v>
      </c>
      <c r="AK110" s="13"/>
      <c r="AL110" s="13" t="s">
        <v>17</v>
      </c>
      <c r="AN110" s="8">
        <v>411293</v>
      </c>
      <c r="AP110" s="8">
        <v>129911</v>
      </c>
      <c r="AT110" s="8">
        <v>20045</v>
      </c>
      <c r="AV110" s="8">
        <v>876</v>
      </c>
      <c r="AX110" s="8">
        <v>0</v>
      </c>
      <c r="AZ110" s="8">
        <f t="shared" si="6"/>
        <v>18646438</v>
      </c>
      <c r="BB110" s="8">
        <v>0</v>
      </c>
      <c r="BH110" s="8">
        <v>0</v>
      </c>
      <c r="BJ110" s="8">
        <f t="shared" si="7"/>
        <v>18646438</v>
      </c>
      <c r="BL110" s="8">
        <f>+GenRev!AM110-GenExp!BJ110</f>
        <v>-922064</v>
      </c>
      <c r="BN110" s="8">
        <v>2150790</v>
      </c>
      <c r="BP110" s="8">
        <v>0</v>
      </c>
      <c r="BQ110" s="8">
        <v>0</v>
      </c>
      <c r="BS110" s="8">
        <f t="shared" si="8"/>
        <v>1228726</v>
      </c>
      <c r="BU110" s="9">
        <f>+BS110-'Gen Fd BS'!AA109+BQ110</f>
        <v>0</v>
      </c>
    </row>
    <row r="111" spans="1:73">
      <c r="A111" s="13" t="s">
        <v>632</v>
      </c>
      <c r="B111" s="13"/>
      <c r="C111" s="13" t="s">
        <v>59</v>
      </c>
      <c r="D111" s="13"/>
      <c r="E111" s="32">
        <v>49601</v>
      </c>
      <c r="G111" s="8">
        <v>2746278</v>
      </c>
      <c r="I111" s="8">
        <v>222691</v>
      </c>
      <c r="K111" s="8">
        <v>16359</v>
      </c>
      <c r="M111" s="8">
        <v>105939</v>
      </c>
      <c r="O111" s="8">
        <v>321090</v>
      </c>
      <c r="Q111" s="8">
        <v>210950</v>
      </c>
      <c r="S111" s="8">
        <v>20737</v>
      </c>
      <c r="U111" s="8">
        <v>492037</v>
      </c>
      <c r="W111" s="8">
        <v>174249</v>
      </c>
      <c r="Y111" s="8">
        <v>0</v>
      </c>
      <c r="AA111" s="8">
        <v>396560</v>
      </c>
      <c r="AC111" s="8">
        <v>238834</v>
      </c>
      <c r="AE111" s="8">
        <v>31788</v>
      </c>
      <c r="AG111" s="8">
        <v>0</v>
      </c>
      <c r="AI111" s="8">
        <v>0</v>
      </c>
      <c r="AJ111" s="13" t="s">
        <v>632</v>
      </c>
      <c r="AK111" s="13"/>
      <c r="AL111" s="13" t="s">
        <v>59</v>
      </c>
      <c r="AN111" s="8">
        <v>70526</v>
      </c>
      <c r="AP111" s="8">
        <v>0</v>
      </c>
      <c r="AT111" s="8">
        <v>0</v>
      </c>
      <c r="AV111" s="8">
        <v>0</v>
      </c>
      <c r="AX111" s="8">
        <v>0</v>
      </c>
      <c r="AZ111" s="8">
        <f t="shared" si="6"/>
        <v>5048038</v>
      </c>
      <c r="BB111" s="8">
        <v>37267</v>
      </c>
      <c r="BH111" s="8">
        <v>0</v>
      </c>
      <c r="BJ111" s="8">
        <f t="shared" si="7"/>
        <v>5085305</v>
      </c>
      <c r="BL111" s="8">
        <f>+GenRev!AM111-GenExp!BJ111</f>
        <v>-172828</v>
      </c>
      <c r="BN111" s="8">
        <v>750537</v>
      </c>
      <c r="BP111" s="8">
        <v>0</v>
      </c>
      <c r="BQ111" s="8">
        <v>0</v>
      </c>
      <c r="BS111" s="8">
        <f t="shared" si="8"/>
        <v>577709</v>
      </c>
      <c r="BU111" s="9">
        <f>+BS111-'Gen Fd BS'!AA110+BQ111</f>
        <v>0</v>
      </c>
    </row>
    <row r="112" spans="1:73">
      <c r="A112" s="13" t="s">
        <v>699</v>
      </c>
      <c r="B112" s="13"/>
      <c r="C112" s="13" t="s">
        <v>65</v>
      </c>
      <c r="D112" s="13"/>
      <c r="E112" s="32">
        <v>43778</v>
      </c>
      <c r="G112" s="8">
        <v>7604942</v>
      </c>
      <c r="I112" s="8">
        <v>1755790</v>
      </c>
      <c r="K112" s="8">
        <v>247503</v>
      </c>
      <c r="M112" s="8">
        <v>0</v>
      </c>
      <c r="O112" s="8">
        <v>752345</v>
      </c>
      <c r="Q112" s="8">
        <v>893886</v>
      </c>
      <c r="S112" s="8">
        <v>23717</v>
      </c>
      <c r="U112" s="8">
        <v>1343672</v>
      </c>
      <c r="W112" s="8">
        <v>342370</v>
      </c>
      <c r="Y112" s="8">
        <v>35426</v>
      </c>
      <c r="AA112" s="8">
        <v>1781634</v>
      </c>
      <c r="AC112" s="8">
        <v>706077</v>
      </c>
      <c r="AE112" s="8">
        <v>392185</v>
      </c>
      <c r="AG112" s="8">
        <v>0</v>
      </c>
      <c r="AI112" s="8">
        <v>0</v>
      </c>
      <c r="AJ112" s="13" t="s">
        <v>699</v>
      </c>
      <c r="AK112" s="13"/>
      <c r="AL112" s="13" t="s">
        <v>65</v>
      </c>
      <c r="AN112" s="8">
        <v>324223</v>
      </c>
      <c r="AP112" s="8">
        <v>71414</v>
      </c>
      <c r="AT112" s="8">
        <v>34821</v>
      </c>
      <c r="AV112" s="8">
        <v>11913</v>
      </c>
      <c r="AX112" s="8">
        <v>0</v>
      </c>
      <c r="AZ112" s="8">
        <f t="shared" si="6"/>
        <v>16321918</v>
      </c>
      <c r="BB112" s="8">
        <v>59075</v>
      </c>
      <c r="BH112" s="8">
        <v>0</v>
      </c>
      <c r="BJ112" s="8">
        <f t="shared" si="7"/>
        <v>16380993</v>
      </c>
      <c r="BL112" s="8">
        <f>+GenRev!AM112-GenExp!BJ112</f>
        <v>-521027</v>
      </c>
      <c r="BN112" s="8">
        <v>2462165</v>
      </c>
      <c r="BP112" s="8">
        <v>0</v>
      </c>
      <c r="BQ112" s="8">
        <v>0</v>
      </c>
      <c r="BS112" s="8">
        <f t="shared" si="8"/>
        <v>1941138</v>
      </c>
      <c r="BU112" s="9">
        <f>+BS112-'Gen Fd BS'!AA111+BQ112</f>
        <v>0</v>
      </c>
    </row>
    <row r="113" spans="1:73">
      <c r="A113" s="13" t="s">
        <v>614</v>
      </c>
      <c r="B113" s="13"/>
      <c r="C113" s="13" t="s">
        <v>113</v>
      </c>
      <c r="D113" s="13"/>
      <c r="E113" s="13">
        <v>49411</v>
      </c>
      <c r="G113" s="8">
        <v>5877770</v>
      </c>
      <c r="I113" s="8">
        <v>1147711</v>
      </c>
      <c r="K113" s="8">
        <v>157241</v>
      </c>
      <c r="M113" s="8">
        <v>659963</v>
      </c>
      <c r="O113" s="8">
        <v>427570</v>
      </c>
      <c r="Q113" s="8">
        <v>502657</v>
      </c>
      <c r="S113" s="8">
        <v>76395</v>
      </c>
      <c r="U113" s="8">
        <v>834395</v>
      </c>
      <c r="W113" s="8">
        <v>290829</v>
      </c>
      <c r="Y113" s="8">
        <v>0</v>
      </c>
      <c r="AA113" s="8">
        <v>1419310</v>
      </c>
      <c r="AC113" s="8">
        <v>1159632</v>
      </c>
      <c r="AE113" s="8">
        <v>44142</v>
      </c>
      <c r="AG113" s="8">
        <v>0</v>
      </c>
      <c r="AI113" s="8">
        <v>26885</v>
      </c>
      <c r="AJ113" s="13" t="s">
        <v>614</v>
      </c>
      <c r="AK113" s="13"/>
      <c r="AL113" s="13" t="s">
        <v>113</v>
      </c>
      <c r="AN113" s="8">
        <v>318252</v>
      </c>
      <c r="AP113" s="8">
        <v>0</v>
      </c>
      <c r="AT113" s="8">
        <v>0</v>
      </c>
      <c r="AV113" s="8">
        <v>0</v>
      </c>
      <c r="AX113" s="8">
        <v>0</v>
      </c>
      <c r="AZ113" s="8">
        <f t="shared" ref="AZ113:AZ148" si="9">SUM(G113:AX113)</f>
        <v>12942752</v>
      </c>
      <c r="BB113" s="8">
        <v>25000</v>
      </c>
      <c r="BH113" s="8">
        <v>0</v>
      </c>
      <c r="BJ113" s="8">
        <f t="shared" si="7"/>
        <v>12967752</v>
      </c>
      <c r="BL113" s="8">
        <f>+GenRev!AM113-GenExp!BJ113</f>
        <v>891240</v>
      </c>
      <c r="BN113" s="8">
        <v>3816953</v>
      </c>
      <c r="BP113" s="8">
        <v>-6812</v>
      </c>
      <c r="BQ113" s="8">
        <v>0</v>
      </c>
      <c r="BS113" s="8">
        <f t="shared" si="8"/>
        <v>4715005</v>
      </c>
      <c r="BU113" s="9">
        <f>+BS113-'Gen Fd BS'!AA112+BQ113</f>
        <v>0</v>
      </c>
    </row>
    <row r="114" spans="1:73">
      <c r="A114" s="13" t="s">
        <v>491</v>
      </c>
      <c r="B114" s="13"/>
      <c r="C114" s="13" t="s">
        <v>44</v>
      </c>
      <c r="D114" s="13"/>
      <c r="E114" s="32">
        <v>48132</v>
      </c>
      <c r="G114" s="8">
        <v>6565083</v>
      </c>
      <c r="I114" s="8">
        <v>625925</v>
      </c>
      <c r="K114" s="8">
        <v>147107</v>
      </c>
      <c r="M114" s="8">
        <v>0</v>
      </c>
      <c r="O114" s="8">
        <v>566947</v>
      </c>
      <c r="Q114" s="8">
        <v>446421</v>
      </c>
      <c r="S114" s="8">
        <v>50014</v>
      </c>
      <c r="U114" s="8">
        <v>978848</v>
      </c>
      <c r="W114" s="8">
        <v>333546</v>
      </c>
      <c r="Y114" s="8">
        <v>240025</v>
      </c>
      <c r="AA114" s="8">
        <v>1447004</v>
      </c>
      <c r="AC114" s="8">
        <v>317642</v>
      </c>
      <c r="AE114" s="8">
        <v>62454</v>
      </c>
      <c r="AG114" s="8">
        <v>-2032</v>
      </c>
      <c r="AI114" s="8">
        <v>2496</v>
      </c>
      <c r="AJ114" s="13" t="s">
        <v>491</v>
      </c>
      <c r="AK114" s="13"/>
      <c r="AL114" s="13" t="s">
        <v>44</v>
      </c>
      <c r="AN114" s="8">
        <v>266323</v>
      </c>
      <c r="AP114" s="8">
        <v>0</v>
      </c>
      <c r="AT114" s="8">
        <v>75474</v>
      </c>
      <c r="AV114" s="8">
        <v>12862</v>
      </c>
      <c r="AX114" s="8">
        <v>0</v>
      </c>
      <c r="AZ114" s="8">
        <f t="shared" si="9"/>
        <v>12136139</v>
      </c>
      <c r="BB114" s="8">
        <v>345557</v>
      </c>
      <c r="BH114" s="8">
        <v>0</v>
      </c>
      <c r="BJ114" s="8">
        <f t="shared" si="7"/>
        <v>12481696</v>
      </c>
      <c r="BL114" s="8">
        <f>+GenRev!AM114-GenExp!BJ114</f>
        <v>389580</v>
      </c>
      <c r="BN114" s="8">
        <v>-1366836</v>
      </c>
      <c r="BP114" s="8">
        <v>0</v>
      </c>
      <c r="BQ114" s="8">
        <v>0</v>
      </c>
      <c r="BS114" s="8">
        <f t="shared" si="8"/>
        <v>-977256</v>
      </c>
      <c r="BU114" s="9">
        <f>+BS114-'Gen Fd BS'!AA113+BQ114</f>
        <v>0</v>
      </c>
    </row>
    <row r="115" spans="1:73">
      <c r="A115" s="13" t="s">
        <v>970</v>
      </c>
      <c r="B115" s="13"/>
      <c r="C115" s="13" t="s">
        <v>116</v>
      </c>
      <c r="D115" s="13"/>
      <c r="E115" s="32">
        <v>43752</v>
      </c>
      <c r="G115" s="8">
        <v>7239359</v>
      </c>
      <c r="I115" s="8">
        <v>1501302</v>
      </c>
      <c r="K115" s="8">
        <v>0</v>
      </c>
      <c r="M115" s="8">
        <v>243396</v>
      </c>
      <c r="O115" s="8">
        <v>662141</v>
      </c>
      <c r="Q115" s="8">
        <v>707901</v>
      </c>
      <c r="S115" s="8">
        <v>81160</v>
      </c>
      <c r="U115" s="8">
        <v>1393108</v>
      </c>
      <c r="W115" s="8">
        <v>506159</v>
      </c>
      <c r="Y115" s="8">
        <v>53589</v>
      </c>
      <c r="AA115" s="8">
        <v>1531343</v>
      </c>
      <c r="AC115" s="8">
        <v>1541669</v>
      </c>
      <c r="AE115" s="8">
        <v>111640</v>
      </c>
      <c r="AG115" s="8">
        <v>0</v>
      </c>
      <c r="AI115" s="8">
        <v>0</v>
      </c>
      <c r="AJ115" s="13" t="s">
        <v>970</v>
      </c>
      <c r="AK115" s="13"/>
      <c r="AL115" s="13" t="s">
        <v>116</v>
      </c>
      <c r="AN115" s="8">
        <v>7623</v>
      </c>
      <c r="AP115" s="8">
        <v>0</v>
      </c>
      <c r="AT115" s="8">
        <v>0</v>
      </c>
      <c r="AV115" s="8">
        <v>0</v>
      </c>
      <c r="AX115" s="8">
        <v>0</v>
      </c>
      <c r="AZ115" s="8">
        <f>SUM(G115:AX115)</f>
        <v>15580390</v>
      </c>
      <c r="BB115" s="8">
        <v>974611</v>
      </c>
      <c r="BH115" s="8">
        <v>0</v>
      </c>
      <c r="BJ115" s="8">
        <f>+AZ115+BB115+BD115+BH115</f>
        <v>16555001</v>
      </c>
      <c r="BL115" s="8">
        <f>+GenRev!AM115-GenExp!BJ115</f>
        <v>-659849</v>
      </c>
      <c r="BN115" s="8">
        <v>1642658</v>
      </c>
      <c r="BP115" s="8">
        <v>0</v>
      </c>
      <c r="BQ115" s="8">
        <v>0</v>
      </c>
      <c r="BS115" s="8">
        <f>+BN115+BL115-BP115</f>
        <v>982809</v>
      </c>
      <c r="BU115" s="9">
        <f>+BS115-'Gen Fd BS'!AA114+BQ115</f>
        <v>0</v>
      </c>
    </row>
    <row r="116" spans="1:73">
      <c r="A116" s="13" t="s">
        <v>307</v>
      </c>
      <c r="B116" s="13"/>
      <c r="C116" s="13" t="s">
        <v>20</v>
      </c>
      <c r="D116" s="13"/>
      <c r="E116" s="32">
        <v>43794</v>
      </c>
      <c r="G116" s="8">
        <v>33052402</v>
      </c>
      <c r="I116" s="8">
        <v>8425055</v>
      </c>
      <c r="K116" s="8">
        <v>1573265</v>
      </c>
      <c r="M116" s="8">
        <f>34704+3152431</f>
        <v>3187135</v>
      </c>
      <c r="O116" s="8">
        <v>7755086</v>
      </c>
      <c r="Q116" s="8">
        <v>4584739</v>
      </c>
      <c r="S116" s="8">
        <v>545385</v>
      </c>
      <c r="U116" s="8">
        <v>6577038</v>
      </c>
      <c r="W116" s="8">
        <v>2076801</v>
      </c>
      <c r="Y116" s="8">
        <v>2249394</v>
      </c>
      <c r="AA116" s="8">
        <v>9836849</v>
      </c>
      <c r="AC116" s="8">
        <v>4025061</v>
      </c>
      <c r="AE116" s="8">
        <v>2684954</v>
      </c>
      <c r="AG116" s="8">
        <v>0</v>
      </c>
      <c r="AI116" s="8">
        <f>8494+105715</f>
        <v>114209</v>
      </c>
      <c r="AJ116" s="13" t="s">
        <v>307</v>
      </c>
      <c r="AK116" s="13"/>
      <c r="AL116" s="13" t="s">
        <v>20</v>
      </c>
      <c r="AN116" s="8">
        <v>1128355</v>
      </c>
      <c r="AP116" s="8">
        <v>0</v>
      </c>
      <c r="AT116" s="8">
        <v>180945</v>
      </c>
      <c r="AV116" s="8">
        <v>26169</v>
      </c>
      <c r="AX116" s="8">
        <v>0</v>
      </c>
      <c r="AZ116" s="8">
        <f t="shared" si="9"/>
        <v>88022842</v>
      </c>
      <c r="BB116" s="8">
        <v>697230</v>
      </c>
      <c r="BH116" s="8">
        <v>0</v>
      </c>
      <c r="BJ116" s="8">
        <f t="shared" si="7"/>
        <v>88720072</v>
      </c>
      <c r="BL116" s="8">
        <f>+GenRev!AM116-GenExp!BJ116</f>
        <v>8857974</v>
      </c>
      <c r="BN116" s="8">
        <v>56072590</v>
      </c>
      <c r="BP116" s="8">
        <v>0</v>
      </c>
      <c r="BQ116" s="8">
        <v>0</v>
      </c>
      <c r="BS116" s="8">
        <f t="shared" si="8"/>
        <v>64930564</v>
      </c>
      <c r="BU116" s="9">
        <f>+BS116-'Gen Fd BS'!AA115+BQ116</f>
        <v>0</v>
      </c>
    </row>
    <row r="117" spans="1:73">
      <c r="A117" s="13" t="s">
        <v>308</v>
      </c>
      <c r="B117" s="13"/>
      <c r="C117" s="13" t="s">
        <v>20</v>
      </c>
      <c r="D117" s="13"/>
      <c r="E117" s="32">
        <v>43786</v>
      </c>
      <c r="G117" s="8">
        <v>283244767</v>
      </c>
      <c r="I117" s="8">
        <v>103428471</v>
      </c>
      <c r="K117" s="8">
        <v>11905293</v>
      </c>
      <c r="M117" s="8">
        <f>385595+286068</f>
        <v>671663</v>
      </c>
      <c r="O117" s="8">
        <v>25304996</v>
      </c>
      <c r="Q117" s="8">
        <v>20996390</v>
      </c>
      <c r="S117" s="8">
        <v>246428</v>
      </c>
      <c r="U117" s="8">
        <v>42389209</v>
      </c>
      <c r="W117" s="8">
        <v>10027082</v>
      </c>
      <c r="Y117" s="8">
        <v>1877131</v>
      </c>
      <c r="AA117" s="8">
        <v>45480521</v>
      </c>
      <c r="AC117" s="8">
        <v>25281330</v>
      </c>
      <c r="AE117" s="8">
        <v>14752737</v>
      </c>
      <c r="AG117" s="8">
        <v>0</v>
      </c>
      <c r="AI117" s="8">
        <v>3356411</v>
      </c>
      <c r="AJ117" s="13" t="s">
        <v>308</v>
      </c>
      <c r="AK117" s="13"/>
      <c r="AL117" s="13" t="s">
        <v>20</v>
      </c>
      <c r="AN117" s="8">
        <v>5933847</v>
      </c>
      <c r="AP117" s="8">
        <v>85939</v>
      </c>
      <c r="AT117" s="8">
        <v>1790132</v>
      </c>
      <c r="AV117" s="8">
        <v>676208</v>
      </c>
      <c r="AX117" s="8">
        <v>0</v>
      </c>
      <c r="AZ117" s="8">
        <f t="shared" si="9"/>
        <v>597448555</v>
      </c>
      <c r="BB117" s="8">
        <v>6455394</v>
      </c>
      <c r="BH117" s="8">
        <v>0</v>
      </c>
      <c r="BJ117" s="8">
        <f t="shared" si="7"/>
        <v>603903949</v>
      </c>
      <c r="BL117" s="8">
        <f>+GenRev!AM117-GenExp!BJ117</f>
        <v>369295</v>
      </c>
      <c r="BN117" s="8">
        <v>56486170</v>
      </c>
      <c r="BP117" s="8">
        <v>0</v>
      </c>
      <c r="BQ117" s="8">
        <v>0</v>
      </c>
      <c r="BS117" s="8">
        <f t="shared" si="8"/>
        <v>56855465</v>
      </c>
      <c r="BU117" s="9">
        <f>+BS117-'Gen Fd BS'!AA116+BQ117</f>
        <v>0</v>
      </c>
    </row>
    <row r="118" spans="1:73">
      <c r="A118" s="13" t="s">
        <v>279</v>
      </c>
      <c r="B118" s="13"/>
      <c r="C118" s="13" t="s">
        <v>18</v>
      </c>
      <c r="D118" s="13"/>
      <c r="E118" s="32">
        <v>46391</v>
      </c>
      <c r="F118" s="11"/>
      <c r="G118" s="8">
        <v>6219597</v>
      </c>
      <c r="I118" s="8">
        <v>948288</v>
      </c>
      <c r="K118" s="8">
        <v>887164</v>
      </c>
      <c r="M118" s="8">
        <v>0</v>
      </c>
      <c r="O118" s="8">
        <v>887612</v>
      </c>
      <c r="Q118" s="8">
        <v>960555</v>
      </c>
      <c r="S118" s="8">
        <v>17092</v>
      </c>
      <c r="U118" s="8">
        <v>1049469</v>
      </c>
      <c r="W118" s="8">
        <v>414236</v>
      </c>
      <c r="Y118" s="8">
        <v>35186</v>
      </c>
      <c r="AA118" s="8">
        <v>1374369</v>
      </c>
      <c r="AC118" s="8">
        <v>1085773</v>
      </c>
      <c r="AE118" s="8">
        <v>1764</v>
      </c>
      <c r="AG118" s="8">
        <v>0</v>
      </c>
      <c r="AI118" s="8">
        <v>8000</v>
      </c>
      <c r="AJ118" s="13" t="s">
        <v>279</v>
      </c>
      <c r="AK118" s="13"/>
      <c r="AL118" s="13" t="s">
        <v>18</v>
      </c>
      <c r="AN118" s="8">
        <v>393968</v>
      </c>
      <c r="AP118" s="8">
        <v>15424</v>
      </c>
      <c r="AT118" s="8">
        <v>32301</v>
      </c>
      <c r="AV118" s="8">
        <v>304</v>
      </c>
      <c r="AX118" s="8">
        <v>0</v>
      </c>
      <c r="AZ118" s="8">
        <f t="shared" si="9"/>
        <v>14331102</v>
      </c>
      <c r="BB118" s="8">
        <v>2366</v>
      </c>
      <c r="BH118" s="8">
        <v>0</v>
      </c>
      <c r="BJ118" s="8">
        <f t="shared" si="7"/>
        <v>14333468</v>
      </c>
      <c r="BL118" s="8">
        <f>+GenRev!AM118-GenExp!BJ118</f>
        <v>138595</v>
      </c>
      <c r="BN118" s="8">
        <v>2622816</v>
      </c>
      <c r="BP118" s="8">
        <v>0</v>
      </c>
      <c r="BQ118" s="8">
        <v>0</v>
      </c>
      <c r="BS118" s="8">
        <f t="shared" si="8"/>
        <v>2761411</v>
      </c>
      <c r="BU118" s="9">
        <f>+BS118-'Gen Fd BS'!AA117+BQ118</f>
        <v>0</v>
      </c>
    </row>
    <row r="119" spans="1:73">
      <c r="A119" s="13" t="s">
        <v>533</v>
      </c>
      <c r="B119" s="13"/>
      <c r="C119" s="13" t="s">
        <v>47</v>
      </c>
      <c r="D119" s="13"/>
      <c r="E119" s="13">
        <v>48488</v>
      </c>
      <c r="G119" s="8">
        <v>15966013</v>
      </c>
      <c r="I119" s="8">
        <v>0</v>
      </c>
      <c r="K119" s="8">
        <v>0</v>
      </c>
      <c r="M119" s="8">
        <v>0</v>
      </c>
      <c r="O119" s="8">
        <v>1229259</v>
      </c>
      <c r="Q119" s="8">
        <v>1453047</v>
      </c>
      <c r="S119" s="8">
        <v>32444</v>
      </c>
      <c r="U119" s="8">
        <v>1924352</v>
      </c>
      <c r="W119" s="8">
        <v>640603</v>
      </c>
      <c r="Y119" s="8">
        <v>426483</v>
      </c>
      <c r="AA119" s="8">
        <v>2236925</v>
      </c>
      <c r="AC119" s="8">
        <v>2236044</v>
      </c>
      <c r="AE119" s="8">
        <v>185688</v>
      </c>
      <c r="AG119" s="8">
        <v>0</v>
      </c>
      <c r="AI119" s="8">
        <v>101105</v>
      </c>
      <c r="AJ119" s="13" t="s">
        <v>533</v>
      </c>
      <c r="AK119" s="13"/>
      <c r="AL119" s="13" t="s">
        <v>47</v>
      </c>
      <c r="AN119" s="8">
        <v>556773</v>
      </c>
      <c r="AP119" s="8">
        <v>24070</v>
      </c>
      <c r="AT119" s="8">
        <v>0</v>
      </c>
      <c r="AV119" s="8">
        <v>9907</v>
      </c>
      <c r="AX119" s="8">
        <v>0</v>
      </c>
      <c r="AZ119" s="8">
        <f t="shared" si="9"/>
        <v>27022713</v>
      </c>
      <c r="BB119" s="8">
        <v>81208</v>
      </c>
      <c r="BH119" s="8">
        <v>0</v>
      </c>
      <c r="BJ119" s="8">
        <f t="shared" si="7"/>
        <v>27103921</v>
      </c>
      <c r="BL119" s="8">
        <f>+GenRev!AM119-GenExp!BJ119</f>
        <v>-1278352</v>
      </c>
      <c r="BN119" s="8">
        <v>-246546</v>
      </c>
      <c r="BP119" s="8">
        <v>0</v>
      </c>
      <c r="BQ119" s="8">
        <v>0</v>
      </c>
      <c r="BS119" s="8">
        <f t="shared" si="8"/>
        <v>-1524898</v>
      </c>
      <c r="BU119" s="9">
        <f>+BS119-'Gen Fd BS'!AA118+BQ119</f>
        <v>0</v>
      </c>
    </row>
    <row r="120" spans="1:73">
      <c r="A120" s="13" t="s">
        <v>627</v>
      </c>
      <c r="B120" s="13"/>
      <c r="C120" s="13" t="s">
        <v>79</v>
      </c>
      <c r="D120" s="13"/>
      <c r="E120" s="32">
        <v>45302</v>
      </c>
      <c r="G120" s="8">
        <v>9140246</v>
      </c>
      <c r="I120" s="8">
        <v>1630445</v>
      </c>
      <c r="K120" s="8">
        <v>56049</v>
      </c>
      <c r="M120" s="8">
        <v>609419</v>
      </c>
      <c r="O120" s="8">
        <v>1103932</v>
      </c>
      <c r="Q120" s="8">
        <v>506098</v>
      </c>
      <c r="S120" s="8">
        <v>26365</v>
      </c>
      <c r="U120" s="8">
        <v>1583676</v>
      </c>
      <c r="W120" s="8">
        <v>555412</v>
      </c>
      <c r="Y120" s="8">
        <v>7546</v>
      </c>
      <c r="AA120" s="8">
        <v>1641530</v>
      </c>
      <c r="AC120" s="8">
        <v>945733</v>
      </c>
      <c r="AE120" s="8">
        <v>26661</v>
      </c>
      <c r="AG120" s="8">
        <v>0</v>
      </c>
      <c r="AI120" s="8">
        <v>0</v>
      </c>
      <c r="AJ120" s="13" t="s">
        <v>627</v>
      </c>
      <c r="AK120" s="13"/>
      <c r="AL120" s="13" t="s">
        <v>79</v>
      </c>
      <c r="AN120" s="8">
        <v>438354</v>
      </c>
      <c r="AP120" s="8">
        <v>2530</v>
      </c>
      <c r="AT120" s="8">
        <v>59843</v>
      </c>
      <c r="AV120" s="8">
        <v>8085</v>
      </c>
      <c r="AX120" s="8">
        <v>0</v>
      </c>
      <c r="AZ120" s="8">
        <f t="shared" si="9"/>
        <v>18341924</v>
      </c>
      <c r="BB120" s="8">
        <v>0</v>
      </c>
      <c r="BH120" s="8">
        <v>0</v>
      </c>
      <c r="BJ120" s="8">
        <f t="shared" si="7"/>
        <v>18341924</v>
      </c>
      <c r="BL120" s="8">
        <f>+GenRev!AM120-GenExp!BJ120</f>
        <v>1662702</v>
      </c>
      <c r="BN120" s="8">
        <v>1072923</v>
      </c>
      <c r="BP120" s="8">
        <v>3388</v>
      </c>
      <c r="BQ120" s="8">
        <v>0</v>
      </c>
      <c r="BS120" s="8">
        <f t="shared" si="8"/>
        <v>2732237</v>
      </c>
      <c r="BU120" s="9">
        <f>+BS120-'Gen Fd BS'!AA119+BQ120</f>
        <v>0</v>
      </c>
    </row>
    <row r="121" spans="1:73">
      <c r="A121" s="13" t="s">
        <v>296</v>
      </c>
      <c r="B121" s="13"/>
      <c r="C121" s="13" t="s">
        <v>114</v>
      </c>
      <c r="D121" s="13"/>
      <c r="E121" s="32">
        <v>46516</v>
      </c>
      <c r="G121" s="8">
        <v>3845532</v>
      </c>
      <c r="I121" s="8">
        <v>743318</v>
      </c>
      <c r="K121" s="8">
        <v>0</v>
      </c>
      <c r="M121" s="8">
        <v>3926</v>
      </c>
      <c r="O121" s="8">
        <v>422992</v>
      </c>
      <c r="Q121" s="8">
        <v>211662</v>
      </c>
      <c r="S121" s="8">
        <v>32559</v>
      </c>
      <c r="U121" s="8">
        <v>646479</v>
      </c>
      <c r="W121" s="8">
        <v>306617</v>
      </c>
      <c r="Y121" s="8">
        <v>234</v>
      </c>
      <c r="AA121" s="8">
        <v>767172</v>
      </c>
      <c r="AC121" s="8">
        <v>603770</v>
      </c>
      <c r="AE121" s="8">
        <v>34957</v>
      </c>
      <c r="AG121" s="8">
        <v>0</v>
      </c>
      <c r="AI121" s="8">
        <v>35852</v>
      </c>
      <c r="AJ121" s="13" t="s">
        <v>296</v>
      </c>
      <c r="AK121" s="13"/>
      <c r="AL121" s="13" t="s">
        <v>114</v>
      </c>
      <c r="AN121" s="8">
        <v>257731</v>
      </c>
      <c r="AP121" s="8">
        <v>784</v>
      </c>
      <c r="AT121" s="8">
        <v>12430</v>
      </c>
      <c r="AV121" s="8">
        <v>3151</v>
      </c>
      <c r="AX121" s="8">
        <v>0</v>
      </c>
      <c r="AZ121" s="8">
        <f t="shared" si="9"/>
        <v>7929166</v>
      </c>
      <c r="BB121" s="8">
        <v>348506</v>
      </c>
      <c r="BH121" s="8">
        <v>0</v>
      </c>
      <c r="BJ121" s="8">
        <f t="shared" si="7"/>
        <v>8277672</v>
      </c>
      <c r="BL121" s="8">
        <f>+GenRev!AM121-GenExp!BJ121</f>
        <v>-387067</v>
      </c>
      <c r="BN121" s="8">
        <v>1653829</v>
      </c>
      <c r="BP121" s="8">
        <v>0</v>
      </c>
      <c r="BQ121" s="8">
        <v>0</v>
      </c>
      <c r="BS121" s="8">
        <f t="shared" si="8"/>
        <v>1266762</v>
      </c>
      <c r="BU121" s="9">
        <f>+BS121-'Gen Fd BS'!AA120+BQ121</f>
        <v>0</v>
      </c>
    </row>
    <row r="122" spans="1:73">
      <c r="A122" s="13" t="s">
        <v>492</v>
      </c>
      <c r="B122" s="13"/>
      <c r="C122" s="13" t="s">
        <v>44</v>
      </c>
      <c r="D122" s="13"/>
      <c r="E122" s="32">
        <v>48140</v>
      </c>
      <c r="G122" s="8">
        <v>5623399</v>
      </c>
      <c r="I122" s="8">
        <v>635825</v>
      </c>
      <c r="K122" s="8">
        <v>79039</v>
      </c>
      <c r="M122" s="8">
        <v>0</v>
      </c>
      <c r="O122" s="8">
        <v>405523</v>
      </c>
      <c r="Q122" s="8">
        <v>331051</v>
      </c>
      <c r="S122" s="8">
        <v>59047</v>
      </c>
      <c r="U122" s="8">
        <v>1056569</v>
      </c>
      <c r="W122" s="8">
        <v>394021</v>
      </c>
      <c r="Y122" s="8">
        <v>0</v>
      </c>
      <c r="AA122" s="8">
        <v>1101531</v>
      </c>
      <c r="AC122" s="8">
        <v>882673</v>
      </c>
      <c r="AE122" s="8">
        <v>108533</v>
      </c>
      <c r="AG122" s="8">
        <v>0</v>
      </c>
      <c r="AI122" s="8">
        <v>0</v>
      </c>
      <c r="AJ122" s="13" t="s">
        <v>492</v>
      </c>
      <c r="AK122" s="13"/>
      <c r="AL122" s="13" t="s">
        <v>44</v>
      </c>
      <c r="AN122" s="8">
        <v>298192</v>
      </c>
      <c r="AP122" s="8">
        <v>0</v>
      </c>
      <c r="AT122" s="8">
        <v>0</v>
      </c>
      <c r="AV122" s="8">
        <v>0</v>
      </c>
      <c r="AX122" s="8">
        <v>0</v>
      </c>
      <c r="AZ122" s="8">
        <f t="shared" si="9"/>
        <v>10975403</v>
      </c>
      <c r="BB122" s="8">
        <v>34500</v>
      </c>
      <c r="BH122" s="8">
        <v>0</v>
      </c>
      <c r="BJ122" s="8">
        <f t="shared" si="7"/>
        <v>11009903</v>
      </c>
      <c r="BL122" s="8">
        <f>+GenRev!AM122-GenExp!BJ122</f>
        <v>-1237920</v>
      </c>
      <c r="BN122" s="8">
        <v>3302718</v>
      </c>
      <c r="BP122" s="8">
        <v>0</v>
      </c>
      <c r="BQ122" s="8">
        <v>0</v>
      </c>
      <c r="BS122" s="8">
        <f t="shared" si="8"/>
        <v>2064798</v>
      </c>
      <c r="BU122" s="9">
        <f>+BS122-'Gen Fd BS'!AA121+BQ122</f>
        <v>0</v>
      </c>
    </row>
    <row r="123" spans="1:73">
      <c r="A123" s="13" t="s">
        <v>283</v>
      </c>
      <c r="B123" s="13"/>
      <c r="C123" s="13" t="s">
        <v>115</v>
      </c>
      <c r="D123" s="13"/>
      <c r="E123" s="32">
        <v>45328</v>
      </c>
      <c r="F123" s="11"/>
      <c r="G123" s="8">
        <v>4442637</v>
      </c>
      <c r="I123" s="8">
        <v>960308</v>
      </c>
      <c r="K123" s="8">
        <v>0</v>
      </c>
      <c r="M123" s="8">
        <v>0</v>
      </c>
      <c r="O123" s="8">
        <v>248168</v>
      </c>
      <c r="Q123" s="8">
        <v>144589</v>
      </c>
      <c r="S123" s="8">
        <v>18607</v>
      </c>
      <c r="U123" s="8">
        <v>663143</v>
      </c>
      <c r="W123" s="8">
        <v>326578</v>
      </c>
      <c r="Y123" s="8">
        <v>0</v>
      </c>
      <c r="AA123" s="8">
        <v>656309</v>
      </c>
      <c r="AC123" s="8">
        <v>299621</v>
      </c>
      <c r="AE123" s="8">
        <v>0</v>
      </c>
      <c r="AG123" s="8">
        <v>0</v>
      </c>
      <c r="AI123" s="8">
        <v>0</v>
      </c>
      <c r="AJ123" s="13" t="s">
        <v>283</v>
      </c>
      <c r="AK123" s="13"/>
      <c r="AL123" s="13" t="s">
        <v>115</v>
      </c>
      <c r="AN123" s="8">
        <v>162651</v>
      </c>
      <c r="AP123" s="8">
        <v>125621</v>
      </c>
      <c r="AT123" s="8">
        <v>9000</v>
      </c>
      <c r="AV123" s="8">
        <v>3119</v>
      </c>
      <c r="AX123" s="8">
        <v>0</v>
      </c>
      <c r="AZ123" s="8">
        <f t="shared" si="9"/>
        <v>8060351</v>
      </c>
      <c r="BB123" s="8">
        <v>0</v>
      </c>
      <c r="BH123" s="8">
        <v>0</v>
      </c>
      <c r="BJ123" s="8">
        <f t="shared" si="7"/>
        <v>8060351</v>
      </c>
      <c r="BL123" s="8">
        <f>+GenRev!AM123-GenExp!BJ123</f>
        <v>302720</v>
      </c>
      <c r="BN123" s="8">
        <v>1430832</v>
      </c>
      <c r="BP123" s="8">
        <v>0</v>
      </c>
      <c r="BQ123" s="8">
        <v>0</v>
      </c>
      <c r="BS123" s="8">
        <f t="shared" si="8"/>
        <v>1733552</v>
      </c>
      <c r="BU123" s="9">
        <f>+BS123-'Gen Fd BS'!AA122+BQ123</f>
        <v>0</v>
      </c>
    </row>
    <row r="124" spans="1:73">
      <c r="A124" s="13" t="s">
        <v>358</v>
      </c>
      <c r="B124" s="13"/>
      <c r="C124" s="13" t="s">
        <v>27</v>
      </c>
      <c r="D124" s="13"/>
      <c r="E124" s="32">
        <v>43802</v>
      </c>
      <c r="G124" s="8">
        <v>270614215</v>
      </c>
      <c r="I124" s="8">
        <v>59843455</v>
      </c>
      <c r="K124" s="8">
        <v>9352219</v>
      </c>
      <c r="M124" s="8">
        <v>42453</v>
      </c>
      <c r="O124" s="8">
        <v>35806856</v>
      </c>
      <c r="Q124" s="8">
        <v>27983740</v>
      </c>
      <c r="S124" s="8">
        <v>0</v>
      </c>
      <c r="U124" s="8">
        <v>43814015</v>
      </c>
      <c r="W124" s="8">
        <v>19705670</v>
      </c>
      <c r="Y124" s="8">
        <v>0</v>
      </c>
      <c r="AA124" s="8">
        <v>56887413</v>
      </c>
      <c r="AC124" s="8">
        <v>46940031</v>
      </c>
      <c r="AE124" s="8">
        <v>17034221</v>
      </c>
      <c r="AG124" s="8">
        <v>0</v>
      </c>
      <c r="AI124" s="8">
        <v>0</v>
      </c>
      <c r="AJ124" s="13" t="s">
        <v>358</v>
      </c>
      <c r="AK124" s="13"/>
      <c r="AL124" s="13" t="s">
        <v>27</v>
      </c>
      <c r="AN124" s="8">
        <v>5013679</v>
      </c>
      <c r="AP124" s="8">
        <v>0</v>
      </c>
      <c r="AT124" s="8">
        <v>96033</v>
      </c>
      <c r="AV124" s="8">
        <v>15205</v>
      </c>
      <c r="AX124" s="8">
        <v>4024</v>
      </c>
      <c r="AZ124" s="8">
        <f t="shared" si="9"/>
        <v>593153229</v>
      </c>
      <c r="BB124" s="8">
        <v>3559664</v>
      </c>
      <c r="BH124" s="8">
        <v>0</v>
      </c>
      <c r="BJ124" s="8">
        <f t="shared" si="7"/>
        <v>596712893</v>
      </c>
      <c r="BL124" s="8">
        <f>+GenRev!AM124-GenExp!BJ124</f>
        <v>-18935</v>
      </c>
      <c r="BN124" s="8">
        <v>99772226</v>
      </c>
      <c r="BP124" s="8">
        <v>0</v>
      </c>
      <c r="BQ124" s="8">
        <v>0</v>
      </c>
      <c r="BS124" s="8">
        <f t="shared" si="8"/>
        <v>99753291</v>
      </c>
      <c r="BU124" s="9">
        <f>+BS124-'Gen Fd BS'!AA123+BQ124</f>
        <v>0</v>
      </c>
    </row>
    <row r="125" spans="1:73">
      <c r="A125" s="13" t="s">
        <v>220</v>
      </c>
      <c r="B125" s="13"/>
      <c r="C125" s="13" t="s">
        <v>12</v>
      </c>
      <c r="D125" s="13"/>
      <c r="E125" s="32">
        <v>43810</v>
      </c>
      <c r="F125" s="11"/>
      <c r="G125" s="8">
        <v>8166167</v>
      </c>
      <c r="I125" s="8">
        <v>1408556</v>
      </c>
      <c r="K125" s="8">
        <v>50115</v>
      </c>
      <c r="M125" s="8">
        <v>0</v>
      </c>
      <c r="O125" s="8">
        <v>716891</v>
      </c>
      <c r="Q125" s="8">
        <v>811661</v>
      </c>
      <c r="S125" s="8">
        <v>39052</v>
      </c>
      <c r="U125" s="8">
        <v>1576666</v>
      </c>
      <c r="W125" s="8">
        <v>406292</v>
      </c>
      <c r="Y125" s="8">
        <v>0</v>
      </c>
      <c r="AA125" s="8">
        <v>2016723</v>
      </c>
      <c r="AC125" s="8">
        <v>929867</v>
      </c>
      <c r="AE125" s="8">
        <v>55382</v>
      </c>
      <c r="AG125" s="8">
        <v>0</v>
      </c>
      <c r="AI125" s="8">
        <v>0</v>
      </c>
      <c r="AJ125" s="13" t="s">
        <v>220</v>
      </c>
      <c r="AK125" s="13"/>
      <c r="AL125" s="13" t="s">
        <v>12</v>
      </c>
      <c r="AN125" s="8">
        <v>212960</v>
      </c>
      <c r="AP125" s="8">
        <v>0</v>
      </c>
      <c r="AT125" s="8">
        <v>0</v>
      </c>
      <c r="AV125" s="8">
        <v>0</v>
      </c>
      <c r="AX125" s="8">
        <v>0</v>
      </c>
      <c r="AZ125" s="8">
        <f t="shared" si="9"/>
        <v>16390332</v>
      </c>
      <c r="BB125" s="8">
        <v>13124</v>
      </c>
      <c r="BH125" s="8">
        <v>0</v>
      </c>
      <c r="BJ125" s="8">
        <f t="shared" si="7"/>
        <v>16403456</v>
      </c>
      <c r="BL125" s="8">
        <f>+GenRev!AM125-GenExp!BJ125</f>
        <v>-279099</v>
      </c>
      <c r="BN125" s="8">
        <v>2481730</v>
      </c>
      <c r="BP125" s="8">
        <v>0</v>
      </c>
      <c r="BQ125" s="8">
        <v>0</v>
      </c>
      <c r="BS125" s="8">
        <f t="shared" si="8"/>
        <v>2202631</v>
      </c>
      <c r="BU125" s="9">
        <f>+BS125-'Gen Fd BS'!AA124+BQ125</f>
        <v>0</v>
      </c>
    </row>
    <row r="126" spans="1:73">
      <c r="A126" s="13" t="s">
        <v>432</v>
      </c>
      <c r="B126" s="13"/>
      <c r="C126" s="13" t="s">
        <v>433</v>
      </c>
      <c r="D126" s="13"/>
      <c r="E126" s="32">
        <v>47548</v>
      </c>
      <c r="G126" s="8">
        <v>2421303</v>
      </c>
      <c r="I126" s="8">
        <v>326371</v>
      </c>
      <c r="K126" s="8">
        <v>67166</v>
      </c>
      <c r="M126" s="8">
        <v>42805</v>
      </c>
      <c r="O126" s="8">
        <v>238079</v>
      </c>
      <c r="Q126" s="8">
        <v>277965</v>
      </c>
      <c r="S126" s="8">
        <v>12378</v>
      </c>
      <c r="U126" s="8">
        <v>517707</v>
      </c>
      <c r="W126" s="8">
        <v>223296</v>
      </c>
      <c r="Y126" s="8">
        <v>0</v>
      </c>
      <c r="AA126" s="8">
        <v>447907</v>
      </c>
      <c r="AC126" s="8">
        <v>396994</v>
      </c>
      <c r="AE126" s="8">
        <v>3293</v>
      </c>
      <c r="AG126" s="8">
        <v>0</v>
      </c>
      <c r="AI126" s="8">
        <v>0</v>
      </c>
      <c r="AJ126" s="13" t="s">
        <v>432</v>
      </c>
      <c r="AK126" s="13"/>
      <c r="AL126" s="13" t="s">
        <v>433</v>
      </c>
      <c r="AN126" s="8">
        <v>83150</v>
      </c>
      <c r="AP126" s="8">
        <v>0</v>
      </c>
      <c r="AT126" s="8">
        <v>12625</v>
      </c>
      <c r="AV126" s="8">
        <v>4115</v>
      </c>
      <c r="AX126" s="8">
        <v>0</v>
      </c>
      <c r="AZ126" s="8">
        <f t="shared" si="9"/>
        <v>5075154</v>
      </c>
      <c r="BB126" s="8">
        <v>142000</v>
      </c>
      <c r="BH126" s="8">
        <v>0</v>
      </c>
      <c r="BJ126" s="8">
        <f t="shared" si="7"/>
        <v>5217154</v>
      </c>
      <c r="BL126" s="8">
        <f>+GenRev!AM126-GenExp!BJ126</f>
        <v>60640</v>
      </c>
      <c r="BN126" s="8">
        <v>1336044</v>
      </c>
      <c r="BP126" s="8">
        <v>0</v>
      </c>
      <c r="BQ126" s="8">
        <v>0</v>
      </c>
      <c r="BS126" s="8">
        <f t="shared" si="8"/>
        <v>1396684</v>
      </c>
      <c r="BU126" s="9">
        <f>+BS126-'Gen Fd BS'!AA125+BQ126</f>
        <v>0</v>
      </c>
    </row>
    <row r="127" spans="1:73">
      <c r="A127" s="13" t="s">
        <v>669</v>
      </c>
      <c r="B127" s="13"/>
      <c r="C127" s="13" t="s">
        <v>63</v>
      </c>
      <c r="D127" s="13"/>
      <c r="E127" s="32">
        <v>49981</v>
      </c>
      <c r="G127" s="8">
        <v>15539508</v>
      </c>
      <c r="I127" s="8">
        <v>1628413</v>
      </c>
      <c r="K127" s="8">
        <v>714752</v>
      </c>
      <c r="M127" s="8">
        <v>0</v>
      </c>
      <c r="O127" s="8">
        <v>1383509</v>
      </c>
      <c r="Q127" s="8">
        <v>1568929</v>
      </c>
      <c r="S127" s="8">
        <v>147645</v>
      </c>
      <c r="U127" s="8">
        <v>1654041</v>
      </c>
      <c r="W127" s="8">
        <v>723715</v>
      </c>
      <c r="Y127" s="8">
        <v>119925</v>
      </c>
      <c r="AA127" s="8">
        <v>3108903</v>
      </c>
      <c r="AC127" s="8">
        <v>1477479</v>
      </c>
      <c r="AE127" s="8">
        <v>190956</v>
      </c>
      <c r="AG127" s="8">
        <v>0</v>
      </c>
      <c r="AI127" s="8">
        <v>95250</v>
      </c>
      <c r="AJ127" s="13" t="s">
        <v>669</v>
      </c>
      <c r="AK127" s="13"/>
      <c r="AL127" s="13" t="s">
        <v>63</v>
      </c>
      <c r="AN127" s="8">
        <v>617424</v>
      </c>
      <c r="AP127" s="8">
        <v>406625</v>
      </c>
      <c r="AT127" s="8">
        <v>19900</v>
      </c>
      <c r="AV127" s="8">
        <v>270</v>
      </c>
      <c r="AX127" s="8">
        <v>0</v>
      </c>
      <c r="AZ127" s="8">
        <f t="shared" si="9"/>
        <v>29397244</v>
      </c>
      <c r="BB127" s="8">
        <v>30000</v>
      </c>
      <c r="BH127" s="8">
        <v>0</v>
      </c>
      <c r="BJ127" s="8">
        <f t="shared" si="7"/>
        <v>29427244</v>
      </c>
      <c r="BL127" s="8">
        <f>+GenRev!AM127-GenExp!BJ127</f>
        <v>-782054</v>
      </c>
      <c r="BN127" s="8">
        <v>8843250</v>
      </c>
      <c r="BP127" s="8">
        <v>0</v>
      </c>
      <c r="BQ127" s="8">
        <v>0</v>
      </c>
      <c r="BS127" s="8">
        <f t="shared" si="8"/>
        <v>8061196</v>
      </c>
      <c r="BU127" s="9">
        <f>+BS127-'Gen Fd BS'!AA126+BQ127</f>
        <v>0</v>
      </c>
    </row>
    <row r="128" spans="1:73">
      <c r="A128" s="13" t="s">
        <v>420</v>
      </c>
      <c r="B128" s="13"/>
      <c r="C128" s="13" t="s">
        <v>33</v>
      </c>
      <c r="D128" s="13"/>
      <c r="E128" s="32">
        <v>47431</v>
      </c>
      <c r="G128" s="8">
        <v>3066236</v>
      </c>
      <c r="I128" s="8">
        <v>474389</v>
      </c>
      <c r="K128" s="8">
        <v>225978</v>
      </c>
      <c r="M128" s="8">
        <v>0</v>
      </c>
      <c r="O128" s="8">
        <v>207758</v>
      </c>
      <c r="Q128" s="8">
        <v>379815</v>
      </c>
      <c r="S128" s="8">
        <v>48259</v>
      </c>
      <c r="U128" s="8">
        <v>687922</v>
      </c>
      <c r="W128" s="8">
        <v>218759</v>
      </c>
      <c r="Y128" s="8">
        <v>0</v>
      </c>
      <c r="AA128" s="8">
        <v>670826</v>
      </c>
      <c r="AC128" s="8">
        <v>405461</v>
      </c>
      <c r="AE128" s="8">
        <v>5120</v>
      </c>
      <c r="AG128" s="8">
        <v>0</v>
      </c>
      <c r="AI128" s="8">
        <v>0</v>
      </c>
      <c r="AJ128" s="13" t="s">
        <v>420</v>
      </c>
      <c r="AK128" s="13"/>
      <c r="AL128" s="13" t="s">
        <v>33</v>
      </c>
      <c r="AN128" s="8">
        <v>170073</v>
      </c>
      <c r="AP128" s="8">
        <v>0</v>
      </c>
      <c r="AT128" s="8">
        <v>3670</v>
      </c>
      <c r="AV128" s="8">
        <v>552</v>
      </c>
      <c r="AX128" s="8">
        <v>0</v>
      </c>
      <c r="AZ128" s="8">
        <f t="shared" si="9"/>
        <v>6564818</v>
      </c>
      <c r="BB128" s="8">
        <v>26684</v>
      </c>
      <c r="BH128" s="8">
        <v>0</v>
      </c>
      <c r="BJ128" s="8">
        <f t="shared" si="7"/>
        <v>6591502</v>
      </c>
      <c r="BL128" s="8">
        <f>+GenRev!AM128-GenExp!BJ128</f>
        <v>-181226</v>
      </c>
      <c r="BN128" s="8">
        <v>615969</v>
      </c>
      <c r="BP128" s="8">
        <v>0</v>
      </c>
      <c r="BQ128" s="8">
        <v>0</v>
      </c>
      <c r="BS128" s="8">
        <f t="shared" si="8"/>
        <v>434743</v>
      </c>
      <c r="BU128" s="9">
        <f>+BS128-'Gen Fd BS'!AA127+BQ128</f>
        <v>0</v>
      </c>
    </row>
    <row r="129" spans="1:73">
      <c r="A129" s="13" t="s">
        <v>291</v>
      </c>
      <c r="B129" s="13"/>
      <c r="C129" s="13" t="s">
        <v>19</v>
      </c>
      <c r="D129" s="13"/>
      <c r="E129" s="32">
        <v>43828</v>
      </c>
      <c r="F129" s="11"/>
      <c r="G129" s="8">
        <v>9333094</v>
      </c>
      <c r="I129" s="8">
        <v>0</v>
      </c>
      <c r="K129" s="8">
        <v>0</v>
      </c>
      <c r="M129" s="8">
        <v>0</v>
      </c>
      <c r="O129" s="8">
        <v>615796</v>
      </c>
      <c r="Q129" s="8">
        <v>408051</v>
      </c>
      <c r="S129" s="8">
        <v>28342</v>
      </c>
      <c r="U129" s="8">
        <v>1269138</v>
      </c>
      <c r="W129" s="8">
        <v>429703</v>
      </c>
      <c r="Y129" s="8">
        <v>246227</v>
      </c>
      <c r="AA129" s="8">
        <v>1518158</v>
      </c>
      <c r="AC129" s="8">
        <v>317302</v>
      </c>
      <c r="AE129" s="8">
        <v>0</v>
      </c>
      <c r="AG129" s="8">
        <v>0</v>
      </c>
      <c r="AI129" s="8">
        <v>6699</v>
      </c>
      <c r="AJ129" s="13" t="s">
        <v>291</v>
      </c>
      <c r="AK129" s="13"/>
      <c r="AL129" s="13" t="s">
        <v>19</v>
      </c>
      <c r="AN129" s="8">
        <v>206325</v>
      </c>
      <c r="AP129" s="8">
        <v>0</v>
      </c>
      <c r="AT129" s="8">
        <v>0</v>
      </c>
      <c r="AV129" s="8">
        <v>0</v>
      </c>
      <c r="AX129" s="8">
        <v>0</v>
      </c>
      <c r="AZ129" s="8">
        <f t="shared" si="9"/>
        <v>14378835</v>
      </c>
      <c r="BB129" s="8">
        <v>0</v>
      </c>
      <c r="BH129" s="8">
        <v>0</v>
      </c>
      <c r="BJ129" s="8">
        <f t="shared" si="7"/>
        <v>14378835</v>
      </c>
      <c r="BL129" s="8">
        <f>+GenRev!AM129-GenExp!BJ129</f>
        <v>-146354</v>
      </c>
      <c r="BN129" s="8">
        <v>-1106679</v>
      </c>
      <c r="BP129" s="8">
        <v>0</v>
      </c>
      <c r="BQ129" s="8">
        <v>0</v>
      </c>
      <c r="BS129" s="8">
        <f t="shared" si="8"/>
        <v>-1253033</v>
      </c>
      <c r="BU129" s="9">
        <f>+BS129-'Gen Fd BS'!AA128+BQ129</f>
        <v>0</v>
      </c>
    </row>
    <row r="130" spans="1:73">
      <c r="A130" s="13" t="s">
        <v>832</v>
      </c>
      <c r="B130" s="13"/>
      <c r="C130" s="13" t="s">
        <v>63</v>
      </c>
      <c r="D130" s="13"/>
      <c r="E130" s="32"/>
      <c r="F130" s="11"/>
      <c r="G130" s="8">
        <v>8453660</v>
      </c>
      <c r="I130" s="8">
        <v>1775399</v>
      </c>
      <c r="K130" s="8">
        <v>235975</v>
      </c>
      <c r="M130" s="8">
        <v>557762</v>
      </c>
      <c r="O130" s="8">
        <v>796588</v>
      </c>
      <c r="Q130" s="8">
        <v>848523</v>
      </c>
      <c r="S130" s="8">
        <v>48346</v>
      </c>
      <c r="U130" s="8">
        <v>1918893</v>
      </c>
      <c r="W130" s="8">
        <v>565947</v>
      </c>
      <c r="Y130" s="8">
        <v>34546</v>
      </c>
      <c r="AA130" s="8">
        <v>2355455</v>
      </c>
      <c r="AC130" s="8">
        <v>1037159</v>
      </c>
      <c r="AE130" s="8">
        <v>159964</v>
      </c>
      <c r="AG130" s="8">
        <v>9097</v>
      </c>
      <c r="AI130" s="8">
        <v>72170</v>
      </c>
      <c r="AJ130" s="13" t="s">
        <v>832</v>
      </c>
      <c r="AK130" s="13"/>
      <c r="AL130" s="13" t="s">
        <v>63</v>
      </c>
      <c r="AN130" s="8">
        <v>401016</v>
      </c>
      <c r="AP130" s="8">
        <v>6067</v>
      </c>
      <c r="AT130" s="8">
        <v>145220</v>
      </c>
      <c r="AV130" s="8">
        <v>75203</v>
      </c>
      <c r="AX130" s="8">
        <v>0</v>
      </c>
      <c r="AZ130" s="8">
        <f t="shared" si="9"/>
        <v>19496990</v>
      </c>
      <c r="BB130" s="8">
        <v>40983</v>
      </c>
      <c r="BH130" s="8">
        <v>0</v>
      </c>
      <c r="BJ130" s="8">
        <f t="shared" si="7"/>
        <v>19537973</v>
      </c>
      <c r="BL130" s="8">
        <f>+GenRev!AM130-GenExp!BJ130</f>
        <v>-937953</v>
      </c>
      <c r="BN130" s="8">
        <v>214033</v>
      </c>
      <c r="BP130" s="8">
        <v>0</v>
      </c>
      <c r="BQ130" s="8">
        <v>0</v>
      </c>
      <c r="BS130" s="8">
        <f t="shared" si="8"/>
        <v>-723920</v>
      </c>
      <c r="BU130" s="9">
        <f>+BS130-'Gen Fd BS'!AA129+BQ130</f>
        <v>0</v>
      </c>
    </row>
    <row r="131" spans="1:73">
      <c r="A131" s="13" t="s">
        <v>544</v>
      </c>
      <c r="B131" s="13"/>
      <c r="C131" s="13" t="s">
        <v>48</v>
      </c>
      <c r="D131" s="13"/>
      <c r="E131" s="32">
        <v>45336</v>
      </c>
      <c r="G131" s="8">
        <v>3362242</v>
      </c>
      <c r="I131" s="8">
        <v>554746</v>
      </c>
      <c r="K131" s="8">
        <v>0</v>
      </c>
      <c r="M131" s="8">
        <v>5013</v>
      </c>
      <c r="O131" s="8">
        <v>228501</v>
      </c>
      <c r="Q131" s="8">
        <v>243125</v>
      </c>
      <c r="S131" s="8">
        <v>14705</v>
      </c>
      <c r="U131" s="8">
        <v>703524</v>
      </c>
      <c r="W131" s="8">
        <v>213584</v>
      </c>
      <c r="Y131" s="8">
        <v>0</v>
      </c>
      <c r="AA131" s="8">
        <v>540811</v>
      </c>
      <c r="AC131" s="8">
        <v>233869</v>
      </c>
      <c r="AE131" s="8">
        <v>115765</v>
      </c>
      <c r="AG131" s="8">
        <v>0</v>
      </c>
      <c r="AI131" s="8">
        <v>31087</v>
      </c>
      <c r="AJ131" s="13" t="s">
        <v>544</v>
      </c>
      <c r="AK131" s="13"/>
      <c r="AL131" s="13" t="s">
        <v>48</v>
      </c>
      <c r="AN131" s="8">
        <v>219002</v>
      </c>
      <c r="AP131" s="8">
        <v>0</v>
      </c>
      <c r="AT131" s="8">
        <v>86651</v>
      </c>
      <c r="AV131" s="8">
        <v>13740</v>
      </c>
      <c r="AX131" s="8">
        <v>0</v>
      </c>
      <c r="AZ131" s="8">
        <f t="shared" si="9"/>
        <v>6566365</v>
      </c>
      <c r="BB131" s="8">
        <v>0</v>
      </c>
      <c r="BH131" s="8">
        <v>0</v>
      </c>
      <c r="BJ131" s="8">
        <f t="shared" si="7"/>
        <v>6566365</v>
      </c>
      <c r="BL131" s="8">
        <f>+GenRev!AM131-GenExp!BJ131</f>
        <v>674009</v>
      </c>
      <c r="BN131" s="8">
        <v>671960</v>
      </c>
      <c r="BP131" s="8">
        <v>0</v>
      </c>
      <c r="BQ131" s="8">
        <v>0</v>
      </c>
      <c r="BS131" s="8">
        <f t="shared" si="8"/>
        <v>1345969</v>
      </c>
      <c r="BU131" s="9">
        <f>+BS131-'Gen Fd BS'!AA130+BQ131</f>
        <v>0</v>
      </c>
    </row>
    <row r="132" spans="1:73">
      <c r="A132" s="13" t="s">
        <v>297</v>
      </c>
      <c r="B132" s="13"/>
      <c r="C132" s="13" t="s">
        <v>114</v>
      </c>
      <c r="D132" s="13"/>
      <c r="E132" s="32">
        <v>45344</v>
      </c>
      <c r="G132" s="8">
        <v>2968788</v>
      </c>
      <c r="I132" s="8">
        <v>580137</v>
      </c>
      <c r="K132" s="8">
        <v>0</v>
      </c>
      <c r="M132" s="8">
        <v>372503</v>
      </c>
      <c r="O132" s="8">
        <v>302804</v>
      </c>
      <c r="Q132" s="8">
        <v>289574</v>
      </c>
      <c r="S132" s="8">
        <v>26002</v>
      </c>
      <c r="U132" s="8">
        <v>624350</v>
      </c>
      <c r="W132" s="8">
        <v>266871</v>
      </c>
      <c r="Y132" s="8">
        <v>0</v>
      </c>
      <c r="AA132" s="8">
        <v>649089</v>
      </c>
      <c r="AC132" s="8">
        <v>273796</v>
      </c>
      <c r="AE132" s="8">
        <v>10584</v>
      </c>
      <c r="AG132" s="8">
        <v>0</v>
      </c>
      <c r="AI132" s="8">
        <v>0</v>
      </c>
      <c r="AJ132" s="13" t="s">
        <v>297</v>
      </c>
      <c r="AK132" s="13"/>
      <c r="AL132" s="13" t="s">
        <v>114</v>
      </c>
      <c r="AN132" s="8">
        <v>237779</v>
      </c>
      <c r="AP132" s="8">
        <v>877</v>
      </c>
      <c r="AT132" s="8">
        <v>0</v>
      </c>
      <c r="AV132" s="8">
        <v>0</v>
      </c>
      <c r="AX132" s="8">
        <v>0</v>
      </c>
      <c r="AZ132" s="8">
        <f t="shared" si="9"/>
        <v>6603154</v>
      </c>
      <c r="BB132" s="8">
        <v>5670</v>
      </c>
      <c r="BH132" s="8">
        <v>0</v>
      </c>
      <c r="BJ132" s="8">
        <f t="shared" si="7"/>
        <v>6608824</v>
      </c>
      <c r="BL132" s="8">
        <f>+GenRev!AM132-GenExp!BJ132</f>
        <v>267978</v>
      </c>
      <c r="BN132" s="8">
        <v>1972845</v>
      </c>
      <c r="BP132" s="8">
        <v>0</v>
      </c>
      <c r="BQ132" s="8">
        <v>0</v>
      </c>
      <c r="BS132" s="8">
        <f t="shared" si="8"/>
        <v>2240823</v>
      </c>
      <c r="BU132" s="9">
        <f>+BS132-'Gen Fd BS'!AA131+BQ132</f>
        <v>0</v>
      </c>
    </row>
    <row r="133" spans="1:73">
      <c r="A133" s="13" t="s">
        <v>284</v>
      </c>
      <c r="B133" s="13"/>
      <c r="C133" s="13" t="s">
        <v>115</v>
      </c>
      <c r="D133" s="13"/>
      <c r="E133" s="32">
        <v>46433</v>
      </c>
      <c r="F133" s="11"/>
      <c r="G133" s="8">
        <v>4959636</v>
      </c>
      <c r="I133" s="8">
        <v>657540</v>
      </c>
      <c r="K133" s="8">
        <v>134198</v>
      </c>
      <c r="M133" s="8">
        <v>22960</v>
      </c>
      <c r="O133" s="8">
        <v>378605</v>
      </c>
      <c r="Q133" s="8">
        <v>347185</v>
      </c>
      <c r="S133" s="8">
        <v>22204</v>
      </c>
      <c r="U133" s="8">
        <v>704262</v>
      </c>
      <c r="W133" s="8">
        <v>308677</v>
      </c>
      <c r="Y133" s="8">
        <v>0</v>
      </c>
      <c r="AA133" s="8">
        <v>1010797</v>
      </c>
      <c r="AC133" s="8">
        <v>518703</v>
      </c>
      <c r="AE133" s="8">
        <v>18568</v>
      </c>
      <c r="AG133" s="8">
        <v>0</v>
      </c>
      <c r="AI133" s="8">
        <v>0</v>
      </c>
      <c r="AJ133" s="13" t="s">
        <v>284</v>
      </c>
      <c r="AK133" s="13"/>
      <c r="AL133" s="13" t="s">
        <v>115</v>
      </c>
      <c r="AN133" s="8">
        <v>204152</v>
      </c>
      <c r="AP133" s="8">
        <v>106876</v>
      </c>
      <c r="AT133" s="8">
        <v>0</v>
      </c>
      <c r="AV133" s="8">
        <v>0</v>
      </c>
      <c r="AX133" s="8">
        <v>0</v>
      </c>
      <c r="AZ133" s="8">
        <f t="shared" si="9"/>
        <v>9394363</v>
      </c>
      <c r="BB133" s="8">
        <v>0</v>
      </c>
      <c r="BH133" s="8">
        <v>0</v>
      </c>
      <c r="BJ133" s="8">
        <f t="shared" si="7"/>
        <v>9394363</v>
      </c>
      <c r="BL133" s="8">
        <f>+GenRev!AM133-GenExp!BJ133</f>
        <v>310014</v>
      </c>
      <c r="BN133" s="8">
        <v>161696</v>
      </c>
      <c r="BP133" s="8">
        <v>0</v>
      </c>
      <c r="BQ133" s="8">
        <v>0</v>
      </c>
      <c r="BS133" s="8">
        <f t="shared" si="8"/>
        <v>471710</v>
      </c>
      <c r="BU133" s="9">
        <f>+BS133-'Gen Fd BS'!AA132+BQ133</f>
        <v>0</v>
      </c>
    </row>
    <row r="134" spans="1:73">
      <c r="A134" s="13" t="s">
        <v>284</v>
      </c>
      <c r="B134" s="13"/>
      <c r="C134" s="13" t="s">
        <v>113</v>
      </c>
      <c r="D134" s="13"/>
      <c r="E134" s="32">
        <v>49429</v>
      </c>
      <c r="G134" s="8">
        <v>4440908</v>
      </c>
      <c r="I134" s="8">
        <v>721467</v>
      </c>
      <c r="K134" s="8">
        <v>218697</v>
      </c>
      <c r="M134" s="8">
        <v>38877</v>
      </c>
      <c r="O134" s="8">
        <v>269258</v>
      </c>
      <c r="Q134" s="8">
        <v>270985</v>
      </c>
      <c r="S134" s="8">
        <v>82442</v>
      </c>
      <c r="U134" s="8">
        <v>718866</v>
      </c>
      <c r="W134" s="8">
        <v>226753</v>
      </c>
      <c r="Y134" s="8">
        <v>0</v>
      </c>
      <c r="AA134" s="8">
        <v>1026369</v>
      </c>
      <c r="AC134" s="8">
        <v>743286</v>
      </c>
      <c r="AE134" s="8">
        <v>61018</v>
      </c>
      <c r="AG134" s="8">
        <v>0</v>
      </c>
      <c r="AI134" s="8">
        <v>8201</v>
      </c>
      <c r="AJ134" s="13" t="s">
        <v>284</v>
      </c>
      <c r="AK134" s="13"/>
      <c r="AL134" s="13" t="s">
        <v>113</v>
      </c>
      <c r="AN134" s="8">
        <v>252593</v>
      </c>
      <c r="AP134" s="8">
        <v>19485</v>
      </c>
      <c r="AT134" s="8">
        <v>4531</v>
      </c>
      <c r="AV134" s="8">
        <v>91</v>
      </c>
      <c r="AX134" s="8">
        <v>0</v>
      </c>
      <c r="AZ134" s="8">
        <f t="shared" si="9"/>
        <v>9103827</v>
      </c>
      <c r="BB134" s="8">
        <v>0</v>
      </c>
      <c r="BH134" s="8">
        <v>0</v>
      </c>
      <c r="BJ134" s="8">
        <f t="shared" si="7"/>
        <v>9103827</v>
      </c>
      <c r="BL134" s="8">
        <f>+GenRev!AM134-GenExp!BJ134</f>
        <v>611100</v>
      </c>
      <c r="BN134" s="8">
        <v>3679319</v>
      </c>
      <c r="BP134" s="8">
        <v>0</v>
      </c>
      <c r="BQ134" s="8">
        <v>0</v>
      </c>
      <c r="BS134" s="8">
        <f t="shared" si="8"/>
        <v>4290419</v>
      </c>
      <c r="BU134" s="9">
        <f>+BS134-'Gen Fd BS'!AA133+BQ134</f>
        <v>0</v>
      </c>
    </row>
    <row r="135" spans="1:73">
      <c r="A135" s="13" t="s">
        <v>596</v>
      </c>
      <c r="B135" s="13"/>
      <c r="C135" s="13" t="s">
        <v>56</v>
      </c>
      <c r="D135" s="13"/>
      <c r="E135" s="32">
        <v>49189</v>
      </c>
      <c r="G135" s="8">
        <v>8782421</v>
      </c>
      <c r="I135" s="8">
        <v>1030342</v>
      </c>
      <c r="K135" s="8">
        <v>183279</v>
      </c>
      <c r="M135" s="8">
        <v>1220829</v>
      </c>
      <c r="O135" s="8">
        <v>930180</v>
      </c>
      <c r="Q135" s="8">
        <v>936009</v>
      </c>
      <c r="S135" s="8">
        <v>12737</v>
      </c>
      <c r="U135" s="8">
        <v>1896704</v>
      </c>
      <c r="W135" s="8">
        <v>456390</v>
      </c>
      <c r="Y135" s="8">
        <v>25781</v>
      </c>
      <c r="AA135" s="8">
        <v>2076956</v>
      </c>
      <c r="AC135" s="8">
        <v>1439450</v>
      </c>
      <c r="AE135" s="8">
        <v>301881</v>
      </c>
      <c r="AG135" s="8">
        <v>0</v>
      </c>
      <c r="AI135" s="8">
        <v>0</v>
      </c>
      <c r="AJ135" s="13" t="s">
        <v>596</v>
      </c>
      <c r="AK135" s="13"/>
      <c r="AL135" s="13" t="s">
        <v>56</v>
      </c>
      <c r="AN135" s="8">
        <v>350217</v>
      </c>
      <c r="AP135" s="8">
        <v>0</v>
      </c>
      <c r="AT135" s="8">
        <v>675</v>
      </c>
      <c r="AV135" s="8">
        <v>18</v>
      </c>
      <c r="AX135" s="8">
        <v>0</v>
      </c>
      <c r="AZ135" s="8">
        <f t="shared" si="9"/>
        <v>19643869</v>
      </c>
      <c r="BB135" s="8">
        <v>6442</v>
      </c>
      <c r="BH135" s="8">
        <v>0</v>
      </c>
      <c r="BJ135" s="8">
        <f t="shared" si="7"/>
        <v>19650311</v>
      </c>
      <c r="BL135" s="8">
        <f>+GenRev!AM135-GenExp!BJ135</f>
        <v>996396</v>
      </c>
      <c r="BN135" s="8">
        <v>1166880</v>
      </c>
      <c r="BP135" s="8">
        <v>1484</v>
      </c>
      <c r="BQ135" s="8">
        <v>0</v>
      </c>
      <c r="BS135" s="8">
        <f t="shared" si="8"/>
        <v>2161792</v>
      </c>
      <c r="BU135" s="9">
        <f>+BS135-'Gen Fd BS'!AA134+BQ135</f>
        <v>0</v>
      </c>
    </row>
    <row r="136" spans="1:73">
      <c r="A136" s="13" t="s">
        <v>833</v>
      </c>
      <c r="B136" s="13"/>
      <c r="C136" s="13" t="s">
        <v>586</v>
      </c>
      <c r="D136" s="13"/>
      <c r="E136" s="32"/>
      <c r="G136" s="8">
        <v>4946836</v>
      </c>
      <c r="I136" s="8">
        <v>0</v>
      </c>
      <c r="K136" s="8">
        <v>0</v>
      </c>
      <c r="M136" s="8">
        <v>0</v>
      </c>
      <c r="O136" s="8">
        <v>463901</v>
      </c>
      <c r="Q136" s="8">
        <v>323799</v>
      </c>
      <c r="S136" s="8">
        <v>39305</v>
      </c>
      <c r="U136" s="8">
        <v>806814</v>
      </c>
      <c r="W136" s="8">
        <v>258551</v>
      </c>
      <c r="Y136" s="8">
        <v>0</v>
      </c>
      <c r="AA136" s="8">
        <v>926469</v>
      </c>
      <c r="AC136" s="8">
        <v>671384</v>
      </c>
      <c r="AE136" s="8">
        <v>0</v>
      </c>
      <c r="AG136" s="8">
        <v>0</v>
      </c>
      <c r="AI136" s="8">
        <v>0</v>
      </c>
      <c r="AJ136" s="13" t="s">
        <v>833</v>
      </c>
      <c r="AK136" s="13"/>
      <c r="AL136" s="13" t="s">
        <v>586</v>
      </c>
      <c r="AN136" s="8">
        <v>243276</v>
      </c>
      <c r="AP136" s="8">
        <v>67594</v>
      </c>
      <c r="AT136" s="8">
        <v>25000</v>
      </c>
      <c r="AV136" s="8">
        <v>14942</v>
      </c>
      <c r="AX136" s="8">
        <v>0</v>
      </c>
      <c r="AZ136" s="8">
        <f t="shared" si="9"/>
        <v>8787871</v>
      </c>
      <c r="BB136" s="8">
        <v>0</v>
      </c>
      <c r="BH136" s="8">
        <v>0</v>
      </c>
      <c r="BJ136" s="8">
        <f t="shared" si="7"/>
        <v>8787871</v>
      </c>
      <c r="BL136" s="8">
        <f>+GenRev!AM136-GenExp!BJ136</f>
        <v>-813921</v>
      </c>
      <c r="BN136" s="8">
        <v>1606157</v>
      </c>
      <c r="BP136" s="8">
        <v>0</v>
      </c>
      <c r="BQ136" s="8">
        <v>0</v>
      </c>
      <c r="BS136" s="8">
        <f t="shared" si="8"/>
        <v>792236</v>
      </c>
      <c r="BU136" s="9">
        <f>+BS136-'Gen Fd BS'!AA135+BQ136</f>
        <v>0</v>
      </c>
    </row>
    <row r="137" spans="1:73">
      <c r="A137" s="13" t="s">
        <v>670</v>
      </c>
      <c r="B137" s="13"/>
      <c r="C137" s="13" t="s">
        <v>63</v>
      </c>
      <c r="D137" s="13"/>
      <c r="E137" s="32">
        <v>43836</v>
      </c>
      <c r="G137" s="8">
        <v>20351618</v>
      </c>
      <c r="I137" s="8">
        <v>4139291</v>
      </c>
      <c r="K137" s="8">
        <v>1044948</v>
      </c>
      <c r="M137" s="8">
        <v>3952180</v>
      </c>
      <c r="O137" s="8">
        <v>2420489</v>
      </c>
      <c r="Q137" s="8">
        <v>1082061</v>
      </c>
      <c r="S137" s="8">
        <v>84189</v>
      </c>
      <c r="U137" s="8">
        <v>2825510</v>
      </c>
      <c r="W137" s="8">
        <v>854974</v>
      </c>
      <c r="Y137" s="8">
        <v>399133</v>
      </c>
      <c r="AA137" s="8">
        <v>4882371</v>
      </c>
      <c r="AC137" s="8">
        <v>1315771</v>
      </c>
      <c r="AE137" s="8">
        <v>375299</v>
      </c>
      <c r="AG137" s="8">
        <v>0</v>
      </c>
      <c r="AI137" s="8">
        <v>182043</v>
      </c>
      <c r="AJ137" s="13" t="s">
        <v>670</v>
      </c>
      <c r="AK137" s="13"/>
      <c r="AL137" s="13" t="s">
        <v>63</v>
      </c>
      <c r="AN137" s="8">
        <v>810612</v>
      </c>
      <c r="AP137" s="8">
        <f>22901+484995</f>
        <v>507896</v>
      </c>
      <c r="AT137" s="8">
        <v>72499</v>
      </c>
      <c r="AV137" s="8">
        <v>19264</v>
      </c>
      <c r="AX137" s="8">
        <v>0</v>
      </c>
      <c r="AZ137" s="8">
        <f t="shared" si="9"/>
        <v>45320148</v>
      </c>
      <c r="BB137" s="8">
        <v>1546887</v>
      </c>
      <c r="BH137" s="8">
        <v>0</v>
      </c>
      <c r="BJ137" s="8">
        <f t="shared" si="7"/>
        <v>46867035</v>
      </c>
      <c r="BL137" s="8">
        <f>+GenRev!AM137-GenExp!BJ137</f>
        <v>672670</v>
      </c>
      <c r="BN137" s="8">
        <v>1378728</v>
      </c>
      <c r="BP137" s="8">
        <v>0</v>
      </c>
      <c r="BQ137" s="8">
        <v>0</v>
      </c>
      <c r="BS137" s="8">
        <f t="shared" si="8"/>
        <v>2051398</v>
      </c>
      <c r="BU137" s="9">
        <f>+BS137-'Gen Fd BS'!AA136+BQ137</f>
        <v>0</v>
      </c>
    </row>
    <row r="138" spans="1:73">
      <c r="A138" s="13" t="s">
        <v>309</v>
      </c>
      <c r="B138" s="13"/>
      <c r="C138" s="13" t="s">
        <v>20</v>
      </c>
      <c r="D138" s="13"/>
      <c r="E138" s="32">
        <v>46557</v>
      </c>
      <c r="G138" s="8">
        <v>5765741</v>
      </c>
      <c r="I138" s="8">
        <v>889280</v>
      </c>
      <c r="K138" s="8">
        <v>0</v>
      </c>
      <c r="M138" s="8">
        <v>509847</v>
      </c>
      <c r="O138" s="8">
        <v>1016599</v>
      </c>
      <c r="Q138" s="8">
        <v>652875</v>
      </c>
      <c r="S138" s="8">
        <v>70736</v>
      </c>
      <c r="U138" s="8">
        <v>1465458</v>
      </c>
      <c r="W138" s="8">
        <v>604359</v>
      </c>
      <c r="Y138" s="8">
        <v>131803</v>
      </c>
      <c r="AA138" s="8">
        <v>1548711</v>
      </c>
      <c r="AC138" s="8">
        <v>870133</v>
      </c>
      <c r="AE138" s="8">
        <v>248089</v>
      </c>
      <c r="AG138" s="8">
        <v>0</v>
      </c>
      <c r="AI138" s="8">
        <v>84102</v>
      </c>
      <c r="AJ138" s="13" t="s">
        <v>309</v>
      </c>
      <c r="AK138" s="13"/>
      <c r="AL138" s="13" t="s">
        <v>20</v>
      </c>
      <c r="AN138" s="8">
        <v>721590</v>
      </c>
      <c r="AP138" s="8">
        <v>43272</v>
      </c>
      <c r="AT138" s="8">
        <v>0</v>
      </c>
      <c r="AV138" s="8">
        <v>0</v>
      </c>
      <c r="AX138" s="8">
        <v>0</v>
      </c>
      <c r="AZ138" s="8">
        <f t="shared" si="9"/>
        <v>14622595</v>
      </c>
      <c r="BB138" s="8">
        <v>178329</v>
      </c>
      <c r="BH138" s="8">
        <v>0</v>
      </c>
      <c r="BJ138" s="8">
        <f t="shared" si="7"/>
        <v>14800924</v>
      </c>
      <c r="BL138" s="8">
        <f>+GenRev!AM138-GenExp!BJ138</f>
        <v>279105</v>
      </c>
      <c r="BN138" s="8">
        <v>7203867</v>
      </c>
      <c r="BP138" s="8">
        <v>0</v>
      </c>
      <c r="BQ138" s="8">
        <v>0</v>
      </c>
      <c r="BS138" s="8">
        <f t="shared" si="8"/>
        <v>7482972</v>
      </c>
      <c r="BU138" s="9">
        <f>+BS138-'Gen Fd BS'!AA137+BQ138</f>
        <v>0</v>
      </c>
    </row>
    <row r="139" spans="1:73">
      <c r="A139" s="13" t="s">
        <v>846</v>
      </c>
      <c r="B139" s="13"/>
      <c r="C139" s="13" t="s">
        <v>71</v>
      </c>
      <c r="D139" s="13"/>
      <c r="E139" s="32"/>
      <c r="G139" s="8">
        <v>3464252</v>
      </c>
      <c r="I139" s="8">
        <v>295892</v>
      </c>
      <c r="K139" s="8">
        <v>74666</v>
      </c>
      <c r="M139" s="8">
        <v>260438</v>
      </c>
      <c r="O139" s="8">
        <v>173931</v>
      </c>
      <c r="Q139" s="8">
        <v>410668</v>
      </c>
      <c r="S139" s="8">
        <v>20770</v>
      </c>
      <c r="U139" s="8">
        <v>799644</v>
      </c>
      <c r="W139" s="8">
        <v>289158</v>
      </c>
      <c r="Y139" s="8">
        <v>7150</v>
      </c>
      <c r="AA139" s="8">
        <v>731400</v>
      </c>
      <c r="AC139" s="8">
        <v>396321</v>
      </c>
      <c r="AE139" s="8">
        <v>15408</v>
      </c>
      <c r="AG139" s="8">
        <v>0</v>
      </c>
      <c r="AI139" s="8">
        <v>0</v>
      </c>
      <c r="AJ139" s="13" t="s">
        <v>846</v>
      </c>
      <c r="AK139" s="13"/>
      <c r="AL139" s="13" t="s">
        <v>71</v>
      </c>
      <c r="AN139" s="8">
        <v>227583</v>
      </c>
      <c r="AP139" s="8">
        <f>72+83502</f>
        <v>83574</v>
      </c>
      <c r="AT139" s="8">
        <v>16985</v>
      </c>
      <c r="AV139" s="8">
        <v>5672</v>
      </c>
      <c r="AX139" s="8">
        <v>0</v>
      </c>
      <c r="AZ139" s="8">
        <f t="shared" si="9"/>
        <v>7273512</v>
      </c>
      <c r="BB139" s="8">
        <v>151675</v>
      </c>
      <c r="BH139" s="8">
        <v>0</v>
      </c>
      <c r="BJ139" s="8">
        <f t="shared" si="7"/>
        <v>7425187</v>
      </c>
      <c r="BL139" s="8">
        <f>+GenRev!AM139-GenExp!BJ139</f>
        <v>148923</v>
      </c>
      <c r="BN139" s="8">
        <v>81692</v>
      </c>
      <c r="BP139" s="8">
        <v>0</v>
      </c>
      <c r="BQ139" s="8">
        <v>0</v>
      </c>
      <c r="BS139" s="8">
        <f t="shared" si="8"/>
        <v>230615</v>
      </c>
      <c r="BU139" s="9">
        <f>+BS139-'Gen Fd BS'!AA138+BQ139</f>
        <v>0</v>
      </c>
    </row>
    <row r="140" spans="1:73">
      <c r="A140" s="13" t="s">
        <v>460</v>
      </c>
      <c r="B140" s="13"/>
      <c r="C140" s="13" t="s">
        <v>40</v>
      </c>
      <c r="D140" s="13"/>
      <c r="E140" s="32">
        <v>47837</v>
      </c>
      <c r="G140" s="8">
        <v>2560179</v>
      </c>
      <c r="I140" s="8">
        <v>545970</v>
      </c>
      <c r="K140" s="8">
        <v>112304</v>
      </c>
      <c r="M140" s="8">
        <v>0</v>
      </c>
      <c r="O140" s="8">
        <v>299976</v>
      </c>
      <c r="Q140" s="8">
        <v>329783</v>
      </c>
      <c r="S140" s="8">
        <v>25303</v>
      </c>
      <c r="U140" s="8">
        <v>497485</v>
      </c>
      <c r="W140" s="8">
        <v>166336</v>
      </c>
      <c r="Y140" s="8">
        <v>0</v>
      </c>
      <c r="AA140" s="8">
        <v>711793</v>
      </c>
      <c r="AC140" s="8">
        <v>448945</v>
      </c>
      <c r="AE140" s="8">
        <v>62576</v>
      </c>
      <c r="AG140" s="8">
        <v>0</v>
      </c>
      <c r="AI140" s="8">
        <v>0</v>
      </c>
      <c r="AJ140" s="13" t="s">
        <v>460</v>
      </c>
      <c r="AK140" s="13"/>
      <c r="AL140" s="13" t="s">
        <v>40</v>
      </c>
      <c r="AN140" s="8">
        <v>196925</v>
      </c>
      <c r="AP140" s="8">
        <v>291669</v>
      </c>
      <c r="AT140" s="8">
        <v>0</v>
      </c>
      <c r="AV140" s="8">
        <v>0</v>
      </c>
      <c r="AX140" s="8">
        <v>0</v>
      </c>
      <c r="AZ140" s="8">
        <f t="shared" si="9"/>
        <v>6249244</v>
      </c>
      <c r="BB140" s="8">
        <v>0</v>
      </c>
      <c r="BH140" s="8">
        <v>0</v>
      </c>
      <c r="BJ140" s="8">
        <f t="shared" si="7"/>
        <v>6249244</v>
      </c>
      <c r="BL140" s="8">
        <f>+GenRev!AM140-GenExp!BJ140</f>
        <v>-435480</v>
      </c>
      <c r="BN140" s="8">
        <v>2773263</v>
      </c>
      <c r="BP140" s="8">
        <v>0</v>
      </c>
      <c r="BQ140" s="8">
        <v>0</v>
      </c>
      <c r="BS140" s="8">
        <f t="shared" si="8"/>
        <v>2337783</v>
      </c>
      <c r="BU140" s="9">
        <f>+BS140-'Gen Fd BS'!AA139+BQ140</f>
        <v>0</v>
      </c>
    </row>
    <row r="141" spans="1:73">
      <c r="A141" s="13" t="s">
        <v>472</v>
      </c>
      <c r="B141" s="13"/>
      <c r="C141" s="13" t="s">
        <v>471</v>
      </c>
      <c r="D141" s="13"/>
      <c r="E141" s="32">
        <v>47928</v>
      </c>
      <c r="G141" s="8">
        <v>5017530</v>
      </c>
      <c r="I141" s="8">
        <v>518479</v>
      </c>
      <c r="K141" s="8">
        <v>113735</v>
      </c>
      <c r="M141" s="8">
        <v>0</v>
      </c>
      <c r="O141" s="8">
        <v>523739</v>
      </c>
      <c r="Q141" s="8">
        <v>171931</v>
      </c>
      <c r="S141" s="8">
        <v>31592</v>
      </c>
      <c r="U141" s="8">
        <v>827131</v>
      </c>
      <c r="W141" s="8">
        <v>349344</v>
      </c>
      <c r="Y141" s="8">
        <v>15934</v>
      </c>
      <c r="AA141" s="8">
        <v>1349095</v>
      </c>
      <c r="AC141" s="8">
        <v>716972</v>
      </c>
      <c r="AE141" s="8">
        <v>182526</v>
      </c>
      <c r="AG141" s="8">
        <v>0</v>
      </c>
      <c r="AI141" s="8">
        <v>8620</v>
      </c>
      <c r="AJ141" s="13" t="s">
        <v>472</v>
      </c>
      <c r="AK141" s="13"/>
      <c r="AL141" s="13" t="s">
        <v>471</v>
      </c>
      <c r="AN141" s="8">
        <v>308233</v>
      </c>
      <c r="AP141" s="8">
        <v>0</v>
      </c>
      <c r="AT141" s="8">
        <v>0</v>
      </c>
      <c r="AV141" s="8">
        <v>0</v>
      </c>
      <c r="AX141" s="8">
        <v>0</v>
      </c>
      <c r="AZ141" s="8">
        <f t="shared" si="9"/>
        <v>10134861</v>
      </c>
      <c r="BB141" s="8">
        <v>466398</v>
      </c>
      <c r="BH141" s="8">
        <v>0</v>
      </c>
      <c r="BJ141" s="8">
        <f t="shared" si="7"/>
        <v>10601259</v>
      </c>
      <c r="BL141" s="8">
        <f>+GenRev!AM141-GenExp!BJ141</f>
        <v>-111447</v>
      </c>
      <c r="BN141" s="8">
        <v>3600742</v>
      </c>
      <c r="BP141" s="8">
        <v>0</v>
      </c>
      <c r="BQ141" s="8">
        <v>0</v>
      </c>
      <c r="BS141" s="8">
        <f t="shared" si="8"/>
        <v>3489295</v>
      </c>
      <c r="BU141" s="9">
        <f>+BS141-'Gen Fd BS'!AA140+BQ141</f>
        <v>0</v>
      </c>
    </row>
    <row r="142" spans="1:73">
      <c r="A142" s="13" t="s">
        <v>554</v>
      </c>
      <c r="B142" s="13"/>
      <c r="C142" s="13" t="s">
        <v>50</v>
      </c>
      <c r="D142" s="13"/>
      <c r="E142" s="32">
        <v>43844</v>
      </c>
      <c r="G142" s="8">
        <v>40498432</v>
      </c>
      <c r="I142" s="8">
        <v>19663049</v>
      </c>
      <c r="K142" s="8">
        <v>2690488</v>
      </c>
      <c r="M142" s="8">
        <f>23616+350979</f>
        <v>374595</v>
      </c>
      <c r="O142" s="8">
        <v>5968201</v>
      </c>
      <c r="Q142" s="8">
        <v>5150735</v>
      </c>
      <c r="S142" s="8">
        <v>1515645</v>
      </c>
      <c r="U142" s="8">
        <v>10901965</v>
      </c>
      <c r="W142" s="8">
        <v>3106032</v>
      </c>
      <c r="Y142" s="8">
        <v>1512660</v>
      </c>
      <c r="AA142" s="8">
        <v>19459674</v>
      </c>
      <c r="AC142" s="8">
        <v>17091835</v>
      </c>
      <c r="AE142" s="8">
        <v>5073773</v>
      </c>
      <c r="AG142" s="8">
        <v>0</v>
      </c>
      <c r="AI142" s="8">
        <v>52561093</v>
      </c>
      <c r="AJ142" s="13" t="s">
        <v>554</v>
      </c>
      <c r="AK142" s="13"/>
      <c r="AL142" s="13" t="s">
        <v>50</v>
      </c>
      <c r="AN142" s="8">
        <v>709990</v>
      </c>
      <c r="AP142" s="8">
        <v>34397</v>
      </c>
      <c r="AT142" s="8">
        <v>781517</v>
      </c>
      <c r="AV142" s="8">
        <v>993860</v>
      </c>
      <c r="AX142" s="8">
        <v>0</v>
      </c>
      <c r="AZ142" s="8">
        <f t="shared" si="9"/>
        <v>188087941</v>
      </c>
      <c r="BB142" s="8">
        <v>1219699</v>
      </c>
      <c r="BH142" s="8">
        <v>0</v>
      </c>
      <c r="BJ142" s="8">
        <f t="shared" si="7"/>
        <v>189307640</v>
      </c>
      <c r="BL142" s="8">
        <f>+GenRev!AM142-GenExp!BJ142</f>
        <v>4857452</v>
      </c>
      <c r="BN142" s="8">
        <v>34852</v>
      </c>
      <c r="BP142" s="8">
        <v>0</v>
      </c>
      <c r="BQ142" s="8">
        <v>0</v>
      </c>
      <c r="BS142" s="8">
        <f t="shared" si="8"/>
        <v>4892304</v>
      </c>
      <c r="BU142" s="9">
        <f>+BS142-'Gen Fd BS'!AA141+BQ142</f>
        <v>0</v>
      </c>
    </row>
    <row r="143" spans="1:73">
      <c r="A143" s="13" t="s">
        <v>397</v>
      </c>
      <c r="B143" s="13"/>
      <c r="C143" s="13" t="s">
        <v>32</v>
      </c>
      <c r="D143" s="13"/>
      <c r="E143" s="32">
        <v>43851</v>
      </c>
      <c r="G143" s="8">
        <v>6242260</v>
      </c>
      <c r="I143" s="8">
        <v>1651675</v>
      </c>
      <c r="K143" s="8">
        <v>157308</v>
      </c>
      <c r="M143" s="8">
        <v>0</v>
      </c>
      <c r="O143" s="8">
        <v>802706</v>
      </c>
      <c r="Q143" s="8">
        <v>445947</v>
      </c>
      <c r="S143" s="8">
        <v>77006</v>
      </c>
      <c r="U143" s="8">
        <v>1157716</v>
      </c>
      <c r="W143" s="8">
        <v>553842</v>
      </c>
      <c r="Y143" s="8">
        <v>146451</v>
      </c>
      <c r="AA143" s="8">
        <v>1410376</v>
      </c>
      <c r="AC143" s="8">
        <v>302683</v>
      </c>
      <c r="AE143" s="8">
        <v>114747</v>
      </c>
      <c r="AG143" s="8">
        <v>0</v>
      </c>
      <c r="AI143" s="8">
        <v>1856</v>
      </c>
      <c r="AJ143" s="13" t="s">
        <v>397</v>
      </c>
      <c r="AK143" s="13"/>
      <c r="AL143" s="13" t="s">
        <v>32</v>
      </c>
      <c r="AN143" s="8">
        <v>345009</v>
      </c>
      <c r="AP143" s="8">
        <v>0</v>
      </c>
      <c r="AT143" s="8">
        <v>111960</v>
      </c>
      <c r="AV143" s="8">
        <v>36253</v>
      </c>
      <c r="AX143" s="8">
        <v>0</v>
      </c>
      <c r="AZ143" s="8">
        <f t="shared" si="9"/>
        <v>13557795</v>
      </c>
      <c r="BB143" s="8">
        <v>35467</v>
      </c>
      <c r="BH143" s="8">
        <v>0</v>
      </c>
      <c r="BJ143" s="8">
        <f t="shared" si="7"/>
        <v>13593262</v>
      </c>
      <c r="BL143" s="8">
        <f>+GenRev!AM143-GenExp!BJ143</f>
        <v>845088</v>
      </c>
      <c r="BN143" s="8">
        <v>3029447</v>
      </c>
      <c r="BP143" s="8">
        <v>0</v>
      </c>
      <c r="BQ143" s="8">
        <v>0</v>
      </c>
      <c r="BS143" s="8">
        <f t="shared" si="8"/>
        <v>3874535</v>
      </c>
      <c r="BU143" s="9">
        <f>+BS143-'Gen Fd BS'!AA142+BQ143</f>
        <v>0</v>
      </c>
    </row>
    <row r="144" spans="1:73">
      <c r="A144" s="13" t="s">
        <v>338</v>
      </c>
      <c r="B144" s="13"/>
      <c r="C144" s="13" t="s">
        <v>23</v>
      </c>
      <c r="D144" s="13"/>
      <c r="E144" s="32">
        <v>43877</v>
      </c>
      <c r="G144" s="8">
        <v>18163837</v>
      </c>
      <c r="I144" s="8">
        <v>3755614</v>
      </c>
      <c r="K144" s="8">
        <v>344011</v>
      </c>
      <c r="M144" s="8">
        <v>1393959</v>
      </c>
      <c r="O144" s="8">
        <v>2156076</v>
      </c>
      <c r="Q144" s="8">
        <v>2010007</v>
      </c>
      <c r="S144" s="8">
        <v>219277</v>
      </c>
      <c r="U144" s="8">
        <v>2658275</v>
      </c>
      <c r="W144" s="8">
        <v>940197</v>
      </c>
      <c r="Y144" s="8">
        <v>309558</v>
      </c>
      <c r="AA144" s="8">
        <v>4111195</v>
      </c>
      <c r="AC144" s="8">
        <v>2297784</v>
      </c>
      <c r="AE144" s="8">
        <v>130219</v>
      </c>
      <c r="AG144" s="8">
        <v>0</v>
      </c>
      <c r="AI144" s="8">
        <v>0</v>
      </c>
      <c r="AJ144" s="13" t="s">
        <v>338</v>
      </c>
      <c r="AK144" s="13"/>
      <c r="AL144" s="13" t="s">
        <v>23</v>
      </c>
      <c r="AN144" s="8">
        <v>804287</v>
      </c>
      <c r="AP144" s="8">
        <v>1388</v>
      </c>
      <c r="AT144" s="8">
        <v>0</v>
      </c>
      <c r="AV144" s="8">
        <v>0</v>
      </c>
      <c r="AX144" s="8">
        <v>0</v>
      </c>
      <c r="AZ144" s="8">
        <f t="shared" si="9"/>
        <v>39295684</v>
      </c>
      <c r="BB144" s="8">
        <v>20000</v>
      </c>
      <c r="BH144" s="8">
        <v>0</v>
      </c>
      <c r="BJ144" s="8">
        <f t="shared" si="7"/>
        <v>39315684</v>
      </c>
      <c r="BL144" s="8">
        <f>+GenRev!AM144-GenExp!BJ144</f>
        <v>3657334</v>
      </c>
      <c r="BN144" s="8">
        <v>4526277</v>
      </c>
      <c r="BP144" s="8">
        <v>0</v>
      </c>
      <c r="BQ144" s="8">
        <v>0</v>
      </c>
      <c r="BS144" s="8">
        <f t="shared" si="8"/>
        <v>8183611</v>
      </c>
      <c r="BU144" s="9">
        <f>+BS144-'Gen Fd BS'!AA143+BQ144</f>
        <v>0</v>
      </c>
    </row>
    <row r="145" spans="1:73">
      <c r="A145" s="13" t="s">
        <v>212</v>
      </c>
      <c r="B145" s="13"/>
      <c r="C145" s="13" t="s">
        <v>10</v>
      </c>
      <c r="D145" s="13"/>
      <c r="E145" s="32">
        <v>43885</v>
      </c>
      <c r="F145" s="11"/>
      <c r="G145" s="8">
        <v>4539336</v>
      </c>
      <c r="I145" s="8">
        <v>546089</v>
      </c>
      <c r="K145" s="8">
        <v>519232</v>
      </c>
      <c r="M145" s="8">
        <v>0</v>
      </c>
      <c r="O145" s="8">
        <v>408652</v>
      </c>
      <c r="Q145" s="8">
        <v>465210</v>
      </c>
      <c r="S145" s="8">
        <v>31937</v>
      </c>
      <c r="U145" s="8">
        <v>799628</v>
      </c>
      <c r="W145" s="8">
        <v>301981</v>
      </c>
      <c r="Y145" s="8">
        <v>0</v>
      </c>
      <c r="AA145" s="8">
        <v>588399</v>
      </c>
      <c r="AC145" s="8">
        <v>423929</v>
      </c>
      <c r="AE145" s="8">
        <v>355</v>
      </c>
      <c r="AG145" s="8">
        <v>0</v>
      </c>
      <c r="AI145" s="8">
        <v>0</v>
      </c>
      <c r="AJ145" s="13" t="s">
        <v>212</v>
      </c>
      <c r="AK145" s="13"/>
      <c r="AL145" s="13" t="s">
        <v>10</v>
      </c>
      <c r="AN145" s="8">
        <v>328518</v>
      </c>
      <c r="AP145" s="8">
        <v>0</v>
      </c>
      <c r="AT145" s="8">
        <v>0</v>
      </c>
      <c r="AV145" s="8">
        <v>0</v>
      </c>
      <c r="AX145" s="8">
        <v>0</v>
      </c>
      <c r="AZ145" s="8">
        <f t="shared" si="9"/>
        <v>8953266</v>
      </c>
      <c r="BB145" s="8">
        <v>1712</v>
      </c>
      <c r="BH145" s="8">
        <v>0</v>
      </c>
      <c r="BJ145" s="8">
        <f t="shared" si="7"/>
        <v>8954978</v>
      </c>
      <c r="BL145" s="8">
        <f>+GenRev!AM145-GenExp!BJ145</f>
        <v>-376446</v>
      </c>
      <c r="BN145" s="8">
        <v>8953</v>
      </c>
      <c r="BP145" s="8">
        <v>0</v>
      </c>
      <c r="BQ145" s="8">
        <v>0</v>
      </c>
      <c r="BS145" s="8">
        <f t="shared" ref="BS145:BS186" si="10">+BN145+BL145-BP145</f>
        <v>-367493</v>
      </c>
      <c r="BU145" s="9">
        <f>+BS145-'Gen Fd BS'!AA144+BQ145</f>
        <v>0</v>
      </c>
    </row>
    <row r="146" spans="1:73">
      <c r="A146" s="13" t="s">
        <v>700</v>
      </c>
      <c r="B146" s="13"/>
      <c r="C146" s="13" t="s">
        <v>65</v>
      </c>
      <c r="D146" s="13"/>
      <c r="E146" s="32">
        <v>43893</v>
      </c>
      <c r="G146" s="8">
        <v>9515526</v>
      </c>
      <c r="I146" s="8">
        <v>1863210</v>
      </c>
      <c r="K146" s="8">
        <v>446</v>
      </c>
      <c r="M146" s="8">
        <v>171024</v>
      </c>
      <c r="O146" s="8">
        <v>962918</v>
      </c>
      <c r="Q146" s="8">
        <v>743554</v>
      </c>
      <c r="S146" s="8">
        <v>178769</v>
      </c>
      <c r="U146" s="8">
        <v>1687229</v>
      </c>
      <c r="W146" s="8">
        <v>691463</v>
      </c>
      <c r="Y146" s="8">
        <v>0</v>
      </c>
      <c r="AA146" s="8">
        <v>1812315</v>
      </c>
      <c r="AC146" s="8">
        <v>593240</v>
      </c>
      <c r="AE146" s="8">
        <v>0</v>
      </c>
      <c r="AG146" s="8">
        <v>0</v>
      </c>
      <c r="AI146" s="8">
        <f>158+3659</f>
        <v>3817</v>
      </c>
      <c r="AJ146" s="13" t="s">
        <v>700</v>
      </c>
      <c r="AK146" s="13"/>
      <c r="AL146" s="13" t="s">
        <v>65</v>
      </c>
      <c r="AN146" s="8">
        <v>548580</v>
      </c>
      <c r="AP146" s="8">
        <v>148822</v>
      </c>
      <c r="AT146" s="8">
        <v>90315</v>
      </c>
      <c r="AV146" s="8">
        <v>6643</v>
      </c>
      <c r="AX146" s="8">
        <v>0</v>
      </c>
      <c r="AZ146" s="8">
        <f t="shared" si="9"/>
        <v>19017871</v>
      </c>
      <c r="BB146" s="8">
        <v>138000</v>
      </c>
      <c r="BH146" s="8">
        <v>0</v>
      </c>
      <c r="BJ146" s="8">
        <f t="shared" si="7"/>
        <v>19155871</v>
      </c>
      <c r="BL146" s="8">
        <f>+GenRev!AM146-GenExp!BJ146</f>
        <v>-952882</v>
      </c>
      <c r="BN146" s="8">
        <v>2592910</v>
      </c>
      <c r="BP146" s="8">
        <v>0</v>
      </c>
      <c r="BQ146" s="8">
        <v>0</v>
      </c>
      <c r="BS146" s="8">
        <f t="shared" si="10"/>
        <v>1640028</v>
      </c>
      <c r="BU146" s="9">
        <f>+BS146-'Gen Fd BS'!AA145+BQ146</f>
        <v>0</v>
      </c>
    </row>
    <row r="147" spans="1:73">
      <c r="A147" s="13" t="s">
        <v>359</v>
      </c>
      <c r="B147" s="13"/>
      <c r="C147" s="13" t="s">
        <v>27</v>
      </c>
      <c r="D147" s="13"/>
      <c r="E147" s="32">
        <v>47027</v>
      </c>
      <c r="G147" s="8">
        <v>66579897</v>
      </c>
      <c r="I147" s="8">
        <v>17019657</v>
      </c>
      <c r="K147" s="8">
        <v>295826</v>
      </c>
      <c r="M147" s="8">
        <v>0</v>
      </c>
      <c r="O147" s="8">
        <v>8306936</v>
      </c>
      <c r="Q147" s="8">
        <v>10903644</v>
      </c>
      <c r="S147" s="8">
        <v>122888</v>
      </c>
      <c r="U147" s="8">
        <v>9467715</v>
      </c>
      <c r="W147" s="8">
        <v>2884400</v>
      </c>
      <c r="Y147" s="8">
        <v>888210</v>
      </c>
      <c r="AA147" s="8">
        <v>11491252</v>
      </c>
      <c r="AC147" s="8">
        <v>6825336</v>
      </c>
      <c r="AE147" s="8">
        <v>307259</v>
      </c>
      <c r="AG147" s="8">
        <v>0</v>
      </c>
      <c r="AI147" s="8">
        <v>616</v>
      </c>
      <c r="AJ147" s="13" t="s">
        <v>359</v>
      </c>
      <c r="AK147" s="13"/>
      <c r="AL147" s="13" t="s">
        <v>27</v>
      </c>
      <c r="AN147" s="8">
        <v>3783078</v>
      </c>
      <c r="AP147" s="8">
        <v>231519</v>
      </c>
      <c r="AT147" s="8">
        <v>0</v>
      </c>
      <c r="AV147" s="8">
        <v>0</v>
      </c>
      <c r="AX147" s="8">
        <v>17282</v>
      </c>
      <c r="AZ147" s="8">
        <f t="shared" si="9"/>
        <v>139125515</v>
      </c>
      <c r="BB147" s="8">
        <v>70150</v>
      </c>
      <c r="BH147" s="8">
        <v>183579</v>
      </c>
      <c r="BJ147" s="8">
        <f t="shared" si="7"/>
        <v>139379244</v>
      </c>
      <c r="BL147" s="8">
        <f>+GenRev!AM147-GenExp!BJ147</f>
        <v>-3178811</v>
      </c>
      <c r="BN147" s="8">
        <v>69585756</v>
      </c>
      <c r="BP147" s="8">
        <v>0</v>
      </c>
      <c r="BQ147" s="8">
        <v>0</v>
      </c>
      <c r="BS147" s="8">
        <f t="shared" si="10"/>
        <v>66406945</v>
      </c>
      <c r="BU147" s="9">
        <f>+BS147-'Gen Fd BS'!AA146+BQ147</f>
        <v>0</v>
      </c>
    </row>
    <row r="148" spans="1:73">
      <c r="A148" s="13" t="s">
        <v>280</v>
      </c>
      <c r="B148" s="13"/>
      <c r="C148" s="13" t="s">
        <v>18</v>
      </c>
      <c r="D148" s="13"/>
      <c r="E148" s="32">
        <v>46409</v>
      </c>
      <c r="F148" s="11"/>
      <c r="G148" s="8">
        <v>5513974</v>
      </c>
      <c r="I148" s="8">
        <v>757163</v>
      </c>
      <c r="K148" s="8">
        <v>105992</v>
      </c>
      <c r="M148" s="8">
        <v>0</v>
      </c>
      <c r="O148" s="8">
        <v>434259</v>
      </c>
      <c r="Q148" s="8">
        <v>804035</v>
      </c>
      <c r="S148" s="8">
        <v>47910</v>
      </c>
      <c r="U148" s="8">
        <v>969068</v>
      </c>
      <c r="W148" s="8">
        <v>288478</v>
      </c>
      <c r="Y148" s="8">
        <v>7691</v>
      </c>
      <c r="AA148" s="8">
        <v>1209255</v>
      </c>
      <c r="AC148" s="8">
        <v>858756</v>
      </c>
      <c r="AE148" s="8">
        <v>30874</v>
      </c>
      <c r="AG148" s="8">
        <v>0</v>
      </c>
      <c r="AI148" s="8">
        <v>0</v>
      </c>
      <c r="AJ148" s="13" t="s">
        <v>280</v>
      </c>
      <c r="AK148" s="13"/>
      <c r="AL148" s="13" t="s">
        <v>18</v>
      </c>
      <c r="AN148" s="8">
        <f>214+31071+185128+8247</f>
        <v>224660</v>
      </c>
      <c r="AP148" s="8">
        <v>0</v>
      </c>
      <c r="AT148" s="8">
        <v>0</v>
      </c>
      <c r="AV148" s="8">
        <v>0</v>
      </c>
      <c r="AX148" s="8">
        <v>0</v>
      </c>
      <c r="AZ148" s="8">
        <f t="shared" si="9"/>
        <v>11252115</v>
      </c>
      <c r="BB148" s="8">
        <v>0</v>
      </c>
      <c r="BH148" s="8">
        <v>0</v>
      </c>
      <c r="BJ148" s="8">
        <f t="shared" si="7"/>
        <v>11252115</v>
      </c>
      <c r="BL148" s="8">
        <f>+GenRev!AM148-GenExp!BJ148</f>
        <v>-389351</v>
      </c>
      <c r="BN148" s="8">
        <v>-412179</v>
      </c>
      <c r="BP148" s="8">
        <v>0</v>
      </c>
      <c r="BQ148" s="8">
        <v>0</v>
      </c>
      <c r="BS148" s="8">
        <f t="shared" si="10"/>
        <v>-801530</v>
      </c>
      <c r="BU148" s="9">
        <f>+BS148-'Gen Fd BS'!AA147+BQ148</f>
        <v>0</v>
      </c>
    </row>
    <row r="149" spans="1:73">
      <c r="A149" s="13" t="s">
        <v>394</v>
      </c>
      <c r="B149" s="13"/>
      <c r="C149" s="13" t="s">
        <v>31</v>
      </c>
      <c r="D149" s="13"/>
      <c r="E149" s="32">
        <v>69682</v>
      </c>
      <c r="G149" s="8">
        <v>4411305</v>
      </c>
      <c r="I149" s="8">
        <v>441577</v>
      </c>
      <c r="K149" s="8">
        <v>246918</v>
      </c>
      <c r="M149" s="8">
        <v>6287</v>
      </c>
      <c r="O149" s="8">
        <v>499922</v>
      </c>
      <c r="Q149" s="8">
        <v>272908</v>
      </c>
      <c r="S149" s="8">
        <v>27501</v>
      </c>
      <c r="U149" s="8">
        <v>798943</v>
      </c>
      <c r="W149" s="8">
        <v>313213</v>
      </c>
      <c r="Y149" s="8">
        <v>0</v>
      </c>
      <c r="AA149" s="8">
        <v>933730</v>
      </c>
      <c r="AC149" s="8">
        <v>1004185</v>
      </c>
      <c r="AE149" s="8">
        <v>1543</v>
      </c>
      <c r="AG149" s="8">
        <v>0</v>
      </c>
      <c r="AI149" s="8">
        <v>0</v>
      </c>
      <c r="AJ149" s="13" t="s">
        <v>394</v>
      </c>
      <c r="AK149" s="13"/>
      <c r="AL149" s="13" t="s">
        <v>31</v>
      </c>
      <c r="AN149" s="8">
        <v>106293</v>
      </c>
      <c r="AP149" s="8">
        <v>0</v>
      </c>
      <c r="AT149" s="8">
        <v>40775</v>
      </c>
      <c r="AV149" s="8">
        <v>9241</v>
      </c>
      <c r="AX149" s="8">
        <v>0</v>
      </c>
      <c r="AZ149" s="8">
        <f t="shared" ref="AZ149:AZ186" si="11">SUM(G149:AX149)</f>
        <v>9114341</v>
      </c>
      <c r="BB149" s="8">
        <v>36837</v>
      </c>
      <c r="BH149" s="8">
        <v>0</v>
      </c>
      <c r="BJ149" s="8">
        <f t="shared" ref="BJ149:BJ186" si="12">+AZ149+BB149+BD149+BH149</f>
        <v>9151178</v>
      </c>
      <c r="BL149" s="8">
        <f>+GenRev!AM149-GenExp!BJ149</f>
        <v>557826</v>
      </c>
      <c r="BN149" s="8">
        <v>983897</v>
      </c>
      <c r="BP149" s="8">
        <v>0</v>
      </c>
      <c r="BQ149" s="8">
        <v>0</v>
      </c>
      <c r="BS149" s="8">
        <f t="shared" si="10"/>
        <v>1541723</v>
      </c>
      <c r="BU149" s="9">
        <f>+BS149-'Gen Fd BS'!AA148+BQ149</f>
        <v>0</v>
      </c>
    </row>
    <row r="150" spans="1:73">
      <c r="A150" s="13" t="s">
        <v>446</v>
      </c>
      <c r="B150" s="13"/>
      <c r="C150" s="13" t="s">
        <v>36</v>
      </c>
      <c r="D150" s="13"/>
      <c r="E150" s="32">
        <v>47688</v>
      </c>
      <c r="G150" s="8">
        <v>7577638</v>
      </c>
      <c r="I150" s="8">
        <v>732068</v>
      </c>
      <c r="K150" s="8">
        <v>484225</v>
      </c>
      <c r="M150" s="8">
        <v>0</v>
      </c>
      <c r="O150" s="8">
        <v>441021</v>
      </c>
      <c r="Q150" s="8">
        <v>496898</v>
      </c>
      <c r="S150" s="8">
        <v>31348</v>
      </c>
      <c r="U150" s="8">
        <v>1457345</v>
      </c>
      <c r="W150" s="8">
        <v>438115</v>
      </c>
      <c r="Y150" s="8">
        <v>0</v>
      </c>
      <c r="AA150" s="8">
        <v>1348871</v>
      </c>
      <c r="AC150" s="8">
        <v>1080265</v>
      </c>
      <c r="AE150" s="8">
        <v>110286</v>
      </c>
      <c r="AG150" s="8">
        <v>163776</v>
      </c>
      <c r="AI150" s="8">
        <v>0</v>
      </c>
      <c r="AJ150" s="13" t="s">
        <v>446</v>
      </c>
      <c r="AK150" s="13"/>
      <c r="AL150" s="13" t="s">
        <v>36</v>
      </c>
      <c r="AN150" s="8">
        <v>214358</v>
      </c>
      <c r="AP150" s="8">
        <v>0</v>
      </c>
      <c r="AT150" s="8">
        <v>0</v>
      </c>
      <c r="AV150" s="8">
        <v>0</v>
      </c>
      <c r="AX150" s="8">
        <v>0</v>
      </c>
      <c r="AZ150" s="8">
        <f t="shared" si="11"/>
        <v>14576214</v>
      </c>
      <c r="BB150" s="8">
        <v>250000</v>
      </c>
      <c r="BH150" s="8">
        <v>0</v>
      </c>
      <c r="BJ150" s="8">
        <f t="shared" si="12"/>
        <v>14826214</v>
      </c>
      <c r="BL150" s="8">
        <f>+GenRev!AM150-GenExp!BJ150</f>
        <v>-832215</v>
      </c>
      <c r="BN150" s="8">
        <v>5397202</v>
      </c>
      <c r="BP150" s="8">
        <v>0</v>
      </c>
      <c r="BQ150" s="8">
        <v>0</v>
      </c>
      <c r="BS150" s="8">
        <f t="shared" si="10"/>
        <v>4564987</v>
      </c>
      <c r="BU150" s="9">
        <f>+BS150-'Gen Fd BS'!AA149+BQ150</f>
        <v>0</v>
      </c>
    </row>
    <row r="151" spans="1:73">
      <c r="A151" s="13" t="s">
        <v>285</v>
      </c>
      <c r="B151" s="13"/>
      <c r="C151" s="13" t="s">
        <v>115</v>
      </c>
      <c r="D151" s="13"/>
      <c r="E151" s="32">
        <v>43919</v>
      </c>
      <c r="F151" s="11"/>
      <c r="G151" s="8">
        <v>10808635</v>
      </c>
      <c r="I151" s="8">
        <v>2218394</v>
      </c>
      <c r="K151" s="8">
        <v>755156</v>
      </c>
      <c r="M151" s="8">
        <v>4642</v>
      </c>
      <c r="O151" s="8">
        <v>728951</v>
      </c>
      <c r="Q151" s="8">
        <v>494256</v>
      </c>
      <c r="S151" s="8">
        <v>300791</v>
      </c>
      <c r="U151" s="8">
        <v>1162548</v>
      </c>
      <c r="W151" s="8">
        <v>497576</v>
      </c>
      <c r="Y151" s="8">
        <v>55394</v>
      </c>
      <c r="AA151" s="8">
        <v>2499670</v>
      </c>
      <c r="AC151" s="8">
        <v>941950</v>
      </c>
      <c r="AE151" s="8">
        <v>0</v>
      </c>
      <c r="AG151" s="8">
        <v>0</v>
      </c>
      <c r="AI151" s="8">
        <v>3026</v>
      </c>
      <c r="AJ151" s="13" t="s">
        <v>285</v>
      </c>
      <c r="AK151" s="13"/>
      <c r="AL151" s="13" t="s">
        <v>115</v>
      </c>
      <c r="AN151" s="8">
        <v>168498</v>
      </c>
      <c r="AP151" s="8">
        <v>75794</v>
      </c>
      <c r="AT151" s="8">
        <v>41711</v>
      </c>
      <c r="AV151" s="8">
        <v>7983</v>
      </c>
      <c r="AX151" s="8">
        <v>0</v>
      </c>
      <c r="AZ151" s="8">
        <f t="shared" si="11"/>
        <v>20764975</v>
      </c>
      <c r="BB151" s="8">
        <v>162629</v>
      </c>
      <c r="BH151" s="8">
        <v>0</v>
      </c>
      <c r="BJ151" s="8">
        <f t="shared" si="12"/>
        <v>20927604</v>
      </c>
      <c r="BL151" s="8">
        <f>+GenRev!AM151-GenExp!BJ151</f>
        <v>1023720</v>
      </c>
      <c r="BN151" s="8">
        <v>-44381</v>
      </c>
      <c r="BP151" s="8">
        <v>0</v>
      </c>
      <c r="BQ151" s="8">
        <v>0</v>
      </c>
      <c r="BS151" s="8">
        <f t="shared" si="10"/>
        <v>979339</v>
      </c>
      <c r="BU151" s="9">
        <f>+BS151-'Gen Fd BS'!AA150+BQ151</f>
        <v>0</v>
      </c>
    </row>
    <row r="152" spans="1:73">
      <c r="A152" s="13" t="s">
        <v>571</v>
      </c>
      <c r="B152" s="13"/>
      <c r="C152" s="13" t="s">
        <v>51</v>
      </c>
      <c r="D152" s="13"/>
      <c r="E152" s="32">
        <v>48835</v>
      </c>
      <c r="G152" s="8">
        <v>7882865</v>
      </c>
      <c r="I152" s="8">
        <v>1041122</v>
      </c>
      <c r="K152" s="8">
        <v>237138</v>
      </c>
      <c r="M152" s="8">
        <v>0</v>
      </c>
      <c r="O152" s="8">
        <v>367662</v>
      </c>
      <c r="Q152" s="8">
        <v>842066</v>
      </c>
      <c r="S152" s="8">
        <v>29815</v>
      </c>
      <c r="U152" s="8">
        <v>1878251</v>
      </c>
      <c r="W152" s="8">
        <v>356015</v>
      </c>
      <c r="Y152" s="8">
        <v>0</v>
      </c>
      <c r="AA152" s="8">
        <v>1403009</v>
      </c>
      <c r="AC152" s="8">
        <v>1135338</v>
      </c>
      <c r="AE152" s="8">
        <v>123290</v>
      </c>
      <c r="AG152" s="8">
        <v>0</v>
      </c>
      <c r="AI152" s="8">
        <v>0</v>
      </c>
      <c r="AJ152" s="13" t="s">
        <v>571</v>
      </c>
      <c r="AK152" s="13"/>
      <c r="AL152" s="13" t="s">
        <v>51</v>
      </c>
      <c r="AN152" s="8">
        <v>192317</v>
      </c>
      <c r="AP152" s="8">
        <v>0</v>
      </c>
      <c r="AT152" s="8">
        <v>19409</v>
      </c>
      <c r="AV152" s="8">
        <v>3661</v>
      </c>
      <c r="AX152" s="8">
        <v>0</v>
      </c>
      <c r="AZ152" s="8">
        <f t="shared" si="11"/>
        <v>15511958</v>
      </c>
      <c r="BB152" s="8">
        <v>10095</v>
      </c>
      <c r="BH152" s="8">
        <v>0</v>
      </c>
      <c r="BJ152" s="8">
        <f t="shared" si="12"/>
        <v>15522053</v>
      </c>
      <c r="BL152" s="8">
        <f>+GenRev!AM152-GenExp!BJ152</f>
        <v>-609422</v>
      </c>
      <c r="BN152" s="8">
        <v>2326205</v>
      </c>
      <c r="BP152" s="8">
        <v>0</v>
      </c>
      <c r="BQ152" s="8">
        <v>0</v>
      </c>
      <c r="BS152" s="8">
        <f t="shared" si="10"/>
        <v>1716783</v>
      </c>
      <c r="BU152" s="9">
        <f>+BS152-'Gen Fd BS'!AA151+BQ152</f>
        <v>0</v>
      </c>
    </row>
    <row r="153" spans="1:73">
      <c r="A153" s="13" t="s">
        <v>286</v>
      </c>
      <c r="B153" s="13"/>
      <c r="C153" s="13" t="s">
        <v>115</v>
      </c>
      <c r="D153" s="13"/>
      <c r="E153" s="32">
        <v>43927</v>
      </c>
      <c r="F153" s="11"/>
      <c r="G153" s="8">
        <v>4605349</v>
      </c>
      <c r="I153" s="8">
        <v>1308500</v>
      </c>
      <c r="K153" s="8">
        <v>87193</v>
      </c>
      <c r="M153" s="8">
        <v>0</v>
      </c>
      <c r="O153" s="8">
        <v>616072</v>
      </c>
      <c r="Q153" s="8">
        <v>329310</v>
      </c>
      <c r="S153" s="8">
        <v>62411</v>
      </c>
      <c r="U153" s="8">
        <v>644592</v>
      </c>
      <c r="W153" s="8">
        <v>238147</v>
      </c>
      <c r="Y153" s="8">
        <v>423081</v>
      </c>
      <c r="AA153" s="8">
        <v>1054326</v>
      </c>
      <c r="AC153" s="8">
        <v>512821</v>
      </c>
      <c r="AE153" s="8">
        <v>0</v>
      </c>
      <c r="AG153" s="8">
        <v>0</v>
      </c>
      <c r="AI153" s="8">
        <v>2500</v>
      </c>
      <c r="AJ153" s="13" t="s">
        <v>286</v>
      </c>
      <c r="AK153" s="13"/>
      <c r="AL153" s="13" t="s">
        <v>115</v>
      </c>
      <c r="AN153" s="8">
        <v>174334</v>
      </c>
      <c r="AP153" s="8">
        <v>0</v>
      </c>
      <c r="AT153" s="8">
        <v>0</v>
      </c>
      <c r="AV153" s="8">
        <v>0</v>
      </c>
      <c r="AX153" s="8">
        <v>0</v>
      </c>
      <c r="AZ153" s="8">
        <f t="shared" si="11"/>
        <v>10058636</v>
      </c>
      <c r="BB153" s="8">
        <v>58701</v>
      </c>
      <c r="BH153" s="8">
        <v>0</v>
      </c>
      <c r="BJ153" s="8">
        <f t="shared" si="12"/>
        <v>10117337</v>
      </c>
      <c r="BL153" s="8">
        <f>+GenRev!AM153-GenExp!BJ153</f>
        <v>-287186</v>
      </c>
      <c r="BN153" s="8">
        <v>-55083</v>
      </c>
      <c r="BP153" s="8">
        <v>0</v>
      </c>
      <c r="BQ153" s="8">
        <v>0</v>
      </c>
      <c r="BS153" s="8">
        <f t="shared" si="10"/>
        <v>-342269</v>
      </c>
      <c r="BU153" s="9">
        <f>+BS153-'Gen Fd BS'!AA152+BQ153</f>
        <v>0</v>
      </c>
    </row>
    <row r="154" spans="1:73">
      <c r="A154" s="13" t="s">
        <v>240</v>
      </c>
      <c r="B154" s="13"/>
      <c r="C154" s="13" t="s">
        <v>77</v>
      </c>
      <c r="D154" s="13"/>
      <c r="E154" s="32">
        <v>46037</v>
      </c>
      <c r="F154" s="11"/>
      <c r="G154" s="8">
        <v>4887303</v>
      </c>
      <c r="I154" s="8">
        <v>836996</v>
      </c>
      <c r="K154" s="8">
        <v>200347</v>
      </c>
      <c r="M154" s="8">
        <v>671101</v>
      </c>
      <c r="O154" s="8">
        <v>358116</v>
      </c>
      <c r="Q154" s="8">
        <v>648822</v>
      </c>
      <c r="S154" s="8">
        <v>25361</v>
      </c>
      <c r="U154" s="8">
        <v>1010346</v>
      </c>
      <c r="W154" s="8">
        <v>369572</v>
      </c>
      <c r="Y154" s="8">
        <v>5012</v>
      </c>
      <c r="AA154" s="8">
        <v>885971</v>
      </c>
      <c r="AC154" s="8">
        <v>757160</v>
      </c>
      <c r="AE154" s="8">
        <v>38858</v>
      </c>
      <c r="AG154" s="8">
        <v>0</v>
      </c>
      <c r="AI154" s="8">
        <v>2124</v>
      </c>
      <c r="AJ154" s="13" t="s">
        <v>240</v>
      </c>
      <c r="AK154" s="13"/>
      <c r="AL154" s="13" t="s">
        <v>77</v>
      </c>
      <c r="AN154" s="8">
        <v>85346</v>
      </c>
      <c r="AP154" s="8">
        <v>2758</v>
      </c>
      <c r="AT154" s="8">
        <v>0</v>
      </c>
      <c r="AV154" s="8">
        <v>0</v>
      </c>
      <c r="AX154" s="8">
        <v>0</v>
      </c>
      <c r="AZ154" s="8">
        <f t="shared" si="11"/>
        <v>10785193</v>
      </c>
      <c r="BB154" s="8">
        <v>0</v>
      </c>
      <c r="BH154" s="8">
        <v>0</v>
      </c>
      <c r="BJ154" s="8">
        <f t="shared" si="12"/>
        <v>10785193</v>
      </c>
      <c r="BL154" s="8">
        <f>+GenRev!AM154-GenExp!BJ154</f>
        <v>100549</v>
      </c>
      <c r="BN154" s="8">
        <v>44510</v>
      </c>
      <c r="BP154" s="8">
        <v>0</v>
      </c>
      <c r="BQ154" s="8">
        <v>0</v>
      </c>
      <c r="BS154" s="8">
        <f t="shared" si="10"/>
        <v>145059</v>
      </c>
      <c r="BU154" s="9">
        <f>+BS154-'Gen Fd BS'!AA153+BQ154</f>
        <v>0</v>
      </c>
    </row>
    <row r="155" spans="1:73">
      <c r="A155" s="13" t="s">
        <v>740</v>
      </c>
      <c r="B155" s="13"/>
      <c r="C155" s="13" t="s">
        <v>72</v>
      </c>
      <c r="D155" s="13"/>
      <c r="E155" s="32">
        <v>50674</v>
      </c>
      <c r="G155" s="8">
        <v>6835384</v>
      </c>
      <c r="I155" s="8">
        <v>1297812</v>
      </c>
      <c r="K155" s="8">
        <v>164204</v>
      </c>
      <c r="M155" s="8">
        <v>0</v>
      </c>
      <c r="O155" s="8">
        <v>442056</v>
      </c>
      <c r="Q155" s="8">
        <v>409358</v>
      </c>
      <c r="S155" s="8">
        <v>24772</v>
      </c>
      <c r="U155" s="8">
        <v>1242415</v>
      </c>
      <c r="W155" s="8">
        <v>408277</v>
      </c>
      <c r="Y155" s="8">
        <v>0</v>
      </c>
      <c r="AA155" s="8">
        <v>1216589</v>
      </c>
      <c r="AC155" s="8">
        <v>969108</v>
      </c>
      <c r="AE155" s="8">
        <v>0</v>
      </c>
      <c r="AG155" s="8">
        <v>0</v>
      </c>
      <c r="AI155" s="8">
        <v>0</v>
      </c>
      <c r="AJ155" s="13" t="s">
        <v>740</v>
      </c>
      <c r="AK155" s="13"/>
      <c r="AL155" s="13" t="s">
        <v>72</v>
      </c>
      <c r="AN155" s="8">
        <v>250449</v>
      </c>
      <c r="AP155" s="8">
        <v>207858</v>
      </c>
      <c r="AT155" s="8">
        <v>24954</v>
      </c>
      <c r="AV155" s="8">
        <v>8322</v>
      </c>
      <c r="AX155" s="8">
        <v>0</v>
      </c>
      <c r="AZ155" s="8">
        <f t="shared" si="11"/>
        <v>13501558</v>
      </c>
      <c r="BB155" s="8">
        <v>24826</v>
      </c>
      <c r="BH155" s="8">
        <v>0</v>
      </c>
      <c r="BJ155" s="8">
        <f t="shared" si="12"/>
        <v>13526384</v>
      </c>
      <c r="BL155" s="8">
        <f>+GenRev!AM155-GenExp!BJ155</f>
        <v>1309920</v>
      </c>
      <c r="BN155" s="8">
        <v>2658478</v>
      </c>
      <c r="BP155" s="8">
        <v>0</v>
      </c>
      <c r="BQ155" s="8">
        <v>0</v>
      </c>
      <c r="BS155" s="8">
        <f t="shared" si="10"/>
        <v>3968398</v>
      </c>
      <c r="BU155" s="9">
        <f>+BS155-'Gen Fd BS'!AA154+BQ155</f>
        <v>0</v>
      </c>
    </row>
    <row r="156" spans="1:73">
      <c r="A156" s="12" t="s">
        <v>974</v>
      </c>
      <c r="B156" s="13"/>
      <c r="C156" s="13" t="s">
        <v>57</v>
      </c>
      <c r="D156" s="13"/>
      <c r="E156" s="32">
        <v>43935</v>
      </c>
      <c r="G156" s="8">
        <v>10047873</v>
      </c>
      <c r="I156" s="8">
        <v>0</v>
      </c>
      <c r="K156" s="8">
        <v>0</v>
      </c>
      <c r="M156" s="8">
        <v>0</v>
      </c>
      <c r="O156" s="8">
        <v>869415</v>
      </c>
      <c r="Q156" s="8">
        <v>436446</v>
      </c>
      <c r="S156" s="8">
        <v>20055</v>
      </c>
      <c r="U156" s="8">
        <v>1585955</v>
      </c>
      <c r="W156" s="8">
        <v>586283</v>
      </c>
      <c r="Y156" s="8">
        <v>5668</v>
      </c>
      <c r="AA156" s="8">
        <v>1696917</v>
      </c>
      <c r="AC156" s="8">
        <v>1128942</v>
      </c>
      <c r="AE156" s="8">
        <v>74755</v>
      </c>
      <c r="AG156" s="8">
        <v>0</v>
      </c>
      <c r="AI156" s="8">
        <v>14083</v>
      </c>
      <c r="AJ156" s="13" t="s">
        <v>787</v>
      </c>
      <c r="AK156" s="13"/>
      <c r="AL156" s="13" t="s">
        <v>57</v>
      </c>
      <c r="AN156" s="8">
        <v>404874</v>
      </c>
      <c r="AP156" s="8">
        <v>27742</v>
      </c>
      <c r="AT156" s="8">
        <v>0</v>
      </c>
      <c r="AV156" s="8">
        <v>0</v>
      </c>
      <c r="AX156" s="8">
        <v>0</v>
      </c>
      <c r="AZ156" s="8">
        <f t="shared" si="11"/>
        <v>16899008</v>
      </c>
      <c r="BB156" s="8">
        <v>0</v>
      </c>
      <c r="BH156" s="8">
        <v>0</v>
      </c>
      <c r="BJ156" s="8">
        <f t="shared" si="12"/>
        <v>16899008</v>
      </c>
      <c r="BL156" s="8">
        <f>+GenRev!AM156-GenExp!BJ156</f>
        <v>2739647</v>
      </c>
      <c r="BN156" s="8">
        <v>7369851</v>
      </c>
      <c r="BP156" s="8">
        <v>-63253</v>
      </c>
      <c r="BQ156" s="8">
        <v>0</v>
      </c>
      <c r="BS156" s="8">
        <f t="shared" si="10"/>
        <v>10172751</v>
      </c>
      <c r="BU156" s="9">
        <f>+BS156-'Gen Fd BS'!AA155+BQ156</f>
        <v>0</v>
      </c>
    </row>
    <row r="157" spans="1:73" hidden="1">
      <c r="A157" s="13" t="s">
        <v>734</v>
      </c>
      <c r="B157" s="13"/>
      <c r="C157" s="13" t="s">
        <v>733</v>
      </c>
      <c r="D157" s="13"/>
      <c r="E157" s="32">
        <v>50617</v>
      </c>
      <c r="AE157" s="8">
        <v>0</v>
      </c>
      <c r="AG157" s="8">
        <v>0</v>
      </c>
      <c r="AI157" s="8">
        <v>0</v>
      </c>
      <c r="AJ157" s="13" t="s">
        <v>734</v>
      </c>
      <c r="AK157" s="13"/>
      <c r="AL157" s="13" t="s">
        <v>733</v>
      </c>
      <c r="AN157" s="8">
        <v>0</v>
      </c>
      <c r="AP157" s="8">
        <v>0</v>
      </c>
      <c r="AT157" s="8">
        <v>0</v>
      </c>
      <c r="AV157" s="8">
        <v>0</v>
      </c>
      <c r="AX157" s="8">
        <v>0</v>
      </c>
      <c r="AZ157" s="8">
        <f t="shared" si="11"/>
        <v>0</v>
      </c>
      <c r="BB157" s="8">
        <v>0</v>
      </c>
      <c r="BH157" s="8">
        <v>0</v>
      </c>
      <c r="BJ157" s="8">
        <f t="shared" si="12"/>
        <v>0</v>
      </c>
      <c r="BL157" s="8">
        <f>+GenRev!AM157-GenExp!BJ157</f>
        <v>0</v>
      </c>
      <c r="BN157" s="8">
        <v>0</v>
      </c>
      <c r="BP157" s="8">
        <v>0</v>
      </c>
      <c r="BQ157" s="8">
        <v>0</v>
      </c>
      <c r="BS157" s="8">
        <f t="shared" si="10"/>
        <v>0</v>
      </c>
      <c r="BU157" s="9">
        <f>+BS157-'Gen Fd BS'!AA156+BQ157</f>
        <v>0</v>
      </c>
    </row>
    <row r="158" spans="1:73" hidden="1">
      <c r="A158" s="13" t="s">
        <v>245</v>
      </c>
      <c r="B158" s="13"/>
      <c r="C158" s="13" t="s">
        <v>246</v>
      </c>
      <c r="D158" s="13"/>
      <c r="E158" s="32">
        <v>46094</v>
      </c>
      <c r="F158" s="11"/>
      <c r="AE158" s="8">
        <v>0</v>
      </c>
      <c r="AG158" s="8">
        <v>0</v>
      </c>
      <c r="AI158" s="8">
        <v>0</v>
      </c>
      <c r="AJ158" s="13" t="s">
        <v>245</v>
      </c>
      <c r="AK158" s="13"/>
      <c r="AL158" s="13" t="s">
        <v>246</v>
      </c>
      <c r="AN158" s="8">
        <v>0</v>
      </c>
      <c r="AP158" s="8">
        <v>0</v>
      </c>
      <c r="AT158" s="8">
        <v>0</v>
      </c>
      <c r="AV158" s="8">
        <v>0</v>
      </c>
      <c r="AX158" s="8">
        <v>0</v>
      </c>
      <c r="AZ158" s="8">
        <f t="shared" si="11"/>
        <v>0</v>
      </c>
      <c r="BB158" s="8">
        <v>0</v>
      </c>
      <c r="BH158" s="8">
        <v>0</v>
      </c>
      <c r="BJ158" s="8">
        <f t="shared" si="12"/>
        <v>0</v>
      </c>
      <c r="BL158" s="8">
        <f>+GenRev!AM158-GenExp!BJ158</f>
        <v>0</v>
      </c>
      <c r="BN158" s="8">
        <v>0</v>
      </c>
      <c r="BP158" s="8">
        <v>0</v>
      </c>
      <c r="BQ158" s="8">
        <v>0</v>
      </c>
      <c r="BS158" s="8">
        <f t="shared" si="10"/>
        <v>0</v>
      </c>
      <c r="BU158" s="9">
        <f>+BS158-'Gen Fd BS'!AA157+BQ158</f>
        <v>0</v>
      </c>
    </row>
    <row r="159" spans="1:73">
      <c r="A159" s="12" t="s">
        <v>245</v>
      </c>
      <c r="B159" s="13"/>
      <c r="C159" s="13" t="s">
        <v>246</v>
      </c>
      <c r="D159" s="13"/>
      <c r="E159" s="32">
        <v>43935</v>
      </c>
      <c r="G159" s="8">
        <v>12712746</v>
      </c>
      <c r="I159" s="8">
        <v>3219073</v>
      </c>
      <c r="K159" s="8">
        <v>0</v>
      </c>
      <c r="M159" s="8">
        <v>12058</v>
      </c>
      <c r="O159" s="8">
        <v>1956184</v>
      </c>
      <c r="Q159" s="8">
        <v>2506707</v>
      </c>
      <c r="S159" s="8">
        <v>232710</v>
      </c>
      <c r="U159" s="8">
        <v>2210084</v>
      </c>
      <c r="W159" s="8">
        <v>813096</v>
      </c>
      <c r="Y159" s="8">
        <v>158689</v>
      </c>
      <c r="AA159" s="8">
        <v>2628520</v>
      </c>
      <c r="AC159" s="8">
        <v>1238160</v>
      </c>
      <c r="AE159" s="8">
        <v>205732</v>
      </c>
      <c r="AG159" s="8">
        <v>0</v>
      </c>
      <c r="AI159" s="8">
        <v>7968</v>
      </c>
      <c r="AJ159" s="13" t="s">
        <v>245</v>
      </c>
      <c r="AK159" s="13"/>
      <c r="AL159" s="13" t="s">
        <v>246</v>
      </c>
      <c r="AN159" s="8">
        <v>438950</v>
      </c>
      <c r="AP159" s="8">
        <v>0</v>
      </c>
      <c r="AT159" s="8">
        <v>245608</v>
      </c>
      <c r="AV159" s="8">
        <v>52565</v>
      </c>
      <c r="AX159" s="8">
        <v>0</v>
      </c>
      <c r="AZ159" s="8">
        <f>SUM(G159:AX159)</f>
        <v>28638850</v>
      </c>
      <c r="BB159" s="8">
        <v>1370</v>
      </c>
      <c r="BH159" s="8">
        <v>0</v>
      </c>
      <c r="BJ159" s="8">
        <f>+AZ159+BB159+BD159+BH159</f>
        <v>28640220</v>
      </c>
      <c r="BL159" s="8">
        <f>+GenRev!AM159-GenExp!BJ159</f>
        <v>54455</v>
      </c>
      <c r="BN159" s="8">
        <v>3008449</v>
      </c>
      <c r="BP159" s="8">
        <v>0</v>
      </c>
      <c r="BQ159" s="8">
        <v>0</v>
      </c>
      <c r="BS159" s="8">
        <f>+BN159+BL159-BP159</f>
        <v>3062904</v>
      </c>
      <c r="BU159" s="9">
        <f>+BS159-'Gen Fd BS'!AA158+BQ159</f>
        <v>0</v>
      </c>
    </row>
    <row r="160" spans="1:73">
      <c r="A160" s="13" t="s">
        <v>455</v>
      </c>
      <c r="B160" s="13"/>
      <c r="C160" s="13" t="s">
        <v>39</v>
      </c>
      <c r="D160" s="13"/>
      <c r="E160" s="32">
        <v>47795</v>
      </c>
      <c r="G160" s="8">
        <v>6273565</v>
      </c>
      <c r="I160" s="8">
        <v>1175388</v>
      </c>
      <c r="K160" s="8">
        <v>205732</v>
      </c>
      <c r="M160" s="8">
        <v>1817111</v>
      </c>
      <c r="O160" s="8">
        <v>424767</v>
      </c>
      <c r="Q160" s="8">
        <v>221051</v>
      </c>
      <c r="S160" s="8">
        <v>229493</v>
      </c>
      <c r="U160" s="8">
        <v>1341609</v>
      </c>
      <c r="W160" s="8">
        <v>479766</v>
      </c>
      <c r="Y160" s="8">
        <v>116877</v>
      </c>
      <c r="AA160" s="8">
        <v>1795835</v>
      </c>
      <c r="AC160" s="8">
        <v>1904659</v>
      </c>
      <c r="AE160" s="8">
        <v>367166</v>
      </c>
      <c r="AG160" s="8">
        <v>0</v>
      </c>
      <c r="AI160" s="8">
        <v>1725</v>
      </c>
      <c r="AJ160" s="13" t="s">
        <v>455</v>
      </c>
      <c r="AK160" s="13"/>
      <c r="AL160" s="13" t="s">
        <v>39</v>
      </c>
      <c r="AN160" s="8">
        <v>240384</v>
      </c>
      <c r="AP160" s="8">
        <v>559799</v>
      </c>
      <c r="AT160" s="8">
        <v>135954</v>
      </c>
      <c r="AV160" s="8">
        <v>57640</v>
      </c>
      <c r="AX160" s="8">
        <v>0</v>
      </c>
      <c r="AZ160" s="8">
        <f t="shared" si="11"/>
        <v>17348521</v>
      </c>
      <c r="BB160" s="8">
        <v>222469</v>
      </c>
      <c r="BH160" s="8">
        <v>0</v>
      </c>
      <c r="BJ160" s="8">
        <f t="shared" si="12"/>
        <v>17570990</v>
      </c>
      <c r="BL160" s="8">
        <f>+GenRev!AM160-GenExp!BJ160</f>
        <v>-532600</v>
      </c>
      <c r="BN160" s="8">
        <v>-1030693</v>
      </c>
      <c r="BP160" s="8">
        <v>0</v>
      </c>
      <c r="BQ160" s="8">
        <v>0</v>
      </c>
      <c r="BS160" s="8">
        <f t="shared" si="10"/>
        <v>-1563293</v>
      </c>
      <c r="BU160" s="9">
        <f>+BS160-'Gen Fd BS'!AA159+BQ160</f>
        <v>0</v>
      </c>
    </row>
    <row r="161" spans="1:73">
      <c r="A161" s="13" t="s">
        <v>735</v>
      </c>
      <c r="B161" s="13"/>
      <c r="C161" s="13" t="s">
        <v>733</v>
      </c>
      <c r="D161" s="13"/>
      <c r="E161" s="32">
        <v>50625</v>
      </c>
      <c r="G161" s="8">
        <v>2353845</v>
      </c>
      <c r="I161" s="8">
        <v>334336</v>
      </c>
      <c r="K161" s="8">
        <v>166574</v>
      </c>
      <c r="M161" s="8">
        <f>144+10298</f>
        <v>10442</v>
      </c>
      <c r="O161" s="8">
        <v>239719</v>
      </c>
      <c r="Q161" s="8">
        <v>312865</v>
      </c>
      <c r="S161" s="8">
        <v>13377</v>
      </c>
      <c r="U161" s="8">
        <v>497216</v>
      </c>
      <c r="W161" s="8">
        <v>238120</v>
      </c>
      <c r="Y161" s="8">
        <v>1125</v>
      </c>
      <c r="AA161" s="8">
        <v>585825</v>
      </c>
      <c r="AC161" s="8">
        <v>375256</v>
      </c>
      <c r="AE161" s="8">
        <v>35696</v>
      </c>
      <c r="AG161" s="8">
        <v>0</v>
      </c>
      <c r="AI161" s="8">
        <v>106</v>
      </c>
      <c r="AJ161" s="13" t="s">
        <v>735</v>
      </c>
      <c r="AK161" s="13"/>
      <c r="AL161" s="13" t="s">
        <v>733</v>
      </c>
      <c r="AN161" s="8">
        <v>183910</v>
      </c>
      <c r="AP161" s="8">
        <v>678</v>
      </c>
      <c r="AT161" s="8">
        <v>0</v>
      </c>
      <c r="AV161" s="8">
        <v>0</v>
      </c>
      <c r="AX161" s="8">
        <v>0</v>
      </c>
      <c r="AZ161" s="8">
        <f t="shared" si="11"/>
        <v>5349090</v>
      </c>
      <c r="BB161" s="8">
        <v>0</v>
      </c>
      <c r="BH161" s="8">
        <v>0</v>
      </c>
      <c r="BJ161" s="8">
        <f t="shared" si="12"/>
        <v>5349090</v>
      </c>
      <c r="BL161" s="8">
        <f>+GenRev!AM161-GenExp!BJ161</f>
        <v>72192</v>
      </c>
      <c r="BN161" s="8">
        <v>2522159</v>
      </c>
      <c r="BP161" s="8">
        <v>0</v>
      </c>
      <c r="BQ161" s="8">
        <v>0</v>
      </c>
      <c r="BS161" s="8">
        <f t="shared" si="10"/>
        <v>2594351</v>
      </c>
      <c r="BU161" s="9">
        <f>+BS161-'Gen Fd BS'!AA160+BQ161</f>
        <v>0</v>
      </c>
    </row>
    <row r="162" spans="1:73">
      <c r="A162" s="13" t="s">
        <v>526</v>
      </c>
      <c r="B162" s="13"/>
      <c r="C162" s="13" t="s">
        <v>46</v>
      </c>
      <c r="D162" s="13"/>
      <c r="E162" s="32">
        <v>48413</v>
      </c>
      <c r="G162" s="8">
        <v>7003488</v>
      </c>
      <c r="I162" s="8">
        <v>869147</v>
      </c>
      <c r="K162" s="8">
        <v>289968</v>
      </c>
      <c r="M162" s="8">
        <v>0</v>
      </c>
      <c r="O162" s="8">
        <v>465338</v>
      </c>
      <c r="Q162" s="8">
        <v>446064</v>
      </c>
      <c r="S162" s="8">
        <v>34121</v>
      </c>
      <c r="U162" s="8">
        <v>1259662</v>
      </c>
      <c r="W162" s="8">
        <v>378194</v>
      </c>
      <c r="Y162" s="8">
        <v>0</v>
      </c>
      <c r="AA162" s="8">
        <v>1337672</v>
      </c>
      <c r="AC162" s="8">
        <v>893068</v>
      </c>
      <c r="AE162" s="8">
        <v>0</v>
      </c>
      <c r="AG162" s="8">
        <v>0</v>
      </c>
      <c r="AI162" s="8">
        <v>1071</v>
      </c>
      <c r="AJ162" s="13" t="s">
        <v>526</v>
      </c>
      <c r="AK162" s="13"/>
      <c r="AL162" s="13" t="s">
        <v>46</v>
      </c>
      <c r="AN162" s="8">
        <v>287026</v>
      </c>
      <c r="AP162" s="8">
        <v>29014</v>
      </c>
      <c r="AT162" s="8">
        <v>0</v>
      </c>
      <c r="AV162" s="8">
        <v>0</v>
      </c>
      <c r="AX162" s="8">
        <v>0</v>
      </c>
      <c r="AZ162" s="8">
        <f t="shared" si="11"/>
        <v>13293833</v>
      </c>
      <c r="BB162" s="8">
        <v>40000</v>
      </c>
      <c r="BH162" s="8">
        <v>0</v>
      </c>
      <c r="BJ162" s="8">
        <f t="shared" si="12"/>
        <v>13333833</v>
      </c>
      <c r="BL162" s="8">
        <f>+GenRev!AM162-GenExp!BJ162</f>
        <v>-426122</v>
      </c>
      <c r="BN162" s="8">
        <v>1005535</v>
      </c>
      <c r="BP162" s="8">
        <v>0</v>
      </c>
      <c r="BQ162" s="8">
        <v>0</v>
      </c>
      <c r="BS162" s="8">
        <f t="shared" si="10"/>
        <v>579413</v>
      </c>
      <c r="BU162" s="9">
        <f>+BS162-'Gen Fd BS'!AA161+BQ162</f>
        <v>0</v>
      </c>
    </row>
    <row r="163" spans="1:73">
      <c r="A163" s="13" t="s">
        <v>493</v>
      </c>
      <c r="B163" s="13"/>
      <c r="C163" s="13" t="s">
        <v>44</v>
      </c>
      <c r="D163" s="13"/>
      <c r="E163" s="32">
        <v>43943</v>
      </c>
      <c r="G163" s="8">
        <v>25807682</v>
      </c>
      <c r="I163" s="8">
        <v>7259807</v>
      </c>
      <c r="K163" s="8">
        <v>353064</v>
      </c>
      <c r="M163" s="8">
        <v>6154969</v>
      </c>
      <c r="O163" s="8">
        <v>2959710</v>
      </c>
      <c r="Q163" s="8">
        <v>2048838</v>
      </c>
      <c r="S163" s="8">
        <v>51488</v>
      </c>
      <c r="U163" s="8">
        <v>4461921</v>
      </c>
      <c r="W163" s="8">
        <v>1656787</v>
      </c>
      <c r="Y163" s="8">
        <v>778417</v>
      </c>
      <c r="AA163" s="8">
        <v>6198067</v>
      </c>
      <c r="AC163" s="8">
        <v>2520503</v>
      </c>
      <c r="AE163" s="8">
        <v>1026715</v>
      </c>
      <c r="AG163" s="8">
        <v>0</v>
      </c>
      <c r="AI163" s="8">
        <v>589670</v>
      </c>
      <c r="AJ163" s="13" t="s">
        <v>493</v>
      </c>
      <c r="AK163" s="13"/>
      <c r="AL163" s="13" t="s">
        <v>44</v>
      </c>
      <c r="AN163" s="8">
        <v>768453</v>
      </c>
      <c r="AP163" s="8">
        <v>57195</v>
      </c>
      <c r="AT163" s="8">
        <v>582990</v>
      </c>
      <c r="AV163" s="8">
        <v>244781</v>
      </c>
      <c r="AX163" s="8">
        <v>0</v>
      </c>
      <c r="AZ163" s="8">
        <f t="shared" si="11"/>
        <v>63521057</v>
      </c>
      <c r="BB163" s="8">
        <v>2165002</v>
      </c>
      <c r="BH163" s="8">
        <v>0</v>
      </c>
      <c r="BJ163" s="8">
        <f t="shared" si="12"/>
        <v>65686059</v>
      </c>
      <c r="BL163" s="8">
        <f>+GenRev!AM163-GenExp!BJ163</f>
        <v>-156912</v>
      </c>
      <c r="BN163" s="8">
        <v>2764460</v>
      </c>
      <c r="BP163" s="8">
        <v>0</v>
      </c>
      <c r="BQ163" s="8">
        <v>0</v>
      </c>
      <c r="BS163" s="8">
        <f t="shared" si="10"/>
        <v>2607548</v>
      </c>
      <c r="BU163" s="9">
        <f>+BS163-'Gen Fd BS'!AA162+BQ163</f>
        <v>0</v>
      </c>
    </row>
    <row r="164" spans="1:73">
      <c r="A164" s="13" t="s">
        <v>310</v>
      </c>
      <c r="B164" s="13"/>
      <c r="C164" s="13" t="s">
        <v>20</v>
      </c>
      <c r="D164" s="13"/>
      <c r="E164" s="32">
        <v>43950</v>
      </c>
      <c r="G164" s="8">
        <v>26365254</v>
      </c>
      <c r="I164" s="8">
        <v>12263505</v>
      </c>
      <c r="K164" s="8">
        <v>1405627</v>
      </c>
      <c r="M164" s="8">
        <v>486750</v>
      </c>
      <c r="O164" s="8">
        <v>3868171</v>
      </c>
      <c r="Q164" s="8">
        <v>3909482</v>
      </c>
      <c r="S164" s="8">
        <v>78016</v>
      </c>
      <c r="U164" s="8">
        <v>5189373</v>
      </c>
      <c r="W164" s="8">
        <v>1921780</v>
      </c>
      <c r="Y164" s="8">
        <v>794788</v>
      </c>
      <c r="AA164" s="8">
        <v>8226956</v>
      </c>
      <c r="AC164" s="8">
        <v>3757106</v>
      </c>
      <c r="AE164" s="8">
        <v>1182949</v>
      </c>
      <c r="AG164" s="8">
        <v>36306</v>
      </c>
      <c r="AI164" s="8">
        <v>3850713</v>
      </c>
      <c r="AJ164" s="13" t="s">
        <v>310</v>
      </c>
      <c r="AK164" s="13"/>
      <c r="AL164" s="13" t="s">
        <v>20</v>
      </c>
      <c r="AN164" s="8">
        <v>893845</v>
      </c>
      <c r="AP164" s="8">
        <v>0</v>
      </c>
      <c r="AT164" s="8">
        <v>0</v>
      </c>
      <c r="AV164" s="8">
        <v>0</v>
      </c>
      <c r="AX164" s="8">
        <v>0</v>
      </c>
      <c r="AZ164" s="8">
        <f t="shared" si="11"/>
        <v>74230621</v>
      </c>
      <c r="BB164" s="8">
        <v>268831</v>
      </c>
      <c r="BH164" s="8">
        <v>0</v>
      </c>
      <c r="BJ164" s="8">
        <f t="shared" si="12"/>
        <v>74499452</v>
      </c>
      <c r="BL164" s="8">
        <f>+GenRev!AM164-GenExp!BJ164</f>
        <v>-4576866</v>
      </c>
      <c r="BN164" s="8">
        <v>13675657</v>
      </c>
      <c r="BP164" s="8">
        <v>0</v>
      </c>
      <c r="BQ164" s="8">
        <v>0</v>
      </c>
      <c r="BS164" s="8">
        <f t="shared" si="10"/>
        <v>9098791</v>
      </c>
      <c r="BU164" s="9">
        <f>+BS164-'Gen Fd BS'!AA163+BQ164</f>
        <v>0</v>
      </c>
    </row>
    <row r="165" spans="1:73" hidden="1">
      <c r="A165" s="13" t="s">
        <v>373</v>
      </c>
      <c r="B165" s="13"/>
      <c r="C165" s="13" t="s">
        <v>28</v>
      </c>
      <c r="D165" s="13"/>
      <c r="E165" s="32">
        <v>47050</v>
      </c>
      <c r="AG165" s="8">
        <v>0</v>
      </c>
      <c r="AI165" s="8">
        <v>0</v>
      </c>
      <c r="AJ165" s="13" t="s">
        <v>373</v>
      </c>
      <c r="AK165" s="13"/>
      <c r="AL165" s="13" t="s">
        <v>28</v>
      </c>
      <c r="AN165" s="8">
        <v>0</v>
      </c>
      <c r="AP165" s="8">
        <v>0</v>
      </c>
      <c r="AT165" s="8">
        <v>0</v>
      </c>
      <c r="AV165" s="8">
        <v>0</v>
      </c>
      <c r="AX165" s="8">
        <v>0</v>
      </c>
      <c r="AZ165" s="8">
        <f t="shared" si="11"/>
        <v>0</v>
      </c>
      <c r="BB165" s="8">
        <v>0</v>
      </c>
      <c r="BH165" s="8">
        <v>0</v>
      </c>
      <c r="BJ165" s="8">
        <f t="shared" si="12"/>
        <v>0</v>
      </c>
      <c r="BL165" s="8">
        <f>+GenRev!AM165-GenExp!BJ165</f>
        <v>0</v>
      </c>
      <c r="BN165" s="8">
        <v>0</v>
      </c>
      <c r="BP165" s="8">
        <v>0</v>
      </c>
      <c r="BQ165" s="8">
        <v>0</v>
      </c>
      <c r="BS165" s="8">
        <f t="shared" si="10"/>
        <v>0</v>
      </c>
      <c r="BU165" s="9">
        <f>+BS165-'Gen Fd BS'!AA164+BQ165</f>
        <v>0</v>
      </c>
    </row>
    <row r="166" spans="1:73">
      <c r="A166" s="13" t="s">
        <v>707</v>
      </c>
      <c r="B166" s="13"/>
      <c r="C166" s="13" t="s">
        <v>66</v>
      </c>
      <c r="D166" s="13"/>
      <c r="E166" s="32">
        <v>50328</v>
      </c>
      <c r="G166" s="8">
        <v>4332500</v>
      </c>
      <c r="I166" s="8">
        <v>713938</v>
      </c>
      <c r="K166" s="8">
        <v>34720</v>
      </c>
      <c r="M166" s="8">
        <v>54729</v>
      </c>
      <c r="O166" s="8">
        <v>498130</v>
      </c>
      <c r="Q166" s="8">
        <v>420992</v>
      </c>
      <c r="S166" s="8">
        <v>66950</v>
      </c>
      <c r="U166" s="8">
        <v>891670</v>
      </c>
      <c r="W166" s="8">
        <v>354526</v>
      </c>
      <c r="Y166" s="8">
        <v>0</v>
      </c>
      <c r="AA166" s="8">
        <v>957273</v>
      </c>
      <c r="AC166" s="8">
        <v>903321</v>
      </c>
      <c r="AE166" s="8">
        <v>0</v>
      </c>
      <c r="AG166" s="8">
        <v>0</v>
      </c>
      <c r="AI166" s="8">
        <v>0</v>
      </c>
      <c r="AJ166" s="13" t="s">
        <v>707</v>
      </c>
      <c r="AK166" s="13"/>
      <c r="AL166" s="13" t="s">
        <v>66</v>
      </c>
      <c r="AN166" s="8">
        <v>208325</v>
      </c>
      <c r="AP166" s="8">
        <v>0</v>
      </c>
      <c r="AT166" s="8">
        <v>20523</v>
      </c>
      <c r="AV166" s="8">
        <v>7237</v>
      </c>
      <c r="AX166" s="8">
        <v>0</v>
      </c>
      <c r="AZ166" s="8">
        <f t="shared" si="11"/>
        <v>9464834</v>
      </c>
      <c r="BB166" s="8">
        <v>51230</v>
      </c>
      <c r="BH166" s="8">
        <v>0</v>
      </c>
      <c r="BJ166" s="8">
        <f t="shared" si="12"/>
        <v>9516064</v>
      </c>
      <c r="BL166" s="8">
        <f>+GenRev!AM166-GenExp!BJ166</f>
        <v>-110833</v>
      </c>
      <c r="BN166" s="8">
        <v>1864117</v>
      </c>
      <c r="BP166" s="8">
        <v>0</v>
      </c>
      <c r="BQ166" s="8">
        <v>0</v>
      </c>
      <c r="BS166" s="8">
        <f t="shared" si="10"/>
        <v>1753284</v>
      </c>
      <c r="BU166" s="9">
        <f>+BS166-'Gen Fd BS'!AA165+BQ166</f>
        <v>0</v>
      </c>
    </row>
    <row r="167" spans="1:73">
      <c r="A167" s="13" t="s">
        <v>884</v>
      </c>
      <c r="B167" s="13"/>
      <c r="C167" s="13" t="s">
        <v>885</v>
      </c>
      <c r="D167" s="13"/>
      <c r="E167" s="32">
        <v>46102</v>
      </c>
      <c r="F167" s="11"/>
      <c r="G167" s="8">
        <v>17369163</v>
      </c>
      <c r="I167" s="8">
        <v>4278962</v>
      </c>
      <c r="K167" s="8">
        <v>0</v>
      </c>
      <c r="M167" s="8">
        <v>2368706</v>
      </c>
      <c r="O167" s="8">
        <v>2486231</v>
      </c>
      <c r="Q167" s="8">
        <v>1368050</v>
      </c>
      <c r="S167" s="8">
        <v>55466</v>
      </c>
      <c r="U167" s="8">
        <v>2836945</v>
      </c>
      <c r="W167" s="8">
        <v>806620</v>
      </c>
      <c r="Y167" s="8">
        <v>285206</v>
      </c>
      <c r="AA167" s="8">
        <v>3700588</v>
      </c>
      <c r="AC167" s="8">
        <v>2930478</v>
      </c>
      <c r="AE167" s="8">
        <v>423090</v>
      </c>
      <c r="AG167" s="8">
        <v>0</v>
      </c>
      <c r="AI167" s="8">
        <v>0</v>
      </c>
      <c r="AJ167" s="13" t="s">
        <v>884</v>
      </c>
      <c r="AK167" s="13"/>
      <c r="AL167" s="13" t="s">
        <v>117</v>
      </c>
      <c r="AN167" s="8">
        <v>567261</v>
      </c>
      <c r="AP167" s="8">
        <v>0</v>
      </c>
      <c r="AT167" s="8">
        <v>29635</v>
      </c>
      <c r="AV167" s="8">
        <v>3694</v>
      </c>
      <c r="AX167" s="8">
        <v>0</v>
      </c>
      <c r="AZ167" s="8">
        <f>SUM(G167:AX167)</f>
        <v>39510095</v>
      </c>
      <c r="BB167" s="8">
        <v>389000</v>
      </c>
      <c r="BH167" s="8">
        <v>0</v>
      </c>
      <c r="BJ167" s="8">
        <f>+AZ167+BB167+BD167+BH167</f>
        <v>39899095</v>
      </c>
      <c r="BL167" s="8">
        <f>+GenRev!AM167-GenExp!BJ167</f>
        <v>577114</v>
      </c>
      <c r="BN167" s="8">
        <v>-532295</v>
      </c>
      <c r="BP167" s="8">
        <v>721</v>
      </c>
      <c r="BQ167" s="8">
        <v>0</v>
      </c>
      <c r="BS167" s="8">
        <f>+BN167+BL167-BP167</f>
        <v>44098</v>
      </c>
      <c r="BU167" s="9">
        <f>+BS167-'Gen Fd BS'!AA166+BQ167</f>
        <v>0</v>
      </c>
    </row>
    <row r="168" spans="1:73">
      <c r="A168" s="13" t="s">
        <v>247</v>
      </c>
      <c r="B168" s="13"/>
      <c r="C168" s="13" t="s">
        <v>246</v>
      </c>
      <c r="D168" s="13"/>
      <c r="E168" s="32">
        <v>46102</v>
      </c>
      <c r="F168" s="11"/>
      <c r="G168" s="8">
        <v>34095101</v>
      </c>
      <c r="I168" s="8">
        <v>6856123</v>
      </c>
      <c r="K168" s="8">
        <v>87176</v>
      </c>
      <c r="M168" s="8">
        <v>1474263</v>
      </c>
      <c r="O168" s="8">
        <v>2306605</v>
      </c>
      <c r="Q168" s="8">
        <v>5664471</v>
      </c>
      <c r="S168" s="8">
        <v>0</v>
      </c>
      <c r="U168" s="8">
        <f>17135+5802175</f>
        <v>5819310</v>
      </c>
      <c r="W168" s="8">
        <v>1273956</v>
      </c>
      <c r="Y168" s="8">
        <v>296425</v>
      </c>
      <c r="AA168" s="8">
        <v>7578005</v>
      </c>
      <c r="AC168" s="8">
        <v>5695130</v>
      </c>
      <c r="AE168" s="8">
        <v>144190</v>
      </c>
      <c r="AG168" s="8">
        <v>0</v>
      </c>
      <c r="AI168" s="8">
        <v>1817</v>
      </c>
      <c r="AJ168" s="13" t="s">
        <v>247</v>
      </c>
      <c r="AK168" s="13"/>
      <c r="AL168" s="13" t="s">
        <v>246</v>
      </c>
      <c r="AN168" s="8">
        <v>1358680</v>
      </c>
      <c r="AP168" s="8">
        <v>2200</v>
      </c>
      <c r="AT168" s="8">
        <v>84484</v>
      </c>
      <c r="AV168" s="8">
        <v>0</v>
      </c>
      <c r="AX168" s="8">
        <v>0</v>
      </c>
      <c r="AZ168" s="8">
        <f t="shared" si="11"/>
        <v>72737936</v>
      </c>
      <c r="BB168" s="8">
        <v>0</v>
      </c>
      <c r="BH168" s="8">
        <v>0</v>
      </c>
      <c r="BJ168" s="8">
        <f t="shared" si="12"/>
        <v>72737936</v>
      </c>
      <c r="BL168" s="8">
        <f>+GenRev!AM168-GenExp!BJ168</f>
        <v>2061785</v>
      </c>
      <c r="BN168" s="8">
        <v>7180458</v>
      </c>
      <c r="BP168" s="8">
        <v>0</v>
      </c>
      <c r="BQ168" s="8">
        <v>0</v>
      </c>
      <c r="BS168" s="8">
        <f t="shared" si="10"/>
        <v>9242243</v>
      </c>
      <c r="BU168" s="9">
        <f>+BS168-'Gen Fd BS'!AA167+BQ168</f>
        <v>0</v>
      </c>
    </row>
    <row r="169" spans="1:73">
      <c r="A169" s="13" t="s">
        <v>441</v>
      </c>
      <c r="B169" s="13"/>
      <c r="C169" s="13" t="s">
        <v>440</v>
      </c>
      <c r="D169" s="13"/>
      <c r="E169" s="32">
        <v>47621</v>
      </c>
      <c r="G169" s="8">
        <v>3557611</v>
      </c>
      <c r="I169" s="8">
        <v>535664</v>
      </c>
      <c r="K169" s="8">
        <v>293079</v>
      </c>
      <c r="M169" s="8">
        <v>21834</v>
      </c>
      <c r="O169" s="8">
        <v>304959</v>
      </c>
      <c r="Q169" s="8">
        <v>420483</v>
      </c>
      <c r="S169" s="8">
        <v>35218</v>
      </c>
      <c r="U169" s="8">
        <v>853880</v>
      </c>
      <c r="W169" s="8">
        <v>313433</v>
      </c>
      <c r="Y169" s="8">
        <v>14160</v>
      </c>
      <c r="AA169" s="8">
        <v>644302</v>
      </c>
      <c r="AC169" s="8">
        <v>462765</v>
      </c>
      <c r="AE169" s="8">
        <v>94388</v>
      </c>
      <c r="AG169" s="8">
        <v>0</v>
      </c>
      <c r="AI169" s="8">
        <v>34010</v>
      </c>
      <c r="AJ169" s="13" t="s">
        <v>441</v>
      </c>
      <c r="AK169" s="13"/>
      <c r="AL169" s="13" t="s">
        <v>440</v>
      </c>
      <c r="AN169" s="8">
        <v>40528</v>
      </c>
      <c r="AP169" s="8">
        <v>0</v>
      </c>
      <c r="AT169" s="8">
        <v>0</v>
      </c>
      <c r="AV169" s="8">
        <v>0</v>
      </c>
      <c r="AX169" s="8">
        <v>0</v>
      </c>
      <c r="AZ169" s="8">
        <f t="shared" si="11"/>
        <v>7626314</v>
      </c>
      <c r="BB169" s="8">
        <v>0</v>
      </c>
      <c r="BH169" s="8">
        <v>0</v>
      </c>
      <c r="BJ169" s="8">
        <f t="shared" si="12"/>
        <v>7626314</v>
      </c>
      <c r="BL169" s="8">
        <f>+GenRev!AM169-GenExp!BJ169</f>
        <v>-611799</v>
      </c>
      <c r="BN169" s="8">
        <v>-137457</v>
      </c>
      <c r="BP169" s="8">
        <v>0</v>
      </c>
      <c r="BQ169" s="8">
        <v>0</v>
      </c>
      <c r="BS169" s="8">
        <f t="shared" si="10"/>
        <v>-749256</v>
      </c>
      <c r="BU169" s="9">
        <f>+BS169-'Gen Fd BS'!AA168+BQ169</f>
        <v>0</v>
      </c>
    </row>
    <row r="170" spans="1:73">
      <c r="A170" s="13" t="s">
        <v>350</v>
      </c>
      <c r="B170" s="13"/>
      <c r="C170" s="13" t="s">
        <v>25</v>
      </c>
      <c r="D170" s="13"/>
      <c r="E170" s="32">
        <v>46870</v>
      </c>
      <c r="G170" s="8">
        <v>7533708</v>
      </c>
      <c r="I170" s="8">
        <v>1191533</v>
      </c>
      <c r="K170" s="8">
        <v>330925</v>
      </c>
      <c r="M170" s="8">
        <v>325729</v>
      </c>
      <c r="O170" s="8">
        <v>847414</v>
      </c>
      <c r="Q170" s="8">
        <v>627604</v>
      </c>
      <c r="S170" s="8">
        <v>34166</v>
      </c>
      <c r="U170" s="8">
        <v>1386486</v>
      </c>
      <c r="W170" s="8">
        <v>470340</v>
      </c>
      <c r="Y170" s="8">
        <v>0</v>
      </c>
      <c r="AA170" s="8">
        <v>1143604</v>
      </c>
      <c r="AC170" s="8">
        <v>1238916</v>
      </c>
      <c r="AE170" s="8">
        <v>128396</v>
      </c>
      <c r="AG170" s="8">
        <v>0</v>
      </c>
      <c r="AI170" s="8">
        <v>0</v>
      </c>
      <c r="AJ170" s="13" t="s">
        <v>350</v>
      </c>
      <c r="AK170" s="13"/>
      <c r="AL170" s="13" t="s">
        <v>25</v>
      </c>
      <c r="AN170" s="8">
        <v>419717</v>
      </c>
      <c r="AP170" s="8">
        <v>0</v>
      </c>
      <c r="AT170" s="8">
        <v>59050</v>
      </c>
      <c r="AV170" s="8">
        <v>17260</v>
      </c>
      <c r="AX170" s="8">
        <v>0</v>
      </c>
      <c r="AZ170" s="8">
        <f t="shared" si="11"/>
        <v>15754848</v>
      </c>
      <c r="BB170" s="8">
        <v>1210717</v>
      </c>
      <c r="BH170" s="8">
        <v>0</v>
      </c>
      <c r="BJ170" s="8">
        <f t="shared" si="12"/>
        <v>16965565</v>
      </c>
      <c r="BL170" s="8">
        <f>+GenRev!AM170-GenExp!BJ170</f>
        <v>1199838</v>
      </c>
      <c r="BN170" s="8">
        <v>669055</v>
      </c>
      <c r="BP170" s="8">
        <v>0</v>
      </c>
      <c r="BQ170" s="8">
        <v>0</v>
      </c>
      <c r="BS170" s="8">
        <f t="shared" si="10"/>
        <v>1868893</v>
      </c>
      <c r="BU170" s="9">
        <f>+BS170-'Gen Fd BS'!AA169+BQ170</f>
        <v>0</v>
      </c>
    </row>
    <row r="171" spans="1:73">
      <c r="A171" s="13" t="s">
        <v>473</v>
      </c>
      <c r="B171" s="13"/>
      <c r="C171" s="13" t="s">
        <v>471</v>
      </c>
      <c r="D171" s="13"/>
      <c r="E171" s="32">
        <v>47936</v>
      </c>
      <c r="G171" s="8">
        <v>6611827</v>
      </c>
      <c r="I171" s="8">
        <v>1112094</v>
      </c>
      <c r="K171" s="8">
        <v>58501</v>
      </c>
      <c r="M171" s="8">
        <v>16065</v>
      </c>
      <c r="O171" s="8">
        <v>331709</v>
      </c>
      <c r="Q171" s="8">
        <v>473023</v>
      </c>
      <c r="S171" s="8">
        <v>141238</v>
      </c>
      <c r="U171" s="8">
        <v>1124550</v>
      </c>
      <c r="W171" s="8">
        <v>353903</v>
      </c>
      <c r="Y171" s="8">
        <v>0</v>
      </c>
      <c r="AA171" s="8">
        <v>2167854</v>
      </c>
      <c r="AC171" s="8">
        <v>963136</v>
      </c>
      <c r="AE171" s="8">
        <v>0</v>
      </c>
      <c r="AG171" s="8">
        <v>0</v>
      </c>
      <c r="AI171" s="8">
        <v>5095</v>
      </c>
      <c r="AJ171" s="13" t="s">
        <v>473</v>
      </c>
      <c r="AK171" s="13"/>
      <c r="AL171" s="13" t="s">
        <v>471</v>
      </c>
      <c r="AN171" s="8">
        <v>219053</v>
      </c>
      <c r="AP171" s="8">
        <v>0</v>
      </c>
      <c r="AT171" s="8">
        <v>0</v>
      </c>
      <c r="AV171" s="8">
        <v>0</v>
      </c>
      <c r="AX171" s="8">
        <v>0</v>
      </c>
      <c r="AZ171" s="8">
        <f t="shared" si="11"/>
        <v>13578048</v>
      </c>
      <c r="BB171" s="8">
        <v>46878</v>
      </c>
      <c r="BH171" s="8">
        <v>0</v>
      </c>
      <c r="BJ171" s="8">
        <f t="shared" si="12"/>
        <v>13624926</v>
      </c>
      <c r="BL171" s="8">
        <f>+GenRev!AM171-GenExp!BJ171</f>
        <v>41811</v>
      </c>
      <c r="BN171" s="8">
        <v>3689124</v>
      </c>
      <c r="BP171" s="8">
        <v>0</v>
      </c>
      <c r="BQ171" s="8">
        <v>0</v>
      </c>
      <c r="BS171" s="8">
        <f t="shared" si="10"/>
        <v>3730935</v>
      </c>
      <c r="BU171" s="9">
        <f>+BS171-'Gen Fd BS'!AA170+BQ171</f>
        <v>0</v>
      </c>
    </row>
    <row r="172" spans="1:73" hidden="1">
      <c r="A172" s="13" t="s">
        <v>648</v>
      </c>
      <c r="B172" s="13"/>
      <c r="C172" s="13" t="s">
        <v>61</v>
      </c>
      <c r="D172" s="13"/>
      <c r="E172" s="32">
        <v>49775</v>
      </c>
      <c r="AG172" s="8">
        <v>0</v>
      </c>
      <c r="AI172" s="8">
        <v>0</v>
      </c>
      <c r="AJ172" s="13" t="s">
        <v>648</v>
      </c>
      <c r="AK172" s="13"/>
      <c r="AL172" s="13" t="s">
        <v>61</v>
      </c>
      <c r="AP172" s="8">
        <v>0</v>
      </c>
      <c r="AT172" s="8">
        <v>0</v>
      </c>
      <c r="AV172" s="8">
        <v>0</v>
      </c>
      <c r="AX172" s="8">
        <v>0</v>
      </c>
      <c r="AZ172" s="8">
        <f t="shared" si="11"/>
        <v>0</v>
      </c>
      <c r="BB172" s="8">
        <v>0</v>
      </c>
      <c r="BH172" s="8">
        <v>0</v>
      </c>
      <c r="BJ172" s="8">
        <f t="shared" si="12"/>
        <v>0</v>
      </c>
      <c r="BL172" s="8">
        <f>+GenRev!AM172-GenExp!BJ172</f>
        <v>0</v>
      </c>
      <c r="BN172" s="8">
        <v>0</v>
      </c>
      <c r="BP172" s="8">
        <v>0</v>
      </c>
      <c r="BQ172" s="8">
        <v>0</v>
      </c>
      <c r="BS172" s="8">
        <f t="shared" si="10"/>
        <v>0</v>
      </c>
      <c r="BU172" s="9">
        <f>+BS172-'Gen Fd BS'!AA171+BQ172</f>
        <v>0</v>
      </c>
    </row>
    <row r="173" spans="1:73">
      <c r="A173" s="13" t="s">
        <v>656</v>
      </c>
      <c r="B173" s="13"/>
      <c r="C173" s="13" t="s">
        <v>62</v>
      </c>
      <c r="D173" s="13"/>
      <c r="E173" s="32">
        <v>49841</v>
      </c>
      <c r="G173" s="8">
        <v>7910300</v>
      </c>
      <c r="I173" s="8">
        <v>1831435</v>
      </c>
      <c r="K173" s="8">
        <v>137723</v>
      </c>
      <c r="M173" s="8">
        <v>437738</v>
      </c>
      <c r="O173" s="8">
        <v>1129407</v>
      </c>
      <c r="Q173" s="8">
        <v>356954</v>
      </c>
      <c r="S173" s="8">
        <v>39403</v>
      </c>
      <c r="U173" s="8">
        <v>1540296</v>
      </c>
      <c r="W173" s="8">
        <v>442556</v>
      </c>
      <c r="Y173" s="8">
        <v>0</v>
      </c>
      <c r="AA173" s="8">
        <v>1575942</v>
      </c>
      <c r="AC173" s="8">
        <v>1139050</v>
      </c>
      <c r="AE173" s="8">
        <v>15540</v>
      </c>
      <c r="AG173" s="8">
        <v>0</v>
      </c>
      <c r="AI173" s="8">
        <v>0</v>
      </c>
      <c r="AJ173" s="13" t="s">
        <v>656</v>
      </c>
      <c r="AK173" s="13"/>
      <c r="AL173" s="13" t="s">
        <v>62</v>
      </c>
      <c r="AN173" s="8">
        <v>345783</v>
      </c>
      <c r="AP173" s="8">
        <v>0</v>
      </c>
      <c r="AT173" s="8">
        <v>0</v>
      </c>
      <c r="AV173" s="8">
        <v>0</v>
      </c>
      <c r="AX173" s="8">
        <v>0</v>
      </c>
      <c r="AZ173" s="8">
        <f t="shared" si="11"/>
        <v>16902127</v>
      </c>
      <c r="BB173" s="8">
        <v>0</v>
      </c>
      <c r="BH173" s="8">
        <v>0</v>
      </c>
      <c r="BJ173" s="8">
        <f t="shared" si="12"/>
        <v>16902127</v>
      </c>
      <c r="BL173" s="8">
        <f>+GenRev!AM173-GenExp!BJ173</f>
        <v>-1789513</v>
      </c>
      <c r="BN173" s="8">
        <v>3130698</v>
      </c>
      <c r="BP173" s="8">
        <v>0</v>
      </c>
      <c r="BQ173" s="8">
        <v>0</v>
      </c>
      <c r="BS173" s="8">
        <f t="shared" si="10"/>
        <v>1341185</v>
      </c>
      <c r="BU173" s="9">
        <f>+BS173-'Gen Fd BS'!AA172+BQ173</f>
        <v>0</v>
      </c>
    </row>
    <row r="174" spans="1:73" hidden="1">
      <c r="A174" s="13" t="s">
        <v>463</v>
      </c>
      <c r="B174" s="13"/>
      <c r="C174" s="13" t="s">
        <v>41</v>
      </c>
      <c r="D174" s="13"/>
      <c r="E174" s="32">
        <v>45369</v>
      </c>
      <c r="AG174" s="8">
        <v>0</v>
      </c>
      <c r="AI174" s="8">
        <v>0</v>
      </c>
      <c r="AJ174" s="13" t="s">
        <v>463</v>
      </c>
      <c r="AK174" s="13"/>
      <c r="AL174" s="13" t="s">
        <v>41</v>
      </c>
      <c r="AP174" s="8">
        <v>0</v>
      </c>
      <c r="AT174" s="8">
        <v>0</v>
      </c>
      <c r="AV174" s="8">
        <v>0</v>
      </c>
      <c r="AX174" s="8">
        <v>0</v>
      </c>
      <c r="AZ174" s="8">
        <f t="shared" si="11"/>
        <v>0</v>
      </c>
      <c r="BB174" s="8">
        <v>0</v>
      </c>
      <c r="BH174" s="8">
        <v>0</v>
      </c>
      <c r="BJ174" s="8">
        <f t="shared" si="12"/>
        <v>0</v>
      </c>
      <c r="BL174" s="8">
        <f>+GenRev!AM174-GenExp!BJ174</f>
        <v>0</v>
      </c>
      <c r="BN174" s="8">
        <v>0</v>
      </c>
      <c r="BP174" s="8">
        <v>0</v>
      </c>
      <c r="BQ174" s="8">
        <v>0</v>
      </c>
      <c r="BS174" s="8">
        <f t="shared" si="10"/>
        <v>0</v>
      </c>
      <c r="BU174" s="9">
        <f>+BS174-'Gen Fd BS'!AA173+BQ174</f>
        <v>0</v>
      </c>
    </row>
    <row r="175" spans="1:73">
      <c r="A175" s="13" t="s">
        <v>311</v>
      </c>
      <c r="B175" s="13"/>
      <c r="C175" s="13" t="s">
        <v>20</v>
      </c>
      <c r="D175" s="13"/>
      <c r="E175" s="32">
        <v>43976</v>
      </c>
      <c r="G175" s="8">
        <v>7995744</v>
      </c>
      <c r="I175" s="8">
        <v>2503001</v>
      </c>
      <c r="K175" s="8">
        <v>5070</v>
      </c>
      <c r="M175" s="8">
        <v>15137</v>
      </c>
      <c r="O175" s="8">
        <v>916728</v>
      </c>
      <c r="Q175" s="8">
        <v>1207504</v>
      </c>
      <c r="S175" s="8">
        <v>21868</v>
      </c>
      <c r="U175" s="8">
        <v>1150542</v>
      </c>
      <c r="W175" s="8">
        <v>651262</v>
      </c>
      <c r="Y175" s="8">
        <v>57978</v>
      </c>
      <c r="AA175" s="8">
        <v>1776897</v>
      </c>
      <c r="AC175" s="8">
        <v>713995</v>
      </c>
      <c r="AE175" s="8">
        <v>216832</v>
      </c>
      <c r="AG175" s="8">
        <v>0</v>
      </c>
      <c r="AI175" s="8">
        <v>0</v>
      </c>
      <c r="AJ175" s="13" t="s">
        <v>311</v>
      </c>
      <c r="AK175" s="13"/>
      <c r="AL175" s="13" t="s">
        <v>20</v>
      </c>
      <c r="AN175" s="8">
        <v>289665</v>
      </c>
      <c r="AP175" s="8">
        <v>0</v>
      </c>
      <c r="AT175" s="8">
        <v>0</v>
      </c>
      <c r="AV175" s="8">
        <v>0</v>
      </c>
      <c r="AX175" s="8">
        <v>0</v>
      </c>
      <c r="AZ175" s="8">
        <f t="shared" si="11"/>
        <v>17522223</v>
      </c>
      <c r="BB175" s="8">
        <v>609889</v>
      </c>
      <c r="BH175" s="8">
        <v>0</v>
      </c>
      <c r="BJ175" s="8">
        <f t="shared" si="12"/>
        <v>18132112</v>
      </c>
      <c r="BL175" s="8">
        <f>+GenRev!AM175-GenExp!BJ175</f>
        <v>3646199</v>
      </c>
      <c r="BN175" s="8">
        <v>6557660</v>
      </c>
      <c r="BP175" s="8">
        <v>0</v>
      </c>
      <c r="BQ175" s="8">
        <v>0</v>
      </c>
      <c r="BS175" s="8">
        <f t="shared" si="10"/>
        <v>10203859</v>
      </c>
      <c r="BU175" s="9">
        <f>+BS175-'Gen Fd BS'!AA174+BQ175</f>
        <v>0</v>
      </c>
    </row>
    <row r="176" spans="1:73">
      <c r="A176" s="13" t="s">
        <v>241</v>
      </c>
      <c r="B176" s="13"/>
      <c r="C176" s="13" t="s">
        <v>77</v>
      </c>
      <c r="D176" s="13"/>
      <c r="E176" s="32">
        <v>46045</v>
      </c>
      <c r="F176" s="11"/>
      <c r="G176" s="8">
        <v>3418453</v>
      </c>
      <c r="I176" s="8">
        <v>841488</v>
      </c>
      <c r="K176" s="8">
        <v>174555</v>
      </c>
      <c r="M176" s="8">
        <v>30839</v>
      </c>
      <c r="O176" s="8">
        <v>282176</v>
      </c>
      <c r="Q176" s="8">
        <v>670791</v>
      </c>
      <c r="S176" s="8">
        <v>58918</v>
      </c>
      <c r="U176" s="8">
        <v>777136</v>
      </c>
      <c r="W176" s="8">
        <v>283598</v>
      </c>
      <c r="Y176" s="8">
        <v>0</v>
      </c>
      <c r="AA176" s="8">
        <v>812935</v>
      </c>
      <c r="AC176" s="8">
        <v>528288</v>
      </c>
      <c r="AE176" s="8">
        <v>7189</v>
      </c>
      <c r="AG176" s="8">
        <v>0</v>
      </c>
      <c r="AI176" s="8">
        <v>58555</v>
      </c>
      <c r="AJ176" s="13" t="s">
        <v>241</v>
      </c>
      <c r="AK176" s="13"/>
      <c r="AL176" s="13" t="s">
        <v>77</v>
      </c>
      <c r="AN176" s="8">
        <v>131342</v>
      </c>
      <c r="AP176" s="8">
        <v>2633</v>
      </c>
      <c r="AT176" s="8">
        <v>0</v>
      </c>
      <c r="AV176" s="8">
        <v>0</v>
      </c>
      <c r="AX176" s="8">
        <v>0</v>
      </c>
      <c r="AZ176" s="8">
        <f t="shared" si="11"/>
        <v>8078896</v>
      </c>
      <c r="BB176" s="8">
        <v>0</v>
      </c>
      <c r="BH176" s="8">
        <v>0</v>
      </c>
      <c r="BJ176" s="8">
        <f t="shared" si="12"/>
        <v>8078896</v>
      </c>
      <c r="BL176" s="8">
        <f>+GenRev!AM178-GenExp!BJ176</f>
        <v>-529511</v>
      </c>
      <c r="BN176" s="8">
        <v>2400361</v>
      </c>
      <c r="BP176" s="8">
        <v>0</v>
      </c>
      <c r="BQ176" s="8">
        <v>0</v>
      </c>
      <c r="BS176" s="8">
        <f t="shared" si="10"/>
        <v>1870850</v>
      </c>
      <c r="BU176" s="9">
        <f>+BS176-'Gen Fd BS'!AA177+BQ176</f>
        <v>0</v>
      </c>
    </row>
    <row r="177" spans="1:73">
      <c r="A177" s="13" t="s">
        <v>272</v>
      </c>
      <c r="B177" s="13"/>
      <c r="C177" s="13" t="s">
        <v>116</v>
      </c>
      <c r="D177" s="13"/>
      <c r="E177" s="32">
        <v>46334</v>
      </c>
      <c r="F177" s="11"/>
      <c r="G177" s="8">
        <v>4496507</v>
      </c>
      <c r="I177" s="8">
        <v>252715</v>
      </c>
      <c r="K177" s="8">
        <v>0</v>
      </c>
      <c r="M177" s="8">
        <v>1179849</v>
      </c>
      <c r="O177" s="8">
        <v>360601</v>
      </c>
      <c r="Q177" s="8">
        <v>353593</v>
      </c>
      <c r="S177" s="8">
        <v>14657</v>
      </c>
      <c r="U177" s="8">
        <v>808616</v>
      </c>
      <c r="W177" s="8">
        <v>364167</v>
      </c>
      <c r="Y177" s="8">
        <v>0</v>
      </c>
      <c r="AA177" s="8">
        <v>1124652</v>
      </c>
      <c r="AC177" s="8">
        <v>619750</v>
      </c>
      <c r="AE177" s="8">
        <v>45746</v>
      </c>
      <c r="AG177" s="8">
        <v>0</v>
      </c>
      <c r="AI177" s="8">
        <v>0</v>
      </c>
      <c r="AJ177" s="13" t="s">
        <v>272</v>
      </c>
      <c r="AK177" s="13"/>
      <c r="AL177" s="13" t="s">
        <v>116</v>
      </c>
      <c r="AN177" s="8">
        <v>158819</v>
      </c>
      <c r="AP177" s="8">
        <v>0</v>
      </c>
      <c r="AT177" s="8">
        <v>11858</v>
      </c>
      <c r="AV177" s="8">
        <v>0</v>
      </c>
      <c r="AX177" s="8">
        <v>0</v>
      </c>
      <c r="AZ177" s="8">
        <f t="shared" si="11"/>
        <v>9791530</v>
      </c>
      <c r="BB177" s="8">
        <v>0</v>
      </c>
      <c r="BH177" s="8">
        <v>0</v>
      </c>
      <c r="BJ177" s="8">
        <f t="shared" si="12"/>
        <v>9791530</v>
      </c>
      <c r="BL177" s="8">
        <f>+GenRev!AM179-GenExp!BJ177</f>
        <v>-905019</v>
      </c>
      <c r="BN177" s="8">
        <v>1484547</v>
      </c>
      <c r="BP177" s="8">
        <v>0</v>
      </c>
      <c r="BQ177" s="8">
        <v>0</v>
      </c>
      <c r="BS177" s="8">
        <f t="shared" si="10"/>
        <v>579528</v>
      </c>
      <c r="BU177" s="9">
        <f>+BS177-'Gen Fd BS'!AA178+BQ177</f>
        <v>0</v>
      </c>
    </row>
    <row r="178" spans="1:73">
      <c r="A178" s="13" t="s">
        <v>597</v>
      </c>
      <c r="B178" s="13"/>
      <c r="C178" s="13" t="s">
        <v>56</v>
      </c>
      <c r="D178" s="13"/>
      <c r="E178" s="32">
        <v>49197</v>
      </c>
      <c r="G178" s="8">
        <v>9116113</v>
      </c>
      <c r="I178" s="8">
        <v>1263852</v>
      </c>
      <c r="K178" s="8">
        <v>155747</v>
      </c>
      <c r="M178" s="8">
        <f>16872+112945</f>
        <v>129817</v>
      </c>
      <c r="O178" s="8">
        <v>906358</v>
      </c>
      <c r="Q178" s="8">
        <v>529696</v>
      </c>
      <c r="S178" s="8">
        <v>20757</v>
      </c>
      <c r="U178" s="8">
        <v>2003991</v>
      </c>
      <c r="W178" s="8">
        <v>492365</v>
      </c>
      <c r="Y178" s="8">
        <v>34515</v>
      </c>
      <c r="AA178" s="8">
        <v>1548979</v>
      </c>
      <c r="AC178" s="8">
        <v>1107510</v>
      </c>
      <c r="AE178" s="8">
        <v>41349</v>
      </c>
      <c r="AG178" s="8">
        <v>0</v>
      </c>
      <c r="AI178" s="8">
        <v>14703</v>
      </c>
      <c r="AJ178" s="13" t="s">
        <v>597</v>
      </c>
      <c r="AK178" s="13"/>
      <c r="AL178" s="13" t="s">
        <v>56</v>
      </c>
      <c r="AN178" s="8">
        <v>232954</v>
      </c>
      <c r="AP178" s="8">
        <v>29728</v>
      </c>
      <c r="AT178" s="8">
        <v>50728</v>
      </c>
      <c r="AV178" s="8">
        <v>8130</v>
      </c>
      <c r="AX178" s="8">
        <v>0</v>
      </c>
      <c r="AZ178" s="8">
        <f t="shared" si="11"/>
        <v>17687292</v>
      </c>
      <c r="BB178" s="8">
        <v>360799</v>
      </c>
      <c r="BH178" s="8">
        <v>0</v>
      </c>
      <c r="BJ178" s="8">
        <f t="shared" si="12"/>
        <v>18048091</v>
      </c>
      <c r="BL178" s="8">
        <f>+GenRev!AM180-GenExp!BJ178</f>
        <v>512375</v>
      </c>
      <c r="BN178" s="8">
        <v>-1321769</v>
      </c>
      <c r="BP178" s="8">
        <v>0</v>
      </c>
      <c r="BQ178" s="8">
        <v>0</v>
      </c>
      <c r="BS178" s="8">
        <f t="shared" si="10"/>
        <v>-809394</v>
      </c>
      <c r="BU178" s="9">
        <f>+BS178-'Gen Fd BS'!AA179+BQ178</f>
        <v>0</v>
      </c>
    </row>
    <row r="179" spans="1:73">
      <c r="A179" s="13" t="s">
        <v>421</v>
      </c>
      <c r="B179" s="13"/>
      <c r="C179" s="13" t="s">
        <v>33</v>
      </c>
      <c r="D179" s="13"/>
      <c r="E179" s="32">
        <v>43984</v>
      </c>
      <c r="G179" s="8">
        <v>25032506</v>
      </c>
      <c r="I179" s="8">
        <v>5702150</v>
      </c>
      <c r="K179" s="8">
        <v>2703361</v>
      </c>
      <c r="M179" s="8">
        <v>2214611</v>
      </c>
      <c r="O179" s="8">
        <v>2380882</v>
      </c>
      <c r="Q179" s="8">
        <v>2800970</v>
      </c>
      <c r="S179" s="8">
        <v>170763</v>
      </c>
      <c r="U179" s="8">
        <v>3696600</v>
      </c>
      <c r="W179" s="8">
        <v>1455936</v>
      </c>
      <c r="Y179" s="8">
        <v>0</v>
      </c>
      <c r="AA179" s="8">
        <v>5669309</v>
      </c>
      <c r="AC179" s="8">
        <v>2117311</v>
      </c>
      <c r="AE179" s="8">
        <v>76782</v>
      </c>
      <c r="AG179" s="8">
        <v>0</v>
      </c>
      <c r="AI179" s="8">
        <v>0</v>
      </c>
      <c r="AJ179" s="13" t="s">
        <v>421</v>
      </c>
      <c r="AK179" s="13"/>
      <c r="AL179" s="13" t="s">
        <v>33</v>
      </c>
      <c r="AN179" s="8">
        <v>800295</v>
      </c>
      <c r="AP179" s="8">
        <v>35775</v>
      </c>
      <c r="AT179" s="8">
        <v>851267</v>
      </c>
      <c r="AV179" s="8">
        <v>124867</v>
      </c>
      <c r="AX179" s="8">
        <v>0</v>
      </c>
      <c r="AZ179" s="8">
        <f t="shared" si="11"/>
        <v>55833385</v>
      </c>
      <c r="BB179" s="8">
        <v>665000</v>
      </c>
      <c r="BH179" s="8">
        <v>0</v>
      </c>
      <c r="BJ179" s="8">
        <f t="shared" si="12"/>
        <v>56498385</v>
      </c>
      <c r="BL179" s="8">
        <f>+GenRev!AM181-GenExp!BJ179</f>
        <v>702427</v>
      </c>
      <c r="BN179" s="8">
        <v>5085217</v>
      </c>
      <c r="BP179" s="8">
        <v>674</v>
      </c>
      <c r="BQ179" s="8">
        <v>0</v>
      </c>
      <c r="BS179" s="8">
        <f t="shared" si="10"/>
        <v>5786970</v>
      </c>
      <c r="BU179" s="9">
        <f>+BS179-'Gen Fd BS'!AA180+BQ179</f>
        <v>0</v>
      </c>
    </row>
    <row r="180" spans="1:73">
      <c r="A180" s="13"/>
      <c r="B180" s="13"/>
      <c r="C180" s="13"/>
      <c r="D180" s="13"/>
      <c r="E180" s="32"/>
      <c r="AJ180" s="13"/>
      <c r="AK180" s="13"/>
      <c r="AL180" s="13"/>
    </row>
    <row r="181" spans="1:73">
      <c r="A181" s="13"/>
      <c r="B181" s="13"/>
      <c r="C181" s="13"/>
      <c r="D181" s="13"/>
      <c r="E181" s="32"/>
      <c r="AI181" s="8" t="s">
        <v>819</v>
      </c>
      <c r="AJ181" s="13"/>
      <c r="AK181" s="13"/>
      <c r="AL181" s="13"/>
      <c r="BS181" s="8" t="s">
        <v>819</v>
      </c>
    </row>
    <row r="182" spans="1:73" s="35" customFormat="1">
      <c r="A182" s="34" t="s">
        <v>398</v>
      </c>
      <c r="B182" s="34"/>
      <c r="C182" s="34" t="s">
        <v>32</v>
      </c>
      <c r="D182" s="34"/>
      <c r="E182" s="34">
        <v>47332</v>
      </c>
      <c r="G182" s="35">
        <v>7255855</v>
      </c>
      <c r="I182" s="35">
        <v>2054887</v>
      </c>
      <c r="K182" s="35">
        <v>74736</v>
      </c>
      <c r="M182" s="35">
        <v>568715</v>
      </c>
      <c r="O182" s="35">
        <v>870271</v>
      </c>
      <c r="Q182" s="35">
        <v>1404544</v>
      </c>
      <c r="S182" s="35">
        <v>0</v>
      </c>
      <c r="U182" s="35">
        <f>29001+1367225</f>
        <v>1396226</v>
      </c>
      <c r="W182" s="35">
        <v>438045</v>
      </c>
      <c r="Y182" s="35">
        <v>365158</v>
      </c>
      <c r="AA182" s="35">
        <v>1752887</v>
      </c>
      <c r="AC182" s="35">
        <v>797972</v>
      </c>
      <c r="AE182" s="35">
        <v>221350</v>
      </c>
      <c r="AG182" s="35">
        <v>0</v>
      </c>
      <c r="AI182" s="35">
        <v>127221</v>
      </c>
      <c r="AJ182" s="34" t="s">
        <v>398</v>
      </c>
      <c r="AK182" s="34"/>
      <c r="AL182" s="34" t="s">
        <v>32</v>
      </c>
      <c r="AN182" s="35">
        <v>407005</v>
      </c>
      <c r="AP182" s="35">
        <v>0</v>
      </c>
      <c r="AT182" s="35">
        <v>0</v>
      </c>
      <c r="AV182" s="35">
        <v>0</v>
      </c>
      <c r="AX182" s="35">
        <v>0</v>
      </c>
      <c r="AZ182" s="35">
        <f t="shared" si="11"/>
        <v>17734872</v>
      </c>
      <c r="BB182" s="35">
        <v>20130</v>
      </c>
      <c r="BH182" s="35">
        <v>0</v>
      </c>
      <c r="BJ182" s="35">
        <f t="shared" si="12"/>
        <v>17755002</v>
      </c>
      <c r="BL182" s="35">
        <f>+GenRev!AM182-GenExp!BJ182</f>
        <v>-134887</v>
      </c>
      <c r="BN182" s="35">
        <v>4016642</v>
      </c>
      <c r="BP182" s="35">
        <v>0</v>
      </c>
      <c r="BQ182" s="35">
        <v>0</v>
      </c>
      <c r="BS182" s="35">
        <f t="shared" si="10"/>
        <v>3881755</v>
      </c>
      <c r="BU182" s="44">
        <f>+BS182-'Gen Fd BS'!AA181+BQ182</f>
        <v>0</v>
      </c>
    </row>
    <row r="183" spans="1:73">
      <c r="A183" s="13" t="s">
        <v>494</v>
      </c>
      <c r="B183" s="13"/>
      <c r="C183" s="13" t="s">
        <v>44</v>
      </c>
      <c r="D183" s="13"/>
      <c r="E183" s="32">
        <v>48157</v>
      </c>
      <c r="G183" s="8">
        <v>7676386</v>
      </c>
      <c r="I183" s="8">
        <v>1640028</v>
      </c>
      <c r="K183" s="8">
        <v>277407</v>
      </c>
      <c r="M183" s="8">
        <v>1125025</v>
      </c>
      <c r="O183" s="8">
        <v>1044979</v>
      </c>
      <c r="Q183" s="8">
        <v>361356</v>
      </c>
      <c r="S183" s="8">
        <v>28077</v>
      </c>
      <c r="U183" s="8">
        <v>1468537</v>
      </c>
      <c r="W183" s="8">
        <v>383484</v>
      </c>
      <c r="Y183" s="8">
        <v>0</v>
      </c>
      <c r="AA183" s="8">
        <v>1178309</v>
      </c>
      <c r="AC183" s="8">
        <v>1490461</v>
      </c>
      <c r="AE183" s="8">
        <v>252221</v>
      </c>
      <c r="AG183" s="8">
        <v>0</v>
      </c>
      <c r="AI183" s="8">
        <v>0</v>
      </c>
      <c r="AJ183" s="13" t="s">
        <v>494</v>
      </c>
      <c r="AK183" s="13"/>
      <c r="AL183" s="13" t="s">
        <v>44</v>
      </c>
      <c r="AN183" s="8">
        <v>436199</v>
      </c>
      <c r="AP183" s="8">
        <v>0</v>
      </c>
      <c r="AT183" s="8">
        <v>0</v>
      </c>
      <c r="AV183" s="8">
        <v>0</v>
      </c>
      <c r="AX183" s="8">
        <v>0</v>
      </c>
      <c r="AZ183" s="8">
        <f t="shared" si="11"/>
        <v>17362469</v>
      </c>
      <c r="BB183" s="8">
        <v>1121000</v>
      </c>
      <c r="BH183" s="8">
        <v>0</v>
      </c>
      <c r="BJ183" s="8">
        <f t="shared" si="12"/>
        <v>18483469</v>
      </c>
      <c r="BL183" s="8">
        <f>+GenRev!AM183-GenExp!BJ183</f>
        <v>-2391011</v>
      </c>
      <c r="BN183" s="8">
        <v>5031428</v>
      </c>
      <c r="BP183" s="8">
        <v>0</v>
      </c>
      <c r="BQ183" s="8">
        <v>0</v>
      </c>
      <c r="BS183" s="8">
        <f t="shared" si="10"/>
        <v>2640417</v>
      </c>
      <c r="BU183" s="9">
        <f>+BS183-'Gen Fd BS'!AA182+BQ183</f>
        <v>0</v>
      </c>
    </row>
    <row r="184" spans="1:73">
      <c r="A184" s="13" t="s">
        <v>399</v>
      </c>
      <c r="B184" s="13"/>
      <c r="C184" s="13" t="s">
        <v>32</v>
      </c>
      <c r="D184" s="13"/>
      <c r="E184" s="32">
        <v>47340</v>
      </c>
      <c r="G184" s="8">
        <v>33439859</v>
      </c>
      <c r="I184" s="8">
        <v>7792644</v>
      </c>
      <c r="K184" s="8">
        <v>0</v>
      </c>
      <c r="M184" s="8">
        <v>1262512</v>
      </c>
      <c r="O184" s="8">
        <v>3208684</v>
      </c>
      <c r="Q184" s="8">
        <v>6097365</v>
      </c>
      <c r="S184" s="8">
        <v>45353</v>
      </c>
      <c r="U184" s="8">
        <v>4704574</v>
      </c>
      <c r="W184" s="8">
        <v>1242472</v>
      </c>
      <c r="Y184" s="8">
        <v>178955</v>
      </c>
      <c r="AA184" s="8">
        <v>5779027</v>
      </c>
      <c r="AC184" s="8">
        <v>4649051</v>
      </c>
      <c r="AE184" s="8">
        <v>515339</v>
      </c>
      <c r="AG184" s="8">
        <v>0</v>
      </c>
      <c r="AI184" s="8">
        <v>45718</v>
      </c>
      <c r="AJ184" s="13" t="s">
        <v>399</v>
      </c>
      <c r="AK184" s="13"/>
      <c r="AL184" s="13" t="s">
        <v>32</v>
      </c>
      <c r="AN184" s="8">
        <v>1491524</v>
      </c>
      <c r="AP184" s="8">
        <v>0</v>
      </c>
      <c r="AT184" s="8">
        <v>0</v>
      </c>
      <c r="AV184" s="8">
        <v>0</v>
      </c>
      <c r="AX184" s="8">
        <v>0</v>
      </c>
      <c r="AZ184" s="8">
        <f t="shared" si="11"/>
        <v>70453077</v>
      </c>
      <c r="BB184" s="8">
        <v>290917</v>
      </c>
      <c r="BH184" s="8">
        <v>0</v>
      </c>
      <c r="BJ184" s="8">
        <f t="shared" si="12"/>
        <v>70743994</v>
      </c>
      <c r="BL184" s="8">
        <f>+GenRev!AM184-GenExp!BJ184</f>
        <v>807399</v>
      </c>
      <c r="BN184" s="8">
        <v>23235555</v>
      </c>
      <c r="BP184" s="8">
        <v>0</v>
      </c>
      <c r="BQ184" s="8">
        <v>0</v>
      </c>
      <c r="BS184" s="8">
        <f t="shared" si="10"/>
        <v>24042954</v>
      </c>
      <c r="BU184" s="9">
        <f>+BS184-'Gen Fd BS'!AA183+BQ184</f>
        <v>0</v>
      </c>
    </row>
    <row r="185" spans="1:73" hidden="1">
      <c r="A185" s="13" t="s">
        <v>722</v>
      </c>
      <c r="B185" s="13"/>
      <c r="C185" s="13" t="s">
        <v>70</v>
      </c>
      <c r="D185" s="13"/>
      <c r="E185" s="32">
        <v>50484</v>
      </c>
      <c r="AG185" s="8">
        <v>0</v>
      </c>
      <c r="AI185" s="8">
        <v>0</v>
      </c>
      <c r="AJ185" s="13" t="s">
        <v>722</v>
      </c>
      <c r="AK185" s="13"/>
      <c r="AL185" s="13" t="s">
        <v>70</v>
      </c>
      <c r="AN185" s="8">
        <v>0</v>
      </c>
      <c r="AP185" s="8">
        <v>0</v>
      </c>
      <c r="AT185" s="8">
        <v>0</v>
      </c>
      <c r="AV185" s="8">
        <v>0</v>
      </c>
      <c r="AX185" s="8">
        <v>0</v>
      </c>
      <c r="AZ185" s="8">
        <f t="shared" si="11"/>
        <v>0</v>
      </c>
      <c r="BB185" s="8">
        <v>0</v>
      </c>
      <c r="BH185" s="8">
        <v>0</v>
      </c>
      <c r="BJ185" s="8">
        <f t="shared" si="12"/>
        <v>0</v>
      </c>
      <c r="BL185" s="8">
        <f>+GenRev!AM185-GenExp!BJ185</f>
        <v>0</v>
      </c>
      <c r="BN185" s="8">
        <v>0</v>
      </c>
      <c r="BP185" s="8">
        <v>0</v>
      </c>
      <c r="BQ185" s="8">
        <v>0</v>
      </c>
      <c r="BS185" s="8">
        <f t="shared" si="10"/>
        <v>0</v>
      </c>
      <c r="BU185" s="9">
        <f>+BS185-'Gen Fd BS'!AA184+BQ185</f>
        <v>0</v>
      </c>
    </row>
    <row r="186" spans="1:73" s="35" customFormat="1">
      <c r="A186" s="34" t="s">
        <v>649</v>
      </c>
      <c r="B186" s="34"/>
      <c r="C186" s="34" t="s">
        <v>61</v>
      </c>
      <c r="D186" s="34"/>
      <c r="E186" s="32">
        <v>49783</v>
      </c>
      <c r="G186" s="8">
        <v>3474037</v>
      </c>
      <c r="H186" s="8"/>
      <c r="I186" s="8">
        <v>382562</v>
      </c>
      <c r="J186" s="8"/>
      <c r="K186" s="8">
        <v>75</v>
      </c>
      <c r="L186" s="8"/>
      <c r="M186" s="8">
        <v>0</v>
      </c>
      <c r="N186" s="8"/>
      <c r="O186" s="8">
        <v>356452</v>
      </c>
      <c r="P186" s="8"/>
      <c r="Q186" s="8">
        <v>333268</v>
      </c>
      <c r="R186" s="8"/>
      <c r="S186" s="8">
        <v>32294</v>
      </c>
      <c r="T186" s="8"/>
      <c r="U186" s="8">
        <v>578329</v>
      </c>
      <c r="V186" s="8"/>
      <c r="W186" s="8">
        <v>146392</v>
      </c>
      <c r="X186" s="8"/>
      <c r="Y186" s="8">
        <v>639</v>
      </c>
      <c r="Z186" s="8"/>
      <c r="AA186" s="8">
        <v>547500</v>
      </c>
      <c r="AB186" s="8"/>
      <c r="AC186" s="8">
        <v>209516</v>
      </c>
      <c r="AD186" s="8"/>
      <c r="AE186" s="8">
        <v>42576</v>
      </c>
      <c r="AF186" s="8"/>
      <c r="AG186" s="8">
        <v>0</v>
      </c>
      <c r="AH186" s="8"/>
      <c r="AI186" s="8">
        <v>0</v>
      </c>
      <c r="AJ186" s="13" t="s">
        <v>649</v>
      </c>
      <c r="AK186" s="13"/>
      <c r="AL186" s="13" t="s">
        <v>61</v>
      </c>
      <c r="AM186" s="8"/>
      <c r="AN186" s="8">
        <v>205191</v>
      </c>
      <c r="AO186" s="8"/>
      <c r="AP186" s="8">
        <v>0</v>
      </c>
      <c r="AQ186" s="8"/>
      <c r="AR186" s="8"/>
      <c r="AS186" s="8"/>
      <c r="AT186" s="8">
        <v>0</v>
      </c>
      <c r="AU186" s="8"/>
      <c r="AV186" s="8">
        <v>0</v>
      </c>
      <c r="AW186" s="8"/>
      <c r="AX186" s="8">
        <v>0</v>
      </c>
      <c r="AY186" s="8"/>
      <c r="AZ186" s="8">
        <f t="shared" si="11"/>
        <v>6308831</v>
      </c>
      <c r="BA186" s="8"/>
      <c r="BB186" s="8">
        <v>38480</v>
      </c>
      <c r="BC186" s="8"/>
      <c r="BD186" s="8"/>
      <c r="BE186" s="8"/>
      <c r="BF186" s="8"/>
      <c r="BG186" s="8"/>
      <c r="BH186" s="8">
        <v>0</v>
      </c>
      <c r="BI186" s="8"/>
      <c r="BJ186" s="8">
        <f t="shared" si="12"/>
        <v>6347311</v>
      </c>
      <c r="BK186" s="8"/>
      <c r="BL186" s="8">
        <f>+GenRev!AM186-GenExp!BJ186</f>
        <v>755066</v>
      </c>
      <c r="BM186" s="8"/>
      <c r="BN186" s="8">
        <v>1589814</v>
      </c>
      <c r="BO186" s="8"/>
      <c r="BP186" s="8">
        <v>0</v>
      </c>
      <c r="BQ186" s="8">
        <v>0</v>
      </c>
      <c r="BR186" s="8"/>
      <c r="BS186" s="8">
        <f t="shared" si="10"/>
        <v>2344880</v>
      </c>
      <c r="BT186" s="8"/>
      <c r="BU186" s="9">
        <f>+BS186-'Gen Fd BS'!AA185+BQ186</f>
        <v>0</v>
      </c>
    </row>
    <row r="187" spans="1:73">
      <c r="A187" s="13" t="s">
        <v>641</v>
      </c>
      <c r="B187" s="13"/>
      <c r="C187" s="13" t="s">
        <v>60</v>
      </c>
      <c r="D187" s="13"/>
      <c r="E187" s="13">
        <v>43992</v>
      </c>
      <c r="G187" s="8">
        <v>9198291</v>
      </c>
      <c r="I187" s="8">
        <v>1687107</v>
      </c>
      <c r="K187" s="8">
        <v>203518</v>
      </c>
      <c r="M187" s="8">
        <f>8503+102985</f>
        <v>111488</v>
      </c>
      <c r="O187" s="8">
        <v>836665</v>
      </c>
      <c r="Q187" s="8">
        <v>996190</v>
      </c>
      <c r="S187" s="8">
        <v>36552</v>
      </c>
      <c r="U187" s="8">
        <v>1793358</v>
      </c>
      <c r="W187" s="8">
        <v>631687</v>
      </c>
      <c r="Y187" s="8">
        <v>57227</v>
      </c>
      <c r="AA187" s="8">
        <v>1898378</v>
      </c>
      <c r="AC187" s="8">
        <v>822596</v>
      </c>
      <c r="AE187" s="8">
        <v>41482</v>
      </c>
      <c r="AG187" s="8">
        <v>0</v>
      </c>
      <c r="AI187" s="8">
        <v>37109</v>
      </c>
      <c r="AJ187" s="13" t="s">
        <v>641</v>
      </c>
      <c r="AK187" s="13"/>
      <c r="AL187" s="13" t="s">
        <v>60</v>
      </c>
      <c r="AN187" s="8">
        <v>270639</v>
      </c>
      <c r="AP187" s="8">
        <v>19000</v>
      </c>
      <c r="AT187" s="8">
        <v>92539</v>
      </c>
      <c r="AV187" s="8">
        <v>11165</v>
      </c>
      <c r="AX187" s="8">
        <v>0</v>
      </c>
      <c r="AZ187" s="8">
        <f t="shared" ref="AZ187:AZ193" si="13">SUM(G187:AX187)</f>
        <v>18744991</v>
      </c>
      <c r="BB187" s="8">
        <v>281558</v>
      </c>
      <c r="BH187" s="8">
        <v>0</v>
      </c>
      <c r="BJ187" s="8">
        <f t="shared" ref="BJ187:BJ208" si="14">+AZ187+BB187+BD187+BH187</f>
        <v>19026549</v>
      </c>
      <c r="BL187" s="8">
        <f>+GenRev!AM187-GenExp!BJ187</f>
        <v>1199140</v>
      </c>
      <c r="BN187" s="8">
        <v>9483644</v>
      </c>
      <c r="BP187" s="8">
        <v>0</v>
      </c>
      <c r="BQ187" s="8">
        <v>0</v>
      </c>
      <c r="BS187" s="8">
        <f t="shared" ref="BS187:BS208" si="15">+BN187+BL187-BP187</f>
        <v>10682784</v>
      </c>
      <c r="BU187" s="9">
        <f>+BS187-'Gen Fd BS'!AA186+BQ187</f>
        <v>0</v>
      </c>
    </row>
    <row r="188" spans="1:73">
      <c r="A188" s="13" t="s">
        <v>714</v>
      </c>
      <c r="B188" s="13"/>
      <c r="C188" s="13" t="s">
        <v>69</v>
      </c>
      <c r="D188" s="13"/>
      <c r="E188" s="32">
        <v>44008</v>
      </c>
      <c r="G188" s="8">
        <v>12467894</v>
      </c>
      <c r="I188" s="8">
        <v>3039845</v>
      </c>
      <c r="K188" s="8">
        <v>567442</v>
      </c>
      <c r="M188" s="8">
        <v>58460</v>
      </c>
      <c r="O188" s="8">
        <v>1144641</v>
      </c>
      <c r="Q188" s="8">
        <v>1109020</v>
      </c>
      <c r="S188" s="8">
        <v>25790</v>
      </c>
      <c r="U188" s="8">
        <v>1875459</v>
      </c>
      <c r="W188" s="8">
        <v>602290</v>
      </c>
      <c r="Y188" s="8">
        <v>144753</v>
      </c>
      <c r="AA188" s="8">
        <v>2318802</v>
      </c>
      <c r="AC188" s="8">
        <v>1222668</v>
      </c>
      <c r="AE188" s="8">
        <v>328985</v>
      </c>
      <c r="AG188" s="8">
        <v>0</v>
      </c>
      <c r="AI188" s="8">
        <v>730</v>
      </c>
      <c r="AJ188" s="13" t="s">
        <v>714</v>
      </c>
      <c r="AK188" s="13"/>
      <c r="AL188" s="13" t="s">
        <v>69</v>
      </c>
      <c r="AN188" s="8">
        <v>492638</v>
      </c>
      <c r="AP188" s="8">
        <v>3019890</v>
      </c>
      <c r="AT188" s="8">
        <v>0</v>
      </c>
      <c r="AV188" s="8">
        <v>0</v>
      </c>
      <c r="AX188" s="8">
        <v>0</v>
      </c>
      <c r="AZ188" s="8">
        <f t="shared" si="13"/>
        <v>28419307</v>
      </c>
      <c r="BB188" s="8">
        <v>0</v>
      </c>
      <c r="BH188" s="8">
        <v>0</v>
      </c>
      <c r="BJ188" s="8">
        <f t="shared" si="14"/>
        <v>28419307</v>
      </c>
      <c r="BL188" s="8">
        <f>+GenRev!AM188-GenExp!BJ188</f>
        <v>118115</v>
      </c>
      <c r="BN188" s="8">
        <v>4997286</v>
      </c>
      <c r="BP188" s="8">
        <v>0</v>
      </c>
      <c r="BQ188" s="8">
        <v>0</v>
      </c>
      <c r="BS188" s="8">
        <f t="shared" si="15"/>
        <v>5115401</v>
      </c>
      <c r="BU188" s="9">
        <f>+BS188-'Gen Fd BS'!AA187+BQ188</f>
        <v>0</v>
      </c>
    </row>
    <row r="189" spans="1:73">
      <c r="A189" s="13" t="s">
        <v>572</v>
      </c>
      <c r="B189" s="13"/>
      <c r="C189" s="13" t="s">
        <v>51</v>
      </c>
      <c r="D189" s="13"/>
      <c r="E189" s="32">
        <v>48843</v>
      </c>
      <c r="G189" s="8">
        <v>9229756</v>
      </c>
      <c r="I189" s="8">
        <v>1335629</v>
      </c>
      <c r="K189" s="8">
        <v>176151</v>
      </c>
      <c r="M189" s="8">
        <v>141251</v>
      </c>
      <c r="O189" s="8">
        <v>666635</v>
      </c>
      <c r="Q189" s="8">
        <v>926566</v>
      </c>
      <c r="S189" s="8">
        <v>110690</v>
      </c>
      <c r="U189" s="8">
        <v>1313826</v>
      </c>
      <c r="W189" s="8">
        <v>375487</v>
      </c>
      <c r="Y189" s="8">
        <v>0</v>
      </c>
      <c r="AA189" s="8">
        <v>1830051</v>
      </c>
      <c r="AC189" s="8">
        <v>1508454</v>
      </c>
      <c r="AE189" s="8">
        <v>174583</v>
      </c>
      <c r="AG189" s="8">
        <v>3528</v>
      </c>
      <c r="AI189" s="8">
        <v>0</v>
      </c>
      <c r="AJ189" s="13" t="s">
        <v>572</v>
      </c>
      <c r="AK189" s="13"/>
      <c r="AL189" s="13" t="s">
        <v>51</v>
      </c>
      <c r="AN189" s="8">
        <v>303225</v>
      </c>
      <c r="AP189" s="8">
        <v>0</v>
      </c>
      <c r="AT189" s="8">
        <v>42156</v>
      </c>
      <c r="AV189" s="8">
        <v>18201</v>
      </c>
      <c r="AX189" s="8">
        <v>0</v>
      </c>
      <c r="AZ189" s="8">
        <f t="shared" si="13"/>
        <v>18156189</v>
      </c>
      <c r="BB189" s="8">
        <v>94000</v>
      </c>
      <c r="BH189" s="8">
        <v>0</v>
      </c>
      <c r="BJ189" s="8">
        <f t="shared" si="14"/>
        <v>18250189</v>
      </c>
      <c r="BL189" s="8">
        <f>+GenRev!AM189-GenExp!BJ189</f>
        <v>-1263872</v>
      </c>
      <c r="BN189" s="8">
        <v>4429029</v>
      </c>
      <c r="BP189" s="8">
        <v>0</v>
      </c>
      <c r="BQ189" s="8">
        <v>0</v>
      </c>
      <c r="BS189" s="8">
        <f t="shared" si="15"/>
        <v>3165157</v>
      </c>
      <c r="BU189" s="9">
        <f>+BS189-'Gen Fd BS'!AA189+BQ189</f>
        <v>0</v>
      </c>
    </row>
    <row r="190" spans="1:73" hidden="1">
      <c r="A190" s="13" t="s">
        <v>330</v>
      </c>
      <c r="B190" s="13"/>
      <c r="C190" s="13" t="s">
        <v>21</v>
      </c>
      <c r="D190" s="13"/>
      <c r="E190" s="32">
        <v>46649</v>
      </c>
      <c r="AG190" s="8">
        <v>0</v>
      </c>
      <c r="AI190" s="8">
        <v>0</v>
      </c>
      <c r="AJ190" s="13" t="s">
        <v>330</v>
      </c>
      <c r="AK190" s="13"/>
      <c r="AL190" s="13" t="s">
        <v>21</v>
      </c>
      <c r="AN190" s="8">
        <v>0</v>
      </c>
      <c r="AP190" s="8">
        <v>0</v>
      </c>
      <c r="AT190" s="8">
        <v>0</v>
      </c>
      <c r="AV190" s="8">
        <v>0</v>
      </c>
      <c r="AX190" s="8">
        <v>0</v>
      </c>
      <c r="AZ190" s="8">
        <f t="shared" si="13"/>
        <v>0</v>
      </c>
      <c r="BB190" s="8">
        <v>0</v>
      </c>
      <c r="BH190" s="8">
        <v>0</v>
      </c>
      <c r="BJ190" s="8">
        <f t="shared" si="14"/>
        <v>0</v>
      </c>
      <c r="BL190" s="8">
        <f>+GenRev!AM190-GenExp!BJ190</f>
        <v>0</v>
      </c>
      <c r="BN190" s="8">
        <v>0</v>
      </c>
      <c r="BP190" s="8">
        <v>0</v>
      </c>
      <c r="BQ190" s="8">
        <v>0</v>
      </c>
      <c r="BS190" s="8">
        <f t="shared" si="15"/>
        <v>0</v>
      </c>
      <c r="BU190" s="9">
        <f>+BS190-'Gen Fd BS'!AA190+BQ190</f>
        <v>0</v>
      </c>
    </row>
    <row r="191" spans="1:73">
      <c r="A191" s="13" t="s">
        <v>461</v>
      </c>
      <c r="B191" s="13"/>
      <c r="C191" s="13" t="s">
        <v>40</v>
      </c>
      <c r="D191" s="13"/>
      <c r="E191" s="32">
        <v>47852</v>
      </c>
      <c r="G191" s="8">
        <v>4327660</v>
      </c>
      <c r="I191" s="8">
        <v>870623</v>
      </c>
      <c r="K191" s="8">
        <v>129659</v>
      </c>
      <c r="M191" s="8">
        <v>0</v>
      </c>
      <c r="O191" s="8">
        <v>379921</v>
      </c>
      <c r="Q191" s="8">
        <v>520345</v>
      </c>
      <c r="S191" s="8">
        <v>33755</v>
      </c>
      <c r="U191" s="8">
        <v>816179</v>
      </c>
      <c r="W191" s="8">
        <v>232770</v>
      </c>
      <c r="Y191" s="8">
        <v>68004</v>
      </c>
      <c r="AA191" s="8">
        <v>624038</v>
      </c>
      <c r="AC191" s="8">
        <v>514276</v>
      </c>
      <c r="AE191" s="8">
        <v>0</v>
      </c>
      <c r="AG191" s="8">
        <v>0</v>
      </c>
      <c r="AI191" s="8">
        <v>36</v>
      </c>
      <c r="AJ191" s="13" t="s">
        <v>461</v>
      </c>
      <c r="AK191" s="13"/>
      <c r="AL191" s="13" t="s">
        <v>40</v>
      </c>
      <c r="AN191" s="8">
        <v>276090</v>
      </c>
      <c r="AP191" s="8">
        <v>0</v>
      </c>
      <c r="AT191" s="8">
        <v>25000</v>
      </c>
      <c r="AV191" s="8">
        <v>669</v>
      </c>
      <c r="AX191" s="8">
        <v>0</v>
      </c>
      <c r="AZ191" s="8">
        <f t="shared" si="13"/>
        <v>8819025</v>
      </c>
      <c r="BB191" s="8">
        <v>33600</v>
      </c>
      <c r="BH191" s="8">
        <v>0</v>
      </c>
      <c r="BJ191" s="8">
        <f t="shared" si="14"/>
        <v>8852625</v>
      </c>
      <c r="BL191" s="8">
        <f>+GenRev!AM191-GenExp!BJ191</f>
        <v>-646951</v>
      </c>
      <c r="BN191" s="8">
        <v>2455083</v>
      </c>
      <c r="BP191" s="8">
        <v>0</v>
      </c>
      <c r="BQ191" s="8">
        <v>0</v>
      </c>
      <c r="BS191" s="8">
        <f t="shared" si="15"/>
        <v>1808132</v>
      </c>
      <c r="BU191" s="9">
        <f>+BS191-'Gen Fd BS'!AA191+BQ191</f>
        <v>0</v>
      </c>
    </row>
    <row r="192" spans="1:73">
      <c r="A192" s="13" t="s">
        <v>628</v>
      </c>
      <c r="B192" s="13"/>
      <c r="C192" s="13" t="s">
        <v>79</v>
      </c>
      <c r="D192" s="13"/>
      <c r="E192" s="32">
        <v>44016</v>
      </c>
      <c r="G192" s="8">
        <v>15966352</v>
      </c>
      <c r="I192" s="8">
        <v>4014458</v>
      </c>
      <c r="K192" s="8">
        <v>94290</v>
      </c>
      <c r="M192" s="8">
        <v>51399</v>
      </c>
      <c r="O192" s="8">
        <v>1785109</v>
      </c>
      <c r="Q192" s="8">
        <v>1207006</v>
      </c>
      <c r="S192" s="8">
        <v>46033</v>
      </c>
      <c r="U192" s="8">
        <v>2526607</v>
      </c>
      <c r="W192" s="8">
        <v>1100012</v>
      </c>
      <c r="Y192" s="8">
        <v>111180</v>
      </c>
      <c r="AA192" s="8">
        <v>2940195</v>
      </c>
      <c r="AC192" s="8">
        <v>1197659</v>
      </c>
      <c r="AE192" s="8">
        <v>88567</v>
      </c>
      <c r="AG192" s="8">
        <v>0</v>
      </c>
      <c r="AI192" s="8">
        <v>14236</v>
      </c>
      <c r="AJ192" s="13" t="s">
        <v>628</v>
      </c>
      <c r="AK192" s="13"/>
      <c r="AL192" s="13" t="s">
        <v>79</v>
      </c>
      <c r="AN192" s="8">
        <v>462503</v>
      </c>
      <c r="AP192" s="8">
        <v>0</v>
      </c>
      <c r="AT192" s="8">
        <v>0</v>
      </c>
      <c r="AV192" s="8">
        <v>18452</v>
      </c>
      <c r="AX192" s="8">
        <v>0</v>
      </c>
      <c r="AZ192" s="8">
        <f t="shared" si="13"/>
        <v>31624058</v>
      </c>
      <c r="BB192" s="8">
        <v>0</v>
      </c>
      <c r="BH192" s="8">
        <v>0</v>
      </c>
      <c r="BJ192" s="8">
        <f t="shared" si="14"/>
        <v>31624058</v>
      </c>
      <c r="BL192" s="8">
        <f>+GenRev!AM192-GenExp!BJ192</f>
        <v>1915797</v>
      </c>
      <c r="BN192" s="8">
        <v>1689185</v>
      </c>
      <c r="BP192" s="8">
        <v>0</v>
      </c>
      <c r="BQ192" s="8">
        <v>0</v>
      </c>
      <c r="BS192" s="8">
        <f t="shared" si="15"/>
        <v>3604982</v>
      </c>
      <c r="BU192" s="9">
        <f>+BS192-'Gen Fd BS'!AA192+BQ192</f>
        <v>0</v>
      </c>
    </row>
    <row r="193" spans="1:73">
      <c r="A193" s="13" t="s">
        <v>723</v>
      </c>
      <c r="B193" s="13"/>
      <c r="C193" s="13" t="s">
        <v>70</v>
      </c>
      <c r="D193" s="13"/>
      <c r="E193" s="32">
        <v>50492</v>
      </c>
      <c r="G193" s="8">
        <v>2865478</v>
      </c>
      <c r="I193" s="8">
        <v>579794</v>
      </c>
      <c r="K193" s="8">
        <v>269897</v>
      </c>
      <c r="M193" s="8">
        <v>0</v>
      </c>
      <c r="O193" s="8">
        <v>208984</v>
      </c>
      <c r="Q193" s="8">
        <v>158690</v>
      </c>
      <c r="S193" s="8">
        <v>58325</v>
      </c>
      <c r="U193" s="8">
        <v>764393</v>
      </c>
      <c r="W193" s="8">
        <v>259727</v>
      </c>
      <c r="Y193" s="8">
        <v>58</v>
      </c>
      <c r="AA193" s="8">
        <v>908716</v>
      </c>
      <c r="AC193" s="8">
        <v>678718</v>
      </c>
      <c r="AE193" s="8">
        <v>12402</v>
      </c>
      <c r="AG193" s="8">
        <v>0</v>
      </c>
      <c r="AI193" s="8">
        <v>0</v>
      </c>
      <c r="AJ193" s="13" t="s">
        <v>723</v>
      </c>
      <c r="AK193" s="13"/>
      <c r="AL193" s="13" t="s">
        <v>70</v>
      </c>
      <c r="AN193" s="8">
        <v>75649</v>
      </c>
      <c r="AP193" s="8">
        <f>1300+91689</f>
        <v>92989</v>
      </c>
      <c r="AT193" s="8">
        <v>33366</v>
      </c>
      <c r="AV193" s="8">
        <v>7524</v>
      </c>
      <c r="AX193" s="8">
        <v>0</v>
      </c>
      <c r="AZ193" s="8">
        <f t="shared" si="13"/>
        <v>6974710</v>
      </c>
      <c r="BB193" s="8">
        <v>0</v>
      </c>
      <c r="BH193" s="8">
        <v>0</v>
      </c>
      <c r="BJ193" s="8">
        <f t="shared" si="14"/>
        <v>6974710</v>
      </c>
      <c r="BL193" s="8">
        <f>+GenRev!AM193-GenExp!BJ193</f>
        <v>-42342</v>
      </c>
      <c r="BN193" s="8">
        <v>220633</v>
      </c>
      <c r="BP193" s="8">
        <v>0</v>
      </c>
      <c r="BQ193" s="8">
        <v>0</v>
      </c>
      <c r="BS193" s="8">
        <f t="shared" si="15"/>
        <v>178291</v>
      </c>
      <c r="BU193" s="9">
        <f>+BS193-'Gen Fd BS'!AA193+BQ193</f>
        <v>0</v>
      </c>
    </row>
    <row r="194" spans="1:73">
      <c r="A194" s="13" t="s">
        <v>360</v>
      </c>
      <c r="B194" s="13"/>
      <c r="C194" s="13" t="s">
        <v>27</v>
      </c>
      <c r="D194" s="13"/>
      <c r="E194" s="32">
        <v>46961</v>
      </c>
      <c r="G194" s="8">
        <v>35953072</v>
      </c>
      <c r="I194" s="8">
        <v>9283396</v>
      </c>
      <c r="K194" s="8">
        <v>897834</v>
      </c>
      <c r="M194" s="8">
        <v>5904</v>
      </c>
      <c r="O194" s="8">
        <v>3116980</v>
      </c>
      <c r="Q194" s="8">
        <v>3193345</v>
      </c>
      <c r="S194" s="8">
        <v>5795583</v>
      </c>
      <c r="U194" s="8">
        <v>505563</v>
      </c>
      <c r="W194" s="8">
        <v>1301635</v>
      </c>
      <c r="Y194" s="8">
        <v>0</v>
      </c>
      <c r="AA194" s="8">
        <v>5700882</v>
      </c>
      <c r="AC194" s="8">
        <v>2330467</v>
      </c>
      <c r="AE194" s="8">
        <v>285511</v>
      </c>
      <c r="AG194" s="8">
        <v>0</v>
      </c>
      <c r="AI194" s="8">
        <v>0</v>
      </c>
      <c r="AJ194" s="13" t="s">
        <v>360</v>
      </c>
      <c r="AK194" s="13"/>
      <c r="AL194" s="13" t="s">
        <v>27</v>
      </c>
      <c r="AN194" s="8">
        <v>802975</v>
      </c>
      <c r="AP194" s="8">
        <v>1563072</v>
      </c>
      <c r="AT194" s="8">
        <v>323986</v>
      </c>
      <c r="AV194" s="8">
        <v>14058</v>
      </c>
      <c r="AX194" s="8">
        <v>0</v>
      </c>
      <c r="AZ194" s="8">
        <f t="shared" ref="AZ194:AZ208" si="16">SUM(G194:AX194)</f>
        <v>71074263</v>
      </c>
      <c r="BB194" s="8">
        <v>0</v>
      </c>
      <c r="BH194" s="8">
        <v>0</v>
      </c>
      <c r="BJ194" s="8">
        <f t="shared" si="14"/>
        <v>71074263</v>
      </c>
      <c r="BL194" s="8">
        <f>+GenRev!AM194-GenExp!BJ194</f>
        <v>-2015976</v>
      </c>
      <c r="BN194" s="8">
        <v>31754099</v>
      </c>
      <c r="BP194" s="8">
        <v>-83714</v>
      </c>
      <c r="BQ194" s="8">
        <v>0</v>
      </c>
      <c r="BS194" s="8">
        <f t="shared" si="15"/>
        <v>29821837</v>
      </c>
      <c r="BU194" s="9">
        <f>+BS194-'Gen Fd BS'!AA194+BQ194</f>
        <v>0</v>
      </c>
    </row>
    <row r="195" spans="1:73">
      <c r="A195" s="13" t="s">
        <v>298</v>
      </c>
      <c r="B195" s="13"/>
      <c r="C195" s="13" t="s">
        <v>114</v>
      </c>
      <c r="D195" s="13"/>
      <c r="E195" s="32">
        <v>44024</v>
      </c>
      <c r="G195" s="8">
        <v>8009650</v>
      </c>
      <c r="I195" s="8">
        <v>1967906</v>
      </c>
      <c r="K195" s="8">
        <v>62052</v>
      </c>
      <c r="M195" s="8">
        <v>0</v>
      </c>
      <c r="O195" s="8">
        <v>824954</v>
      </c>
      <c r="Q195" s="8">
        <v>600997</v>
      </c>
      <c r="S195" s="8">
        <v>71015</v>
      </c>
      <c r="U195" s="8">
        <v>1358259</v>
      </c>
      <c r="W195" s="8">
        <v>383498</v>
      </c>
      <c r="Y195" s="8">
        <v>0</v>
      </c>
      <c r="AA195" s="8">
        <v>1592982</v>
      </c>
      <c r="AC195" s="8">
        <v>732264</v>
      </c>
      <c r="AE195" s="8">
        <v>132994</v>
      </c>
      <c r="AG195" s="8">
        <v>0</v>
      </c>
      <c r="AI195" s="8">
        <v>57</v>
      </c>
      <c r="AJ195" s="13" t="s">
        <v>298</v>
      </c>
      <c r="AK195" s="13"/>
      <c r="AL195" s="13" t="s">
        <v>114</v>
      </c>
      <c r="AN195" s="8">
        <v>417238</v>
      </c>
      <c r="AP195" s="8">
        <v>0</v>
      </c>
      <c r="AT195" s="8">
        <v>15347</v>
      </c>
      <c r="AV195" s="8">
        <v>5185</v>
      </c>
      <c r="AX195" s="8">
        <v>0</v>
      </c>
      <c r="AZ195" s="8">
        <f t="shared" si="16"/>
        <v>16174398</v>
      </c>
      <c r="BB195" s="8">
        <v>217991</v>
      </c>
      <c r="BH195" s="8">
        <v>0</v>
      </c>
      <c r="BJ195" s="8">
        <f t="shared" si="14"/>
        <v>16392389</v>
      </c>
      <c r="BL195" s="8">
        <f>+GenRev!AM195-GenExp!BJ195</f>
        <v>-187661</v>
      </c>
      <c r="BN195" s="8">
        <v>2248293</v>
      </c>
      <c r="BP195" s="8">
        <v>0</v>
      </c>
      <c r="BQ195" s="8">
        <v>0</v>
      </c>
      <c r="BS195" s="8">
        <f t="shared" si="15"/>
        <v>2060632</v>
      </c>
      <c r="BU195" s="9">
        <f>+BS195-'Gen Fd BS'!AA195+BQ195</f>
        <v>0</v>
      </c>
    </row>
    <row r="196" spans="1:73">
      <c r="A196" s="13" t="s">
        <v>379</v>
      </c>
      <c r="B196" s="13"/>
      <c r="C196" s="13" t="s">
        <v>29</v>
      </c>
      <c r="D196" s="13"/>
      <c r="E196" s="32">
        <v>65680</v>
      </c>
      <c r="G196" s="8">
        <v>7144669</v>
      </c>
      <c r="I196" s="8">
        <v>1969749</v>
      </c>
      <c r="K196" s="8">
        <v>425987</v>
      </c>
      <c r="M196" s="8">
        <v>1835825</v>
      </c>
      <c r="O196" s="8">
        <v>536302</v>
      </c>
      <c r="Q196" s="8">
        <v>495020</v>
      </c>
      <c r="S196" s="8">
        <v>62506</v>
      </c>
      <c r="U196" s="8">
        <v>1474072</v>
      </c>
      <c r="W196" s="8">
        <v>501078</v>
      </c>
      <c r="Y196" s="8">
        <v>24401</v>
      </c>
      <c r="AA196" s="8">
        <v>1952391</v>
      </c>
      <c r="AC196" s="8">
        <v>2243458</v>
      </c>
      <c r="AE196" s="8">
        <v>230450</v>
      </c>
      <c r="AG196" s="8">
        <v>0</v>
      </c>
      <c r="AI196" s="8">
        <v>1362</v>
      </c>
      <c r="AJ196" s="13" t="s">
        <v>379</v>
      </c>
      <c r="AK196" s="13"/>
      <c r="AL196" s="13" t="s">
        <v>29</v>
      </c>
      <c r="AN196" s="8">
        <v>273170</v>
      </c>
      <c r="AP196" s="8">
        <v>0</v>
      </c>
      <c r="AT196" s="8">
        <v>0</v>
      </c>
      <c r="AV196" s="8">
        <v>0</v>
      </c>
      <c r="AX196" s="8">
        <v>0</v>
      </c>
      <c r="AZ196" s="8">
        <f t="shared" si="16"/>
        <v>19170440</v>
      </c>
      <c r="BB196" s="8">
        <v>69760</v>
      </c>
      <c r="BH196" s="8">
        <v>0</v>
      </c>
      <c r="BJ196" s="8">
        <f t="shared" si="14"/>
        <v>19240200</v>
      </c>
      <c r="BL196" s="8">
        <f>+GenRev!AM196-GenExp!BJ196</f>
        <v>334050</v>
      </c>
      <c r="BN196" s="8">
        <v>1646996</v>
      </c>
      <c r="BP196" s="8">
        <v>0</v>
      </c>
      <c r="BQ196" s="8">
        <v>0</v>
      </c>
      <c r="BS196" s="8">
        <f t="shared" si="15"/>
        <v>1981046</v>
      </c>
      <c r="BU196" s="9">
        <f>+BS196-'Gen Fd BS'!AA196+BQ196</f>
        <v>0</v>
      </c>
    </row>
    <row r="197" spans="1:73">
      <c r="A197" s="13" t="s">
        <v>380</v>
      </c>
      <c r="B197" s="13"/>
      <c r="C197" s="13" t="s">
        <v>29</v>
      </c>
      <c r="D197" s="13"/>
      <c r="E197" s="32">
        <v>44032</v>
      </c>
      <c r="G197" s="8">
        <v>7377643</v>
      </c>
      <c r="I197" s="8">
        <v>2241296</v>
      </c>
      <c r="K197" s="8">
        <v>349247</v>
      </c>
      <c r="M197" s="8">
        <v>0</v>
      </c>
      <c r="O197" s="8">
        <v>903277</v>
      </c>
      <c r="Q197" s="8">
        <v>411340</v>
      </c>
      <c r="S197" s="8">
        <v>48604</v>
      </c>
      <c r="U197" s="8">
        <v>1689877</v>
      </c>
      <c r="W197" s="8">
        <v>350023</v>
      </c>
      <c r="Y197" s="8">
        <v>0</v>
      </c>
      <c r="AA197" s="8">
        <v>1345103</v>
      </c>
      <c r="AC197" s="8">
        <v>1415845</v>
      </c>
      <c r="AE197" s="8">
        <v>86031</v>
      </c>
      <c r="AG197" s="8">
        <v>0</v>
      </c>
      <c r="AI197" s="8">
        <v>0</v>
      </c>
      <c r="AJ197" s="13" t="s">
        <v>380</v>
      </c>
      <c r="AK197" s="13"/>
      <c r="AL197" s="13" t="s">
        <v>29</v>
      </c>
      <c r="AN197" s="8">
        <v>370651</v>
      </c>
      <c r="AP197" s="8">
        <v>16597</v>
      </c>
      <c r="AT197" s="8">
        <v>0</v>
      </c>
      <c r="AV197" s="8">
        <v>0</v>
      </c>
      <c r="AX197" s="8">
        <v>0</v>
      </c>
      <c r="AZ197" s="8">
        <f t="shared" si="16"/>
        <v>16605534</v>
      </c>
      <c r="BB197" s="8">
        <v>0</v>
      </c>
      <c r="BH197" s="8">
        <v>0</v>
      </c>
      <c r="BJ197" s="8">
        <f t="shared" si="14"/>
        <v>16605534</v>
      </c>
      <c r="BL197" s="8">
        <f>+GenRev!AM197-GenExp!BJ197</f>
        <v>21150</v>
      </c>
      <c r="BN197" s="8">
        <v>331118</v>
      </c>
      <c r="BP197" s="8">
        <v>11216</v>
      </c>
      <c r="BQ197" s="8">
        <v>0</v>
      </c>
      <c r="BS197" s="8">
        <f t="shared" si="15"/>
        <v>341052</v>
      </c>
      <c r="BU197" s="9">
        <f>+BS197-'Gen Fd BS'!AA197+BQ197</f>
        <v>0</v>
      </c>
    </row>
    <row r="198" spans="1:73">
      <c r="A198" s="13" t="s">
        <v>701</v>
      </c>
      <c r="B198" s="13"/>
      <c r="C198" s="13" t="s">
        <v>65</v>
      </c>
      <c r="D198" s="13"/>
      <c r="E198" s="32">
        <v>50278</v>
      </c>
      <c r="G198" s="8">
        <v>5160597</v>
      </c>
      <c r="I198" s="8">
        <v>626412</v>
      </c>
      <c r="K198" s="8">
        <v>1865</v>
      </c>
      <c r="M198" s="8">
        <v>64746</v>
      </c>
      <c r="O198" s="8">
        <v>230300</v>
      </c>
      <c r="Q198" s="8">
        <v>401821</v>
      </c>
      <c r="S198" s="8">
        <v>16288</v>
      </c>
      <c r="U198" s="8">
        <v>1036718</v>
      </c>
      <c r="W198" s="8">
        <v>375042</v>
      </c>
      <c r="Y198" s="8">
        <v>0</v>
      </c>
      <c r="AA198" s="8">
        <v>825822</v>
      </c>
      <c r="AC198" s="8">
        <v>717927</v>
      </c>
      <c r="AE198" s="8">
        <v>38208</v>
      </c>
      <c r="AG198" s="8">
        <v>0</v>
      </c>
      <c r="AI198" s="8">
        <v>0</v>
      </c>
      <c r="AJ198" s="13" t="s">
        <v>701</v>
      </c>
      <c r="AK198" s="13"/>
      <c r="AL198" s="13" t="s">
        <v>65</v>
      </c>
      <c r="AN198" s="8">
        <v>239483</v>
      </c>
      <c r="AP198" s="8">
        <v>0</v>
      </c>
      <c r="AT198" s="8">
        <v>0</v>
      </c>
      <c r="AV198" s="8">
        <v>0</v>
      </c>
      <c r="AX198" s="8">
        <v>0</v>
      </c>
      <c r="AZ198" s="8">
        <f t="shared" si="16"/>
        <v>9735229</v>
      </c>
      <c r="BB198" s="8">
        <v>35000</v>
      </c>
      <c r="BH198" s="8">
        <v>0</v>
      </c>
      <c r="BJ198" s="8">
        <f t="shared" si="14"/>
        <v>9770229</v>
      </c>
      <c r="BL198" s="8">
        <f>+GenRev!AM198-GenExp!BJ198</f>
        <v>92451</v>
      </c>
      <c r="BN198" s="8">
        <v>2874265</v>
      </c>
      <c r="BP198" s="8">
        <v>0</v>
      </c>
      <c r="BQ198" s="8">
        <v>0</v>
      </c>
      <c r="BS198" s="8">
        <f t="shared" si="15"/>
        <v>2966716</v>
      </c>
      <c r="BU198" s="9">
        <f>+BS198-'Gen Fd BS'!AA198+BQ198</f>
        <v>0</v>
      </c>
    </row>
    <row r="199" spans="1:73" hidden="1">
      <c r="A199" s="13" t="s">
        <v>312</v>
      </c>
      <c r="B199" s="13"/>
      <c r="C199" s="13" t="s">
        <v>20</v>
      </c>
      <c r="D199" s="13"/>
      <c r="E199" s="32">
        <v>44040</v>
      </c>
      <c r="AG199" s="8">
        <v>0</v>
      </c>
      <c r="AI199" s="8">
        <v>0</v>
      </c>
      <c r="AJ199" s="13" t="s">
        <v>312</v>
      </c>
      <c r="AK199" s="13"/>
      <c r="AL199" s="13" t="s">
        <v>20</v>
      </c>
      <c r="AN199" s="8">
        <v>0</v>
      </c>
      <c r="AP199" s="8">
        <v>0</v>
      </c>
      <c r="AT199" s="8">
        <v>0</v>
      </c>
      <c r="AV199" s="8">
        <v>0</v>
      </c>
      <c r="AX199" s="8">
        <v>0</v>
      </c>
      <c r="AZ199" s="8">
        <f t="shared" si="16"/>
        <v>0</v>
      </c>
      <c r="BB199" s="8">
        <v>0</v>
      </c>
      <c r="BH199" s="8">
        <v>0</v>
      </c>
      <c r="BJ199" s="8">
        <f t="shared" si="14"/>
        <v>0</v>
      </c>
      <c r="BL199" s="8">
        <f>+GenRev!AM199-GenExp!BJ199</f>
        <v>0</v>
      </c>
      <c r="BN199" s="8">
        <v>0</v>
      </c>
      <c r="BP199" s="8">
        <v>0</v>
      </c>
      <c r="BQ199" s="8">
        <v>0</v>
      </c>
      <c r="BS199" s="8">
        <f t="shared" si="15"/>
        <v>0</v>
      </c>
      <c r="BU199" s="9">
        <f>+BS199-'Gen Fd BS'!AA199+BQ199</f>
        <v>0</v>
      </c>
    </row>
    <row r="200" spans="1:73">
      <c r="A200" s="12" t="s">
        <v>936</v>
      </c>
      <c r="B200" s="13"/>
      <c r="C200" s="13" t="s">
        <v>12</v>
      </c>
      <c r="D200" s="13"/>
      <c r="E200" s="32">
        <v>44057</v>
      </c>
      <c r="F200" s="11"/>
      <c r="G200" s="8">
        <v>9852313</v>
      </c>
      <c r="I200" s="8">
        <v>2078170</v>
      </c>
      <c r="K200" s="8">
        <v>397286</v>
      </c>
      <c r="M200" s="8">
        <v>1241866</v>
      </c>
      <c r="O200" s="8">
        <v>1301004</v>
      </c>
      <c r="Q200" s="8">
        <v>478134</v>
      </c>
      <c r="S200" s="8">
        <v>17861</v>
      </c>
      <c r="U200" s="8">
        <v>1700495</v>
      </c>
      <c r="W200" s="8">
        <v>481176</v>
      </c>
      <c r="Y200" s="8">
        <v>14549</v>
      </c>
      <c r="AA200" s="8">
        <v>2250234</v>
      </c>
      <c r="AC200" s="8">
        <v>1309317</v>
      </c>
      <c r="AE200" s="8">
        <v>2760</v>
      </c>
      <c r="AG200" s="8">
        <v>0</v>
      </c>
      <c r="AI200" s="8">
        <v>39073</v>
      </c>
      <c r="AJ200" s="13" t="s">
        <v>221</v>
      </c>
      <c r="AK200" s="13"/>
      <c r="AL200" s="13" t="s">
        <v>12</v>
      </c>
      <c r="AN200" s="8">
        <v>435531</v>
      </c>
      <c r="AP200" s="8">
        <v>98439</v>
      </c>
      <c r="AT200" s="8">
        <v>0</v>
      </c>
      <c r="AV200" s="8">
        <v>0</v>
      </c>
      <c r="AX200" s="8">
        <v>0</v>
      </c>
      <c r="AZ200" s="8">
        <f t="shared" si="16"/>
        <v>21698208</v>
      </c>
      <c r="BB200" s="8">
        <v>208370</v>
      </c>
      <c r="BH200" s="8">
        <v>0</v>
      </c>
      <c r="BJ200" s="8">
        <f t="shared" si="14"/>
        <v>21906578</v>
      </c>
      <c r="BL200" s="8">
        <f>+GenRev!AM200-GenExp!BJ200</f>
        <v>-373525</v>
      </c>
      <c r="BN200" s="8">
        <v>4266920</v>
      </c>
      <c r="BP200" s="8">
        <v>0</v>
      </c>
      <c r="BQ200" s="8">
        <v>0</v>
      </c>
      <c r="BS200" s="8">
        <f t="shared" si="15"/>
        <v>3893395</v>
      </c>
      <c r="BU200" s="9">
        <f>+BS200-'Gen Fd BS'!AA200+BQ200</f>
        <v>0</v>
      </c>
    </row>
    <row r="201" spans="1:73">
      <c r="A201" s="13" t="s">
        <v>580</v>
      </c>
      <c r="B201" s="13"/>
      <c r="C201" s="13" t="s">
        <v>53</v>
      </c>
      <c r="D201" s="13"/>
      <c r="E201" s="32">
        <v>48942</v>
      </c>
      <c r="G201" s="8">
        <v>6947695</v>
      </c>
      <c r="I201" s="8">
        <v>591720</v>
      </c>
      <c r="K201" s="8">
        <v>0</v>
      </c>
      <c r="M201" s="8">
        <v>0</v>
      </c>
      <c r="O201" s="8">
        <v>340872</v>
      </c>
      <c r="Q201" s="8">
        <v>114634</v>
      </c>
      <c r="S201" s="8">
        <v>9425</v>
      </c>
      <c r="U201" s="8">
        <v>985590</v>
      </c>
      <c r="W201" s="8">
        <v>367138</v>
      </c>
      <c r="Y201" s="8">
        <v>11513</v>
      </c>
      <c r="AA201" s="8">
        <v>871386</v>
      </c>
      <c r="AC201" s="8">
        <v>413929</v>
      </c>
      <c r="AE201" s="8">
        <v>276933</v>
      </c>
      <c r="AG201" s="8">
        <v>0</v>
      </c>
      <c r="AI201" s="8">
        <v>873</v>
      </c>
      <c r="AJ201" s="13" t="s">
        <v>580</v>
      </c>
      <c r="AK201" s="13"/>
      <c r="AL201" s="13" t="s">
        <v>53</v>
      </c>
      <c r="AN201" s="8">
        <v>229478</v>
      </c>
      <c r="AP201" s="8">
        <v>0</v>
      </c>
      <c r="AT201" s="8">
        <v>60787</v>
      </c>
      <c r="AV201" s="8">
        <v>55013</v>
      </c>
      <c r="AX201" s="8">
        <v>0</v>
      </c>
      <c r="AZ201" s="8">
        <f t="shared" si="16"/>
        <v>11276986</v>
      </c>
      <c r="BB201" s="8">
        <v>88252</v>
      </c>
      <c r="BH201" s="8">
        <v>0</v>
      </c>
      <c r="BJ201" s="8">
        <f t="shared" si="14"/>
        <v>11365238</v>
      </c>
      <c r="BL201" s="8">
        <f>+GenRev!AM201-GenExp!BJ201</f>
        <v>-43381</v>
      </c>
      <c r="BN201" s="8">
        <v>1243500</v>
      </c>
      <c r="BP201" s="8">
        <v>0</v>
      </c>
      <c r="BQ201" s="8">
        <v>0</v>
      </c>
      <c r="BS201" s="8">
        <f t="shared" si="15"/>
        <v>1200119</v>
      </c>
      <c r="BU201" s="9">
        <f>+BS201-'Gen Fd BS'!AA201+BQ201</f>
        <v>0</v>
      </c>
    </row>
    <row r="202" spans="1:73">
      <c r="A202" s="13" t="s">
        <v>242</v>
      </c>
      <c r="B202" s="13"/>
      <c r="C202" s="13" t="s">
        <v>77</v>
      </c>
      <c r="D202" s="13"/>
      <c r="E202" s="32">
        <v>45377</v>
      </c>
      <c r="G202" s="8">
        <v>4345675</v>
      </c>
      <c r="I202" s="8">
        <v>327880</v>
      </c>
      <c r="K202" s="8">
        <v>163384</v>
      </c>
      <c r="M202" s="8">
        <f>7539+517</f>
        <v>8056</v>
      </c>
      <c r="O202" s="8">
        <v>226656</v>
      </c>
      <c r="Q202" s="8">
        <v>325165</v>
      </c>
      <c r="S202" s="8">
        <v>37073</v>
      </c>
      <c r="U202" s="8">
        <v>724658</v>
      </c>
      <c r="W202" s="8">
        <v>345874</v>
      </c>
      <c r="Y202" s="8">
        <v>45607</v>
      </c>
      <c r="AA202" s="8">
        <v>726294</v>
      </c>
      <c r="AC202" s="8">
        <v>479630</v>
      </c>
      <c r="AE202" s="8">
        <v>48812</v>
      </c>
      <c r="AG202" s="8">
        <v>0</v>
      </c>
      <c r="AI202" s="8">
        <v>0</v>
      </c>
      <c r="AJ202" s="13" t="s">
        <v>242</v>
      </c>
      <c r="AK202" s="13"/>
      <c r="AL202" s="13" t="s">
        <v>77</v>
      </c>
      <c r="AN202" s="8">
        <v>95587</v>
      </c>
      <c r="AP202" s="8">
        <v>0</v>
      </c>
      <c r="AT202" s="8">
        <v>22440</v>
      </c>
      <c r="AV202" s="8">
        <v>945</v>
      </c>
      <c r="AX202" s="8">
        <v>0</v>
      </c>
      <c r="AZ202" s="8">
        <f t="shared" si="16"/>
        <v>7923736</v>
      </c>
      <c r="BB202" s="8">
        <v>10000</v>
      </c>
      <c r="BH202" s="8">
        <v>0</v>
      </c>
      <c r="BJ202" s="8">
        <f t="shared" si="14"/>
        <v>7933736</v>
      </c>
      <c r="BL202" s="8">
        <f>+GenRev!AM202-GenExp!BJ202</f>
        <v>-110607</v>
      </c>
      <c r="BN202" s="8">
        <v>379417</v>
      </c>
      <c r="BP202" s="8">
        <v>0</v>
      </c>
      <c r="BQ202" s="8">
        <v>0</v>
      </c>
      <c r="BS202" s="8">
        <f t="shared" si="15"/>
        <v>268810</v>
      </c>
      <c r="BU202" s="9">
        <f>+BS202-'Gen Fd BS'!AA202+BQ202</f>
        <v>0</v>
      </c>
    </row>
    <row r="203" spans="1:73">
      <c r="A203" s="13" t="s">
        <v>629</v>
      </c>
      <c r="B203" s="13"/>
      <c r="C203" s="13" t="s">
        <v>79</v>
      </c>
      <c r="D203" s="13"/>
      <c r="E203" s="13">
        <v>45385</v>
      </c>
      <c r="G203" s="8">
        <v>4528663</v>
      </c>
      <c r="I203" s="8">
        <v>205454</v>
      </c>
      <c r="K203" s="8">
        <v>148979</v>
      </c>
      <c r="M203" s="8">
        <v>0</v>
      </c>
      <c r="O203" s="8">
        <v>387683</v>
      </c>
      <c r="Q203" s="8">
        <v>78935</v>
      </c>
      <c r="S203" s="8">
        <v>50953</v>
      </c>
      <c r="U203" s="8">
        <v>733603</v>
      </c>
      <c r="W203" s="8">
        <v>422355</v>
      </c>
      <c r="Y203" s="8">
        <v>6401</v>
      </c>
      <c r="AA203" s="8">
        <v>861318</v>
      </c>
      <c r="AC203" s="8">
        <v>352091</v>
      </c>
      <c r="AE203" s="8">
        <v>1215</v>
      </c>
      <c r="AG203" s="8">
        <v>0</v>
      </c>
      <c r="AI203" s="8">
        <v>118271</v>
      </c>
      <c r="AJ203" s="13" t="s">
        <v>629</v>
      </c>
      <c r="AK203" s="13"/>
      <c r="AL203" s="13" t="s">
        <v>79</v>
      </c>
      <c r="AN203" s="8">
        <v>212500</v>
      </c>
      <c r="AP203" s="8">
        <v>0</v>
      </c>
      <c r="AT203" s="8">
        <v>0</v>
      </c>
      <c r="AV203" s="8">
        <v>0</v>
      </c>
      <c r="AX203" s="8">
        <v>0</v>
      </c>
      <c r="AZ203" s="8">
        <f t="shared" si="16"/>
        <v>8108421</v>
      </c>
      <c r="BB203" s="8">
        <v>0</v>
      </c>
      <c r="BH203" s="8">
        <v>0</v>
      </c>
      <c r="BJ203" s="8">
        <f t="shared" si="14"/>
        <v>8108421</v>
      </c>
      <c r="BL203" s="8">
        <f>+GenRev!AM203-GenExp!BJ203</f>
        <v>55567</v>
      </c>
      <c r="BN203" s="8">
        <v>2185586</v>
      </c>
      <c r="BP203" s="8">
        <v>0</v>
      </c>
      <c r="BQ203" s="8">
        <v>0</v>
      </c>
      <c r="BS203" s="8">
        <f t="shared" si="15"/>
        <v>2241153</v>
      </c>
      <c r="BU203" s="9">
        <f>+BS203-'Gen Fd BS'!AA203+BQ203</f>
        <v>0</v>
      </c>
    </row>
    <row r="204" spans="1:73">
      <c r="A204" s="13" t="s">
        <v>684</v>
      </c>
      <c r="B204" s="13"/>
      <c r="C204" s="13" t="s">
        <v>64</v>
      </c>
      <c r="D204" s="13"/>
      <c r="E204" s="32">
        <v>44065</v>
      </c>
      <c r="G204" s="8">
        <v>5730953</v>
      </c>
      <c r="I204" s="8">
        <v>856786</v>
      </c>
      <c r="K204" s="8">
        <v>130400</v>
      </c>
      <c r="M204" s="8">
        <v>740841</v>
      </c>
      <c r="O204" s="8">
        <v>454488</v>
      </c>
      <c r="Q204" s="8">
        <v>277057</v>
      </c>
      <c r="S204" s="8">
        <v>66772</v>
      </c>
      <c r="U204" s="8">
        <v>1059736</v>
      </c>
      <c r="W204" s="8">
        <v>743324</v>
      </c>
      <c r="Y204" s="8">
        <v>0</v>
      </c>
      <c r="AA204" s="8">
        <v>1347645</v>
      </c>
      <c r="AC204" s="8">
        <v>542906</v>
      </c>
      <c r="AE204" s="8">
        <v>3000</v>
      </c>
      <c r="AG204" s="8">
        <v>0</v>
      </c>
      <c r="AI204" s="8">
        <v>0</v>
      </c>
      <c r="AJ204" s="13" t="s">
        <v>684</v>
      </c>
      <c r="AK204" s="13"/>
      <c r="AL204" s="13" t="s">
        <v>64</v>
      </c>
      <c r="AN204" s="8">
        <v>360724</v>
      </c>
      <c r="AP204" s="8">
        <v>518543</v>
      </c>
      <c r="AT204" s="8">
        <v>95000</v>
      </c>
      <c r="AV204" s="8">
        <v>57250</v>
      </c>
      <c r="AX204" s="8">
        <v>0</v>
      </c>
      <c r="AZ204" s="8">
        <f t="shared" si="16"/>
        <v>12985425</v>
      </c>
      <c r="BB204" s="8">
        <v>0</v>
      </c>
      <c r="BH204" s="8">
        <v>0</v>
      </c>
      <c r="BJ204" s="8">
        <f t="shared" si="14"/>
        <v>12985425</v>
      </c>
      <c r="BL204" s="8">
        <f>+GenRev!AM204-GenExp!BJ204</f>
        <v>706628</v>
      </c>
      <c r="BN204" s="8">
        <v>3655404</v>
      </c>
      <c r="BP204" s="8">
        <v>0</v>
      </c>
      <c r="BQ204" s="8">
        <v>0</v>
      </c>
      <c r="BS204" s="8">
        <f t="shared" si="15"/>
        <v>4362032</v>
      </c>
      <c r="BU204" s="9">
        <f>+BS204-'Gen Fd BS'!AA204+BQ204</f>
        <v>0</v>
      </c>
    </row>
    <row r="205" spans="1:73">
      <c r="A205" s="13" t="s">
        <v>374</v>
      </c>
      <c r="B205" s="13"/>
      <c r="C205" s="13" t="s">
        <v>28</v>
      </c>
      <c r="D205" s="13"/>
      <c r="E205" s="32">
        <v>47068</v>
      </c>
      <c r="F205" s="11"/>
      <c r="G205" s="8">
        <v>2207929</v>
      </c>
      <c r="I205" s="8">
        <v>516432</v>
      </c>
      <c r="K205" s="8">
        <v>96033</v>
      </c>
      <c r="M205" s="8">
        <v>0</v>
      </c>
      <c r="O205" s="8">
        <v>309730</v>
      </c>
      <c r="Q205" s="8">
        <v>201745</v>
      </c>
      <c r="S205" s="8">
        <v>37227</v>
      </c>
      <c r="U205" s="8">
        <v>464769</v>
      </c>
      <c r="W205" s="8">
        <v>160390</v>
      </c>
      <c r="Y205" s="8">
        <v>0</v>
      </c>
      <c r="AA205" s="8">
        <v>403833</v>
      </c>
      <c r="AC205" s="8">
        <v>361356</v>
      </c>
      <c r="AE205" s="8">
        <v>22907</v>
      </c>
      <c r="AG205" s="8">
        <v>0</v>
      </c>
      <c r="AI205" s="8">
        <v>2300</v>
      </c>
      <c r="AJ205" s="13" t="s">
        <v>374</v>
      </c>
      <c r="AK205" s="13"/>
      <c r="AL205" s="13" t="s">
        <v>28</v>
      </c>
      <c r="AN205" s="8">
        <v>128963</v>
      </c>
      <c r="AP205" s="8">
        <v>12941</v>
      </c>
      <c r="AT205" s="8">
        <v>0</v>
      </c>
      <c r="AV205" s="8">
        <v>0</v>
      </c>
      <c r="AX205" s="8">
        <v>0</v>
      </c>
      <c r="AZ205" s="8">
        <f t="shared" si="16"/>
        <v>4926555</v>
      </c>
      <c r="BB205" s="8">
        <v>406753</v>
      </c>
      <c r="BH205" s="8">
        <v>1430802</v>
      </c>
      <c r="BJ205" s="8">
        <f t="shared" si="14"/>
        <v>6764110</v>
      </c>
      <c r="BL205" s="8">
        <f>+GenRev!AM205-GenExp!BJ205</f>
        <v>-1971322</v>
      </c>
      <c r="BN205" s="8">
        <v>3570867</v>
      </c>
      <c r="BP205" s="8">
        <v>0</v>
      </c>
      <c r="BQ205" s="8">
        <v>0</v>
      </c>
      <c r="BS205" s="8">
        <f t="shared" si="15"/>
        <v>1599545</v>
      </c>
      <c r="BU205" s="9">
        <f>+BS205-'Gen Fd BS'!AA205+BQ205</f>
        <v>0</v>
      </c>
    </row>
    <row r="206" spans="1:73">
      <c r="A206" s="13" t="s">
        <v>273</v>
      </c>
      <c r="B206" s="13"/>
      <c r="C206" s="13" t="s">
        <v>116</v>
      </c>
      <c r="D206" s="13"/>
      <c r="E206" s="32">
        <v>46342</v>
      </c>
      <c r="F206" s="11"/>
      <c r="G206" s="8">
        <v>8781993</v>
      </c>
      <c r="I206" s="8">
        <v>1528695</v>
      </c>
      <c r="K206" s="8">
        <v>456305</v>
      </c>
      <c r="M206" s="8">
        <v>0</v>
      </c>
      <c r="O206" s="8">
        <v>1413794</v>
      </c>
      <c r="Q206" s="8">
        <v>2753940</v>
      </c>
      <c r="S206" s="8">
        <v>44180</v>
      </c>
      <c r="U206" s="8">
        <v>1393057</v>
      </c>
      <c r="W206" s="8">
        <v>493340</v>
      </c>
      <c r="Y206" s="8">
        <v>27</v>
      </c>
      <c r="AA206" s="8">
        <v>1834613</v>
      </c>
      <c r="AC206" s="8">
        <v>1862296</v>
      </c>
      <c r="AE206" s="8">
        <v>0</v>
      </c>
      <c r="AG206" s="8">
        <v>0</v>
      </c>
      <c r="AI206" s="8">
        <v>250</v>
      </c>
      <c r="AJ206" s="13" t="s">
        <v>273</v>
      </c>
      <c r="AK206" s="13"/>
      <c r="AL206" s="13" t="s">
        <v>116</v>
      </c>
      <c r="AN206" s="8">
        <v>282669</v>
      </c>
      <c r="AP206" s="8">
        <v>0</v>
      </c>
      <c r="AT206" s="8">
        <v>542</v>
      </c>
      <c r="AV206" s="8">
        <v>7</v>
      </c>
      <c r="AX206" s="8">
        <v>0</v>
      </c>
      <c r="AZ206" s="8">
        <f t="shared" si="16"/>
        <v>20845708</v>
      </c>
      <c r="BB206" s="8">
        <v>0</v>
      </c>
      <c r="BH206" s="8">
        <v>0</v>
      </c>
      <c r="BJ206" s="8">
        <f t="shared" si="14"/>
        <v>20845708</v>
      </c>
      <c r="BL206" s="8">
        <f>+GenRev!AM206-GenExp!BJ206</f>
        <v>27516</v>
      </c>
      <c r="BN206" s="8">
        <v>3231740</v>
      </c>
      <c r="BP206" s="8">
        <v>0</v>
      </c>
      <c r="BQ206" s="8">
        <v>0</v>
      </c>
      <c r="BS206" s="8">
        <f t="shared" si="15"/>
        <v>3259256</v>
      </c>
      <c r="BU206" s="9">
        <f>+BS206-'Gen Fd BS'!AA206+BQ206</f>
        <v>0</v>
      </c>
    </row>
    <row r="207" spans="1:73">
      <c r="A207" s="13" t="s">
        <v>258</v>
      </c>
      <c r="B207" s="13"/>
      <c r="C207" s="13" t="s">
        <v>259</v>
      </c>
      <c r="D207" s="13"/>
      <c r="E207" s="32">
        <v>46193</v>
      </c>
      <c r="F207" s="11"/>
      <c r="G207" s="8">
        <v>6860143</v>
      </c>
      <c r="I207" s="8">
        <v>1350323</v>
      </c>
      <c r="K207" s="8">
        <v>150</v>
      </c>
      <c r="M207" s="8">
        <v>1302781</v>
      </c>
      <c r="O207" s="8">
        <v>761393</v>
      </c>
      <c r="Q207" s="8">
        <v>1192352</v>
      </c>
      <c r="S207" s="8">
        <v>83350</v>
      </c>
      <c r="U207" s="8">
        <v>1288434</v>
      </c>
      <c r="W207" s="8">
        <v>405605</v>
      </c>
      <c r="Y207" s="8">
        <v>133938</v>
      </c>
      <c r="AA207" s="8">
        <v>1316776</v>
      </c>
      <c r="AC207" s="8">
        <v>1354264</v>
      </c>
      <c r="AE207" s="8">
        <v>110575</v>
      </c>
      <c r="AG207" s="8">
        <v>0</v>
      </c>
      <c r="AI207" s="8">
        <v>0</v>
      </c>
      <c r="AJ207" s="13" t="s">
        <v>258</v>
      </c>
      <c r="AK207" s="13"/>
      <c r="AL207" s="13" t="s">
        <v>259</v>
      </c>
      <c r="AN207" s="8">
        <v>314441</v>
      </c>
      <c r="AP207" s="8">
        <v>0</v>
      </c>
      <c r="AT207" s="8">
        <v>21000</v>
      </c>
      <c r="AV207" s="8">
        <v>14543</v>
      </c>
      <c r="AX207" s="8">
        <v>0</v>
      </c>
      <c r="AZ207" s="8">
        <f t="shared" si="16"/>
        <v>16510068</v>
      </c>
      <c r="BB207" s="8">
        <v>71577</v>
      </c>
      <c r="BH207" s="8">
        <v>0</v>
      </c>
      <c r="BJ207" s="8">
        <f t="shared" si="14"/>
        <v>16581645</v>
      </c>
      <c r="BL207" s="8">
        <f>+GenRev!AM207-GenExp!BJ207</f>
        <v>960037</v>
      </c>
      <c r="BN207" s="8">
        <v>100906</v>
      </c>
      <c r="BP207" s="8">
        <v>0</v>
      </c>
      <c r="BQ207" s="8">
        <v>0</v>
      </c>
      <c r="BS207" s="8">
        <f t="shared" si="15"/>
        <v>1060943</v>
      </c>
      <c r="BU207" s="9">
        <f>+BS207-'Gen Fd BS'!AA207+BQ207</f>
        <v>0</v>
      </c>
    </row>
    <row r="208" spans="1:73">
      <c r="A208" s="13" t="s">
        <v>222</v>
      </c>
      <c r="B208" s="13"/>
      <c r="C208" s="13" t="s">
        <v>12</v>
      </c>
      <c r="D208" s="13"/>
      <c r="E208" s="32">
        <v>45864</v>
      </c>
      <c r="G208" s="8">
        <v>5458155</v>
      </c>
      <c r="I208" s="8">
        <v>622247</v>
      </c>
      <c r="K208" s="8">
        <v>166141</v>
      </c>
      <c r="M208" s="8">
        <v>0</v>
      </c>
      <c r="O208" s="8">
        <v>449305</v>
      </c>
      <c r="Q208" s="8">
        <v>296841</v>
      </c>
      <c r="S208" s="8">
        <v>17477</v>
      </c>
      <c r="U208" s="8">
        <v>1094613</v>
      </c>
      <c r="W208" s="8">
        <v>269945</v>
      </c>
      <c r="Y208" s="8">
        <v>29512</v>
      </c>
      <c r="AA208" s="8">
        <v>1019525</v>
      </c>
      <c r="AC208" s="8">
        <v>1379796</v>
      </c>
      <c r="AE208" s="8">
        <v>21734</v>
      </c>
      <c r="AG208" s="8">
        <v>0</v>
      </c>
      <c r="AI208" s="8">
        <v>0</v>
      </c>
      <c r="AJ208" s="13" t="s">
        <v>222</v>
      </c>
      <c r="AK208" s="13"/>
      <c r="AL208" s="13" t="s">
        <v>12</v>
      </c>
      <c r="AN208" s="8">
        <v>266036</v>
      </c>
      <c r="AP208" s="8">
        <v>0</v>
      </c>
      <c r="AT208" s="8">
        <v>26500</v>
      </c>
      <c r="AV208" s="8">
        <v>32985</v>
      </c>
      <c r="AX208" s="8">
        <v>0</v>
      </c>
      <c r="AZ208" s="8">
        <f t="shared" si="16"/>
        <v>11150812</v>
      </c>
      <c r="BB208" s="8">
        <v>14000</v>
      </c>
      <c r="BH208" s="8">
        <v>0</v>
      </c>
      <c r="BJ208" s="8">
        <f t="shared" si="14"/>
        <v>11164812</v>
      </c>
      <c r="BL208" s="8">
        <f>+GenRev!AM208-GenExp!BJ208</f>
        <v>-530520</v>
      </c>
      <c r="BN208" s="8">
        <v>3524312</v>
      </c>
      <c r="BP208" s="8">
        <v>0</v>
      </c>
      <c r="BQ208" s="8">
        <v>0</v>
      </c>
      <c r="BS208" s="8">
        <f t="shared" si="15"/>
        <v>2993792</v>
      </c>
      <c r="BU208" s="9">
        <f>+BS208-'Gen Fd BS'!AA208+BQ208</f>
        <v>0</v>
      </c>
    </row>
    <row r="209" spans="1:73">
      <c r="A209" s="13" t="s">
        <v>361</v>
      </c>
      <c r="B209" s="13"/>
      <c r="C209" s="13" t="s">
        <v>27</v>
      </c>
      <c r="D209" s="13"/>
      <c r="E209" s="32">
        <v>44073</v>
      </c>
      <c r="G209" s="8">
        <v>6815816</v>
      </c>
      <c r="I209" s="8">
        <v>2232417</v>
      </c>
      <c r="K209" s="8">
        <v>107463</v>
      </c>
      <c r="M209" s="8">
        <v>0</v>
      </c>
      <c r="O209" s="8">
        <v>1151795</v>
      </c>
      <c r="Q209" s="8">
        <v>554393</v>
      </c>
      <c r="S209" s="8">
        <v>18263</v>
      </c>
      <c r="U209" s="8">
        <v>1093418</v>
      </c>
      <c r="W209" s="8">
        <v>543817</v>
      </c>
      <c r="Y209" s="8">
        <v>0</v>
      </c>
      <c r="AA209" s="8">
        <v>1395756</v>
      </c>
      <c r="AC209" s="8">
        <v>15381</v>
      </c>
      <c r="AE209" s="8">
        <v>58021</v>
      </c>
      <c r="AG209" s="8">
        <v>0</v>
      </c>
      <c r="AI209" s="8">
        <v>0</v>
      </c>
      <c r="AJ209" s="13" t="s">
        <v>361</v>
      </c>
      <c r="AK209" s="13"/>
      <c r="AL209" s="13" t="s">
        <v>27</v>
      </c>
      <c r="AN209" s="8">
        <v>577912</v>
      </c>
      <c r="AP209" s="8">
        <v>0</v>
      </c>
      <c r="AT209" s="8">
        <v>0</v>
      </c>
      <c r="AV209" s="8">
        <v>0</v>
      </c>
      <c r="AX209" s="8">
        <v>61171</v>
      </c>
      <c r="AZ209" s="8">
        <f t="shared" ref="AZ209:AZ272" si="17">SUM(G209:AX209)</f>
        <v>14625623</v>
      </c>
      <c r="BB209" s="8">
        <v>54541</v>
      </c>
      <c r="BH209" s="8">
        <f>81033+8236</f>
        <v>89269</v>
      </c>
      <c r="BJ209" s="8">
        <f t="shared" ref="BJ209:BJ272" si="18">+AZ209+BB209+BD209+BH209</f>
        <v>14769433</v>
      </c>
      <c r="BL209" s="8">
        <f>+GenRev!AM209-GenExp!BJ209</f>
        <v>194697</v>
      </c>
      <c r="BN209" s="8">
        <v>7143027</v>
      </c>
      <c r="BP209" s="8">
        <v>0</v>
      </c>
      <c r="BQ209" s="8">
        <v>0</v>
      </c>
      <c r="BS209" s="8">
        <f t="shared" ref="BS209:BS250" si="19">+BN209+BL209-BP209</f>
        <v>7337724</v>
      </c>
      <c r="BU209" s="9">
        <f>+BS209-'Gen Fd BS'!AA209+BQ209</f>
        <v>0</v>
      </c>
    </row>
    <row r="210" spans="1:73">
      <c r="A210" s="13" t="s">
        <v>478</v>
      </c>
      <c r="B210" s="13"/>
      <c r="C210" s="13" t="s">
        <v>42</v>
      </c>
      <c r="D210" s="13"/>
      <c r="E210" s="32">
        <v>45393</v>
      </c>
      <c r="G210" s="8">
        <v>10663493</v>
      </c>
      <c r="I210" s="8">
        <v>1534967</v>
      </c>
      <c r="K210" s="8">
        <v>154153</v>
      </c>
      <c r="M210" s="8">
        <v>0</v>
      </c>
      <c r="O210" s="8">
        <v>980196</v>
      </c>
      <c r="Q210" s="8">
        <v>1230180</v>
      </c>
      <c r="S210" s="8">
        <v>125069</v>
      </c>
      <c r="U210" s="8">
        <v>1633763</v>
      </c>
      <c r="W210" s="8">
        <v>660775</v>
      </c>
      <c r="Y210" s="8">
        <v>0</v>
      </c>
      <c r="AA210" s="8">
        <v>2021496</v>
      </c>
      <c r="AC210" s="8">
        <v>1667390</v>
      </c>
      <c r="AE210" s="8">
        <v>271417</v>
      </c>
      <c r="AG210" s="8">
        <v>0</v>
      </c>
      <c r="AI210" s="8">
        <v>26743</v>
      </c>
      <c r="AJ210" s="13" t="s">
        <v>478</v>
      </c>
      <c r="AK210" s="13"/>
      <c r="AL210" s="13" t="s">
        <v>42</v>
      </c>
      <c r="AN210" s="8">
        <v>474689</v>
      </c>
      <c r="AP210" s="8">
        <v>2058</v>
      </c>
      <c r="AT210" s="8">
        <v>48096</v>
      </c>
      <c r="AV210" s="8">
        <v>3463</v>
      </c>
      <c r="AX210" s="8">
        <v>0</v>
      </c>
      <c r="AZ210" s="8">
        <f t="shared" si="17"/>
        <v>21497948</v>
      </c>
      <c r="BB210" s="8">
        <v>0</v>
      </c>
      <c r="BH210" s="8">
        <v>0</v>
      </c>
      <c r="BJ210" s="8">
        <f t="shared" si="18"/>
        <v>21497948</v>
      </c>
      <c r="BL210" s="8">
        <f>+GenRev!AM210-GenExp!BJ210</f>
        <v>-317216</v>
      </c>
      <c r="BN210" s="8">
        <v>6428443</v>
      </c>
      <c r="BP210" s="8">
        <v>0</v>
      </c>
      <c r="BQ210" s="8">
        <v>0</v>
      </c>
      <c r="BS210" s="8">
        <f t="shared" si="19"/>
        <v>6111227</v>
      </c>
      <c r="BU210" s="9">
        <f>+BS210-'Gen Fd BS'!AA210+BQ210</f>
        <v>0</v>
      </c>
    </row>
    <row r="211" spans="1:73">
      <c r="A211" s="13" t="s">
        <v>633</v>
      </c>
      <c r="B211" s="13"/>
      <c r="C211" s="13" t="s">
        <v>59</v>
      </c>
      <c r="D211" s="13"/>
      <c r="E211" s="32">
        <v>49619</v>
      </c>
      <c r="G211" s="8">
        <v>1933000</v>
      </c>
      <c r="I211" s="8">
        <v>296877</v>
      </c>
      <c r="K211" s="8">
        <v>174760</v>
      </c>
      <c r="M211" s="8">
        <v>578850</v>
      </c>
      <c r="O211" s="8">
        <v>434910</v>
      </c>
      <c r="Q211" s="8">
        <v>201192</v>
      </c>
      <c r="S211" s="8">
        <v>33952</v>
      </c>
      <c r="U211" s="8">
        <v>437834</v>
      </c>
      <c r="W211" s="8">
        <v>233941</v>
      </c>
      <c r="Y211" s="8">
        <v>0</v>
      </c>
      <c r="AA211" s="8">
        <v>690002</v>
      </c>
      <c r="AC211" s="8">
        <v>531430</v>
      </c>
      <c r="AE211" s="8">
        <v>0</v>
      </c>
      <c r="AG211" s="8">
        <v>0</v>
      </c>
      <c r="AI211" s="8">
        <v>18629</v>
      </c>
      <c r="AJ211" s="13" t="s">
        <v>633</v>
      </c>
      <c r="AK211" s="13"/>
      <c r="AL211" s="13" t="s">
        <v>59</v>
      </c>
      <c r="AN211" s="8">
        <v>80374</v>
      </c>
      <c r="AP211" s="8">
        <v>0</v>
      </c>
      <c r="AT211" s="8">
        <v>21407</v>
      </c>
      <c r="AV211" s="8">
        <v>1560</v>
      </c>
      <c r="AX211" s="8">
        <v>0</v>
      </c>
      <c r="AZ211" s="8">
        <f t="shared" si="17"/>
        <v>5668718</v>
      </c>
      <c r="BB211" s="8">
        <v>60000</v>
      </c>
      <c r="BH211" s="8">
        <v>0</v>
      </c>
      <c r="BJ211" s="8">
        <f t="shared" si="18"/>
        <v>5728718</v>
      </c>
      <c r="BL211" s="8">
        <f>+GenRev!AM211-GenExp!BJ211</f>
        <v>-409440</v>
      </c>
      <c r="BN211" s="8">
        <v>663550</v>
      </c>
      <c r="BP211" s="8">
        <v>0</v>
      </c>
      <c r="BQ211" s="8">
        <v>0</v>
      </c>
      <c r="BS211" s="8">
        <f t="shared" si="19"/>
        <v>254110</v>
      </c>
      <c r="BU211" s="9">
        <f>+BS211-'Gen Fd BS'!AA211+BQ211</f>
        <v>0</v>
      </c>
    </row>
    <row r="212" spans="1:73">
      <c r="A212" s="13" t="s">
        <v>633</v>
      </c>
      <c r="B212" s="13"/>
      <c r="C212" s="13" t="s">
        <v>63</v>
      </c>
      <c r="D212" s="13"/>
      <c r="E212" s="32">
        <v>50013</v>
      </c>
      <c r="G212" s="8">
        <v>14819383</v>
      </c>
      <c r="I212" s="8">
        <v>4538317</v>
      </c>
      <c r="K212" s="8">
        <v>338300</v>
      </c>
      <c r="M212" s="8">
        <v>1084959</v>
      </c>
      <c r="O212" s="8">
        <v>1595837</v>
      </c>
      <c r="Q212" s="8">
        <v>1665638</v>
      </c>
      <c r="S212" s="8">
        <v>41980</v>
      </c>
      <c r="U212" s="8">
        <v>2402767</v>
      </c>
      <c r="W212" s="8">
        <v>763173</v>
      </c>
      <c r="Y212" s="8">
        <v>166913</v>
      </c>
      <c r="AA212" s="8">
        <v>3259858</v>
      </c>
      <c r="AC212" s="8">
        <v>1748448</v>
      </c>
      <c r="AE212" s="8">
        <v>19950</v>
      </c>
      <c r="AG212" s="8">
        <v>0</v>
      </c>
      <c r="AI212" s="8">
        <v>697361</v>
      </c>
      <c r="AJ212" s="13" t="s">
        <v>633</v>
      </c>
      <c r="AK212" s="13"/>
      <c r="AL212" s="13" t="s">
        <v>63</v>
      </c>
      <c r="AN212" s="8">
        <v>1976</v>
      </c>
      <c r="AP212" s="8">
        <v>165419</v>
      </c>
      <c r="AT212" s="8">
        <v>0</v>
      </c>
      <c r="AV212" s="8">
        <v>0</v>
      </c>
      <c r="AX212" s="8">
        <v>0</v>
      </c>
      <c r="AZ212" s="8">
        <f t="shared" si="17"/>
        <v>33310279</v>
      </c>
      <c r="BB212" s="8">
        <v>135022</v>
      </c>
      <c r="BH212" s="8">
        <v>0</v>
      </c>
      <c r="BJ212" s="8">
        <f t="shared" si="18"/>
        <v>33445301</v>
      </c>
      <c r="BL212" s="8">
        <f>+GenRev!AM212-GenExp!BJ212</f>
        <v>-1955169</v>
      </c>
      <c r="BN212" s="8">
        <v>3051799</v>
      </c>
      <c r="BP212" s="8">
        <v>0</v>
      </c>
      <c r="BQ212" s="8">
        <v>0</v>
      </c>
      <c r="BS212" s="8">
        <f t="shared" si="19"/>
        <v>1096630</v>
      </c>
      <c r="BU212" s="9">
        <f>+BS212-'Gen Fd BS'!AA212+BQ212</f>
        <v>0</v>
      </c>
    </row>
    <row r="213" spans="1:73">
      <c r="A213" s="13" t="s">
        <v>633</v>
      </c>
      <c r="B213" s="13"/>
      <c r="C213" s="13" t="s">
        <v>71</v>
      </c>
      <c r="D213" s="13"/>
      <c r="E213" s="32">
        <v>50559</v>
      </c>
      <c r="G213" s="8">
        <v>4669496</v>
      </c>
      <c r="I213" s="8">
        <v>648647</v>
      </c>
      <c r="K213" s="8">
        <v>230698</v>
      </c>
      <c r="M213" s="8">
        <v>574619</v>
      </c>
      <c r="O213" s="8">
        <v>227101</v>
      </c>
      <c r="Q213" s="8">
        <v>162373</v>
      </c>
      <c r="S213" s="8">
        <v>57076</v>
      </c>
      <c r="U213" s="8">
        <v>767665</v>
      </c>
      <c r="W213" s="8">
        <v>320324</v>
      </c>
      <c r="Y213" s="8">
        <v>36</v>
      </c>
      <c r="AA213" s="8">
        <v>865752</v>
      </c>
      <c r="AC213" s="8">
        <v>581213</v>
      </c>
      <c r="AE213" s="8">
        <v>274649</v>
      </c>
      <c r="AG213" s="8">
        <v>0</v>
      </c>
      <c r="AI213" s="8">
        <v>0</v>
      </c>
      <c r="AJ213" s="13" t="s">
        <v>633</v>
      </c>
      <c r="AK213" s="13"/>
      <c r="AL213" s="13" t="s">
        <v>71</v>
      </c>
      <c r="AN213" s="8">
        <v>280747</v>
      </c>
      <c r="AP213" s="8">
        <v>2686</v>
      </c>
      <c r="AT213" s="8">
        <v>56012</v>
      </c>
      <c r="AV213" s="8">
        <v>9157</v>
      </c>
      <c r="AX213" s="8">
        <v>0</v>
      </c>
      <c r="AZ213" s="8">
        <f t="shared" si="17"/>
        <v>9728251</v>
      </c>
      <c r="BB213" s="8">
        <v>0</v>
      </c>
      <c r="BH213" s="8">
        <v>0</v>
      </c>
      <c r="BJ213" s="8">
        <f t="shared" si="18"/>
        <v>9728251</v>
      </c>
      <c r="BL213" s="8">
        <f>+GenRev!AM213-GenExp!BJ213</f>
        <v>828776</v>
      </c>
      <c r="BN213" s="8">
        <v>-870935</v>
      </c>
      <c r="BP213" s="8">
        <v>0</v>
      </c>
      <c r="BQ213" s="8">
        <v>0</v>
      </c>
      <c r="BS213" s="8">
        <f t="shared" si="19"/>
        <v>-42159</v>
      </c>
      <c r="BU213" s="9">
        <f>+BS213-'Gen Fd BS'!AA213+BQ213</f>
        <v>0</v>
      </c>
    </row>
    <row r="214" spans="1:73">
      <c r="A214" s="13" t="s">
        <v>390</v>
      </c>
      <c r="B214" s="13"/>
      <c r="C214" s="13" t="s">
        <v>117</v>
      </c>
      <c r="D214" s="13"/>
      <c r="E214" s="13">
        <v>47266</v>
      </c>
      <c r="G214" s="8">
        <v>4883205</v>
      </c>
      <c r="I214" s="8">
        <v>727021</v>
      </c>
      <c r="K214" s="8">
        <v>90853</v>
      </c>
      <c r="M214" s="8">
        <v>9312</v>
      </c>
      <c r="O214" s="8">
        <v>1116288</v>
      </c>
      <c r="Q214" s="8">
        <v>456810</v>
      </c>
      <c r="S214" s="8">
        <v>80775</v>
      </c>
      <c r="U214" s="8">
        <v>1104953</v>
      </c>
      <c r="W214" s="8">
        <v>375729</v>
      </c>
      <c r="Y214" s="8">
        <v>0</v>
      </c>
      <c r="AA214" s="8">
        <v>936429</v>
      </c>
      <c r="AC214" s="8">
        <v>813154</v>
      </c>
      <c r="AE214" s="8">
        <v>0</v>
      </c>
      <c r="AG214" s="8">
        <v>0</v>
      </c>
      <c r="AI214" s="8">
        <v>8084</v>
      </c>
      <c r="AJ214" s="13" t="s">
        <v>390</v>
      </c>
      <c r="AK214" s="13"/>
      <c r="AL214" s="13" t="s">
        <v>117</v>
      </c>
      <c r="AN214" s="8">
        <v>232992</v>
      </c>
      <c r="AP214" s="8">
        <v>0</v>
      </c>
      <c r="AT214" s="8">
        <v>93000</v>
      </c>
      <c r="AV214" s="8">
        <v>4941</v>
      </c>
      <c r="AX214" s="8">
        <v>0</v>
      </c>
      <c r="AZ214" s="8">
        <f t="shared" si="17"/>
        <v>10933546</v>
      </c>
      <c r="BB214" s="8">
        <v>0</v>
      </c>
      <c r="BH214" s="8">
        <v>0</v>
      </c>
      <c r="BJ214" s="8">
        <f t="shared" si="18"/>
        <v>10933546</v>
      </c>
      <c r="BL214" s="8">
        <f>+GenRev!AM214-GenExp!BJ214</f>
        <v>1043772</v>
      </c>
      <c r="BN214" s="8">
        <v>1763262</v>
      </c>
      <c r="BP214" s="8">
        <v>0</v>
      </c>
      <c r="BQ214" s="8">
        <v>0</v>
      </c>
      <c r="BS214" s="8">
        <f t="shared" si="19"/>
        <v>2807034</v>
      </c>
      <c r="BU214" s="9">
        <f>+BS214-'Gen Fd BS'!AA214+BQ214</f>
        <v>0</v>
      </c>
    </row>
    <row r="215" spans="1:73">
      <c r="A215" s="13" t="s">
        <v>442</v>
      </c>
      <c r="B215" s="13"/>
      <c r="C215" s="13" t="s">
        <v>440</v>
      </c>
      <c r="D215" s="13"/>
      <c r="E215" s="32">
        <v>45401</v>
      </c>
      <c r="F215" s="11"/>
      <c r="G215" s="8">
        <v>8955768</v>
      </c>
      <c r="I215" s="8">
        <v>1205962</v>
      </c>
      <c r="K215" s="8">
        <v>502342</v>
      </c>
      <c r="M215" s="8">
        <v>890560</v>
      </c>
      <c r="O215" s="8">
        <v>747194</v>
      </c>
      <c r="Q215" s="8">
        <v>259579</v>
      </c>
      <c r="S215" s="8">
        <v>62137</v>
      </c>
      <c r="U215" s="8">
        <v>1552849</v>
      </c>
      <c r="W215" s="8">
        <v>401652</v>
      </c>
      <c r="Y215" s="8">
        <v>0</v>
      </c>
      <c r="AA215" s="8">
        <v>1626703</v>
      </c>
      <c r="AC215" s="8">
        <v>1215580</v>
      </c>
      <c r="AE215" s="8">
        <v>0</v>
      </c>
      <c r="AG215" s="8">
        <v>0</v>
      </c>
      <c r="AI215" s="8">
        <v>0</v>
      </c>
      <c r="AJ215" s="13" t="s">
        <v>442</v>
      </c>
      <c r="AK215" s="13"/>
      <c r="AL215" s="13" t="s">
        <v>440</v>
      </c>
      <c r="AN215" s="8">
        <v>192354</v>
      </c>
      <c r="AP215" s="8">
        <v>0</v>
      </c>
      <c r="AT215" s="8">
        <v>0</v>
      </c>
      <c r="AV215" s="8">
        <v>0</v>
      </c>
      <c r="AX215" s="8">
        <v>0</v>
      </c>
      <c r="AZ215" s="8">
        <f t="shared" si="17"/>
        <v>17612680</v>
      </c>
      <c r="BB215" s="8">
        <v>34727</v>
      </c>
      <c r="BH215" s="8">
        <v>0</v>
      </c>
      <c r="BJ215" s="8">
        <f t="shared" si="18"/>
        <v>17647407</v>
      </c>
      <c r="BL215" s="8">
        <f>+GenRev!AM215-GenExp!BJ215</f>
        <v>227267</v>
      </c>
      <c r="BN215" s="8">
        <v>2592738</v>
      </c>
      <c r="BP215" s="8">
        <v>0</v>
      </c>
      <c r="BQ215" s="8">
        <v>0</v>
      </c>
      <c r="BS215" s="8">
        <f t="shared" si="19"/>
        <v>2820005</v>
      </c>
      <c r="BU215" s="9">
        <f>+BS215-'Gen Fd BS'!AA215+BQ215</f>
        <v>0</v>
      </c>
    </row>
    <row r="216" spans="1:73">
      <c r="A216" s="13" t="s">
        <v>265</v>
      </c>
      <c r="B216" s="13"/>
      <c r="C216" s="13" t="s">
        <v>17</v>
      </c>
      <c r="D216" s="13"/>
      <c r="E216" s="32">
        <v>46235</v>
      </c>
      <c r="G216" s="8">
        <v>6668969</v>
      </c>
      <c r="I216" s="8">
        <v>725560</v>
      </c>
      <c r="K216" s="8">
        <v>415332</v>
      </c>
      <c r="M216" s="8">
        <v>442515</v>
      </c>
      <c r="O216" s="8">
        <v>554522</v>
      </c>
      <c r="Q216" s="8">
        <v>337586</v>
      </c>
      <c r="S216" s="8">
        <v>90209</v>
      </c>
      <c r="U216" s="8">
        <v>1436495</v>
      </c>
      <c r="W216" s="8">
        <v>487525</v>
      </c>
      <c r="Y216" s="8">
        <v>9444</v>
      </c>
      <c r="AA216" s="8">
        <v>1321807</v>
      </c>
      <c r="AC216" s="8">
        <v>1117193</v>
      </c>
      <c r="AE216" s="8">
        <v>88146</v>
      </c>
      <c r="AG216" s="8">
        <v>0</v>
      </c>
      <c r="AI216" s="8">
        <v>0</v>
      </c>
      <c r="AJ216" s="13" t="s">
        <v>265</v>
      </c>
      <c r="AK216" s="13"/>
      <c r="AL216" s="13" t="s">
        <v>17</v>
      </c>
      <c r="AN216" s="8">
        <v>219739</v>
      </c>
      <c r="AP216" s="8">
        <v>0</v>
      </c>
      <c r="AT216" s="8">
        <v>23295</v>
      </c>
      <c r="AV216" s="8">
        <v>5314</v>
      </c>
      <c r="AX216" s="8">
        <v>0</v>
      </c>
      <c r="AZ216" s="8">
        <f t="shared" si="17"/>
        <v>13943651</v>
      </c>
      <c r="BB216" s="8">
        <v>0</v>
      </c>
      <c r="BH216" s="8">
        <v>0</v>
      </c>
      <c r="BJ216" s="8">
        <f t="shared" si="18"/>
        <v>13943651</v>
      </c>
      <c r="BL216" s="8">
        <f>+GenRev!AM216-GenExp!BJ216</f>
        <v>-188061</v>
      </c>
      <c r="BN216" s="8">
        <v>2182539</v>
      </c>
      <c r="BP216" s="8">
        <v>0</v>
      </c>
      <c r="BQ216" s="8">
        <v>0</v>
      </c>
      <c r="BS216" s="8">
        <f t="shared" si="19"/>
        <v>1994478</v>
      </c>
      <c r="BU216" s="9">
        <f>+BS216-'Gen Fd BS'!AA216+BQ216</f>
        <v>0</v>
      </c>
    </row>
    <row r="217" spans="1:73">
      <c r="A217" s="13" t="s">
        <v>331</v>
      </c>
      <c r="B217" s="13"/>
      <c r="C217" s="13" t="s">
        <v>21</v>
      </c>
      <c r="D217" s="13"/>
      <c r="E217" s="32">
        <v>44099</v>
      </c>
      <c r="G217" s="8">
        <v>11808747</v>
      </c>
      <c r="I217" s="8">
        <v>2804147</v>
      </c>
      <c r="K217" s="8">
        <v>2012631</v>
      </c>
      <c r="M217" s="8">
        <v>69793</v>
      </c>
      <c r="O217" s="8">
        <v>1257510</v>
      </c>
      <c r="Q217" s="8">
        <v>934778</v>
      </c>
      <c r="S217" s="8">
        <v>66592</v>
      </c>
      <c r="U217" s="8">
        <v>1852952</v>
      </c>
      <c r="W217" s="8">
        <v>723036</v>
      </c>
      <c r="Y217" s="8">
        <v>7849</v>
      </c>
      <c r="AA217" s="8">
        <v>1549757</v>
      </c>
      <c r="AC217" s="8">
        <v>1004038</v>
      </c>
      <c r="AE217" s="8">
        <v>166341</v>
      </c>
      <c r="AG217" s="8">
        <v>0</v>
      </c>
      <c r="AI217" s="8">
        <v>0</v>
      </c>
      <c r="AJ217" s="13" t="s">
        <v>331</v>
      </c>
      <c r="AK217" s="13"/>
      <c r="AL217" s="13" t="s">
        <v>21</v>
      </c>
      <c r="AN217" s="8">
        <v>371546</v>
      </c>
      <c r="AP217" s="8">
        <v>0</v>
      </c>
      <c r="AT217" s="8">
        <v>0</v>
      </c>
      <c r="AV217" s="8">
        <v>0</v>
      </c>
      <c r="AX217" s="8">
        <v>0</v>
      </c>
      <c r="AZ217" s="8">
        <f t="shared" si="17"/>
        <v>24629717</v>
      </c>
      <c r="BB217" s="8">
        <v>136115</v>
      </c>
      <c r="BH217" s="8">
        <v>0</v>
      </c>
      <c r="BJ217" s="8">
        <f t="shared" si="18"/>
        <v>24765832</v>
      </c>
      <c r="BL217" s="8">
        <f>+GenRev!AM217-GenExp!BJ217</f>
        <v>661533</v>
      </c>
      <c r="BN217" s="8">
        <v>2801769</v>
      </c>
      <c r="BP217" s="8">
        <v>0</v>
      </c>
      <c r="BQ217" s="8">
        <v>0</v>
      </c>
      <c r="BS217" s="8">
        <f t="shared" si="19"/>
        <v>3463302</v>
      </c>
      <c r="BU217" s="9">
        <f>+BS217-'Gen Fd BS'!AA217+BQ217</f>
        <v>0</v>
      </c>
    </row>
    <row r="218" spans="1:73" hidden="1">
      <c r="A218" s="13" t="s">
        <v>362</v>
      </c>
      <c r="B218" s="13"/>
      <c r="C218" s="13" t="s">
        <v>27</v>
      </c>
      <c r="D218" s="13"/>
      <c r="E218" s="32">
        <v>46979</v>
      </c>
      <c r="AG218" s="8">
        <v>0</v>
      </c>
      <c r="AI218" s="8">
        <v>0</v>
      </c>
      <c r="AJ218" s="13" t="s">
        <v>362</v>
      </c>
      <c r="AK218" s="13"/>
      <c r="AL218" s="13" t="s">
        <v>27</v>
      </c>
      <c r="AP218" s="8">
        <v>0</v>
      </c>
      <c r="AT218" s="8">
        <v>0</v>
      </c>
      <c r="AV218" s="8">
        <v>0</v>
      </c>
      <c r="AX218" s="8">
        <v>0</v>
      </c>
      <c r="AZ218" s="8">
        <f t="shared" si="17"/>
        <v>0</v>
      </c>
      <c r="BB218" s="8">
        <v>0</v>
      </c>
      <c r="BH218" s="8">
        <v>0</v>
      </c>
      <c r="BJ218" s="8">
        <f t="shared" si="18"/>
        <v>0</v>
      </c>
      <c r="BL218" s="8">
        <f>+GenRev!AM218-GenExp!BJ218</f>
        <v>0</v>
      </c>
      <c r="BN218" s="8">
        <v>0</v>
      </c>
      <c r="BP218" s="8">
        <v>0</v>
      </c>
      <c r="BQ218" s="8">
        <v>0</v>
      </c>
      <c r="BS218" s="8">
        <f t="shared" si="19"/>
        <v>0</v>
      </c>
      <c r="BU218" s="9">
        <f>+BS218-'Gen Fd BS'!AA218+BQ218</f>
        <v>0</v>
      </c>
    </row>
    <row r="219" spans="1:73">
      <c r="A219" s="13" t="s">
        <v>248</v>
      </c>
      <c r="B219" s="13"/>
      <c r="C219" s="13" t="s">
        <v>246</v>
      </c>
      <c r="D219" s="13"/>
      <c r="E219" s="32">
        <v>44107</v>
      </c>
      <c r="G219" s="8">
        <v>30401654</v>
      </c>
      <c r="I219" s="8">
        <v>7818878</v>
      </c>
      <c r="K219" s="8">
        <v>1481131</v>
      </c>
      <c r="M219" s="8">
        <v>0</v>
      </c>
      <c r="O219" s="8">
        <v>4433996</v>
      </c>
      <c r="Q219" s="8">
        <v>2868544</v>
      </c>
      <c r="S219" s="8">
        <v>409169</v>
      </c>
      <c r="U219" s="8">
        <v>4722549</v>
      </c>
      <c r="W219" s="8">
        <v>1012432</v>
      </c>
      <c r="Y219" s="8">
        <v>441001</v>
      </c>
      <c r="AA219" s="8">
        <v>7496170</v>
      </c>
      <c r="AC219" s="8">
        <v>2859961</v>
      </c>
      <c r="AE219" s="8">
        <v>761590</v>
      </c>
      <c r="AG219" s="8">
        <v>0</v>
      </c>
      <c r="AI219" s="8">
        <v>3961</v>
      </c>
      <c r="AJ219" s="13" t="s">
        <v>248</v>
      </c>
      <c r="AK219" s="13"/>
      <c r="AL219" s="13" t="s">
        <v>246</v>
      </c>
      <c r="AN219" s="8">
        <v>768188</v>
      </c>
      <c r="AP219" s="8">
        <v>7355</v>
      </c>
      <c r="AT219" s="8">
        <v>150900</v>
      </c>
      <c r="AV219" s="8">
        <v>0</v>
      </c>
      <c r="AX219" s="8">
        <v>0</v>
      </c>
      <c r="AZ219" s="8">
        <f t="shared" si="17"/>
        <v>65637479</v>
      </c>
      <c r="BB219" s="8">
        <v>199998</v>
      </c>
      <c r="BH219" s="8">
        <v>0</v>
      </c>
      <c r="BJ219" s="8">
        <f t="shared" si="18"/>
        <v>65837477</v>
      </c>
      <c r="BL219" s="8">
        <f>+GenRev!AM219-GenExp!BJ219</f>
        <v>-1361387</v>
      </c>
      <c r="BN219" s="8">
        <v>-3742753</v>
      </c>
      <c r="BP219" s="8">
        <v>0</v>
      </c>
      <c r="BQ219" s="8">
        <v>0</v>
      </c>
      <c r="BS219" s="8">
        <f t="shared" si="19"/>
        <v>-5104140</v>
      </c>
      <c r="BU219" s="9">
        <f>+BS219-'Gen Fd BS'!AA219+BQ219</f>
        <v>0</v>
      </c>
    </row>
    <row r="220" spans="1:73">
      <c r="A220" s="13" t="s">
        <v>363</v>
      </c>
      <c r="B220" s="13"/>
      <c r="C220" s="13" t="s">
        <v>27</v>
      </c>
      <c r="D220" s="13"/>
      <c r="E220" s="32">
        <v>46953</v>
      </c>
      <c r="G220" s="8">
        <v>9287724</v>
      </c>
      <c r="I220" s="8">
        <v>1738963</v>
      </c>
      <c r="K220" s="8">
        <v>249253</v>
      </c>
      <c r="M220" s="8">
        <v>1655220</v>
      </c>
      <c r="O220" s="8">
        <v>551484</v>
      </c>
      <c r="Q220" s="8">
        <v>386555</v>
      </c>
      <c r="S220" s="8">
        <v>28951</v>
      </c>
      <c r="U220" s="8">
        <v>1867531</v>
      </c>
      <c r="W220" s="8">
        <v>1498525</v>
      </c>
      <c r="Y220" s="8">
        <v>0</v>
      </c>
      <c r="AA220" s="8">
        <v>2500429</v>
      </c>
      <c r="AC220" s="8">
        <v>1008914</v>
      </c>
      <c r="AE220" s="8">
        <v>41361</v>
      </c>
      <c r="AG220" s="8">
        <v>0</v>
      </c>
      <c r="AI220" s="8">
        <v>83140</v>
      </c>
      <c r="AJ220" s="13" t="s">
        <v>363</v>
      </c>
      <c r="AK220" s="13"/>
      <c r="AL220" s="13" t="s">
        <v>27</v>
      </c>
      <c r="AN220" s="8">
        <v>530002</v>
      </c>
      <c r="AP220" s="8">
        <v>0</v>
      </c>
      <c r="AT220" s="8">
        <v>0</v>
      </c>
      <c r="AV220" s="8">
        <v>0</v>
      </c>
      <c r="AX220" s="8">
        <v>0</v>
      </c>
      <c r="AZ220" s="8">
        <f t="shared" si="17"/>
        <v>21428052</v>
      </c>
      <c r="BB220" s="8">
        <v>0</v>
      </c>
      <c r="BH220" s="8">
        <v>0</v>
      </c>
      <c r="BJ220" s="8">
        <f t="shared" si="18"/>
        <v>21428052</v>
      </c>
      <c r="BL220" s="8">
        <f>+GenRev!AM220-GenExp!BJ220</f>
        <v>518765</v>
      </c>
      <c r="BN220" s="8">
        <v>3798207</v>
      </c>
      <c r="BP220" s="8">
        <v>0</v>
      </c>
      <c r="BQ220" s="8">
        <v>0</v>
      </c>
      <c r="BS220" s="8">
        <f t="shared" si="19"/>
        <v>4316972</v>
      </c>
      <c r="BU220" s="9">
        <f>+BS220-'Gen Fd BS'!AA220+BQ220</f>
        <v>0</v>
      </c>
    </row>
    <row r="221" spans="1:73" ht="13.2">
      <c r="A221" s="13" t="s">
        <v>427</v>
      </c>
      <c r="B221" s="13"/>
      <c r="C221" s="13" t="s">
        <v>426</v>
      </c>
      <c r="D221" s="13"/>
      <c r="E221" s="32">
        <v>47498</v>
      </c>
      <c r="G221" s="8">
        <v>2193027</v>
      </c>
      <c r="I221" s="8">
        <v>204905</v>
      </c>
      <c r="K221" s="8">
        <v>194741</v>
      </c>
      <c r="M221" s="8">
        <v>0</v>
      </c>
      <c r="O221" s="8">
        <v>143599</v>
      </c>
      <c r="Q221" s="8">
        <v>35751</v>
      </c>
      <c r="S221" s="8">
        <v>75972</v>
      </c>
      <c r="U221" s="8">
        <v>429431</v>
      </c>
      <c r="W221" s="8">
        <v>191180</v>
      </c>
      <c r="Y221" s="8">
        <v>0</v>
      </c>
      <c r="AA221" s="8">
        <v>268996</v>
      </c>
      <c r="AC221" s="8">
        <v>164092</v>
      </c>
      <c r="AE221" s="8">
        <v>1004</v>
      </c>
      <c r="AG221" s="8">
        <v>0</v>
      </c>
      <c r="AI221" s="8">
        <v>0</v>
      </c>
      <c r="AJ221" s="13" t="s">
        <v>427</v>
      </c>
      <c r="AK221" s="13"/>
      <c r="AL221" s="13" t="s">
        <v>426</v>
      </c>
      <c r="AN221" s="8">
        <v>120216</v>
      </c>
      <c r="AP221" s="8">
        <v>0</v>
      </c>
      <c r="AT221" s="8">
        <v>0</v>
      </c>
      <c r="AV221" s="8">
        <v>0</v>
      </c>
      <c r="AX221" s="8">
        <v>0</v>
      </c>
      <c r="AZ221" s="8">
        <f t="shared" si="17"/>
        <v>4022914</v>
      </c>
      <c r="BB221" s="8">
        <v>82000</v>
      </c>
      <c r="BC221" s="82"/>
      <c r="BH221" s="8">
        <v>0</v>
      </c>
      <c r="BJ221" s="8">
        <f t="shared" si="18"/>
        <v>4104914</v>
      </c>
      <c r="BL221" s="8">
        <f>+GenRev!AM221-GenExp!BJ221</f>
        <v>526573</v>
      </c>
      <c r="BN221" s="8">
        <v>1403544</v>
      </c>
      <c r="BP221" s="8">
        <v>0</v>
      </c>
      <c r="BQ221" s="8">
        <v>0</v>
      </c>
      <c r="BS221" s="8">
        <f t="shared" si="19"/>
        <v>1930117</v>
      </c>
      <c r="BU221" s="9">
        <f>+BS221-'Gen Fd BS'!AA221+BQ221</f>
        <v>0</v>
      </c>
    </row>
    <row r="222" spans="1:73">
      <c r="A222" s="13" t="s">
        <v>650</v>
      </c>
      <c r="B222" s="13"/>
      <c r="C222" s="13" t="s">
        <v>61</v>
      </c>
      <c r="D222" s="13"/>
      <c r="E222" s="32">
        <v>49791</v>
      </c>
      <c r="G222" s="8">
        <v>3304087</v>
      </c>
      <c r="I222" s="8">
        <v>800887</v>
      </c>
      <c r="K222" s="8">
        <v>84324</v>
      </c>
      <c r="M222" s="8">
        <v>734690</v>
      </c>
      <c r="O222" s="8">
        <v>138126</v>
      </c>
      <c r="Q222" s="8">
        <v>353006</v>
      </c>
      <c r="S222" s="8">
        <v>12625</v>
      </c>
      <c r="U222" s="8">
        <v>507052</v>
      </c>
      <c r="W222" s="8">
        <v>221684</v>
      </c>
      <c r="Y222" s="8">
        <v>953</v>
      </c>
      <c r="AA222" s="8">
        <v>603443</v>
      </c>
      <c r="AC222" s="8">
        <v>526200</v>
      </c>
      <c r="AE222" s="8">
        <v>12114</v>
      </c>
      <c r="AG222" s="8">
        <v>0</v>
      </c>
      <c r="AI222" s="8">
        <v>0</v>
      </c>
      <c r="AJ222" s="13" t="s">
        <v>650</v>
      </c>
      <c r="AK222" s="13"/>
      <c r="AL222" s="13" t="s">
        <v>61</v>
      </c>
      <c r="AN222" s="8">
        <v>144931</v>
      </c>
      <c r="AP222" s="8">
        <v>39210</v>
      </c>
      <c r="AT222" s="8">
        <v>14610</v>
      </c>
      <c r="AV222" s="8">
        <v>5760</v>
      </c>
      <c r="AX222" s="8">
        <v>0</v>
      </c>
      <c r="AZ222" s="8">
        <f t="shared" si="17"/>
        <v>7503702</v>
      </c>
      <c r="BB222" s="8">
        <v>0</v>
      </c>
      <c r="BH222" s="8">
        <v>0</v>
      </c>
      <c r="BJ222" s="8">
        <f t="shared" si="18"/>
        <v>7503702</v>
      </c>
      <c r="BL222" s="8">
        <f>+GenRev!AM222-GenExp!BJ222</f>
        <v>-75900</v>
      </c>
      <c r="BN222" s="8">
        <v>1631754</v>
      </c>
      <c r="BP222" s="8">
        <v>0</v>
      </c>
      <c r="BQ222" s="8">
        <v>0</v>
      </c>
      <c r="BS222" s="8">
        <f t="shared" si="19"/>
        <v>1555854</v>
      </c>
      <c r="BU222" s="9">
        <f>+BS222-'Gen Fd BS'!AA222+BQ222</f>
        <v>0</v>
      </c>
    </row>
    <row r="223" spans="1:73">
      <c r="A223" s="13" t="s">
        <v>434</v>
      </c>
      <c r="B223" s="13"/>
      <c r="C223" s="13" t="s">
        <v>433</v>
      </c>
      <c r="D223" s="13"/>
      <c r="E223" s="32">
        <v>45245</v>
      </c>
      <c r="G223" s="8">
        <v>8169685</v>
      </c>
      <c r="I223" s="8">
        <v>1392787</v>
      </c>
      <c r="K223" s="8">
        <v>332744</v>
      </c>
      <c r="M223" s="8">
        <v>78226</v>
      </c>
      <c r="O223" s="8">
        <v>666031</v>
      </c>
      <c r="Q223" s="8">
        <v>374010</v>
      </c>
      <c r="S223" s="8">
        <v>737530</v>
      </c>
      <c r="U223" s="8">
        <v>1384385</v>
      </c>
      <c r="W223" s="8">
        <v>489899</v>
      </c>
      <c r="Y223" s="8">
        <v>0</v>
      </c>
      <c r="AA223" s="8">
        <v>1303935</v>
      </c>
      <c r="AC223" s="8">
        <v>1461803</v>
      </c>
      <c r="AE223" s="8">
        <v>258521</v>
      </c>
      <c r="AG223" s="8">
        <v>0</v>
      </c>
      <c r="AI223" s="8">
        <v>46870</v>
      </c>
      <c r="AJ223" s="13" t="s">
        <v>434</v>
      </c>
      <c r="AK223" s="13"/>
      <c r="AL223" s="13" t="s">
        <v>433</v>
      </c>
      <c r="AN223" s="8">
        <v>182226</v>
      </c>
      <c r="AP223" s="8">
        <v>169987</v>
      </c>
      <c r="AT223" s="8">
        <v>47504</v>
      </c>
      <c r="AV223" s="8">
        <v>3490</v>
      </c>
      <c r="AX223" s="8">
        <v>0</v>
      </c>
      <c r="AZ223" s="8">
        <f t="shared" si="17"/>
        <v>17099633</v>
      </c>
      <c r="BB223" s="8">
        <v>64708</v>
      </c>
      <c r="BH223" s="8">
        <v>0</v>
      </c>
      <c r="BJ223" s="8">
        <f t="shared" si="18"/>
        <v>17164341</v>
      </c>
      <c r="BL223" s="8">
        <f>+GenRev!AM223-GenExp!BJ223</f>
        <v>-1226683</v>
      </c>
      <c r="BN223" s="8">
        <v>4611579</v>
      </c>
      <c r="BP223" s="8">
        <v>-1151</v>
      </c>
      <c r="BQ223" s="8">
        <v>0</v>
      </c>
      <c r="BS223" s="8">
        <f t="shared" si="19"/>
        <v>3386047</v>
      </c>
      <c r="BU223" s="9">
        <f>+BS223-'Gen Fd BS'!AA223+BQ223</f>
        <v>0</v>
      </c>
    </row>
    <row r="224" spans="1:73">
      <c r="A224" s="13" t="s">
        <v>479</v>
      </c>
      <c r="B224" s="13"/>
      <c r="C224" s="13" t="s">
        <v>42</v>
      </c>
      <c r="D224" s="13"/>
      <c r="E224" s="32">
        <v>44115</v>
      </c>
      <c r="G224" s="8">
        <v>7956937</v>
      </c>
      <c r="I224" s="8">
        <v>0</v>
      </c>
      <c r="K224" s="8">
        <v>0</v>
      </c>
      <c r="M224" s="8">
        <v>0</v>
      </c>
      <c r="O224" s="8">
        <v>601839</v>
      </c>
      <c r="Q224" s="8">
        <v>288281</v>
      </c>
      <c r="S224" s="8">
        <v>10855</v>
      </c>
      <c r="U224" s="8">
        <v>1211911</v>
      </c>
      <c r="W224" s="8">
        <v>454761</v>
      </c>
      <c r="Y224" s="8">
        <v>40556</v>
      </c>
      <c r="AA224" s="8">
        <v>1258289</v>
      </c>
      <c r="AC224" s="8">
        <v>581873</v>
      </c>
      <c r="AE224" s="8">
        <v>214478</v>
      </c>
      <c r="AG224" s="8">
        <v>3246</v>
      </c>
      <c r="AI224" s="8">
        <v>0</v>
      </c>
      <c r="AJ224" s="13" t="s">
        <v>479</v>
      </c>
      <c r="AK224" s="13"/>
      <c r="AL224" s="13" t="s">
        <v>42</v>
      </c>
      <c r="AN224" s="8">
        <v>281335</v>
      </c>
      <c r="AP224" s="8">
        <v>43290</v>
      </c>
      <c r="AT224" s="8">
        <v>51080</v>
      </c>
      <c r="AV224" s="8">
        <v>3831</v>
      </c>
      <c r="AX224" s="8">
        <v>0</v>
      </c>
      <c r="AZ224" s="8">
        <f t="shared" si="17"/>
        <v>13002562</v>
      </c>
      <c r="BB224" s="8">
        <v>20000</v>
      </c>
      <c r="BH224" s="8">
        <v>0</v>
      </c>
      <c r="BJ224" s="8">
        <f t="shared" si="18"/>
        <v>13022562</v>
      </c>
      <c r="BL224" s="8">
        <f>+GenRev!AM224-GenExp!BJ224</f>
        <v>673921</v>
      </c>
      <c r="BN224" s="8">
        <v>1163774</v>
      </c>
      <c r="BP224" s="8">
        <v>0</v>
      </c>
      <c r="BQ224" s="8">
        <v>0</v>
      </c>
      <c r="BS224" s="8">
        <f t="shared" si="19"/>
        <v>1837695</v>
      </c>
      <c r="BU224" s="9">
        <f>+BS224-'Gen Fd BS'!AA224+BQ224</f>
        <v>0</v>
      </c>
    </row>
    <row r="225" spans="1:73" hidden="1">
      <c r="A225" s="13" t="s">
        <v>335</v>
      </c>
      <c r="B225" s="13"/>
      <c r="C225" s="13" t="s">
        <v>22</v>
      </c>
      <c r="D225" s="13"/>
      <c r="E225" s="32">
        <v>45419</v>
      </c>
      <c r="AG225" s="8">
        <v>0</v>
      </c>
      <c r="AI225" s="8">
        <v>0</v>
      </c>
      <c r="AJ225" s="13" t="s">
        <v>335</v>
      </c>
      <c r="AK225" s="13"/>
      <c r="AL225" s="13" t="s">
        <v>22</v>
      </c>
      <c r="AX225" s="8">
        <v>0</v>
      </c>
      <c r="AZ225" s="8">
        <f t="shared" si="17"/>
        <v>0</v>
      </c>
      <c r="BB225" s="8">
        <v>0</v>
      </c>
      <c r="BH225" s="8">
        <v>0</v>
      </c>
      <c r="BJ225" s="8">
        <f t="shared" si="18"/>
        <v>0</v>
      </c>
      <c r="BL225" s="8">
        <f>+GenRev!AM225-GenExp!BJ225</f>
        <v>0</v>
      </c>
      <c r="BN225" s="8">
        <v>0</v>
      </c>
      <c r="BP225" s="8">
        <v>0</v>
      </c>
      <c r="BQ225" s="8">
        <v>0</v>
      </c>
      <c r="BS225" s="8">
        <f t="shared" si="19"/>
        <v>0</v>
      </c>
      <c r="BU225" s="9">
        <f>+BS225-'Gen Fd BS'!AA225+BQ225</f>
        <v>0</v>
      </c>
    </row>
    <row r="226" spans="1:73">
      <c r="A226" s="13" t="s">
        <v>534</v>
      </c>
      <c r="B226" s="13"/>
      <c r="C226" s="13" t="s">
        <v>47</v>
      </c>
      <c r="D226" s="13"/>
      <c r="E226" s="32">
        <v>48496</v>
      </c>
      <c r="G226" s="8">
        <v>10733885</v>
      </c>
      <c r="I226" s="8">
        <v>2380151</v>
      </c>
      <c r="K226" s="8">
        <v>282569</v>
      </c>
      <c r="M226" s="8">
        <v>305858</v>
      </c>
      <c r="O226" s="8">
        <v>1176681</v>
      </c>
      <c r="Q226" s="8">
        <v>1108383</v>
      </c>
      <c r="S226" s="8">
        <v>33005</v>
      </c>
      <c r="U226" s="8">
        <v>1891280</v>
      </c>
      <c r="W226" s="8">
        <v>756419</v>
      </c>
      <c r="Y226" s="8">
        <v>44154</v>
      </c>
      <c r="AA226" s="8">
        <v>2819749</v>
      </c>
      <c r="AC226" s="8">
        <v>1520270</v>
      </c>
      <c r="AE226" s="8">
        <v>158903</v>
      </c>
      <c r="AG226" s="8">
        <v>0</v>
      </c>
      <c r="AI226" s="8">
        <v>0</v>
      </c>
      <c r="AJ226" s="13" t="s">
        <v>534</v>
      </c>
      <c r="AK226" s="13"/>
      <c r="AL226" s="13" t="s">
        <v>47</v>
      </c>
      <c r="AN226" s="8">
        <v>775219</v>
      </c>
      <c r="AP226" s="8">
        <v>308958</v>
      </c>
      <c r="AT226" s="8">
        <v>61075</v>
      </c>
      <c r="AV226" s="8">
        <v>9734</v>
      </c>
      <c r="AX226" s="8">
        <v>0</v>
      </c>
      <c r="AZ226" s="8">
        <f t="shared" si="17"/>
        <v>24366293</v>
      </c>
      <c r="BB226" s="8">
        <v>18750</v>
      </c>
      <c r="BH226" s="8">
        <v>0</v>
      </c>
      <c r="BJ226" s="8">
        <f t="shared" si="18"/>
        <v>24385043</v>
      </c>
      <c r="BL226" s="8">
        <f>+GenRev!AM226-GenExp!BJ226</f>
        <v>-1592502</v>
      </c>
      <c r="BN226" s="8">
        <v>10388927</v>
      </c>
      <c r="BP226" s="8">
        <v>0</v>
      </c>
      <c r="BQ226" s="8">
        <v>0</v>
      </c>
      <c r="BS226" s="8">
        <f t="shared" si="19"/>
        <v>8796425</v>
      </c>
      <c r="BU226" s="9">
        <f>+BS226-'Gen Fd BS'!AA226+BQ226</f>
        <v>0</v>
      </c>
    </row>
    <row r="227" spans="1:73">
      <c r="A227" s="13" t="s">
        <v>534</v>
      </c>
      <c r="B227" s="13"/>
      <c r="C227" s="13" t="s">
        <v>78</v>
      </c>
      <c r="D227" s="13"/>
      <c r="E227" s="32">
        <v>48801</v>
      </c>
      <c r="G227" s="8">
        <v>6060170</v>
      </c>
      <c r="I227" s="8">
        <v>1512293</v>
      </c>
      <c r="K227" s="8">
        <v>134293</v>
      </c>
      <c r="M227" s="8">
        <v>0</v>
      </c>
      <c r="O227" s="8">
        <v>394293</v>
      </c>
      <c r="Q227" s="8">
        <v>608826</v>
      </c>
      <c r="S227" s="8">
        <v>163330</v>
      </c>
      <c r="U227" s="8">
        <v>1052837</v>
      </c>
      <c r="W227" s="8">
        <v>343746</v>
      </c>
      <c r="Y227" s="8">
        <v>0</v>
      </c>
      <c r="AA227" s="8">
        <v>1301691</v>
      </c>
      <c r="AC227" s="8">
        <v>1111815</v>
      </c>
      <c r="AE227" s="8">
        <v>0</v>
      </c>
      <c r="AG227" s="8">
        <v>0</v>
      </c>
      <c r="AI227" s="8">
        <v>0</v>
      </c>
      <c r="AJ227" s="13" t="s">
        <v>534</v>
      </c>
      <c r="AK227" s="13"/>
      <c r="AL227" s="13" t="s">
        <v>78</v>
      </c>
      <c r="AN227" s="8">
        <v>199449</v>
      </c>
      <c r="AP227" s="8">
        <v>82784</v>
      </c>
      <c r="AT227" s="8">
        <v>8047</v>
      </c>
      <c r="AV227" s="8">
        <v>605</v>
      </c>
      <c r="AX227" s="8">
        <v>0</v>
      </c>
      <c r="AZ227" s="8">
        <f t="shared" si="17"/>
        <v>12974179</v>
      </c>
      <c r="BB227" s="8">
        <v>0</v>
      </c>
      <c r="BH227" s="8">
        <v>0</v>
      </c>
      <c r="BJ227" s="8">
        <f t="shared" si="18"/>
        <v>12974179</v>
      </c>
      <c r="BL227" s="8">
        <f>+GenRev!AM227-GenExp!BJ227</f>
        <v>796306</v>
      </c>
      <c r="BN227" s="8">
        <v>3118142</v>
      </c>
      <c r="BP227" s="8">
        <v>0</v>
      </c>
      <c r="BQ227" s="8">
        <v>0</v>
      </c>
      <c r="BS227" s="8">
        <f t="shared" si="19"/>
        <v>3914448</v>
      </c>
      <c r="BU227" s="9">
        <f>+BS227-'Gen Fd BS'!AA227+BQ227</f>
        <v>0</v>
      </c>
    </row>
    <row r="228" spans="1:73">
      <c r="A228" s="13" t="s">
        <v>364</v>
      </c>
      <c r="B228" s="13"/>
      <c r="C228" s="13" t="s">
        <v>27</v>
      </c>
      <c r="D228" s="13"/>
      <c r="E228" s="32">
        <v>47019</v>
      </c>
      <c r="F228" s="11"/>
      <c r="G228" s="8">
        <v>78325242</v>
      </c>
      <c r="I228" s="8">
        <v>13010506</v>
      </c>
      <c r="K228" s="8">
        <v>1176943</v>
      </c>
      <c r="M228" s="8">
        <v>0</v>
      </c>
      <c r="O228" s="8">
        <v>10142623</v>
      </c>
      <c r="Q228" s="8">
        <v>8631255</v>
      </c>
      <c r="S228" s="8">
        <v>305636</v>
      </c>
      <c r="U228" s="8">
        <v>9338730</v>
      </c>
      <c r="W228" s="8">
        <v>3198114</v>
      </c>
      <c r="Y228" s="8">
        <v>855111</v>
      </c>
      <c r="AA228" s="8">
        <v>12104190</v>
      </c>
      <c r="AC228" s="8">
        <v>6962786</v>
      </c>
      <c r="AE228" s="8">
        <v>501455</v>
      </c>
      <c r="AG228" s="8">
        <v>10700</v>
      </c>
      <c r="AI228" s="8">
        <v>0</v>
      </c>
      <c r="AJ228" s="13" t="s">
        <v>364</v>
      </c>
      <c r="AK228" s="13"/>
      <c r="AL228" s="13" t="s">
        <v>27</v>
      </c>
      <c r="AN228" s="8">
        <v>2791339</v>
      </c>
      <c r="AP228" s="8">
        <f>11200+89390</f>
        <v>100590</v>
      </c>
      <c r="AT228" s="8">
        <v>456042</v>
      </c>
      <c r="AV228" s="8">
        <v>75231</v>
      </c>
      <c r="AX228" s="8">
        <v>287</v>
      </c>
      <c r="AZ228" s="8">
        <f t="shared" si="17"/>
        <v>147986780</v>
      </c>
      <c r="BB228" s="8">
        <v>0</v>
      </c>
      <c r="BH228" s="8">
        <v>0</v>
      </c>
      <c r="BJ228" s="8">
        <f t="shared" si="18"/>
        <v>147986780</v>
      </c>
      <c r="BL228" s="8">
        <f>+GenRev!AM228-GenExp!BJ228</f>
        <v>-10261794</v>
      </c>
      <c r="BN228" s="8">
        <v>33237377</v>
      </c>
      <c r="BP228" s="8">
        <v>0</v>
      </c>
      <c r="BQ228" s="8">
        <v>0</v>
      </c>
      <c r="BS228" s="8">
        <f t="shared" si="19"/>
        <v>22975583</v>
      </c>
      <c r="BU228" s="9">
        <f>+BS228-'Gen Fd BS'!AA228+BQ228</f>
        <v>0</v>
      </c>
    </row>
    <row r="229" spans="1:73">
      <c r="A229" s="13" t="s">
        <v>443</v>
      </c>
      <c r="B229" s="13"/>
      <c r="C229" s="13" t="s">
        <v>440</v>
      </c>
      <c r="D229" s="13"/>
      <c r="E229" s="32">
        <v>44123</v>
      </c>
      <c r="G229" s="8">
        <v>8596599</v>
      </c>
      <c r="I229" s="8">
        <v>784442</v>
      </c>
      <c r="K229" s="8">
        <v>628408</v>
      </c>
      <c r="M229" s="8">
        <v>1868752</v>
      </c>
      <c r="O229" s="8">
        <v>734843</v>
      </c>
      <c r="Q229" s="8">
        <v>1122746</v>
      </c>
      <c r="S229" s="8">
        <v>0</v>
      </c>
      <c r="U229" s="8">
        <f>41617+2111602</f>
        <v>2153219</v>
      </c>
      <c r="W229" s="8">
        <v>587189</v>
      </c>
      <c r="Y229" s="8">
        <v>1438</v>
      </c>
      <c r="AA229" s="8">
        <v>1617867</v>
      </c>
      <c r="AC229" s="8">
        <v>1475752</v>
      </c>
      <c r="AE229" s="8">
        <v>102978</v>
      </c>
      <c r="AG229" s="8">
        <v>0</v>
      </c>
      <c r="AI229" s="8">
        <v>2473</v>
      </c>
      <c r="AJ229" s="13" t="s">
        <v>443</v>
      </c>
      <c r="AK229" s="13"/>
      <c r="AL229" s="13" t="s">
        <v>440</v>
      </c>
      <c r="AN229" s="8">
        <v>233595</v>
      </c>
      <c r="AP229" s="8">
        <v>48531</v>
      </c>
      <c r="AT229" s="8">
        <v>70739</v>
      </c>
      <c r="AV229" s="8">
        <v>5464</v>
      </c>
      <c r="AX229" s="8">
        <v>0</v>
      </c>
      <c r="AZ229" s="8">
        <f t="shared" si="17"/>
        <v>20035035</v>
      </c>
      <c r="BB229" s="8">
        <v>348853</v>
      </c>
      <c r="BH229" s="8">
        <v>0</v>
      </c>
      <c r="BJ229" s="8">
        <f t="shared" si="18"/>
        <v>20383888</v>
      </c>
      <c r="BL229" s="8">
        <f>+GenRev!AM229-GenExp!BJ229</f>
        <v>1219405</v>
      </c>
      <c r="BN229" s="8">
        <v>1212369</v>
      </c>
      <c r="BP229" s="8">
        <v>0</v>
      </c>
      <c r="BQ229" s="8">
        <v>0</v>
      </c>
      <c r="BS229" s="8">
        <f t="shared" si="19"/>
        <v>2431774</v>
      </c>
      <c r="BU229" s="9">
        <f>+BS229-'Gen Fd BS'!AA229+BQ229</f>
        <v>0</v>
      </c>
    </row>
    <row r="230" spans="1:73">
      <c r="A230" s="13" t="s">
        <v>216</v>
      </c>
      <c r="B230" s="13"/>
      <c r="C230" s="13" t="s">
        <v>11</v>
      </c>
      <c r="D230" s="13"/>
      <c r="E230" s="32">
        <v>45823</v>
      </c>
      <c r="G230" s="8">
        <v>4280527</v>
      </c>
      <c r="I230" s="8">
        <v>651216</v>
      </c>
      <c r="K230" s="8">
        <v>368013</v>
      </c>
      <c r="M230" s="8">
        <v>235074</v>
      </c>
      <c r="O230" s="8">
        <v>369730</v>
      </c>
      <c r="Q230" s="8">
        <v>266606</v>
      </c>
      <c r="S230" s="8">
        <v>50177</v>
      </c>
      <c r="U230" s="8">
        <v>718054</v>
      </c>
      <c r="W230" s="8">
        <v>341984</v>
      </c>
      <c r="Y230" s="8">
        <v>0</v>
      </c>
      <c r="AA230" s="8">
        <v>604061</v>
      </c>
      <c r="AC230" s="8">
        <v>858528</v>
      </c>
      <c r="AE230" s="8">
        <v>0</v>
      </c>
      <c r="AG230" s="8">
        <v>0</v>
      </c>
      <c r="AI230" s="8">
        <v>2212</v>
      </c>
      <c r="AJ230" s="13" t="s">
        <v>216</v>
      </c>
      <c r="AK230" s="13"/>
      <c r="AL230" s="13" t="s">
        <v>11</v>
      </c>
      <c r="AN230" s="8">
        <v>220205</v>
      </c>
      <c r="AP230" s="8">
        <v>10000</v>
      </c>
      <c r="AT230" s="8">
        <v>0</v>
      </c>
      <c r="AV230" s="8">
        <v>0</v>
      </c>
      <c r="AX230" s="8">
        <v>0</v>
      </c>
      <c r="AZ230" s="8">
        <f t="shared" si="17"/>
        <v>8976387</v>
      </c>
      <c r="BB230" s="8">
        <v>29755</v>
      </c>
      <c r="BH230" s="8">
        <v>0</v>
      </c>
      <c r="BJ230" s="8">
        <f t="shared" si="18"/>
        <v>9006142</v>
      </c>
      <c r="BL230" s="8">
        <f>+GenRev!AM230-GenExp!BJ230</f>
        <v>-102120</v>
      </c>
      <c r="BN230" s="8">
        <v>875054</v>
      </c>
      <c r="BP230" s="8">
        <v>0</v>
      </c>
      <c r="BQ230" s="8">
        <v>0</v>
      </c>
      <c r="BS230" s="8">
        <f t="shared" si="19"/>
        <v>772934</v>
      </c>
      <c r="BU230" s="9">
        <f>+BS230-'Gen Fd BS'!AA230+BQ230</f>
        <v>0</v>
      </c>
    </row>
    <row r="231" spans="1:73">
      <c r="A231" s="13" t="s">
        <v>435</v>
      </c>
      <c r="B231" s="13"/>
      <c r="C231" s="13" t="s">
        <v>34</v>
      </c>
      <c r="D231" s="13"/>
      <c r="E231" s="32">
        <v>47571</v>
      </c>
      <c r="G231" s="8">
        <v>2345034</v>
      </c>
      <c r="I231" s="8">
        <v>301000</v>
      </c>
      <c r="K231" s="8">
        <v>75004</v>
      </c>
      <c r="M231" s="8">
        <v>0</v>
      </c>
      <c r="O231" s="8">
        <v>229734</v>
      </c>
      <c r="Q231" s="8">
        <v>164262</v>
      </c>
      <c r="S231" s="8">
        <v>14430</v>
      </c>
      <c r="U231" s="8">
        <v>483927</v>
      </c>
      <c r="W231" s="8">
        <v>150340</v>
      </c>
      <c r="Y231" s="8">
        <v>7404</v>
      </c>
      <c r="AA231" s="8">
        <v>260975</v>
      </c>
      <c r="AC231" s="8">
        <v>217062</v>
      </c>
      <c r="AE231" s="8">
        <v>53284</v>
      </c>
      <c r="AG231" s="8">
        <v>0</v>
      </c>
      <c r="AI231" s="8">
        <v>0</v>
      </c>
      <c r="AJ231" s="13" t="s">
        <v>435</v>
      </c>
      <c r="AK231" s="13"/>
      <c r="AL231" s="13" t="s">
        <v>34</v>
      </c>
      <c r="AN231" s="8">
        <v>135438</v>
      </c>
      <c r="AP231" s="8">
        <v>0</v>
      </c>
      <c r="AT231" s="8">
        <v>0</v>
      </c>
      <c r="AV231" s="8">
        <v>0</v>
      </c>
      <c r="AX231" s="8">
        <v>0</v>
      </c>
      <c r="AZ231" s="8">
        <f t="shared" si="17"/>
        <v>4437894</v>
      </c>
      <c r="BB231" s="8">
        <v>7500</v>
      </c>
      <c r="BH231" s="8">
        <v>0</v>
      </c>
      <c r="BJ231" s="8">
        <f t="shared" si="18"/>
        <v>4445394</v>
      </c>
      <c r="BL231" s="8">
        <f>+GenRev!AM231-GenExp!BJ231</f>
        <v>131356</v>
      </c>
      <c r="BN231" s="8">
        <v>1673452</v>
      </c>
      <c r="BP231" s="8">
        <v>0</v>
      </c>
      <c r="BQ231" s="8">
        <v>0</v>
      </c>
      <c r="BS231" s="8">
        <f t="shared" si="19"/>
        <v>1804808</v>
      </c>
      <c r="BU231" s="9">
        <f>+BS231-'Gen Fd BS'!AA231+BQ231</f>
        <v>0</v>
      </c>
    </row>
    <row r="232" spans="1:73">
      <c r="A232" s="13" t="s">
        <v>685</v>
      </c>
      <c r="B232" s="13"/>
      <c r="C232" s="13" t="s">
        <v>64</v>
      </c>
      <c r="D232" s="13"/>
      <c r="E232" s="32">
        <v>50161</v>
      </c>
      <c r="G232" s="8">
        <v>12981373</v>
      </c>
      <c r="I232" s="8">
        <v>3124675</v>
      </c>
      <c r="K232" s="8">
        <v>654670</v>
      </c>
      <c r="M232" s="8">
        <v>1136184</v>
      </c>
      <c r="O232" s="8">
        <v>1728716</v>
      </c>
      <c r="Q232" s="8">
        <v>915942</v>
      </c>
      <c r="S232" s="8">
        <v>327013</v>
      </c>
      <c r="U232" s="8">
        <v>2475345</v>
      </c>
      <c r="W232" s="8">
        <v>669752</v>
      </c>
      <c r="Y232" s="8">
        <v>85870</v>
      </c>
      <c r="AA232" s="8">
        <v>2981125</v>
      </c>
      <c r="AC232" s="8">
        <v>1915199</v>
      </c>
      <c r="AE232" s="8">
        <v>18381</v>
      </c>
      <c r="AG232" s="8">
        <v>0</v>
      </c>
      <c r="AI232" s="8">
        <v>495</v>
      </c>
      <c r="AJ232" s="13" t="s">
        <v>685</v>
      </c>
      <c r="AK232" s="13"/>
      <c r="AL232" s="13" t="s">
        <v>64</v>
      </c>
      <c r="AN232" s="8">
        <v>543142</v>
      </c>
      <c r="AP232" s="8">
        <v>0</v>
      </c>
      <c r="AT232" s="8">
        <v>0</v>
      </c>
      <c r="AV232" s="8">
        <v>0</v>
      </c>
      <c r="AX232" s="8">
        <v>0</v>
      </c>
      <c r="AZ232" s="8">
        <f t="shared" si="17"/>
        <v>29557882</v>
      </c>
      <c r="BB232" s="8">
        <v>0</v>
      </c>
      <c r="BH232" s="8">
        <v>0</v>
      </c>
      <c r="BJ232" s="8">
        <f t="shared" si="18"/>
        <v>29557882</v>
      </c>
      <c r="BL232" s="8">
        <f>+GenRev!AM232-GenExp!BJ232</f>
        <v>12631</v>
      </c>
      <c r="BN232" s="8">
        <v>-1431085</v>
      </c>
      <c r="BP232" s="8">
        <v>0</v>
      </c>
      <c r="BQ232" s="8">
        <v>0</v>
      </c>
      <c r="BS232" s="8">
        <f t="shared" si="19"/>
        <v>-1418454</v>
      </c>
      <c r="BU232" s="9">
        <f>+BS232-'Gen Fd BS'!AA232+BQ232</f>
        <v>0</v>
      </c>
    </row>
    <row r="233" spans="1:73">
      <c r="A233" s="13" t="s">
        <v>686</v>
      </c>
      <c r="B233" s="13"/>
      <c r="C233" s="13" t="s">
        <v>64</v>
      </c>
      <c r="D233" s="13"/>
      <c r="E233" s="32">
        <v>45427</v>
      </c>
      <c r="G233" s="8">
        <v>8720924</v>
      </c>
      <c r="I233" s="8">
        <v>1210559</v>
      </c>
      <c r="K233" s="8">
        <v>318984</v>
      </c>
      <c r="M233" s="8">
        <v>0</v>
      </c>
      <c r="O233" s="8">
        <v>988802</v>
      </c>
      <c r="Q233" s="8">
        <v>670822</v>
      </c>
      <c r="S233" s="8">
        <v>24261</v>
      </c>
      <c r="U233" s="8">
        <v>1353050</v>
      </c>
      <c r="W233" s="8">
        <v>500153</v>
      </c>
      <c r="Y233" s="8">
        <v>47355</v>
      </c>
      <c r="AA233" s="8">
        <v>1999722</v>
      </c>
      <c r="AC233" s="8">
        <v>959203</v>
      </c>
      <c r="AE233" s="8">
        <v>344059</v>
      </c>
      <c r="AG233" s="8">
        <v>0</v>
      </c>
      <c r="AI233" s="8">
        <v>296843</v>
      </c>
      <c r="AJ233" s="13" t="s">
        <v>686</v>
      </c>
      <c r="AK233" s="13"/>
      <c r="AL233" s="13" t="s">
        <v>64</v>
      </c>
      <c r="AN233" s="8">
        <v>409557</v>
      </c>
      <c r="AP233" s="8">
        <v>0</v>
      </c>
      <c r="AT233" s="8">
        <v>58350</v>
      </c>
      <c r="AV233" s="8">
        <v>7524</v>
      </c>
      <c r="AX233" s="8">
        <v>0</v>
      </c>
      <c r="AZ233" s="8">
        <f t="shared" si="17"/>
        <v>17910168</v>
      </c>
      <c r="BB233" s="8">
        <v>324982</v>
      </c>
      <c r="BH233" s="8">
        <v>0</v>
      </c>
      <c r="BJ233" s="8">
        <f t="shared" si="18"/>
        <v>18235150</v>
      </c>
      <c r="BL233" s="8">
        <f>+GenRev!AM233-GenExp!BJ233</f>
        <v>1165834</v>
      </c>
      <c r="BN233" s="8">
        <v>4086366</v>
      </c>
      <c r="BP233" s="8">
        <v>0</v>
      </c>
      <c r="BQ233" s="8">
        <v>0</v>
      </c>
      <c r="BS233" s="8">
        <f t="shared" si="19"/>
        <v>5252200</v>
      </c>
      <c r="BU233" s="9">
        <f>+BS233-'Gen Fd BS'!AA233+BQ233</f>
        <v>0</v>
      </c>
    </row>
    <row r="234" spans="1:73">
      <c r="A234" s="13" t="s">
        <v>555</v>
      </c>
      <c r="B234" s="13"/>
      <c r="C234" s="13" t="s">
        <v>50</v>
      </c>
      <c r="D234" s="13"/>
      <c r="E234" s="32">
        <v>48751</v>
      </c>
      <c r="G234" s="8">
        <v>41029565</v>
      </c>
      <c r="I234" s="8">
        <v>0</v>
      </c>
      <c r="K234" s="8">
        <v>0</v>
      </c>
      <c r="M234" s="8">
        <v>0</v>
      </c>
      <c r="O234" s="8">
        <v>2539528</v>
      </c>
      <c r="Q234" s="8">
        <v>2859098</v>
      </c>
      <c r="S234" s="8">
        <v>31972</v>
      </c>
      <c r="U234" s="8">
        <v>3758164</v>
      </c>
      <c r="W234" s="8">
        <v>814704</v>
      </c>
      <c r="Y234" s="8">
        <v>475971</v>
      </c>
      <c r="AA234" s="8">
        <v>4949935</v>
      </c>
      <c r="AC234" s="8">
        <v>2833624</v>
      </c>
      <c r="AE234" s="8">
        <v>376673</v>
      </c>
      <c r="AG234" s="8">
        <v>0</v>
      </c>
      <c r="AI234" s="8">
        <v>0</v>
      </c>
      <c r="AJ234" s="13" t="s">
        <v>555</v>
      </c>
      <c r="AK234" s="13"/>
      <c r="AL234" s="13" t="s">
        <v>50</v>
      </c>
      <c r="AN234" s="8">
        <v>531969</v>
      </c>
      <c r="AP234" s="8">
        <v>0</v>
      </c>
      <c r="AT234" s="8">
        <v>124915</v>
      </c>
      <c r="AV234" s="8">
        <v>14037</v>
      </c>
      <c r="AX234" s="8">
        <v>0</v>
      </c>
      <c r="AZ234" s="8">
        <f t="shared" si="17"/>
        <v>60340155</v>
      </c>
      <c r="BB234" s="8">
        <v>0</v>
      </c>
      <c r="BH234" s="8">
        <v>0</v>
      </c>
      <c r="BJ234" s="8">
        <f t="shared" si="18"/>
        <v>60340155</v>
      </c>
      <c r="BL234" s="8">
        <f>+GenRev!AM234-GenExp!BJ234</f>
        <v>3384046</v>
      </c>
      <c r="BN234" s="8">
        <v>19877699</v>
      </c>
      <c r="BP234" s="8">
        <v>-18068</v>
      </c>
      <c r="BQ234" s="8">
        <v>0</v>
      </c>
      <c r="BS234" s="8">
        <f t="shared" si="19"/>
        <v>23279813</v>
      </c>
      <c r="BU234" s="9">
        <f>+BS234-'Gen Fd BS'!AA234+BQ234</f>
        <v>0</v>
      </c>
    </row>
    <row r="235" spans="1:73">
      <c r="A235" s="13" t="s">
        <v>671</v>
      </c>
      <c r="B235" s="13"/>
      <c r="C235" s="13" t="s">
        <v>63</v>
      </c>
      <c r="D235" s="13"/>
      <c r="E235" s="32">
        <v>50021</v>
      </c>
      <c r="G235" s="8">
        <v>26915955</v>
      </c>
      <c r="I235" s="8">
        <v>5526965</v>
      </c>
      <c r="K235" s="8">
        <v>359473</v>
      </c>
      <c r="M235" s="8">
        <v>695798</v>
      </c>
      <c r="O235" s="8">
        <v>3188865</v>
      </c>
      <c r="Q235" s="8">
        <v>4141047</v>
      </c>
      <c r="S235" s="8">
        <v>39191</v>
      </c>
      <c r="U235" s="8">
        <v>4087293</v>
      </c>
      <c r="W235" s="8">
        <v>1219029</v>
      </c>
      <c r="Y235" s="8">
        <v>524338</v>
      </c>
      <c r="AA235" s="8">
        <v>5160851</v>
      </c>
      <c r="AC235" s="8">
        <v>3059879</v>
      </c>
      <c r="AE235" s="8">
        <v>352486</v>
      </c>
      <c r="AG235" s="8">
        <v>0</v>
      </c>
      <c r="AI235" s="8">
        <v>0</v>
      </c>
      <c r="AJ235" s="13" t="s">
        <v>671</v>
      </c>
      <c r="AK235" s="13"/>
      <c r="AL235" s="13" t="s">
        <v>63</v>
      </c>
      <c r="AN235" s="8">
        <v>869305</v>
      </c>
      <c r="AP235" s="8">
        <v>258603</v>
      </c>
      <c r="AT235" s="8">
        <v>202240</v>
      </c>
      <c r="AV235" s="8">
        <v>34132</v>
      </c>
      <c r="AX235" s="8">
        <v>0</v>
      </c>
      <c r="AZ235" s="8">
        <f t="shared" si="17"/>
        <v>56635450</v>
      </c>
      <c r="BB235" s="8">
        <v>22600</v>
      </c>
      <c r="BH235" s="8">
        <v>0</v>
      </c>
      <c r="BJ235" s="8">
        <f t="shared" si="18"/>
        <v>56658050</v>
      </c>
      <c r="BL235" s="8">
        <f>+GenRev!AM235-GenExp!BJ235</f>
        <v>410028</v>
      </c>
      <c r="BN235" s="8">
        <v>12023062</v>
      </c>
      <c r="BP235" s="8">
        <v>0</v>
      </c>
      <c r="BQ235" s="8">
        <v>0</v>
      </c>
      <c r="BS235" s="8">
        <f t="shared" si="19"/>
        <v>12433090</v>
      </c>
      <c r="BU235" s="9">
        <f>+BS235-'Gen Fd BS'!AA235+BQ235</f>
        <v>0</v>
      </c>
    </row>
    <row r="236" spans="1:73">
      <c r="A236" s="13" t="s">
        <v>623</v>
      </c>
      <c r="B236" s="13"/>
      <c r="C236" s="13" t="s">
        <v>58</v>
      </c>
      <c r="D236" s="13"/>
      <c r="E236" s="32">
        <v>49502</v>
      </c>
      <c r="G236" s="8">
        <v>4982274</v>
      </c>
      <c r="I236" s="8">
        <v>766137</v>
      </c>
      <c r="K236" s="8">
        <v>45</v>
      </c>
      <c r="M236" s="8">
        <v>64745</v>
      </c>
      <c r="O236" s="8">
        <v>339112</v>
      </c>
      <c r="Q236" s="8">
        <v>166469</v>
      </c>
      <c r="S236" s="8">
        <v>25789</v>
      </c>
      <c r="U236" s="8">
        <v>751405</v>
      </c>
      <c r="W236" s="8">
        <v>511785</v>
      </c>
      <c r="Y236" s="8">
        <v>0</v>
      </c>
      <c r="AA236" s="8">
        <v>1109273</v>
      </c>
      <c r="AC236" s="8">
        <v>870082</v>
      </c>
      <c r="AE236" s="8">
        <v>0</v>
      </c>
      <c r="AG236" s="8">
        <v>0</v>
      </c>
      <c r="AI236" s="8">
        <v>0</v>
      </c>
      <c r="AJ236" s="13" t="s">
        <v>623</v>
      </c>
      <c r="AK236" s="13"/>
      <c r="AL236" s="13" t="s">
        <v>58</v>
      </c>
      <c r="AN236" s="8">
        <v>166473</v>
      </c>
      <c r="AP236" s="8">
        <v>0</v>
      </c>
      <c r="AT236" s="8">
        <v>35692</v>
      </c>
      <c r="AV236" s="8">
        <v>10001</v>
      </c>
      <c r="AX236" s="8">
        <v>0</v>
      </c>
      <c r="AZ236" s="9">
        <f t="shared" si="17"/>
        <v>9799282</v>
      </c>
      <c r="BB236" s="8">
        <v>2848</v>
      </c>
      <c r="BH236" s="8">
        <v>0</v>
      </c>
      <c r="BJ236" s="8">
        <f t="shared" si="18"/>
        <v>9802130</v>
      </c>
      <c r="BL236" s="8">
        <f>+GenRev!AM236-GenExp!BJ236</f>
        <v>231665</v>
      </c>
      <c r="BN236" s="8">
        <v>4315565</v>
      </c>
      <c r="BP236" s="8">
        <v>0</v>
      </c>
      <c r="BQ236" s="8">
        <v>0</v>
      </c>
      <c r="BS236" s="8">
        <f t="shared" si="19"/>
        <v>4547230</v>
      </c>
      <c r="BU236" s="9">
        <f>+BS236-'Gen Fd BS'!AA236+BQ236</f>
        <v>0</v>
      </c>
    </row>
    <row r="237" spans="1:73">
      <c r="A237" s="13" t="s">
        <v>341</v>
      </c>
      <c r="B237" s="13"/>
      <c r="C237" s="13" t="s">
        <v>24</v>
      </c>
      <c r="D237" s="13"/>
      <c r="E237" s="32">
        <v>44131</v>
      </c>
      <c r="G237" s="8">
        <v>6439938</v>
      </c>
      <c r="I237" s="8">
        <v>1547298</v>
      </c>
      <c r="K237" s="8">
        <v>0</v>
      </c>
      <c r="M237" s="8">
        <v>2300</v>
      </c>
      <c r="O237" s="8">
        <v>390163</v>
      </c>
      <c r="Q237" s="8">
        <v>652327</v>
      </c>
      <c r="S237" s="8">
        <v>25818</v>
      </c>
      <c r="U237" s="8">
        <v>1330856</v>
      </c>
      <c r="W237" s="8">
        <v>531662</v>
      </c>
      <c r="Y237" s="8">
        <v>0</v>
      </c>
      <c r="AA237" s="8">
        <v>1512892</v>
      </c>
      <c r="AC237" s="8">
        <v>778891</v>
      </c>
      <c r="AE237" s="8">
        <v>1998</v>
      </c>
      <c r="AG237" s="8">
        <v>0</v>
      </c>
      <c r="AI237" s="8">
        <v>69115</v>
      </c>
      <c r="AJ237" s="13" t="s">
        <v>341</v>
      </c>
      <c r="AK237" s="13"/>
      <c r="AL237" s="13" t="s">
        <v>24</v>
      </c>
      <c r="AN237" s="8">
        <v>366582</v>
      </c>
      <c r="AP237" s="8">
        <v>0</v>
      </c>
      <c r="AT237" s="8">
        <v>72825</v>
      </c>
      <c r="AV237" s="8">
        <v>6873</v>
      </c>
      <c r="AX237" s="8">
        <v>0</v>
      </c>
      <c r="AZ237" s="8">
        <f t="shared" si="17"/>
        <v>13729538</v>
      </c>
      <c r="BB237" s="8">
        <v>1306</v>
      </c>
      <c r="BH237" s="8">
        <v>0</v>
      </c>
      <c r="BJ237" s="8">
        <f t="shared" si="18"/>
        <v>13730844</v>
      </c>
      <c r="BL237" s="8">
        <f>+GenRev!AM237-GenExp!BJ237</f>
        <v>1912432</v>
      </c>
      <c r="BN237" s="8">
        <v>2556533</v>
      </c>
      <c r="BP237" s="8">
        <v>0</v>
      </c>
      <c r="BQ237" s="8">
        <v>0</v>
      </c>
      <c r="BS237" s="8">
        <f t="shared" si="19"/>
        <v>4468965</v>
      </c>
      <c r="BU237" s="9">
        <f>+BS237-'Gen Fd BS'!AA237+BQ237</f>
        <v>0</v>
      </c>
    </row>
    <row r="238" spans="1:73">
      <c r="A238" s="13" t="s">
        <v>313</v>
      </c>
      <c r="B238" s="13"/>
      <c r="C238" s="13" t="s">
        <v>20</v>
      </c>
      <c r="D238" s="13"/>
      <c r="E238" s="32">
        <v>46565</v>
      </c>
      <c r="G238" s="8">
        <v>6830149</v>
      </c>
      <c r="I238" s="8">
        <v>228905</v>
      </c>
      <c r="K238" s="8">
        <v>0</v>
      </c>
      <c r="M238" s="8">
        <v>462381</v>
      </c>
      <c r="O238" s="8">
        <v>703077</v>
      </c>
      <c r="Q238" s="8">
        <v>1357576</v>
      </c>
      <c r="S238" s="8">
        <v>204039</v>
      </c>
      <c r="U238" s="8">
        <v>965149</v>
      </c>
      <c r="W238" s="8">
        <v>443095</v>
      </c>
      <c r="Y238" s="8">
        <v>191991</v>
      </c>
      <c r="AA238" s="8">
        <v>1939336</v>
      </c>
      <c r="AC238" s="8">
        <v>898495</v>
      </c>
      <c r="AE238" s="8">
        <v>0</v>
      </c>
      <c r="AG238" s="8">
        <v>175</v>
      </c>
      <c r="AI238" s="8">
        <v>0</v>
      </c>
      <c r="AJ238" s="13" t="s">
        <v>313</v>
      </c>
      <c r="AK238" s="13"/>
      <c r="AL238" s="13" t="s">
        <v>20</v>
      </c>
      <c r="AN238" s="8">
        <v>412598</v>
      </c>
      <c r="AP238" s="8">
        <v>0</v>
      </c>
      <c r="AT238" s="8">
        <v>500000</v>
      </c>
      <c r="AV238" s="8">
        <v>26253</v>
      </c>
      <c r="AX238" s="8">
        <v>0</v>
      </c>
      <c r="AZ238" s="8">
        <f t="shared" si="17"/>
        <v>15163219</v>
      </c>
      <c r="BB238" s="8">
        <v>69076</v>
      </c>
      <c r="BH238" s="8">
        <v>0</v>
      </c>
      <c r="BJ238" s="8">
        <f t="shared" si="18"/>
        <v>15232295</v>
      </c>
      <c r="BL238" s="8">
        <f>+[1]GenRev!AM240-[1]GenExp!BJ240</f>
        <v>818922</v>
      </c>
      <c r="BN238" s="8">
        <v>547085</v>
      </c>
      <c r="BP238" s="8">
        <v>0</v>
      </c>
      <c r="BQ238" s="8">
        <v>0</v>
      </c>
      <c r="BS238" s="8">
        <f t="shared" si="19"/>
        <v>1366007</v>
      </c>
      <c r="BU238" s="9">
        <f>+BS238-'[1]Gen Fd BS'!AA240+BQ238</f>
        <v>0</v>
      </c>
    </row>
    <row r="239" spans="1:73">
      <c r="A239" s="13" t="s">
        <v>456</v>
      </c>
      <c r="B239" s="13"/>
      <c r="C239" s="13" t="s">
        <v>39</v>
      </c>
      <c r="D239" s="13"/>
      <c r="E239" s="32">
        <v>47803</v>
      </c>
      <c r="G239" s="8">
        <v>8769459</v>
      </c>
      <c r="I239" s="8">
        <v>1995990</v>
      </c>
      <c r="K239" s="8">
        <v>319100</v>
      </c>
      <c r="M239" s="8">
        <v>129917</v>
      </c>
      <c r="O239" s="8">
        <v>729000</v>
      </c>
      <c r="Q239" s="8">
        <v>357328</v>
      </c>
      <c r="S239" s="8">
        <v>12609</v>
      </c>
      <c r="U239" s="8">
        <v>1391389</v>
      </c>
      <c r="W239" s="8">
        <v>424451</v>
      </c>
      <c r="Y239" s="8">
        <v>9798</v>
      </c>
      <c r="AA239" s="8">
        <v>2413977</v>
      </c>
      <c r="AC239" s="8">
        <v>1172875</v>
      </c>
      <c r="AE239" s="8">
        <v>3994</v>
      </c>
      <c r="AG239" s="8">
        <v>0</v>
      </c>
      <c r="AI239" s="8">
        <v>316</v>
      </c>
      <c r="AJ239" s="13" t="s">
        <v>456</v>
      </c>
      <c r="AK239" s="13"/>
      <c r="AL239" s="13" t="s">
        <v>39</v>
      </c>
      <c r="AN239" s="8">
        <v>212552</v>
      </c>
      <c r="AP239" s="8">
        <f>26982+86450</f>
        <v>113432</v>
      </c>
      <c r="AT239" s="8">
        <v>70855</v>
      </c>
      <c r="AV239" s="8">
        <v>6491</v>
      </c>
      <c r="AX239" s="8">
        <v>0</v>
      </c>
      <c r="AZ239" s="8">
        <f t="shared" si="17"/>
        <v>18133533</v>
      </c>
      <c r="BB239" s="8">
        <v>64577</v>
      </c>
      <c r="BH239" s="8">
        <v>0</v>
      </c>
      <c r="BJ239" s="8">
        <f t="shared" si="18"/>
        <v>18198110</v>
      </c>
      <c r="BL239" s="8">
        <f>+[1]GenRev!AM241-[1]GenExp!BJ241</f>
        <v>-773588</v>
      </c>
      <c r="BN239" s="8">
        <v>831300</v>
      </c>
      <c r="BP239" s="8">
        <v>-6668</v>
      </c>
      <c r="BQ239" s="8">
        <v>0</v>
      </c>
      <c r="BS239" s="8">
        <f t="shared" si="19"/>
        <v>64380</v>
      </c>
      <c r="BU239" s="9">
        <f>+BS239-'[1]Gen Fd BS'!AA241+BQ239</f>
        <v>0</v>
      </c>
    </row>
    <row r="240" spans="1:73">
      <c r="A240" s="13" t="s">
        <v>400</v>
      </c>
      <c r="B240" s="13"/>
      <c r="C240" s="13" t="s">
        <v>32</v>
      </c>
      <c r="D240" s="13"/>
      <c r="E240" s="32">
        <v>45435</v>
      </c>
      <c r="G240" s="8">
        <v>13629238</v>
      </c>
      <c r="I240" s="8">
        <v>2359196</v>
      </c>
      <c r="K240" s="8">
        <v>89700</v>
      </c>
      <c r="M240" s="8">
        <v>905934</v>
      </c>
      <c r="O240" s="8">
        <v>2096258</v>
      </c>
      <c r="Q240" s="8">
        <v>1677497</v>
      </c>
      <c r="S240" s="8">
        <v>17501</v>
      </c>
      <c r="U240" s="8">
        <v>2007590</v>
      </c>
      <c r="W240" s="8">
        <v>706850</v>
      </c>
      <c r="Y240" s="8">
        <v>63694</v>
      </c>
      <c r="AA240" s="8">
        <v>3230107</v>
      </c>
      <c r="AC240" s="8">
        <v>1603206</v>
      </c>
      <c r="AE240" s="8">
        <v>50552</v>
      </c>
      <c r="AG240" s="8">
        <v>0</v>
      </c>
      <c r="AI240" s="8">
        <v>32456</v>
      </c>
      <c r="AJ240" s="13" t="s">
        <v>400</v>
      </c>
      <c r="AK240" s="13"/>
      <c r="AL240" s="13" t="s">
        <v>32</v>
      </c>
      <c r="AN240" s="8">
        <v>627759</v>
      </c>
      <c r="AP240" s="8">
        <v>692543</v>
      </c>
      <c r="AT240" s="8">
        <v>378000</v>
      </c>
      <c r="AV240" s="8">
        <v>55592</v>
      </c>
      <c r="AX240" s="8">
        <v>0</v>
      </c>
      <c r="AZ240" s="8">
        <f t="shared" si="17"/>
        <v>30223673</v>
      </c>
      <c r="BB240" s="8">
        <v>0</v>
      </c>
      <c r="BH240" s="8">
        <v>0</v>
      </c>
      <c r="BJ240" s="8">
        <f t="shared" si="18"/>
        <v>30223673</v>
      </c>
      <c r="BL240" s="8">
        <f>+[1]GenRev!AM242-[1]GenExp!BJ242</f>
        <v>3688873</v>
      </c>
      <c r="BN240" s="8">
        <v>22707226</v>
      </c>
      <c r="BP240" s="8">
        <v>0</v>
      </c>
      <c r="BQ240" s="8">
        <v>0</v>
      </c>
      <c r="BS240" s="8">
        <f t="shared" si="19"/>
        <v>26396099</v>
      </c>
      <c r="BU240" s="9">
        <f>+BS240-'[1]Gen Fd BS'!AA242+BQ240</f>
        <v>0</v>
      </c>
    </row>
    <row r="241" spans="1:73">
      <c r="A241" s="13" t="s">
        <v>702</v>
      </c>
      <c r="B241" s="13"/>
      <c r="C241" s="13" t="s">
        <v>65</v>
      </c>
      <c r="D241" s="13"/>
      <c r="E241" s="32">
        <v>50286</v>
      </c>
      <c r="G241" s="8">
        <v>6151674</v>
      </c>
      <c r="I241" s="8">
        <v>692775</v>
      </c>
      <c r="K241" s="8">
        <v>194271</v>
      </c>
      <c r="M241" s="8">
        <v>1359998</v>
      </c>
      <c r="O241" s="8">
        <v>478067</v>
      </c>
      <c r="Q241" s="8">
        <v>388434</v>
      </c>
      <c r="S241" s="8">
        <v>48076</v>
      </c>
      <c r="U241" s="8">
        <v>1142364</v>
      </c>
      <c r="W241" s="8">
        <v>376670</v>
      </c>
      <c r="Y241" s="8">
        <v>117384</v>
      </c>
      <c r="AA241" s="8">
        <v>1663252</v>
      </c>
      <c r="AC241" s="8">
        <v>1075648</v>
      </c>
      <c r="AE241" s="8">
        <v>10620</v>
      </c>
      <c r="AG241" s="8">
        <v>0</v>
      </c>
      <c r="AI241" s="8">
        <v>0</v>
      </c>
      <c r="AJ241" s="13" t="s">
        <v>702</v>
      </c>
      <c r="AK241" s="13"/>
      <c r="AL241" s="13" t="s">
        <v>65</v>
      </c>
      <c r="AN241" s="8">
        <v>258485</v>
      </c>
      <c r="AP241" s="8">
        <v>376827</v>
      </c>
      <c r="AT241" s="8">
        <v>53279</v>
      </c>
      <c r="AV241" s="8">
        <v>6064</v>
      </c>
      <c r="AX241" s="8">
        <v>0</v>
      </c>
      <c r="AZ241" s="8">
        <f t="shared" si="17"/>
        <v>14393888</v>
      </c>
      <c r="BB241" s="8">
        <v>264841</v>
      </c>
      <c r="BH241" s="8">
        <v>0</v>
      </c>
      <c r="BJ241" s="8">
        <f t="shared" si="18"/>
        <v>14658729</v>
      </c>
      <c r="BL241" s="8">
        <f>+[1]GenRev!AM243-[1]GenExp!BJ243</f>
        <v>-1215610</v>
      </c>
      <c r="BN241" s="8">
        <v>1678509</v>
      </c>
      <c r="BP241" s="8">
        <v>0</v>
      </c>
      <c r="BQ241" s="8">
        <v>0</v>
      </c>
      <c r="BS241" s="8">
        <f t="shared" si="19"/>
        <v>462899</v>
      </c>
      <c r="BU241" s="9">
        <f>+BS241-'[1]Gen Fd BS'!AA243+BQ241</f>
        <v>0</v>
      </c>
    </row>
    <row r="242" spans="1:73">
      <c r="A242" s="13" t="s">
        <v>474</v>
      </c>
      <c r="B242" s="13"/>
      <c r="C242" s="13" t="s">
        <v>471</v>
      </c>
      <c r="D242" s="13"/>
      <c r="E242" s="32">
        <v>44149</v>
      </c>
      <c r="G242" s="8">
        <v>5070115</v>
      </c>
      <c r="I242" s="8">
        <v>1295367</v>
      </c>
      <c r="K242" s="8">
        <v>464325</v>
      </c>
      <c r="M242" s="8">
        <v>0</v>
      </c>
      <c r="O242" s="8">
        <v>729611</v>
      </c>
      <c r="Q242" s="8">
        <v>231238</v>
      </c>
      <c r="S242" s="8">
        <v>121521</v>
      </c>
      <c r="U242" s="8">
        <v>1194515</v>
      </c>
      <c r="W242" s="8">
        <v>427901</v>
      </c>
      <c r="Y242" s="8">
        <v>0</v>
      </c>
      <c r="AA242" s="8">
        <v>1527672</v>
      </c>
      <c r="AC242" s="8">
        <v>468614</v>
      </c>
      <c r="AE242" s="8">
        <v>100283</v>
      </c>
      <c r="AG242" s="8">
        <v>0</v>
      </c>
      <c r="AI242" s="8">
        <v>0</v>
      </c>
      <c r="AJ242" s="13" t="s">
        <v>474</v>
      </c>
      <c r="AK242" s="13"/>
      <c r="AL242" s="13" t="s">
        <v>471</v>
      </c>
      <c r="AN242" s="8">
        <v>309397</v>
      </c>
      <c r="AP242" s="8">
        <v>0</v>
      </c>
      <c r="AT242" s="8">
        <v>0</v>
      </c>
      <c r="AV242" s="8">
        <v>0</v>
      </c>
      <c r="AX242" s="8">
        <v>0</v>
      </c>
      <c r="AZ242" s="8">
        <f t="shared" si="17"/>
        <v>11940559</v>
      </c>
      <c r="BB242" s="8">
        <v>75871</v>
      </c>
      <c r="BH242" s="8">
        <v>0</v>
      </c>
      <c r="BJ242" s="8">
        <f t="shared" si="18"/>
        <v>12016430</v>
      </c>
      <c r="BL242" s="8">
        <f>+[1]GenRev!AM244-[1]GenExp!BJ244</f>
        <v>-510465</v>
      </c>
      <c r="BN242" s="8">
        <v>2658296</v>
      </c>
      <c r="BP242" s="8">
        <v>0</v>
      </c>
      <c r="BQ242" s="8">
        <v>0</v>
      </c>
      <c r="BS242" s="8">
        <f t="shared" si="19"/>
        <v>2147831</v>
      </c>
      <c r="BU242" s="9">
        <f>+BS242-'[1]Gen Fd BS'!AA244+BQ242</f>
        <v>0</v>
      </c>
    </row>
    <row r="243" spans="1:73" hidden="1">
      <c r="A243" s="12" t="s">
        <v>942</v>
      </c>
      <c r="B243" s="13"/>
      <c r="C243" s="13" t="s">
        <v>61</v>
      </c>
      <c r="D243" s="13"/>
      <c r="E243" s="32">
        <v>49809</v>
      </c>
      <c r="G243" s="8">
        <v>0</v>
      </c>
      <c r="I243" s="8">
        <v>0</v>
      </c>
      <c r="K243" s="8">
        <v>0</v>
      </c>
      <c r="M243" s="8">
        <v>0</v>
      </c>
      <c r="O243" s="8">
        <v>0</v>
      </c>
      <c r="Q243" s="8">
        <v>0</v>
      </c>
      <c r="S243" s="8">
        <v>0</v>
      </c>
      <c r="U243" s="8">
        <v>0</v>
      </c>
      <c r="W243" s="8">
        <v>0</v>
      </c>
      <c r="Y243" s="8">
        <v>0</v>
      </c>
      <c r="AA243" s="8">
        <v>0</v>
      </c>
      <c r="AC243" s="8">
        <v>0</v>
      </c>
      <c r="AE243" s="8">
        <v>0</v>
      </c>
      <c r="AG243" s="8">
        <v>0</v>
      </c>
      <c r="AI243" s="8">
        <v>0</v>
      </c>
      <c r="AJ243" s="12" t="s">
        <v>942</v>
      </c>
      <c r="AK243" s="13"/>
      <c r="AL243" s="13" t="s">
        <v>61</v>
      </c>
      <c r="AN243" s="8">
        <v>0</v>
      </c>
      <c r="AP243" s="8">
        <v>0</v>
      </c>
      <c r="AT243" s="8">
        <v>0</v>
      </c>
      <c r="AV243" s="8">
        <v>0</v>
      </c>
      <c r="AX243" s="8">
        <v>0</v>
      </c>
      <c r="AZ243" s="8">
        <f t="shared" si="17"/>
        <v>0</v>
      </c>
      <c r="BB243" s="8">
        <v>0</v>
      </c>
      <c r="BH243" s="8">
        <v>0</v>
      </c>
      <c r="BJ243" s="8">
        <f t="shared" si="18"/>
        <v>0</v>
      </c>
      <c r="BL243" s="8">
        <f>+[1]GenRev!AM245-[1]GenExp!BJ245</f>
        <v>0</v>
      </c>
      <c r="BN243" s="8">
        <v>0</v>
      </c>
      <c r="BP243" s="8">
        <v>0</v>
      </c>
      <c r="BQ243" s="8">
        <v>0</v>
      </c>
      <c r="BS243" s="8">
        <f t="shared" si="19"/>
        <v>0</v>
      </c>
      <c r="BU243" s="9">
        <f>+BS243-'[1]Gen Fd BS'!AA245+BQ243</f>
        <v>0</v>
      </c>
    </row>
    <row r="244" spans="1:73" hidden="1">
      <c r="A244" s="12" t="s">
        <v>943</v>
      </c>
      <c r="B244" s="13"/>
      <c r="C244" s="13" t="s">
        <v>38</v>
      </c>
      <c r="D244" s="13"/>
      <c r="E244" s="32"/>
      <c r="G244" s="8">
        <v>0</v>
      </c>
      <c r="I244" s="8">
        <v>0</v>
      </c>
      <c r="K244" s="8">
        <v>0</v>
      </c>
      <c r="M244" s="8">
        <v>0</v>
      </c>
      <c r="O244" s="8">
        <v>0</v>
      </c>
      <c r="Q244" s="8">
        <v>0</v>
      </c>
      <c r="S244" s="8">
        <v>0</v>
      </c>
      <c r="U244" s="8">
        <v>0</v>
      </c>
      <c r="W244" s="8">
        <v>0</v>
      </c>
      <c r="Y244" s="8">
        <v>0</v>
      </c>
      <c r="AA244" s="8">
        <v>0</v>
      </c>
      <c r="AC244" s="8">
        <v>0</v>
      </c>
      <c r="AE244" s="8">
        <v>0</v>
      </c>
      <c r="AG244" s="8">
        <v>0</v>
      </c>
      <c r="AI244" s="8">
        <v>0</v>
      </c>
      <c r="AJ244" s="12" t="s">
        <v>943</v>
      </c>
      <c r="AK244" s="13"/>
      <c r="AL244" s="13" t="s">
        <v>38</v>
      </c>
      <c r="AN244" s="8">
        <v>0</v>
      </c>
      <c r="AP244" s="8">
        <v>0</v>
      </c>
      <c r="AT244" s="8">
        <v>0</v>
      </c>
      <c r="AV244" s="8">
        <v>0</v>
      </c>
      <c r="AX244" s="8">
        <v>0</v>
      </c>
      <c r="AZ244" s="8">
        <f t="shared" si="17"/>
        <v>0</v>
      </c>
      <c r="BB244" s="8">
        <v>0</v>
      </c>
      <c r="BH244" s="8">
        <v>0</v>
      </c>
      <c r="BJ244" s="8">
        <f t="shared" si="18"/>
        <v>0</v>
      </c>
      <c r="BL244" s="8">
        <f>+[1]GenRev!AM246-[1]GenExp!BJ246</f>
        <v>0</v>
      </c>
      <c r="BN244" s="8">
        <v>0</v>
      </c>
      <c r="BP244" s="8">
        <v>0</v>
      </c>
      <c r="BQ244" s="8">
        <v>0</v>
      </c>
      <c r="BS244" s="8">
        <f t="shared" si="19"/>
        <v>0</v>
      </c>
      <c r="BU244" s="9">
        <f>+BS244-'[1]Gen Fd BS'!AA246+BQ244</f>
        <v>0</v>
      </c>
    </row>
    <row r="245" spans="1:73">
      <c r="A245" s="13" t="s">
        <v>657</v>
      </c>
      <c r="B245" s="13"/>
      <c r="C245" s="13" t="s">
        <v>62</v>
      </c>
      <c r="D245" s="13"/>
      <c r="E245" s="32">
        <v>49858</v>
      </c>
      <c r="G245" s="8">
        <v>21870888</v>
      </c>
      <c r="I245" s="8">
        <v>2498891</v>
      </c>
      <c r="K245" s="8">
        <v>1102264</v>
      </c>
      <c r="M245" s="8">
        <v>1303840</v>
      </c>
      <c r="O245" s="8">
        <v>2588557</v>
      </c>
      <c r="Q245" s="8">
        <v>2065507</v>
      </c>
      <c r="S245" s="8">
        <v>18087</v>
      </c>
      <c r="U245" s="8">
        <v>3221811</v>
      </c>
      <c r="W245" s="8">
        <v>899209</v>
      </c>
      <c r="Y245" s="8">
        <v>493289</v>
      </c>
      <c r="AA245" s="8">
        <v>5051855</v>
      </c>
      <c r="AC245" s="8">
        <v>2769898</v>
      </c>
      <c r="AE245" s="8">
        <v>1208953</v>
      </c>
      <c r="AG245" s="8">
        <v>0</v>
      </c>
      <c r="AI245" s="8">
        <v>2149</v>
      </c>
      <c r="AJ245" s="13" t="s">
        <v>657</v>
      </c>
      <c r="AK245" s="13"/>
      <c r="AL245" s="13" t="s">
        <v>62</v>
      </c>
      <c r="AN245" s="8">
        <v>1162391</v>
      </c>
      <c r="AP245" s="8">
        <v>491207</v>
      </c>
      <c r="AT245" s="8">
        <v>157206</v>
      </c>
      <c r="AV245" s="8">
        <v>12564</v>
      </c>
      <c r="AX245" s="8">
        <f>517919+46718</f>
        <v>564637</v>
      </c>
      <c r="AZ245" s="8">
        <f t="shared" si="17"/>
        <v>47483203</v>
      </c>
      <c r="BB245" s="8">
        <v>0</v>
      </c>
      <c r="BH245" s="8">
        <v>0</v>
      </c>
      <c r="BJ245" s="8">
        <f t="shared" si="18"/>
        <v>47483203</v>
      </c>
      <c r="BL245" s="8">
        <f>+[1]GenRev!AM247-[1]GenExp!BJ247</f>
        <v>-168979</v>
      </c>
      <c r="BN245" s="8">
        <v>2501020</v>
      </c>
      <c r="BP245" s="8">
        <v>52043</v>
      </c>
      <c r="BQ245" s="8">
        <v>0</v>
      </c>
      <c r="BS245" s="8">
        <f t="shared" si="19"/>
        <v>2279998</v>
      </c>
      <c r="BU245" s="9">
        <f>+BS245-'[1]Gen Fd BS'!AA247+BQ245</f>
        <v>0</v>
      </c>
    </row>
    <row r="246" spans="1:73">
      <c r="A246" s="13" t="s">
        <v>518</v>
      </c>
      <c r="B246" s="13"/>
      <c r="C246" s="13" t="s">
        <v>45</v>
      </c>
      <c r="D246" s="13"/>
      <c r="E246" s="32">
        <v>48322</v>
      </c>
      <c r="F246" s="11"/>
      <c r="G246" s="8">
        <v>2598102</v>
      </c>
      <c r="I246" s="8">
        <v>677604</v>
      </c>
      <c r="K246" s="8">
        <v>84118</v>
      </c>
      <c r="M246" s="8">
        <v>44450</v>
      </c>
      <c r="O246" s="8">
        <v>287181</v>
      </c>
      <c r="Q246" s="8">
        <v>187271</v>
      </c>
      <c r="S246" s="8">
        <v>54086</v>
      </c>
      <c r="U246" s="8">
        <v>711743</v>
      </c>
      <c r="W246" s="8">
        <v>362061</v>
      </c>
      <c r="Y246" s="8">
        <v>0</v>
      </c>
      <c r="AA246" s="8">
        <v>724612</v>
      </c>
      <c r="AC246" s="8">
        <v>727591</v>
      </c>
      <c r="AE246" s="8">
        <v>0</v>
      </c>
      <c r="AG246" s="8">
        <v>0</v>
      </c>
      <c r="AI246" s="8">
        <v>0</v>
      </c>
      <c r="AJ246" s="13" t="s">
        <v>518</v>
      </c>
      <c r="AK246" s="13"/>
      <c r="AL246" s="13" t="s">
        <v>45</v>
      </c>
      <c r="AN246" s="8">
        <v>250804</v>
      </c>
      <c r="AP246" s="8">
        <v>0</v>
      </c>
      <c r="AT246" s="8">
        <v>0</v>
      </c>
      <c r="AV246" s="8">
        <v>0</v>
      </c>
      <c r="AX246" s="8">
        <v>0</v>
      </c>
      <c r="AZ246" s="8">
        <f t="shared" si="17"/>
        <v>6709623</v>
      </c>
      <c r="BB246" s="8">
        <v>70036</v>
      </c>
      <c r="BH246" s="8">
        <v>0</v>
      </c>
      <c r="BJ246" s="8">
        <f t="shared" si="18"/>
        <v>6779659</v>
      </c>
      <c r="BL246" s="8">
        <f>+[1]GenRev!AM248-[1]GenExp!BJ248</f>
        <v>353663</v>
      </c>
      <c r="BN246" s="8">
        <v>1144125</v>
      </c>
      <c r="BP246" s="8">
        <v>0</v>
      </c>
      <c r="BQ246" s="8">
        <v>0</v>
      </c>
      <c r="BS246" s="8">
        <f t="shared" si="19"/>
        <v>1497788</v>
      </c>
      <c r="BU246" s="9">
        <f>+BS246-'[1]Gen Fd BS'!AA248+BQ246</f>
        <v>0</v>
      </c>
    </row>
    <row r="247" spans="1:73">
      <c r="A247" s="13" t="s">
        <v>598</v>
      </c>
      <c r="B247" s="13"/>
      <c r="C247" s="13" t="s">
        <v>56</v>
      </c>
      <c r="D247" s="13"/>
      <c r="E247" s="32">
        <v>49205</v>
      </c>
      <c r="G247" s="8">
        <v>5877355</v>
      </c>
      <c r="I247" s="8">
        <v>1076984</v>
      </c>
      <c r="K247" s="8">
        <v>0</v>
      </c>
      <c r="M247" s="8">
        <v>41</v>
      </c>
      <c r="O247" s="8">
        <v>535646</v>
      </c>
      <c r="Q247" s="8">
        <v>325845</v>
      </c>
      <c r="S247" s="8">
        <v>36586</v>
      </c>
      <c r="U247" s="8">
        <v>945364</v>
      </c>
      <c r="W247" s="8">
        <v>285044</v>
      </c>
      <c r="Y247" s="8">
        <v>0</v>
      </c>
      <c r="AA247" s="8">
        <v>1323845</v>
      </c>
      <c r="AC247" s="8">
        <v>954292</v>
      </c>
      <c r="AE247" s="8">
        <v>92333</v>
      </c>
      <c r="AG247" s="8">
        <v>0</v>
      </c>
      <c r="AI247" s="8">
        <v>0</v>
      </c>
      <c r="AJ247" s="13" t="s">
        <v>598</v>
      </c>
      <c r="AK247" s="13"/>
      <c r="AL247" s="13" t="s">
        <v>56</v>
      </c>
      <c r="AN247" s="8">
        <v>357155</v>
      </c>
      <c r="AP247" s="8">
        <v>0</v>
      </c>
      <c r="AT247" s="8">
        <v>25317</v>
      </c>
      <c r="AV247" s="8">
        <v>8607</v>
      </c>
      <c r="AX247" s="8">
        <v>0</v>
      </c>
      <c r="AZ247" s="8">
        <f t="shared" si="17"/>
        <v>11844414</v>
      </c>
      <c r="BB247" s="8">
        <v>0</v>
      </c>
      <c r="BH247" s="8">
        <v>0</v>
      </c>
      <c r="BJ247" s="8">
        <f t="shared" si="18"/>
        <v>11844414</v>
      </c>
      <c r="BL247" s="8">
        <f>+[1]GenRev!AM249-[1]GenExp!BJ249</f>
        <v>78208</v>
      </c>
      <c r="BN247" s="8">
        <v>807196</v>
      </c>
      <c r="BP247" s="8">
        <v>0</v>
      </c>
      <c r="BQ247" s="8">
        <v>0</v>
      </c>
      <c r="BS247" s="8">
        <f t="shared" si="19"/>
        <v>885404</v>
      </c>
      <c r="BU247" s="9">
        <f>+BS247-'[1]Gen Fd BS'!AA249+BQ247</f>
        <v>0</v>
      </c>
    </row>
    <row r="248" spans="1:73">
      <c r="A248" s="13" t="s">
        <v>223</v>
      </c>
      <c r="B248" s="13"/>
      <c r="C248" s="13" t="s">
        <v>12</v>
      </c>
      <c r="D248" s="13"/>
      <c r="E248" s="32">
        <v>45872</v>
      </c>
      <c r="G248" s="8">
        <v>7496573</v>
      </c>
      <c r="I248" s="8">
        <v>839408</v>
      </c>
      <c r="K248" s="8">
        <v>134631</v>
      </c>
      <c r="M248" s="8">
        <v>0</v>
      </c>
      <c r="O248" s="8">
        <v>1352937</v>
      </c>
      <c r="Q248" s="8">
        <v>94551</v>
      </c>
      <c r="S248" s="8">
        <v>14535</v>
      </c>
      <c r="U248" s="8">
        <v>1004195</v>
      </c>
      <c r="W248" s="8">
        <v>474882</v>
      </c>
      <c r="Y248" s="8">
        <v>12409</v>
      </c>
      <c r="AA248" s="8">
        <f>1401000-100500</f>
        <v>1300500</v>
      </c>
      <c r="AC248" s="8">
        <v>1072647</v>
      </c>
      <c r="AE248" s="8">
        <v>95711</v>
      </c>
      <c r="AG248" s="8">
        <v>0</v>
      </c>
      <c r="AI248" s="8">
        <v>83011</v>
      </c>
      <c r="AJ248" s="13" t="s">
        <v>223</v>
      </c>
      <c r="AK248" s="13"/>
      <c r="AL248" s="13" t="s">
        <v>12</v>
      </c>
      <c r="AN248" s="8">
        <v>361034</v>
      </c>
      <c r="AP248" s="8">
        <v>17659</v>
      </c>
      <c r="AT248" s="8">
        <v>0</v>
      </c>
      <c r="AV248" s="8">
        <v>0</v>
      </c>
      <c r="AX248" s="8">
        <v>0</v>
      </c>
      <c r="AZ248" s="8">
        <f t="shared" si="17"/>
        <v>14354683</v>
      </c>
      <c r="BB248" s="8">
        <v>17435</v>
      </c>
      <c r="BH248" s="8">
        <v>0</v>
      </c>
      <c r="BJ248" s="8">
        <f t="shared" si="18"/>
        <v>14372118</v>
      </c>
      <c r="BL248" s="8">
        <f>+[1]GenRev!AM250-[1]GenExp!BJ250</f>
        <v>856075</v>
      </c>
      <c r="BN248" s="8">
        <v>2627952</v>
      </c>
      <c r="BP248" s="8">
        <v>0</v>
      </c>
      <c r="BQ248" s="8">
        <v>0</v>
      </c>
      <c r="BS248" s="8">
        <f t="shared" si="19"/>
        <v>3484027</v>
      </c>
      <c r="BU248" s="9">
        <f>+BS248-'[1]Gen Fd BS'!AA250+BQ248</f>
        <v>0</v>
      </c>
    </row>
    <row r="249" spans="1:73">
      <c r="A249" s="13" t="s">
        <v>510</v>
      </c>
      <c r="B249" s="13"/>
      <c r="C249" s="13" t="s">
        <v>511</v>
      </c>
      <c r="D249" s="13"/>
      <c r="E249" s="32">
        <v>48256</v>
      </c>
      <c r="G249" s="8">
        <v>4635688</v>
      </c>
      <c r="I249" s="8">
        <v>1020242</v>
      </c>
      <c r="K249" s="8">
        <v>0</v>
      </c>
      <c r="M249" s="8">
        <v>0</v>
      </c>
      <c r="O249" s="8">
        <v>469446</v>
      </c>
      <c r="Q249" s="8">
        <v>536140</v>
      </c>
      <c r="S249" s="8">
        <v>106348</v>
      </c>
      <c r="U249" s="8">
        <v>712235</v>
      </c>
      <c r="W249" s="8">
        <v>412025</v>
      </c>
      <c r="Y249" s="8">
        <v>81386</v>
      </c>
      <c r="AA249" s="8">
        <v>1227619</v>
      </c>
      <c r="AC249" s="8">
        <v>547020</v>
      </c>
      <c r="AE249" s="8">
        <v>304676</v>
      </c>
      <c r="AG249" s="8">
        <v>0</v>
      </c>
      <c r="AI249" s="8">
        <v>0</v>
      </c>
      <c r="AJ249" s="13" t="s">
        <v>510</v>
      </c>
      <c r="AK249" s="13"/>
      <c r="AL249" s="13" t="s">
        <v>511</v>
      </c>
      <c r="AN249" s="8">
        <v>370570</v>
      </c>
      <c r="AP249" s="8">
        <v>6325</v>
      </c>
      <c r="AT249" s="8">
        <v>22736</v>
      </c>
      <c r="AV249" s="8">
        <v>3484</v>
      </c>
      <c r="AX249" s="8">
        <v>0</v>
      </c>
      <c r="AZ249" s="8">
        <f t="shared" si="17"/>
        <v>10455940</v>
      </c>
      <c r="BB249" s="8">
        <v>514964</v>
      </c>
      <c r="BH249" s="8">
        <v>0</v>
      </c>
      <c r="BJ249" s="8">
        <f t="shared" si="18"/>
        <v>10970904</v>
      </c>
      <c r="BL249" s="8">
        <f>+[1]GenRev!AM251-[1]GenExp!BJ251</f>
        <v>805761</v>
      </c>
      <c r="BN249" s="8">
        <v>7127846</v>
      </c>
      <c r="BP249" s="8">
        <v>0</v>
      </c>
      <c r="BQ249" s="8">
        <v>0</v>
      </c>
      <c r="BS249" s="8">
        <f t="shared" si="19"/>
        <v>7933607</v>
      </c>
      <c r="BU249" s="9">
        <f>+BS249-'[1]Gen Fd BS'!AA251+BQ249</f>
        <v>0</v>
      </c>
    </row>
    <row r="250" spans="1:73">
      <c r="A250" s="13" t="s">
        <v>556</v>
      </c>
      <c r="B250" s="13"/>
      <c r="C250" s="13" t="s">
        <v>50</v>
      </c>
      <c r="D250" s="13"/>
      <c r="E250" s="32">
        <v>48686</v>
      </c>
      <c r="G250" s="8">
        <v>1766247</v>
      </c>
      <c r="I250" s="8">
        <v>414078</v>
      </c>
      <c r="K250" s="8">
        <v>39577</v>
      </c>
      <c r="M250" s="8">
        <v>1531981</v>
      </c>
      <c r="O250" s="8">
        <v>30500</v>
      </c>
      <c r="Q250" s="8">
        <v>169674</v>
      </c>
      <c r="S250" s="8">
        <v>44483</v>
      </c>
      <c r="U250" s="8">
        <v>709785</v>
      </c>
      <c r="W250" s="8">
        <v>1272886</v>
      </c>
      <c r="Y250" s="8">
        <v>0</v>
      </c>
      <c r="AA250" s="8">
        <v>850468</v>
      </c>
      <c r="AC250" s="8">
        <v>615682</v>
      </c>
      <c r="AE250" s="8">
        <v>70653</v>
      </c>
      <c r="AG250" s="8">
        <v>0</v>
      </c>
      <c r="AI250" s="8">
        <v>169</v>
      </c>
      <c r="AJ250" s="13" t="s">
        <v>556</v>
      </c>
      <c r="AK250" s="13"/>
      <c r="AL250" s="13" t="s">
        <v>50</v>
      </c>
      <c r="AN250" s="8">
        <v>95187</v>
      </c>
      <c r="AP250" s="8">
        <v>0</v>
      </c>
      <c r="AT250" s="8">
        <v>12592</v>
      </c>
      <c r="AV250" s="8">
        <v>63908</v>
      </c>
      <c r="AX250" s="8">
        <v>0</v>
      </c>
      <c r="AZ250" s="8">
        <f t="shared" si="17"/>
        <v>7687870</v>
      </c>
      <c r="BB250" s="8">
        <v>1800</v>
      </c>
      <c r="BH250" s="8">
        <v>0</v>
      </c>
      <c r="BJ250" s="8">
        <f t="shared" si="18"/>
        <v>7689670</v>
      </c>
      <c r="BL250" s="8">
        <f>+[1]GenRev!AM252-[1]GenExp!BJ252</f>
        <v>-211021</v>
      </c>
      <c r="BN250" s="8">
        <v>-388282</v>
      </c>
      <c r="BP250" s="8">
        <v>0</v>
      </c>
      <c r="BQ250" s="8">
        <v>0</v>
      </c>
      <c r="BS250" s="8">
        <f t="shared" si="19"/>
        <v>-599303</v>
      </c>
      <c r="BU250" s="9">
        <f>+BS250-'[1]Gen Fd BS'!AA252+BQ250</f>
        <v>0</v>
      </c>
    </row>
    <row r="251" spans="1:73">
      <c r="A251" s="13" t="s">
        <v>480</v>
      </c>
      <c r="B251" s="13"/>
      <c r="C251" s="13" t="s">
        <v>42</v>
      </c>
      <c r="D251" s="13"/>
      <c r="E251" s="32">
        <v>47985</v>
      </c>
      <c r="G251" s="8">
        <v>5911605</v>
      </c>
      <c r="I251" s="8">
        <v>840414</v>
      </c>
      <c r="K251" s="8">
        <v>188191</v>
      </c>
      <c r="M251" s="8">
        <v>209356</v>
      </c>
      <c r="O251" s="8">
        <v>540374</v>
      </c>
      <c r="Q251" s="8">
        <v>543590</v>
      </c>
      <c r="S251" s="8">
        <v>54256</v>
      </c>
      <c r="U251" s="8">
        <v>1001851</v>
      </c>
      <c r="W251" s="8">
        <v>371088</v>
      </c>
      <c r="Y251" s="8">
        <v>0</v>
      </c>
      <c r="AA251" s="8">
        <v>1182650</v>
      </c>
      <c r="AC251" s="8">
        <v>747606</v>
      </c>
      <c r="AE251" s="8">
        <v>60696</v>
      </c>
      <c r="AG251" s="8">
        <v>0</v>
      </c>
      <c r="AI251" s="8">
        <v>0</v>
      </c>
      <c r="AJ251" s="13" t="s">
        <v>480</v>
      </c>
      <c r="AK251" s="13"/>
      <c r="AL251" s="13" t="s">
        <v>42</v>
      </c>
      <c r="AN251" s="8">
        <v>261122</v>
      </c>
      <c r="AP251" s="8">
        <v>0</v>
      </c>
      <c r="AT251" s="8">
        <v>26224</v>
      </c>
      <c r="AV251" s="8">
        <v>9248</v>
      </c>
      <c r="AX251" s="8">
        <v>0</v>
      </c>
      <c r="AZ251" s="8">
        <f t="shared" si="17"/>
        <v>11948271</v>
      </c>
      <c r="BB251" s="8">
        <v>124160</v>
      </c>
      <c r="BH251" s="8">
        <v>0</v>
      </c>
      <c r="BJ251" s="8">
        <f t="shared" si="18"/>
        <v>12072431</v>
      </c>
      <c r="BL251" s="8">
        <f>+GenRev!AM251-GenExp!BJ251</f>
        <v>506221</v>
      </c>
      <c r="BN251" s="8">
        <v>3367977</v>
      </c>
      <c r="BP251" s="8">
        <v>0</v>
      </c>
      <c r="BQ251" s="8">
        <v>0</v>
      </c>
      <c r="BS251" s="8">
        <f t="shared" ref="BS251:BS272" si="20">+BN251+BL251-BP251</f>
        <v>3874198</v>
      </c>
      <c r="BU251" s="9">
        <f>+BS251-'Gen Fd BS'!AA251+BQ251</f>
        <v>0</v>
      </c>
    </row>
    <row r="252" spans="1:73">
      <c r="A252" s="13" t="s">
        <v>512</v>
      </c>
      <c r="B252" s="13"/>
      <c r="C252" s="13" t="s">
        <v>511</v>
      </c>
      <c r="D252" s="13"/>
      <c r="E252" s="32">
        <v>48264</v>
      </c>
      <c r="G252" s="8">
        <v>6613660</v>
      </c>
      <c r="I252" s="8">
        <v>1206724</v>
      </c>
      <c r="K252" s="8">
        <v>139988</v>
      </c>
      <c r="M252" s="8">
        <v>0</v>
      </c>
      <c r="O252" s="8">
        <v>905410</v>
      </c>
      <c r="Q252" s="8">
        <v>692749</v>
      </c>
      <c r="S252" s="8">
        <v>130123</v>
      </c>
      <c r="U252" s="8">
        <v>1393900</v>
      </c>
      <c r="W252" s="8">
        <v>410003</v>
      </c>
      <c r="Y252" s="8">
        <v>11090</v>
      </c>
      <c r="AA252" s="8">
        <v>1687008</v>
      </c>
      <c r="AC252" s="8">
        <v>1183028</v>
      </c>
      <c r="AE252" s="8">
        <v>0</v>
      </c>
      <c r="AG252" s="8">
        <v>0</v>
      </c>
      <c r="AI252" s="8">
        <v>0</v>
      </c>
      <c r="AJ252" s="13" t="s">
        <v>512</v>
      </c>
      <c r="AK252" s="13"/>
      <c r="AL252" s="13" t="s">
        <v>511</v>
      </c>
      <c r="AN252" s="8">
        <v>235093</v>
      </c>
      <c r="AP252" s="8">
        <v>0</v>
      </c>
      <c r="AT252" s="8">
        <v>20897</v>
      </c>
      <c r="AV252" s="8">
        <v>4183</v>
      </c>
      <c r="AX252" s="8">
        <v>0</v>
      </c>
      <c r="AZ252" s="8">
        <f t="shared" si="17"/>
        <v>14633856</v>
      </c>
      <c r="BB252" s="8">
        <v>159628</v>
      </c>
      <c r="BH252" s="8">
        <v>0</v>
      </c>
      <c r="BJ252" s="8">
        <f t="shared" si="18"/>
        <v>14793484</v>
      </c>
      <c r="BL252" s="8">
        <f>+GenRev!AM252-GenExp!BJ252</f>
        <v>1138739</v>
      </c>
      <c r="BN252" s="8">
        <v>1306749</v>
      </c>
      <c r="BP252" s="8">
        <v>0</v>
      </c>
      <c r="BQ252" s="8">
        <v>0</v>
      </c>
      <c r="BS252" s="8">
        <f t="shared" si="20"/>
        <v>2445488</v>
      </c>
      <c r="BU252" s="9">
        <f>+BS252-'Gen Fd BS'!AA252+BQ252</f>
        <v>0</v>
      </c>
    </row>
    <row r="253" spans="1:73">
      <c r="A253" s="13" t="s">
        <v>687</v>
      </c>
      <c r="B253" s="13"/>
      <c r="C253" s="13" t="s">
        <v>64</v>
      </c>
      <c r="D253" s="13"/>
      <c r="E253" s="32">
        <v>50179</v>
      </c>
      <c r="G253" s="8">
        <v>3782777</v>
      </c>
      <c r="I253" s="8">
        <v>368958</v>
      </c>
      <c r="K253" s="8">
        <v>83310</v>
      </c>
      <c r="M253" s="8">
        <v>0</v>
      </c>
      <c r="O253" s="8">
        <v>243931</v>
      </c>
      <c r="Q253" s="8">
        <v>128665</v>
      </c>
      <c r="S253" s="8">
        <v>56231</v>
      </c>
      <c r="U253" s="8">
        <v>704048</v>
      </c>
      <c r="W253" s="8">
        <v>299731</v>
      </c>
      <c r="Y253" s="8">
        <v>0</v>
      </c>
      <c r="AA253" s="8">
        <v>622319</v>
      </c>
      <c r="AC253" s="8">
        <v>809254</v>
      </c>
      <c r="AE253" s="8">
        <v>91289</v>
      </c>
      <c r="AG253" s="8">
        <v>0</v>
      </c>
      <c r="AI253" s="8">
        <v>434596</v>
      </c>
      <c r="AJ253" s="13" t="s">
        <v>687</v>
      </c>
      <c r="AK253" s="13"/>
      <c r="AL253" s="13" t="s">
        <v>64</v>
      </c>
      <c r="AN253" s="8">
        <v>151429</v>
      </c>
      <c r="AP253" s="8">
        <v>36904</v>
      </c>
      <c r="AT253" s="8">
        <v>15875</v>
      </c>
      <c r="AV253" s="8">
        <v>6013</v>
      </c>
      <c r="AX253" s="8">
        <v>0</v>
      </c>
      <c r="AZ253" s="8">
        <f t="shared" si="17"/>
        <v>7835330</v>
      </c>
      <c r="BB253" s="8">
        <v>3718</v>
      </c>
      <c r="BH253" s="8">
        <v>0</v>
      </c>
      <c r="BJ253" s="8">
        <f t="shared" si="18"/>
        <v>7839048</v>
      </c>
      <c r="BL253" s="8">
        <f>+GenRev!AM253-GenExp!BJ253</f>
        <v>225746</v>
      </c>
      <c r="BN253" s="8">
        <v>933797</v>
      </c>
      <c r="BP253" s="8">
        <v>0</v>
      </c>
      <c r="BQ253" s="8">
        <v>0</v>
      </c>
      <c r="BS253" s="8">
        <f t="shared" si="20"/>
        <v>1159543</v>
      </c>
      <c r="BU253" s="9">
        <f>+BS253-'Gen Fd BS'!AA253+BQ253</f>
        <v>0</v>
      </c>
    </row>
    <row r="254" spans="1:73">
      <c r="A254" s="13" t="s">
        <v>342</v>
      </c>
      <c r="B254" s="13"/>
      <c r="C254" s="13" t="s">
        <v>24</v>
      </c>
      <c r="D254" s="13"/>
      <c r="E254" s="32">
        <v>46797</v>
      </c>
      <c r="G254" s="8">
        <v>473361</v>
      </c>
      <c r="I254" s="8">
        <v>39420</v>
      </c>
      <c r="K254" s="8">
        <v>0</v>
      </c>
      <c r="M254" s="8">
        <v>0</v>
      </c>
      <c r="O254" s="8">
        <v>38782</v>
      </c>
      <c r="Q254" s="8">
        <v>89795</v>
      </c>
      <c r="S254" s="8">
        <v>25640</v>
      </c>
      <c r="U254" s="8">
        <v>104902</v>
      </c>
      <c r="W254" s="8">
        <v>42105</v>
      </c>
      <c r="Y254" s="8">
        <v>5098</v>
      </c>
      <c r="AA254" s="8">
        <v>127247</v>
      </c>
      <c r="AC254" s="8">
        <v>0</v>
      </c>
      <c r="AE254" s="8">
        <v>0</v>
      </c>
      <c r="AG254" s="8">
        <v>0</v>
      </c>
      <c r="AI254" s="8">
        <v>0</v>
      </c>
      <c r="AJ254" s="13" t="s">
        <v>342</v>
      </c>
      <c r="AK254" s="13"/>
      <c r="AL254" s="13" t="s">
        <v>24</v>
      </c>
      <c r="AN254" s="8">
        <v>626</v>
      </c>
      <c r="AP254" s="8">
        <v>0</v>
      </c>
      <c r="AT254" s="8">
        <v>0</v>
      </c>
      <c r="AV254" s="8">
        <v>0</v>
      </c>
      <c r="AX254" s="8">
        <v>91102</v>
      </c>
      <c r="AZ254" s="8">
        <f t="shared" si="17"/>
        <v>1038078</v>
      </c>
      <c r="BB254" s="8">
        <v>0</v>
      </c>
      <c r="BH254" s="8">
        <v>0</v>
      </c>
      <c r="BJ254" s="8">
        <f t="shared" si="18"/>
        <v>1038078</v>
      </c>
      <c r="BL254" s="8">
        <f>+GenRev!AM254-GenExp!BJ254</f>
        <v>-36935</v>
      </c>
      <c r="BN254" s="8">
        <v>447402</v>
      </c>
      <c r="BP254" s="8">
        <v>0</v>
      </c>
      <c r="BQ254" s="8">
        <v>0</v>
      </c>
      <c r="BS254" s="8">
        <f t="shared" si="20"/>
        <v>410467</v>
      </c>
      <c r="BU254" s="9">
        <f>+BS254-'Gen Fd BS'!AA254+BQ254</f>
        <v>0</v>
      </c>
    </row>
    <row r="255" spans="1:73">
      <c r="A255" s="13" t="s">
        <v>384</v>
      </c>
      <c r="B255" s="13"/>
      <c r="C255" s="13" t="s">
        <v>30</v>
      </c>
      <c r="D255" s="13"/>
      <c r="E255" s="32">
        <v>47191</v>
      </c>
      <c r="G255" s="8">
        <v>14316421</v>
      </c>
      <c r="I255" s="8">
        <v>3341261</v>
      </c>
      <c r="K255" s="8">
        <v>145083</v>
      </c>
      <c r="M255" s="8">
        <v>506053</v>
      </c>
      <c r="O255" s="8">
        <v>2275536</v>
      </c>
      <c r="Q255" s="8">
        <v>1070528</v>
      </c>
      <c r="S255" s="8">
        <v>50567</v>
      </c>
      <c r="U255" s="8">
        <v>2662117</v>
      </c>
      <c r="W255" s="8">
        <v>1008071</v>
      </c>
      <c r="Y255" s="8">
        <v>44496</v>
      </c>
      <c r="AA255" s="8">
        <v>3999981</v>
      </c>
      <c r="AC255" s="8">
        <v>2754177</v>
      </c>
      <c r="AE255" s="8">
        <v>7958</v>
      </c>
      <c r="AG255" s="8">
        <v>0</v>
      </c>
      <c r="AI255" s="8">
        <f>108986+16797</f>
        <v>125783</v>
      </c>
      <c r="AJ255" s="13" t="s">
        <v>384</v>
      </c>
      <c r="AK255" s="13"/>
      <c r="AL255" s="13" t="s">
        <v>30</v>
      </c>
      <c r="AN255" s="8">
        <v>661080</v>
      </c>
      <c r="AP255" s="8">
        <v>44351</v>
      </c>
      <c r="AT255" s="8">
        <v>13500</v>
      </c>
      <c r="AV255" s="8">
        <v>3130</v>
      </c>
      <c r="AX255" s="8">
        <v>0</v>
      </c>
      <c r="AZ255" s="8">
        <f t="shared" si="17"/>
        <v>33030093</v>
      </c>
      <c r="BB255" s="8">
        <v>116585</v>
      </c>
      <c r="BH255" s="8">
        <v>0</v>
      </c>
      <c r="BJ255" s="8">
        <f t="shared" si="18"/>
        <v>33146678</v>
      </c>
      <c r="BL255" s="8">
        <f>+GenRev!AM255-GenExp!BJ255</f>
        <v>375300</v>
      </c>
      <c r="BN255" s="8">
        <v>7244071</v>
      </c>
      <c r="BP255" s="8">
        <v>0</v>
      </c>
      <c r="BQ255" s="8">
        <v>0</v>
      </c>
      <c r="BS255" s="8">
        <f t="shared" si="20"/>
        <v>7619371</v>
      </c>
      <c r="BU255" s="9">
        <f>+BS255-'Gen Fd BS'!AA255+BQ255</f>
        <v>0</v>
      </c>
    </row>
    <row r="256" spans="1:73">
      <c r="A256" s="13" t="s">
        <v>599</v>
      </c>
      <c r="B256" s="13"/>
      <c r="C256" s="13" t="s">
        <v>56</v>
      </c>
      <c r="D256" s="13"/>
      <c r="E256" s="32">
        <v>44164</v>
      </c>
      <c r="G256" s="8">
        <v>17273934</v>
      </c>
      <c r="I256" s="8">
        <v>3163956</v>
      </c>
      <c r="K256" s="8">
        <v>2059818</v>
      </c>
      <c r="M256" s="8">
        <v>1035748</v>
      </c>
      <c r="O256" s="8">
        <v>2166969</v>
      </c>
      <c r="Q256" s="8">
        <v>2447562</v>
      </c>
      <c r="S256" s="8">
        <v>193924</v>
      </c>
      <c r="U256" s="8">
        <v>3035912</v>
      </c>
      <c r="W256" s="8">
        <v>904061</v>
      </c>
      <c r="Y256" s="8">
        <v>338490</v>
      </c>
      <c r="AA256" s="8">
        <v>3177091</v>
      </c>
      <c r="AC256" s="8">
        <v>1378509</v>
      </c>
      <c r="AE256" s="8">
        <v>330410</v>
      </c>
      <c r="AG256" s="8">
        <v>0</v>
      </c>
      <c r="AI256" s="8">
        <v>117377</v>
      </c>
      <c r="AJ256" s="13" t="s">
        <v>599</v>
      </c>
      <c r="AK256" s="13"/>
      <c r="AL256" s="13" t="s">
        <v>56</v>
      </c>
      <c r="AN256" s="8">
        <v>762749</v>
      </c>
      <c r="AP256" s="8">
        <v>280435</v>
      </c>
      <c r="AT256" s="8">
        <v>265817</v>
      </c>
      <c r="AV256" s="8">
        <v>80130</v>
      </c>
      <c r="AX256" s="8">
        <v>0</v>
      </c>
      <c r="AZ256" s="8">
        <f t="shared" si="17"/>
        <v>39012892</v>
      </c>
      <c r="BB256" s="8">
        <v>626895</v>
      </c>
      <c r="BH256" s="8">
        <v>0</v>
      </c>
      <c r="BJ256" s="8">
        <f t="shared" si="18"/>
        <v>39639787</v>
      </c>
      <c r="BL256" s="8">
        <f>+GenRev!AM258-GenExp!BJ256</f>
        <v>1927186</v>
      </c>
      <c r="BN256" s="8">
        <v>8310175</v>
      </c>
      <c r="BP256" s="8">
        <v>0</v>
      </c>
      <c r="BQ256" s="8">
        <v>0</v>
      </c>
      <c r="BS256" s="8">
        <f t="shared" si="20"/>
        <v>10237361</v>
      </c>
      <c r="BU256" s="9">
        <f>+BS256-'Gen Fd BS'!AA256+BQ256</f>
        <v>0</v>
      </c>
    </row>
    <row r="257" spans="1:75">
      <c r="A257" s="13" t="s">
        <v>428</v>
      </c>
      <c r="B257" s="13"/>
      <c r="C257" s="13" t="s">
        <v>426</v>
      </c>
      <c r="D257" s="13"/>
      <c r="E257" s="32">
        <v>44172</v>
      </c>
      <c r="G257" s="8">
        <v>9194552</v>
      </c>
      <c r="I257" s="8">
        <v>1648381</v>
      </c>
      <c r="K257" s="8">
        <v>269652</v>
      </c>
      <c r="M257" s="8">
        <v>0</v>
      </c>
      <c r="O257" s="8">
        <v>531163</v>
      </c>
      <c r="Q257" s="8">
        <v>540395</v>
      </c>
      <c r="S257" s="8">
        <v>48986</v>
      </c>
      <c r="U257" s="8">
        <v>1691593</v>
      </c>
      <c r="W257" s="8">
        <v>457516</v>
      </c>
      <c r="Y257" s="8">
        <v>0</v>
      </c>
      <c r="AA257" s="8">
        <v>1729282</v>
      </c>
      <c r="AC257" s="8">
        <v>676150</v>
      </c>
      <c r="AE257" s="8">
        <v>35078</v>
      </c>
      <c r="AG257" s="8">
        <v>0</v>
      </c>
      <c r="AI257" s="8">
        <v>22750</v>
      </c>
      <c r="AJ257" s="13" t="s">
        <v>428</v>
      </c>
      <c r="AK257" s="13"/>
      <c r="AL257" s="13" t="s">
        <v>426</v>
      </c>
      <c r="AN257" s="8">
        <v>0</v>
      </c>
      <c r="AP257" s="8">
        <v>0</v>
      </c>
      <c r="AT257" s="8">
        <v>0</v>
      </c>
      <c r="AV257" s="8">
        <v>0</v>
      </c>
      <c r="AX257" s="8">
        <v>0</v>
      </c>
      <c r="AZ257" s="8">
        <f t="shared" si="17"/>
        <v>16845498</v>
      </c>
      <c r="BB257" s="8">
        <v>10441</v>
      </c>
      <c r="BH257" s="8">
        <v>0</v>
      </c>
      <c r="BJ257" s="8">
        <f t="shared" si="18"/>
        <v>16855939</v>
      </c>
      <c r="BL257" s="8">
        <f>+GenRev!AM259-GenExp!BJ257</f>
        <v>-224575</v>
      </c>
      <c r="BN257" s="8">
        <v>3456382</v>
      </c>
      <c r="BP257" s="8">
        <v>0</v>
      </c>
      <c r="BQ257" s="8">
        <v>0</v>
      </c>
      <c r="BS257" s="8">
        <f t="shared" si="20"/>
        <v>3231807</v>
      </c>
      <c r="BU257" s="9">
        <f>+BS257-'Gen Fd BS'!AA259+BQ257</f>
        <v>0</v>
      </c>
    </row>
    <row r="258" spans="1:75">
      <c r="A258" s="13" t="s">
        <v>557</v>
      </c>
      <c r="B258" s="13"/>
      <c r="C258" s="13" t="s">
        <v>50</v>
      </c>
      <c r="D258" s="13"/>
      <c r="E258" s="32">
        <v>44180</v>
      </c>
      <c r="G258" s="8">
        <v>31829431</v>
      </c>
      <c r="I258" s="8">
        <v>6359863</v>
      </c>
      <c r="K258" s="8">
        <v>1770630</v>
      </c>
      <c r="M258" s="8">
        <v>4253666</v>
      </c>
      <c r="O258" s="8">
        <v>5354468</v>
      </c>
      <c r="Q258" s="8">
        <v>4006515</v>
      </c>
      <c r="S258" s="8">
        <v>68541</v>
      </c>
      <c r="U258" s="8">
        <v>6087826</v>
      </c>
      <c r="W258" s="8">
        <v>1790983</v>
      </c>
      <c r="Y258" s="8">
        <v>544050</v>
      </c>
      <c r="AA258" s="8">
        <v>7999940</v>
      </c>
      <c r="AC258" s="8">
        <v>2970623</v>
      </c>
      <c r="AE258" s="8">
        <v>1541902</v>
      </c>
      <c r="AG258" s="8">
        <v>0</v>
      </c>
      <c r="AI258" s="8">
        <v>1110</v>
      </c>
      <c r="AJ258" s="13" t="s">
        <v>557</v>
      </c>
      <c r="AK258" s="13"/>
      <c r="AL258" s="13" t="s">
        <v>50</v>
      </c>
      <c r="AN258" s="8">
        <v>1261669</v>
      </c>
      <c r="AP258" s="8">
        <v>315037</v>
      </c>
      <c r="AT258" s="8">
        <v>354395</v>
      </c>
      <c r="AV258" s="8">
        <v>60286</v>
      </c>
      <c r="AX258" s="8">
        <v>0</v>
      </c>
      <c r="AZ258" s="8">
        <f t="shared" si="17"/>
        <v>76570935</v>
      </c>
      <c r="BB258" s="8">
        <v>13500</v>
      </c>
      <c r="BH258" s="8">
        <v>0</v>
      </c>
      <c r="BJ258" s="8">
        <f t="shared" si="18"/>
        <v>76584435</v>
      </c>
      <c r="BL258" s="8">
        <f>+GenRev!AM260-GenExp!BJ258</f>
        <v>-974919</v>
      </c>
      <c r="BN258" s="8">
        <v>9362801</v>
      </c>
      <c r="BP258" s="8">
        <v>1868</v>
      </c>
      <c r="BQ258" s="8">
        <v>0</v>
      </c>
      <c r="BS258" s="8">
        <f t="shared" si="20"/>
        <v>8386014</v>
      </c>
      <c r="BU258" s="9">
        <f>+BS258-'Gen Fd BS'!AA260+BQ258</f>
        <v>0</v>
      </c>
    </row>
    <row r="259" spans="1:75">
      <c r="A259" s="13" t="s">
        <v>495</v>
      </c>
      <c r="B259" s="13"/>
      <c r="C259" s="13" t="s">
        <v>44</v>
      </c>
      <c r="D259" s="13"/>
      <c r="E259" s="32">
        <v>48165</v>
      </c>
      <c r="G259" s="8">
        <v>6718931</v>
      </c>
      <c r="I259" s="8">
        <v>883293</v>
      </c>
      <c r="K259" s="8">
        <v>96822</v>
      </c>
      <c r="M259" s="8">
        <v>64039</v>
      </c>
      <c r="O259" s="8">
        <v>607345</v>
      </c>
      <c r="Q259" s="8">
        <v>388780</v>
      </c>
      <c r="S259" s="8">
        <v>39158</v>
      </c>
      <c r="U259" s="8">
        <v>1059917</v>
      </c>
      <c r="W259" s="8">
        <v>365214</v>
      </c>
      <c r="Y259" s="8">
        <v>0</v>
      </c>
      <c r="AA259" s="8">
        <v>1152327</v>
      </c>
      <c r="AC259" s="8">
        <v>832394</v>
      </c>
      <c r="AE259" s="8">
        <v>240987</v>
      </c>
      <c r="AG259" s="8">
        <v>22734</v>
      </c>
      <c r="AI259" s="8">
        <v>53322</v>
      </c>
      <c r="AJ259" s="13" t="s">
        <v>495</v>
      </c>
      <c r="AK259" s="13"/>
      <c r="AL259" s="13" t="s">
        <v>44</v>
      </c>
      <c r="AN259" s="8">
        <v>245209</v>
      </c>
      <c r="AP259" s="8">
        <v>0</v>
      </c>
      <c r="AT259" s="8">
        <v>0</v>
      </c>
      <c r="AV259" s="8">
        <v>0</v>
      </c>
      <c r="AX259" s="8">
        <v>0</v>
      </c>
      <c r="AZ259" s="8">
        <f t="shared" si="17"/>
        <v>12770472</v>
      </c>
      <c r="BB259" s="8">
        <v>11687</v>
      </c>
      <c r="BH259" s="8">
        <v>0</v>
      </c>
      <c r="BJ259" s="8">
        <f t="shared" si="18"/>
        <v>12782159</v>
      </c>
      <c r="BL259" s="8">
        <f>+GenRev!AM261-GenExp!BJ259</f>
        <v>1241333</v>
      </c>
      <c r="BN259" s="8">
        <v>2989022</v>
      </c>
      <c r="BP259" s="8">
        <v>0</v>
      </c>
      <c r="BQ259" s="8">
        <v>0</v>
      </c>
      <c r="BS259" s="8">
        <f t="shared" si="20"/>
        <v>4230355</v>
      </c>
      <c r="BU259" s="9">
        <f>+BS259-'Gen Fd BS'!AA261+BQ259</f>
        <v>0</v>
      </c>
    </row>
    <row r="260" spans="1:75">
      <c r="A260" s="13" t="s">
        <v>715</v>
      </c>
      <c r="B260" s="13"/>
      <c r="C260" s="13" t="s">
        <v>69</v>
      </c>
      <c r="D260" s="13"/>
      <c r="E260" s="32">
        <v>50435</v>
      </c>
      <c r="G260" s="8">
        <v>16453004</v>
      </c>
      <c r="I260" s="8">
        <v>3384226</v>
      </c>
      <c r="K260" s="8">
        <v>0</v>
      </c>
      <c r="M260" s="8">
        <v>648711</v>
      </c>
      <c r="O260" s="8">
        <v>1550558</v>
      </c>
      <c r="Q260" s="8">
        <v>997931</v>
      </c>
      <c r="S260" s="8">
        <v>85957</v>
      </c>
      <c r="U260" s="8">
        <v>3115933</v>
      </c>
      <c r="W260" s="8">
        <v>828402</v>
      </c>
      <c r="Y260" s="8">
        <v>291632</v>
      </c>
      <c r="AA260" s="8">
        <v>3609448</v>
      </c>
      <c r="AC260" s="8">
        <v>1968443</v>
      </c>
      <c r="AE260" s="8">
        <v>230662</v>
      </c>
      <c r="AG260" s="8">
        <v>0</v>
      </c>
      <c r="AI260" s="8">
        <v>154424</v>
      </c>
      <c r="AJ260" s="13" t="s">
        <v>715</v>
      </c>
      <c r="AK260" s="13"/>
      <c r="AL260" s="13" t="s">
        <v>69</v>
      </c>
      <c r="AN260" s="8">
        <v>651233</v>
      </c>
      <c r="AP260" s="8">
        <v>0</v>
      </c>
      <c r="AT260" s="8">
        <v>0</v>
      </c>
      <c r="AV260" s="8">
        <v>0</v>
      </c>
      <c r="AX260" s="8">
        <v>0</v>
      </c>
      <c r="AZ260" s="8">
        <f t="shared" si="17"/>
        <v>33970564</v>
      </c>
      <c r="BB260" s="8">
        <v>0</v>
      </c>
      <c r="BH260" s="8">
        <v>0</v>
      </c>
      <c r="BJ260" s="8">
        <f t="shared" si="18"/>
        <v>33970564</v>
      </c>
      <c r="BL260" s="8">
        <f>+GenRev!AM262-GenExp!BJ260</f>
        <v>1203328</v>
      </c>
      <c r="BN260" s="8">
        <v>7086423</v>
      </c>
      <c r="BP260" s="8">
        <v>0</v>
      </c>
      <c r="BQ260" s="8">
        <v>0</v>
      </c>
      <c r="BS260" s="8">
        <f t="shared" si="20"/>
        <v>8289751</v>
      </c>
      <c r="BU260" s="9">
        <f>+BS260-'Gen Fd BS'!AA262+BQ260</f>
        <v>0</v>
      </c>
    </row>
    <row r="261" spans="1:75" hidden="1">
      <c r="A261" s="13" t="s">
        <v>464</v>
      </c>
      <c r="B261" s="13"/>
      <c r="C261" s="13" t="s">
        <v>41</v>
      </c>
      <c r="D261" s="13"/>
      <c r="E261" s="32">
        <v>47878</v>
      </c>
      <c r="AG261" s="8">
        <v>0</v>
      </c>
      <c r="AJ261" s="13" t="s">
        <v>464</v>
      </c>
      <c r="AK261" s="13"/>
      <c r="AL261" s="13" t="s">
        <v>41</v>
      </c>
      <c r="AP261" s="8">
        <v>0</v>
      </c>
      <c r="AT261" s="8">
        <v>0</v>
      </c>
      <c r="AV261" s="8">
        <v>0</v>
      </c>
      <c r="AX261" s="8">
        <v>0</v>
      </c>
      <c r="AZ261" s="8">
        <f t="shared" si="17"/>
        <v>0</v>
      </c>
      <c r="BB261" s="8">
        <v>0</v>
      </c>
      <c r="BH261" s="8">
        <v>0</v>
      </c>
      <c r="BJ261" s="8">
        <f t="shared" si="18"/>
        <v>0</v>
      </c>
      <c r="BL261" s="8">
        <f>+GenRev!AM263-GenExp!BJ261</f>
        <v>0</v>
      </c>
      <c r="BN261" s="8">
        <v>0</v>
      </c>
      <c r="BP261" s="8">
        <v>0</v>
      </c>
      <c r="BQ261" s="8">
        <v>0</v>
      </c>
      <c r="BS261" s="8">
        <f t="shared" si="20"/>
        <v>0</v>
      </c>
      <c r="BU261" s="9">
        <f>+BS261-'Gen Fd BS'!AA263+BQ261</f>
        <v>0</v>
      </c>
    </row>
    <row r="262" spans="1:75">
      <c r="A262" s="13" t="s">
        <v>688</v>
      </c>
      <c r="B262" s="13"/>
      <c r="C262" s="13" t="s">
        <v>64</v>
      </c>
      <c r="D262" s="13"/>
      <c r="E262" s="32">
        <v>50245</v>
      </c>
      <c r="G262" s="8">
        <v>6411970</v>
      </c>
      <c r="I262" s="8">
        <v>1066746</v>
      </c>
      <c r="K262" s="8">
        <v>95723</v>
      </c>
      <c r="M262" s="8">
        <v>393308</v>
      </c>
      <c r="O262" s="8">
        <v>609999</v>
      </c>
      <c r="Q262" s="8">
        <v>178142</v>
      </c>
      <c r="S262" s="8">
        <v>53776</v>
      </c>
      <c r="U262" s="8">
        <v>1048081</v>
      </c>
      <c r="W262" s="8">
        <v>291027</v>
      </c>
      <c r="Y262" s="8">
        <v>0</v>
      </c>
      <c r="AA262" s="8">
        <v>1283419</v>
      </c>
      <c r="AC262" s="8">
        <v>607407</v>
      </c>
      <c r="AE262" s="8">
        <v>105936</v>
      </c>
      <c r="AG262" s="8">
        <v>0</v>
      </c>
      <c r="AI262" s="8">
        <v>4383</v>
      </c>
      <c r="AJ262" s="13" t="s">
        <v>688</v>
      </c>
      <c r="AK262" s="13"/>
      <c r="AL262" s="13" t="s">
        <v>64</v>
      </c>
      <c r="AN262" s="8">
        <v>229855</v>
      </c>
      <c r="AP262" s="8">
        <v>60102</v>
      </c>
      <c r="AT262" s="8">
        <v>36000</v>
      </c>
      <c r="AV262" s="8">
        <v>103224</v>
      </c>
      <c r="AX262" s="8">
        <v>0</v>
      </c>
      <c r="AZ262" s="8">
        <f t="shared" si="17"/>
        <v>12579098</v>
      </c>
      <c r="BB262" s="8">
        <v>0</v>
      </c>
      <c r="BH262" s="8">
        <v>0</v>
      </c>
      <c r="BJ262" s="8">
        <f t="shared" si="18"/>
        <v>12579098</v>
      </c>
      <c r="BL262" s="8">
        <f>+GenRev!AM264-GenExp!BJ262</f>
        <v>-646461</v>
      </c>
      <c r="BN262" s="8">
        <v>2074699</v>
      </c>
      <c r="BP262" s="8">
        <v>107</v>
      </c>
      <c r="BQ262" s="8">
        <v>0</v>
      </c>
      <c r="BS262" s="8">
        <f t="shared" si="20"/>
        <v>1428131</v>
      </c>
      <c r="BU262" s="9">
        <f>+BS262-'Gen Fd BS'!AA264+BQ262</f>
        <v>0</v>
      </c>
    </row>
    <row r="263" spans="1:75">
      <c r="A263" s="13"/>
      <c r="B263" s="13"/>
      <c r="C263" s="13"/>
      <c r="D263" s="13"/>
      <c r="E263" s="32"/>
      <c r="AJ263" s="13"/>
      <c r="AK263" s="13"/>
      <c r="AL263" s="13"/>
    </row>
    <row r="264" spans="1:75">
      <c r="A264" s="13"/>
      <c r="B264" s="13"/>
      <c r="C264" s="13"/>
      <c r="D264" s="13"/>
      <c r="E264" s="32"/>
      <c r="AI264" s="8" t="s">
        <v>819</v>
      </c>
      <c r="AJ264" s="13"/>
      <c r="AK264" s="13"/>
      <c r="AL264" s="13"/>
      <c r="BS264" s="8" t="s">
        <v>819</v>
      </c>
    </row>
    <row r="265" spans="1:75" s="35" customFormat="1">
      <c r="A265" s="34" t="s">
        <v>658</v>
      </c>
      <c r="B265" s="34"/>
      <c r="C265" s="34" t="s">
        <v>62</v>
      </c>
      <c r="D265" s="34"/>
      <c r="E265" s="34">
        <v>49866</v>
      </c>
      <c r="G265" s="35">
        <v>13217686</v>
      </c>
      <c r="I265" s="35">
        <v>1894759</v>
      </c>
      <c r="K265" s="35">
        <v>411199</v>
      </c>
      <c r="M265" s="35">
        <v>1082927</v>
      </c>
      <c r="O265" s="35">
        <v>934575</v>
      </c>
      <c r="Q265" s="35">
        <v>1465025</v>
      </c>
      <c r="S265" s="35">
        <v>23637</v>
      </c>
      <c r="U265" s="35">
        <v>2593650</v>
      </c>
      <c r="W265" s="35">
        <v>622015</v>
      </c>
      <c r="Y265" s="35">
        <v>81217</v>
      </c>
      <c r="AA265" s="35">
        <v>2994011</v>
      </c>
      <c r="AC265" s="35">
        <v>2201008</v>
      </c>
      <c r="AE265" s="35">
        <v>53320</v>
      </c>
      <c r="AG265" s="35">
        <v>0</v>
      </c>
      <c r="AI265" s="35">
        <v>28523</v>
      </c>
      <c r="AJ265" s="34" t="s">
        <v>658</v>
      </c>
      <c r="AK265" s="34"/>
      <c r="AL265" s="34" t="s">
        <v>62</v>
      </c>
      <c r="AN265" s="35">
        <v>657668</v>
      </c>
      <c r="AP265" s="35">
        <v>274571</v>
      </c>
      <c r="AT265" s="35">
        <v>46858</v>
      </c>
      <c r="AV265" s="35">
        <v>2838</v>
      </c>
      <c r="AX265" s="35">
        <v>0</v>
      </c>
      <c r="AZ265" s="35">
        <f t="shared" si="17"/>
        <v>28585487</v>
      </c>
      <c r="BB265" s="35">
        <v>53789</v>
      </c>
      <c r="BH265" s="35">
        <v>0</v>
      </c>
      <c r="BJ265" s="35">
        <f t="shared" si="18"/>
        <v>28639276</v>
      </c>
      <c r="BL265" s="35">
        <f>+GenRev!AM265-GenExp!BJ265</f>
        <v>1406629</v>
      </c>
      <c r="BN265" s="35">
        <v>2254349</v>
      </c>
      <c r="BP265" s="35">
        <v>0</v>
      </c>
      <c r="BQ265" s="35">
        <v>0</v>
      </c>
      <c r="BS265" s="35">
        <f t="shared" si="20"/>
        <v>3660978</v>
      </c>
      <c r="BU265" s="44">
        <f>+BS265-'Gen Fd BS'!AA265+BQ265</f>
        <v>0</v>
      </c>
    </row>
    <row r="266" spans="1:75">
      <c r="A266" s="13" t="s">
        <v>658</v>
      </c>
      <c r="B266" s="13"/>
      <c r="C266" s="13" t="s">
        <v>72</v>
      </c>
      <c r="D266" s="13"/>
      <c r="E266" s="32">
        <v>50690</v>
      </c>
      <c r="G266" s="8">
        <v>6438941</v>
      </c>
      <c r="I266" s="8">
        <v>1055611</v>
      </c>
      <c r="K266" s="8">
        <v>307420</v>
      </c>
      <c r="M266" s="8">
        <v>0</v>
      </c>
      <c r="O266" s="8">
        <v>637624</v>
      </c>
      <c r="Q266" s="8">
        <v>436120</v>
      </c>
      <c r="S266" s="8">
        <v>165902</v>
      </c>
      <c r="U266" s="8">
        <v>976151</v>
      </c>
      <c r="W266" s="8">
        <v>435547</v>
      </c>
      <c r="Y266" s="8">
        <v>0</v>
      </c>
      <c r="AA266" s="8">
        <v>1396767</v>
      </c>
      <c r="AC266" s="8">
        <v>776063</v>
      </c>
      <c r="AE266" s="8">
        <v>121611</v>
      </c>
      <c r="AG266" s="8">
        <v>0</v>
      </c>
      <c r="AI266" s="8">
        <v>0</v>
      </c>
      <c r="AJ266" s="13" t="s">
        <v>658</v>
      </c>
      <c r="AK266" s="13"/>
      <c r="AL266" s="13" t="s">
        <v>72</v>
      </c>
      <c r="AN266" s="8">
        <v>410783</v>
      </c>
      <c r="AP266" s="8">
        <v>0</v>
      </c>
      <c r="AT266" s="8">
        <v>0</v>
      </c>
      <c r="AV266" s="8">
        <v>0</v>
      </c>
      <c r="AX266" s="8">
        <v>0</v>
      </c>
      <c r="AZ266" s="8">
        <f t="shared" si="17"/>
        <v>13158540</v>
      </c>
      <c r="BB266" s="8">
        <v>62582</v>
      </c>
      <c r="BH266" s="8">
        <v>0</v>
      </c>
      <c r="BJ266" s="8">
        <f t="shared" si="18"/>
        <v>13221122</v>
      </c>
      <c r="BL266" s="8">
        <f>+GenRev!AM266-GenExp!BJ266</f>
        <v>235926</v>
      </c>
      <c r="BN266" s="8">
        <v>2758032</v>
      </c>
      <c r="BP266" s="8">
        <v>0</v>
      </c>
      <c r="BQ266" s="8">
        <v>0</v>
      </c>
      <c r="BS266" s="8">
        <f t="shared" si="20"/>
        <v>2993958</v>
      </c>
      <c r="BU266" s="9">
        <f>+BS266-'Gen Fd BS'!AA266+BQ266</f>
        <v>0</v>
      </c>
    </row>
    <row r="267" spans="1:75">
      <c r="A267" s="13" t="s">
        <v>689</v>
      </c>
      <c r="B267" s="13"/>
      <c r="C267" s="13" t="s">
        <v>64</v>
      </c>
      <c r="D267" s="13"/>
      <c r="E267" s="32">
        <v>50187</v>
      </c>
      <c r="G267" s="8">
        <v>7991662</v>
      </c>
      <c r="I267" s="8">
        <v>2211041</v>
      </c>
      <c r="K267" s="8">
        <v>50976</v>
      </c>
      <c r="M267" s="8">
        <v>0</v>
      </c>
      <c r="O267" s="8">
        <v>925829</v>
      </c>
      <c r="Q267" s="8">
        <v>843785</v>
      </c>
      <c r="S267" s="8">
        <v>29949</v>
      </c>
      <c r="U267" s="8">
        <v>1529597</v>
      </c>
      <c r="W267" s="8">
        <v>405871</v>
      </c>
      <c r="Y267" s="8">
        <v>0</v>
      </c>
      <c r="AA267" s="8">
        <v>1753460</v>
      </c>
      <c r="AC267" s="8">
        <v>825094</v>
      </c>
      <c r="AE267" s="8">
        <v>0</v>
      </c>
      <c r="AG267" s="8">
        <v>0</v>
      </c>
      <c r="AI267" s="8">
        <v>0</v>
      </c>
      <c r="AJ267" s="13" t="s">
        <v>689</v>
      </c>
      <c r="AK267" s="13"/>
      <c r="AL267" s="13" t="s">
        <v>64</v>
      </c>
      <c r="AN267" s="8">
        <v>323259</v>
      </c>
      <c r="AP267" s="8">
        <v>0</v>
      </c>
      <c r="AT267" s="8">
        <v>16000</v>
      </c>
      <c r="AV267" s="8">
        <v>17749</v>
      </c>
      <c r="AX267" s="8">
        <v>0</v>
      </c>
      <c r="AZ267" s="8">
        <f t="shared" si="17"/>
        <v>16924272</v>
      </c>
      <c r="BB267" s="8">
        <v>42765</v>
      </c>
      <c r="BH267" s="8">
        <v>0</v>
      </c>
      <c r="BJ267" s="8">
        <f t="shared" si="18"/>
        <v>16967037</v>
      </c>
      <c r="BL267" s="8">
        <f>+GenRev!AM267-GenExp!BJ267</f>
        <v>-1562107</v>
      </c>
      <c r="BN267" s="8">
        <v>-432923</v>
      </c>
      <c r="BP267" s="8">
        <v>0</v>
      </c>
      <c r="BQ267" s="8">
        <v>0</v>
      </c>
      <c r="BS267" s="8">
        <f t="shared" si="20"/>
        <v>-1995030</v>
      </c>
      <c r="BU267" s="9">
        <f>+BS267-'Gen Fd BS'!AA267+BQ267</f>
        <v>0</v>
      </c>
    </row>
    <row r="268" spans="1:75">
      <c r="A268" s="13" t="s">
        <v>314</v>
      </c>
      <c r="B268" s="13"/>
      <c r="C268" s="13" t="s">
        <v>20</v>
      </c>
      <c r="D268" s="13"/>
      <c r="E268" s="32">
        <v>44198</v>
      </c>
      <c r="F268" s="11"/>
      <c r="G268" s="8">
        <v>25585634</v>
      </c>
      <c r="I268" s="8">
        <v>9626786</v>
      </c>
      <c r="K268" s="8">
        <v>3443050</v>
      </c>
      <c r="M268" s="8">
        <f>134487+3017153</f>
        <v>3151640</v>
      </c>
      <c r="O268" s="8">
        <v>4461309</v>
      </c>
      <c r="Q268" s="8">
        <v>3719075</v>
      </c>
      <c r="S268" s="8">
        <v>104264</v>
      </c>
      <c r="U268" s="8">
        <v>2939298</v>
      </c>
      <c r="W268" s="8">
        <v>1765557</v>
      </c>
      <c r="Y268" s="8">
        <v>1274736</v>
      </c>
      <c r="AA268" s="8">
        <v>8520369</v>
      </c>
      <c r="AC268" s="8">
        <v>68719</v>
      </c>
      <c r="AE268" s="8">
        <v>364437</v>
      </c>
      <c r="AG268" s="8">
        <v>0</v>
      </c>
      <c r="AI268" s="8">
        <v>1212022</v>
      </c>
      <c r="AJ268" s="13" t="s">
        <v>314</v>
      </c>
      <c r="AK268" s="13"/>
      <c r="AL268" s="13" t="s">
        <v>20</v>
      </c>
      <c r="AN268" s="8">
        <v>651412</v>
      </c>
      <c r="AP268" s="8">
        <f>247564+596534</f>
        <v>844098</v>
      </c>
      <c r="AT268" s="8">
        <v>1114052</v>
      </c>
      <c r="AV268" s="8">
        <v>96394</v>
      </c>
      <c r="AX268" s="8">
        <v>0</v>
      </c>
      <c r="AZ268" s="8">
        <f t="shared" si="17"/>
        <v>68942852</v>
      </c>
      <c r="BB268" s="8">
        <v>35000</v>
      </c>
      <c r="BH268" s="8">
        <v>0</v>
      </c>
      <c r="BJ268" s="8">
        <f t="shared" si="18"/>
        <v>68977852</v>
      </c>
      <c r="BL268" s="8">
        <f>+GenRev!AM268-GenExp!BJ268</f>
        <v>-1736066</v>
      </c>
      <c r="BN268" s="8">
        <v>18821731</v>
      </c>
      <c r="BP268" s="8">
        <v>0</v>
      </c>
      <c r="BQ268" s="8">
        <v>0</v>
      </c>
      <c r="BS268" s="8">
        <f t="shared" si="20"/>
        <v>17085665</v>
      </c>
      <c r="BU268" s="9">
        <f>+BS268-'Gen Fd BS'!AA268+BQ268</f>
        <v>0</v>
      </c>
    </row>
    <row r="269" spans="1:75">
      <c r="A269" s="13" t="s">
        <v>901</v>
      </c>
      <c r="B269" s="13"/>
      <c r="C269" s="13" t="s">
        <v>42</v>
      </c>
      <c r="D269" s="13"/>
      <c r="E269" s="32">
        <v>47993</v>
      </c>
      <c r="G269" s="8">
        <v>11095326</v>
      </c>
      <c r="I269" s="8">
        <v>0</v>
      </c>
      <c r="K269" s="8">
        <v>0</v>
      </c>
      <c r="M269" s="8">
        <v>0</v>
      </c>
      <c r="O269" s="8">
        <v>1215347</v>
      </c>
      <c r="Q269" s="8">
        <v>429101</v>
      </c>
      <c r="S269" s="8">
        <v>52022</v>
      </c>
      <c r="U269" s="8">
        <v>1563687</v>
      </c>
      <c r="W269" s="8">
        <v>637091</v>
      </c>
      <c r="Y269" s="8">
        <v>15857</v>
      </c>
      <c r="AA269" s="8">
        <v>1938096</v>
      </c>
      <c r="AC269" s="8">
        <v>1583046</v>
      </c>
      <c r="AE269" s="8">
        <v>208325</v>
      </c>
      <c r="AG269" s="8">
        <v>0</v>
      </c>
      <c r="AI269" s="8">
        <v>23136</v>
      </c>
      <c r="AJ269" s="13" t="s">
        <v>481</v>
      </c>
      <c r="AK269" s="13"/>
      <c r="AL269" s="13" t="s">
        <v>42</v>
      </c>
      <c r="AN269" s="8">
        <v>197049</v>
      </c>
      <c r="AP269" s="8">
        <v>0</v>
      </c>
      <c r="AT269" s="8">
        <v>88343</v>
      </c>
      <c r="AV269" s="8">
        <v>20624</v>
      </c>
      <c r="AX269" s="8">
        <v>0</v>
      </c>
      <c r="AZ269" s="8">
        <f t="shared" si="17"/>
        <v>19067050</v>
      </c>
      <c r="BB269" s="8">
        <v>0</v>
      </c>
      <c r="BH269" s="8">
        <v>0</v>
      </c>
      <c r="BJ269" s="8">
        <f t="shared" si="18"/>
        <v>19067050</v>
      </c>
      <c r="BL269" s="8">
        <f>+GenRev!AM269-GenExp!BJ269</f>
        <v>-118973</v>
      </c>
      <c r="BN269" s="8">
        <v>5044276</v>
      </c>
      <c r="BP269" s="8">
        <v>5096</v>
      </c>
      <c r="BQ269" s="8">
        <v>0</v>
      </c>
      <c r="BS269" s="8">
        <f t="shared" si="20"/>
        <v>4920207</v>
      </c>
      <c r="BU269" s="9">
        <f>+BS269-'Gen Fd BS'!AA269+BQ269</f>
        <v>0</v>
      </c>
      <c r="BW269" s="8" t="s">
        <v>883</v>
      </c>
    </row>
    <row r="270" spans="1:75">
      <c r="A270" s="13" t="s">
        <v>249</v>
      </c>
      <c r="B270" s="13"/>
      <c r="C270" s="13" t="s">
        <v>246</v>
      </c>
      <c r="D270" s="13"/>
      <c r="E270" s="32">
        <v>46110</v>
      </c>
      <c r="G270" s="8">
        <v>66196754</v>
      </c>
      <c r="I270" s="8">
        <v>11844871</v>
      </c>
      <c r="K270" s="8">
        <v>97588</v>
      </c>
      <c r="M270" s="8">
        <v>2339588</v>
      </c>
      <c r="O270" s="8">
        <v>8358709</v>
      </c>
      <c r="Q270" s="8">
        <v>9938740</v>
      </c>
      <c r="S270" s="8">
        <v>78538</v>
      </c>
      <c r="U270" s="8">
        <v>14322215</v>
      </c>
      <c r="W270" s="8">
        <v>1046499</v>
      </c>
      <c r="Y270" s="8">
        <v>269303</v>
      </c>
      <c r="AA270" s="8">
        <v>12637837</v>
      </c>
      <c r="AC270" s="8">
        <v>16589750</v>
      </c>
      <c r="AE270" s="8">
        <v>3785616</v>
      </c>
      <c r="AG270" s="8">
        <v>0</v>
      </c>
      <c r="AI270" s="8">
        <v>162403</v>
      </c>
      <c r="AJ270" s="13" t="s">
        <v>249</v>
      </c>
      <c r="AK270" s="13"/>
      <c r="AL270" s="13" t="s">
        <v>246</v>
      </c>
      <c r="AN270" s="8">
        <v>350309</v>
      </c>
      <c r="AP270" s="8">
        <v>765838</v>
      </c>
      <c r="AT270" s="8">
        <v>0</v>
      </c>
      <c r="AV270" s="8">
        <v>0</v>
      </c>
      <c r="AX270" s="8">
        <v>0</v>
      </c>
      <c r="AZ270" s="8">
        <f t="shared" si="17"/>
        <v>148784558</v>
      </c>
      <c r="BB270" s="8">
        <v>1902412</v>
      </c>
      <c r="BH270" s="8">
        <v>0</v>
      </c>
      <c r="BJ270" s="8">
        <f t="shared" si="18"/>
        <v>150686970</v>
      </c>
      <c r="BL270" s="8">
        <f>+GenRev!AM270-GenExp!BJ270</f>
        <v>-5233065</v>
      </c>
      <c r="BN270" s="8">
        <v>42470501</v>
      </c>
      <c r="BP270" s="8">
        <v>0</v>
      </c>
      <c r="BQ270" s="8">
        <v>0</v>
      </c>
      <c r="BS270" s="8">
        <f t="shared" si="20"/>
        <v>37237436</v>
      </c>
      <c r="BU270" s="9">
        <f>+BS270-'Gen Fd BS'!AA270+BQ270</f>
        <v>0</v>
      </c>
    </row>
    <row r="271" spans="1:75">
      <c r="A271" s="13" t="s">
        <v>249</v>
      </c>
      <c r="B271" s="13"/>
      <c r="C271" s="13" t="s">
        <v>79</v>
      </c>
      <c r="D271" s="13"/>
      <c r="E271" s="32">
        <v>49569</v>
      </c>
      <c r="G271" s="8">
        <v>4971270</v>
      </c>
      <c r="I271" s="8">
        <v>1111721</v>
      </c>
      <c r="K271" s="8">
        <v>15659</v>
      </c>
      <c r="M271" s="8">
        <v>28354</v>
      </c>
      <c r="O271" s="8">
        <v>568614</v>
      </c>
      <c r="Q271" s="8">
        <v>238200</v>
      </c>
      <c r="S271" s="8">
        <v>24219</v>
      </c>
      <c r="U271" s="8">
        <v>780620</v>
      </c>
      <c r="W271" s="8">
        <v>189414</v>
      </c>
      <c r="Y271" s="8">
        <v>145977</v>
      </c>
      <c r="AA271" s="8">
        <v>1017898</v>
      </c>
      <c r="AC271" s="8">
        <v>742887</v>
      </c>
      <c r="AE271" s="8">
        <v>52998</v>
      </c>
      <c r="AG271" s="8">
        <v>0</v>
      </c>
      <c r="AI271" s="8">
        <v>0</v>
      </c>
      <c r="AJ271" s="13" t="s">
        <v>249</v>
      </c>
      <c r="AK271" s="13"/>
      <c r="AL271" s="13" t="s">
        <v>79</v>
      </c>
      <c r="AN271" s="8">
        <v>208322</v>
      </c>
      <c r="AP271" s="8">
        <f>26410+52750</f>
        <v>79160</v>
      </c>
      <c r="AT271" s="8">
        <v>13391</v>
      </c>
      <c r="AV271" s="8">
        <v>1181</v>
      </c>
      <c r="AX271" s="8">
        <v>0</v>
      </c>
      <c r="AZ271" s="8">
        <f t="shared" si="17"/>
        <v>10189885</v>
      </c>
      <c r="BB271" s="8">
        <v>35421</v>
      </c>
      <c r="BH271" s="8">
        <v>0</v>
      </c>
      <c r="BJ271" s="8">
        <f t="shared" si="18"/>
        <v>10225306</v>
      </c>
      <c r="BL271" s="8">
        <f>+GenRev!AM271-GenExp!BJ271</f>
        <v>258285</v>
      </c>
      <c r="BN271" s="8">
        <v>-136011</v>
      </c>
      <c r="BP271" s="8">
        <v>0</v>
      </c>
      <c r="BQ271" s="8">
        <v>0</v>
      </c>
      <c r="BS271" s="8">
        <f t="shared" si="20"/>
        <v>122274</v>
      </c>
      <c r="BU271" s="9">
        <f>+BS271-'Gen Fd BS'!AA271+BQ271</f>
        <v>0</v>
      </c>
    </row>
    <row r="272" spans="1:75">
      <c r="A272" s="13" t="s">
        <v>351</v>
      </c>
      <c r="B272" s="13"/>
      <c r="C272" s="13" t="s">
        <v>25</v>
      </c>
      <c r="D272" s="13"/>
      <c r="E272" s="32">
        <v>44206</v>
      </c>
      <c r="G272" s="8">
        <v>22540844</v>
      </c>
      <c r="I272" s="8">
        <v>4933090</v>
      </c>
      <c r="K272" s="8">
        <v>1489865</v>
      </c>
      <c r="M272" s="8">
        <v>0</v>
      </c>
      <c r="O272" s="8">
        <v>1897134</v>
      </c>
      <c r="Q272" s="8">
        <v>1985056</v>
      </c>
      <c r="S272" s="8">
        <v>66610</v>
      </c>
      <c r="U272" s="8">
        <v>3347040</v>
      </c>
      <c r="W272" s="8">
        <v>1184332</v>
      </c>
      <c r="Y272" s="8">
        <v>722932</v>
      </c>
      <c r="AA272" s="8">
        <v>4209012</v>
      </c>
      <c r="AC272" s="8">
        <v>1749542</v>
      </c>
      <c r="AE272" s="8">
        <v>386720</v>
      </c>
      <c r="AG272" s="8">
        <v>0</v>
      </c>
      <c r="AI272" s="8">
        <v>8985</v>
      </c>
      <c r="AJ272" s="13" t="s">
        <v>351</v>
      </c>
      <c r="AK272" s="13"/>
      <c r="AL272" s="13" t="s">
        <v>25</v>
      </c>
      <c r="AN272" s="8">
        <v>474018</v>
      </c>
      <c r="AP272" s="8">
        <v>621553</v>
      </c>
      <c r="AT272" s="8">
        <v>266651</v>
      </c>
      <c r="AV272" s="8">
        <v>12785</v>
      </c>
      <c r="AX272" s="8">
        <v>0</v>
      </c>
      <c r="AZ272" s="8">
        <f t="shared" si="17"/>
        <v>45896169</v>
      </c>
      <c r="BB272" s="8">
        <v>7597829</v>
      </c>
      <c r="BH272" s="8">
        <v>0</v>
      </c>
      <c r="BJ272" s="8">
        <f t="shared" si="18"/>
        <v>53493998</v>
      </c>
      <c r="BL272" s="8">
        <f>+GenRev!AM272-GenExp!BJ272</f>
        <v>4199080</v>
      </c>
      <c r="BN272" s="8">
        <v>5809471</v>
      </c>
      <c r="BP272" s="8">
        <v>0</v>
      </c>
      <c r="BQ272" s="8">
        <v>0</v>
      </c>
      <c r="BS272" s="8">
        <f t="shared" si="20"/>
        <v>10008551</v>
      </c>
      <c r="BU272" s="9">
        <f>+BS272-'Gen Fd BS'!AA272+BQ272</f>
        <v>0</v>
      </c>
    </row>
    <row r="273" spans="1:73" s="35" customFormat="1" hidden="1">
      <c r="A273" s="34" t="s">
        <v>716</v>
      </c>
      <c r="B273" s="34"/>
      <c r="C273" s="34" t="s">
        <v>69</v>
      </c>
      <c r="D273" s="34"/>
      <c r="E273" s="32">
        <v>44214</v>
      </c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>
        <v>0</v>
      </c>
      <c r="AH273" s="8"/>
      <c r="AI273" s="8">
        <v>0</v>
      </c>
      <c r="AJ273" s="13" t="s">
        <v>716</v>
      </c>
      <c r="AK273" s="13"/>
      <c r="AL273" s="13" t="s">
        <v>69</v>
      </c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>
        <v>0</v>
      </c>
      <c r="AY273" s="8"/>
      <c r="AZ273" s="8">
        <f>SUM(G273:AX273)</f>
        <v>0</v>
      </c>
      <c r="BA273" s="8"/>
      <c r="BB273" s="8">
        <v>0</v>
      </c>
      <c r="BC273" s="8"/>
      <c r="BD273" s="8"/>
      <c r="BE273" s="8"/>
      <c r="BF273" s="8"/>
      <c r="BG273" s="8"/>
      <c r="BH273" s="8">
        <v>0</v>
      </c>
      <c r="BI273" s="8"/>
      <c r="BJ273" s="8">
        <f>+AZ273+BB273+BD273+BH273</f>
        <v>0</v>
      </c>
      <c r="BK273" s="8"/>
      <c r="BL273" s="8">
        <v>0</v>
      </c>
      <c r="BM273" s="8"/>
      <c r="BN273" s="8">
        <v>0</v>
      </c>
      <c r="BO273" s="8"/>
      <c r="BP273" s="8">
        <v>0</v>
      </c>
      <c r="BQ273" s="8">
        <v>0</v>
      </c>
      <c r="BR273" s="8"/>
      <c r="BS273" s="8">
        <f>+BN273+BL273-BP273</f>
        <v>0</v>
      </c>
      <c r="BT273" s="8"/>
      <c r="BU273" s="9">
        <f>+BS273-'Gen Fd BS'!AA273+BQ273</f>
        <v>0</v>
      </c>
    </row>
    <row r="274" spans="1:73">
      <c r="A274" s="13" t="s">
        <v>385</v>
      </c>
      <c r="B274" s="13"/>
      <c r="C274" s="13" t="s">
        <v>30</v>
      </c>
      <c r="D274" s="13"/>
      <c r="E274" s="13">
        <v>47209</v>
      </c>
      <c r="G274" s="8">
        <v>2418816</v>
      </c>
      <c r="I274" s="8">
        <v>1047170</v>
      </c>
      <c r="K274" s="8">
        <v>133062</v>
      </c>
      <c r="M274" s="8">
        <v>0</v>
      </c>
      <c r="O274" s="8">
        <v>104900</v>
      </c>
      <c r="Q274" s="8">
        <v>109061</v>
      </c>
      <c r="S274" s="8">
        <v>19452</v>
      </c>
      <c r="U274" s="8">
        <v>353198</v>
      </c>
      <c r="W274" s="8">
        <v>255347</v>
      </c>
      <c r="Y274" s="8">
        <v>0</v>
      </c>
      <c r="AA274" s="8">
        <v>540064</v>
      </c>
      <c r="AC274" s="8">
        <v>464653</v>
      </c>
      <c r="AE274" s="8">
        <v>0</v>
      </c>
      <c r="AG274" s="8">
        <v>0</v>
      </c>
      <c r="AI274" s="8">
        <v>0</v>
      </c>
      <c r="AJ274" s="13" t="s">
        <v>385</v>
      </c>
      <c r="AK274" s="13"/>
      <c r="AL274" s="13" t="s">
        <v>30</v>
      </c>
      <c r="AN274" s="8">
        <v>93236</v>
      </c>
      <c r="AP274" s="8">
        <v>19</v>
      </c>
      <c r="AT274" s="8">
        <v>0</v>
      </c>
      <c r="AV274" s="8">
        <v>0</v>
      </c>
      <c r="AX274" s="8">
        <v>0</v>
      </c>
      <c r="AZ274" s="8">
        <f t="shared" ref="AZ274:AZ283" si="21">SUM(G274:AX274)</f>
        <v>5538978</v>
      </c>
      <c r="BB274" s="8">
        <v>10000</v>
      </c>
      <c r="BH274" s="8">
        <v>0</v>
      </c>
      <c r="BJ274" s="8">
        <f>+AZ274+BB274+BD274+BH274</f>
        <v>5548978</v>
      </c>
      <c r="BL274" s="8">
        <f>+GenRev!AM274-GenExp!BJ274</f>
        <v>-67235</v>
      </c>
      <c r="BN274" s="8">
        <v>440782</v>
      </c>
      <c r="BP274" s="8">
        <v>0</v>
      </c>
      <c r="BQ274" s="8">
        <v>0</v>
      </c>
      <c r="BS274" s="8">
        <f>+BN274+BL274-BP274</f>
        <v>373547</v>
      </c>
      <c r="BU274" s="9">
        <f>+BS274-'Gen Fd BS'!AA274+BQ274</f>
        <v>0</v>
      </c>
    </row>
    <row r="275" spans="1:73" hidden="1">
      <c r="A275" s="13" t="s">
        <v>609</v>
      </c>
      <c r="B275" s="13"/>
      <c r="C275" s="13" t="s">
        <v>608</v>
      </c>
      <c r="D275" s="13"/>
      <c r="E275" s="32">
        <v>49353</v>
      </c>
      <c r="AG275" s="8">
        <v>0</v>
      </c>
      <c r="AI275" s="8">
        <v>0</v>
      </c>
      <c r="AJ275" s="13" t="s">
        <v>609</v>
      </c>
      <c r="AK275" s="13"/>
      <c r="AL275" s="13" t="s">
        <v>608</v>
      </c>
      <c r="AX275" s="8">
        <v>0</v>
      </c>
      <c r="AZ275" s="8">
        <f t="shared" si="21"/>
        <v>0</v>
      </c>
      <c r="BB275" s="8">
        <v>0</v>
      </c>
      <c r="BH275" s="8">
        <v>0</v>
      </c>
      <c r="BJ275" s="8">
        <f>+AZ275+BB275+BD275+BH275</f>
        <v>0</v>
      </c>
      <c r="BL275" s="8">
        <v>0</v>
      </c>
      <c r="BN275" s="8">
        <v>0</v>
      </c>
      <c r="BP275" s="8">
        <v>0</v>
      </c>
      <c r="BQ275" s="8">
        <v>0</v>
      </c>
      <c r="BS275" s="8">
        <f>+BN275+BL275-BP275</f>
        <v>0</v>
      </c>
      <c r="BU275" s="9">
        <v>0</v>
      </c>
    </row>
    <row r="276" spans="1:73">
      <c r="A276" s="13" t="s">
        <v>615</v>
      </c>
      <c r="B276" s="13"/>
      <c r="C276" s="13" t="s">
        <v>113</v>
      </c>
      <c r="D276" s="13"/>
      <c r="E276" s="32">
        <v>49437</v>
      </c>
      <c r="G276" s="8">
        <v>9620466</v>
      </c>
      <c r="I276" s="8">
        <v>1591137</v>
      </c>
      <c r="K276" s="8">
        <v>0</v>
      </c>
      <c r="M276" s="8">
        <v>886355</v>
      </c>
      <c r="O276" s="8">
        <v>511581</v>
      </c>
      <c r="Q276" s="8">
        <v>1511855</v>
      </c>
      <c r="S276" s="8">
        <v>24589</v>
      </c>
      <c r="U276" s="8">
        <v>1793226</v>
      </c>
      <c r="W276" s="8">
        <v>530673</v>
      </c>
      <c r="Y276" s="8">
        <v>8669</v>
      </c>
      <c r="AA276" s="8">
        <v>1860554</v>
      </c>
      <c r="AC276" s="8">
        <v>1173516</v>
      </c>
      <c r="AE276" s="8">
        <v>96052</v>
      </c>
      <c r="AG276" s="8">
        <v>0</v>
      </c>
      <c r="AI276" s="8">
        <v>13021</v>
      </c>
      <c r="AJ276" s="13" t="s">
        <v>615</v>
      </c>
      <c r="AK276" s="13"/>
      <c r="AL276" s="13" t="s">
        <v>113</v>
      </c>
      <c r="AN276" s="8">
        <v>822147</v>
      </c>
      <c r="AP276" s="8">
        <v>155437</v>
      </c>
      <c r="AT276" s="8">
        <v>35736</v>
      </c>
      <c r="AV276" s="8">
        <v>647</v>
      </c>
      <c r="AX276" s="8">
        <v>0</v>
      </c>
      <c r="AZ276" s="8">
        <f t="shared" si="21"/>
        <v>20635661</v>
      </c>
      <c r="BB276" s="8">
        <v>0</v>
      </c>
      <c r="BH276" s="8">
        <v>4379</v>
      </c>
      <c r="BJ276" s="8">
        <f t="shared" ref="BJ276:BJ297" si="22">+AZ276+BB276+BD276+BH276</f>
        <v>20640040</v>
      </c>
      <c r="BL276" s="8">
        <f>+GenRev!AM276-GenExp!BJ276</f>
        <v>589939</v>
      </c>
      <c r="BN276" s="8">
        <v>2768696</v>
      </c>
      <c r="BP276" s="8">
        <v>0</v>
      </c>
      <c r="BQ276" s="8">
        <v>0</v>
      </c>
      <c r="BS276" s="8">
        <f t="shared" ref="BS276:BS297" si="23">+BN276+BL276-BP276</f>
        <v>3358635</v>
      </c>
      <c r="BU276" s="9">
        <f>+BS276-'Gen Fd BS'!AA276+BQ276</f>
        <v>0</v>
      </c>
    </row>
    <row r="277" spans="1:73">
      <c r="A277" s="13" t="s">
        <v>436</v>
      </c>
      <c r="B277" s="13"/>
      <c r="C277" s="13" t="s">
        <v>34</v>
      </c>
      <c r="D277" s="13"/>
      <c r="E277" s="32">
        <v>47589</v>
      </c>
      <c r="G277" s="8">
        <v>4264252</v>
      </c>
      <c r="I277" s="8">
        <v>1852544</v>
      </c>
      <c r="K277" s="8">
        <v>157888</v>
      </c>
      <c r="M277" s="8">
        <v>439137</v>
      </c>
      <c r="O277" s="8">
        <v>540821</v>
      </c>
      <c r="Q277" s="8">
        <v>432721</v>
      </c>
      <c r="S277" s="8">
        <v>44651</v>
      </c>
      <c r="U277" s="8">
        <v>740383</v>
      </c>
      <c r="W277" s="8">
        <v>298580</v>
      </c>
      <c r="Y277" s="8">
        <v>0</v>
      </c>
      <c r="AA277" s="8">
        <v>809139</v>
      </c>
      <c r="AC277" s="8">
        <v>540301</v>
      </c>
      <c r="AE277" s="8">
        <v>243488</v>
      </c>
      <c r="AG277" s="8">
        <v>0</v>
      </c>
      <c r="AI277" s="8">
        <v>0</v>
      </c>
      <c r="AJ277" s="13" t="s">
        <v>436</v>
      </c>
      <c r="AK277" s="13"/>
      <c r="AL277" s="13" t="s">
        <v>34</v>
      </c>
      <c r="AN277" s="8">
        <v>255727</v>
      </c>
      <c r="AP277" s="8">
        <v>15318</v>
      </c>
      <c r="AT277" s="8">
        <v>0</v>
      </c>
      <c r="AV277" s="8">
        <v>0</v>
      </c>
      <c r="AX277" s="8">
        <v>0</v>
      </c>
      <c r="AZ277" s="8">
        <f t="shared" si="21"/>
        <v>10634950</v>
      </c>
      <c r="BB277" s="8">
        <v>0</v>
      </c>
      <c r="BH277" s="8">
        <v>0</v>
      </c>
      <c r="BJ277" s="8">
        <f t="shared" si="22"/>
        <v>10634950</v>
      </c>
      <c r="BL277" s="8">
        <f>+GenRev!AM277-GenExp!BJ277</f>
        <v>1276599</v>
      </c>
      <c r="BN277" s="8">
        <v>1374017</v>
      </c>
      <c r="BP277" s="8">
        <v>0</v>
      </c>
      <c r="BQ277" s="8">
        <v>0</v>
      </c>
      <c r="BS277" s="8">
        <f t="shared" si="23"/>
        <v>2650616</v>
      </c>
      <c r="BU277" s="9">
        <f>+BS277-'Gen Fd BS'!AA277+BQ277</f>
        <v>0</v>
      </c>
    </row>
    <row r="278" spans="1:73">
      <c r="A278" s="13" t="s">
        <v>690</v>
      </c>
      <c r="B278" s="13"/>
      <c r="C278" s="13" t="s">
        <v>64</v>
      </c>
      <c r="D278" s="13"/>
      <c r="E278" s="32">
        <v>50195</v>
      </c>
      <c r="G278" s="8">
        <v>7973267</v>
      </c>
      <c r="I278" s="8">
        <v>633665</v>
      </c>
      <c r="K278" s="8">
        <v>73190</v>
      </c>
      <c r="M278" s="8">
        <v>50626</v>
      </c>
      <c r="O278" s="8">
        <v>457050</v>
      </c>
      <c r="Q278" s="8">
        <v>380869</v>
      </c>
      <c r="S278" s="8">
        <v>5563</v>
      </c>
      <c r="U278" s="8">
        <v>2630119</v>
      </c>
      <c r="W278" s="8">
        <v>498351</v>
      </c>
      <c r="Y278" s="8">
        <v>19408</v>
      </c>
      <c r="AA278" s="8">
        <v>1858981</v>
      </c>
      <c r="AC278" s="8">
        <v>980859</v>
      </c>
      <c r="AE278" s="8">
        <v>56914</v>
      </c>
      <c r="AG278" s="8">
        <v>0</v>
      </c>
      <c r="AI278" s="8">
        <v>46123</v>
      </c>
      <c r="AJ278" s="13" t="s">
        <v>690</v>
      </c>
      <c r="AK278" s="13"/>
      <c r="AL278" s="13" t="s">
        <v>64</v>
      </c>
      <c r="AN278" s="8">
        <v>315025</v>
      </c>
      <c r="AP278" s="8">
        <v>0</v>
      </c>
      <c r="AT278" s="8">
        <v>0</v>
      </c>
      <c r="AV278" s="8">
        <v>44596</v>
      </c>
      <c r="AX278" s="8">
        <v>0</v>
      </c>
      <c r="AZ278" s="8">
        <f t="shared" si="21"/>
        <v>16024606</v>
      </c>
      <c r="BB278" s="8">
        <v>24108</v>
      </c>
      <c r="BH278" s="8">
        <v>0</v>
      </c>
      <c r="BJ278" s="8">
        <f t="shared" si="22"/>
        <v>16048714</v>
      </c>
      <c r="BL278" s="8">
        <f>+GenRev!AM278-GenExp!BJ278</f>
        <v>-329347</v>
      </c>
      <c r="BN278" s="8">
        <v>-1743946</v>
      </c>
      <c r="BP278" s="8">
        <v>12815</v>
      </c>
      <c r="BQ278" s="8">
        <v>0</v>
      </c>
      <c r="BS278" s="8">
        <f t="shared" si="23"/>
        <v>-2086108</v>
      </c>
      <c r="BU278" s="9">
        <f>+BS278-'Gen Fd BS'!AA278+BQ278</f>
        <v>0</v>
      </c>
    </row>
    <row r="279" spans="1:73">
      <c r="A279" s="13" t="s">
        <v>906</v>
      </c>
      <c r="B279" s="13"/>
      <c r="C279" s="13" t="s">
        <v>25</v>
      </c>
      <c r="D279" s="13"/>
      <c r="E279" s="32">
        <v>46888</v>
      </c>
      <c r="G279" s="8">
        <v>4955187</v>
      </c>
      <c r="I279" s="8">
        <v>903973</v>
      </c>
      <c r="K279" s="8">
        <v>411770</v>
      </c>
      <c r="M279" s="8">
        <v>126763</v>
      </c>
      <c r="O279" s="8">
        <v>578475</v>
      </c>
      <c r="Q279" s="8">
        <v>532310</v>
      </c>
      <c r="S279" s="8">
        <v>88973</v>
      </c>
      <c r="U279" s="8">
        <v>1038721</v>
      </c>
      <c r="W279" s="8">
        <v>420049</v>
      </c>
      <c r="Y279" s="8">
        <v>0</v>
      </c>
      <c r="AA279" s="8">
        <v>1405773</v>
      </c>
      <c r="AC279" s="8">
        <v>565766</v>
      </c>
      <c r="AE279" s="8">
        <v>0</v>
      </c>
      <c r="AG279" s="8">
        <v>0</v>
      </c>
      <c r="AI279" s="8">
        <v>24472</v>
      </c>
      <c r="AJ279" s="13" t="s">
        <v>352</v>
      </c>
      <c r="AK279" s="13"/>
      <c r="AL279" s="13" t="s">
        <v>25</v>
      </c>
      <c r="AN279" s="8">
        <v>246187</v>
      </c>
      <c r="AP279" s="8">
        <v>0</v>
      </c>
      <c r="AT279" s="8">
        <v>8063</v>
      </c>
      <c r="AV279" s="8">
        <v>4034</v>
      </c>
      <c r="AX279" s="8">
        <v>0</v>
      </c>
      <c r="AZ279" s="8">
        <f t="shared" si="21"/>
        <v>11310516</v>
      </c>
      <c r="BB279" s="8">
        <v>0</v>
      </c>
      <c r="BH279" s="8">
        <v>0</v>
      </c>
      <c r="BJ279" s="8">
        <f t="shared" si="22"/>
        <v>11310516</v>
      </c>
      <c r="BL279" s="8">
        <f>+GenRev!AM279-GenExp!BJ279</f>
        <v>1460436</v>
      </c>
      <c r="BN279" s="8">
        <v>1882757</v>
      </c>
      <c r="BP279" s="8">
        <v>0</v>
      </c>
      <c r="BQ279" s="8">
        <v>0</v>
      </c>
      <c r="BS279" s="8">
        <f t="shared" si="23"/>
        <v>3343193</v>
      </c>
      <c r="BU279" s="9">
        <f>+BS279-'Gen Fd BS'!AA279+BQ279</f>
        <v>0</v>
      </c>
    </row>
    <row r="280" spans="1:73">
      <c r="A280" s="13" t="s">
        <v>422</v>
      </c>
      <c r="B280" s="13"/>
      <c r="C280" s="13" t="s">
        <v>33</v>
      </c>
      <c r="D280" s="13"/>
      <c r="E280" s="32">
        <v>47449</v>
      </c>
      <c r="F280" s="11"/>
      <c r="G280" s="8">
        <v>5770447</v>
      </c>
      <c r="I280" s="8">
        <v>1085201</v>
      </c>
      <c r="K280" s="8">
        <v>307585</v>
      </c>
      <c r="M280" s="8">
        <v>0</v>
      </c>
      <c r="O280" s="8">
        <v>671037</v>
      </c>
      <c r="Q280" s="8">
        <v>499032</v>
      </c>
      <c r="S280" s="8">
        <v>10330</v>
      </c>
      <c r="U280" s="8">
        <v>824228</v>
      </c>
      <c r="W280" s="8">
        <v>298625</v>
      </c>
      <c r="Y280" s="8">
        <v>1768</v>
      </c>
      <c r="AA280" s="8">
        <v>1199137</v>
      </c>
      <c r="AC280" s="8">
        <v>725044</v>
      </c>
      <c r="AE280" s="8">
        <v>132364</v>
      </c>
      <c r="AG280" s="8">
        <v>0</v>
      </c>
      <c r="AI280" s="8">
        <v>0</v>
      </c>
      <c r="AJ280" s="13" t="s">
        <v>422</v>
      </c>
      <c r="AK280" s="13"/>
      <c r="AL280" s="13" t="s">
        <v>33</v>
      </c>
      <c r="AN280" s="8">
        <v>291757</v>
      </c>
      <c r="AP280" s="8">
        <v>80237</v>
      </c>
      <c r="AT280" s="8">
        <v>0</v>
      </c>
      <c r="AV280" s="8">
        <v>0</v>
      </c>
      <c r="AX280" s="8">
        <v>0</v>
      </c>
      <c r="AZ280" s="8">
        <f t="shared" si="21"/>
        <v>11896792</v>
      </c>
      <c r="BB280" s="8">
        <v>423784</v>
      </c>
      <c r="BH280" s="8">
        <v>0</v>
      </c>
      <c r="BJ280" s="8">
        <f t="shared" si="22"/>
        <v>12320576</v>
      </c>
      <c r="BL280" s="8">
        <f>+GenRev!AM280-GenExp!BJ280</f>
        <v>-632927</v>
      </c>
      <c r="BN280" s="8">
        <v>5625385</v>
      </c>
      <c r="BP280" s="8">
        <v>0</v>
      </c>
      <c r="BQ280" s="8">
        <v>0</v>
      </c>
      <c r="BS280" s="8">
        <f t="shared" si="23"/>
        <v>4992458</v>
      </c>
      <c r="BU280" s="9">
        <f>+BS280-'Gen Fd BS'!AA280+BQ280</f>
        <v>0</v>
      </c>
    </row>
    <row r="281" spans="1:73">
      <c r="A281" s="13" t="s">
        <v>482</v>
      </c>
      <c r="B281" s="13"/>
      <c r="C281" s="13" t="s">
        <v>42</v>
      </c>
      <c r="D281" s="13"/>
      <c r="E281" s="32">
        <v>48009</v>
      </c>
      <c r="G281" s="8">
        <v>9981213</v>
      </c>
      <c r="I281" s="8">
        <v>2221833</v>
      </c>
      <c r="K281" s="8">
        <v>166358</v>
      </c>
      <c r="M281" s="8">
        <v>269360</v>
      </c>
      <c r="O281" s="8">
        <v>800619</v>
      </c>
      <c r="Q281" s="8">
        <v>859775</v>
      </c>
      <c r="S281" s="8">
        <v>73888</v>
      </c>
      <c r="U281" s="8">
        <v>1841288</v>
      </c>
      <c r="W281" s="8">
        <v>513529</v>
      </c>
      <c r="Y281" s="8">
        <v>0</v>
      </c>
      <c r="AA281" s="8">
        <v>2803017</v>
      </c>
      <c r="AC281" s="8">
        <v>2038357</v>
      </c>
      <c r="AE281" s="8">
        <v>190916</v>
      </c>
      <c r="AG281" s="8">
        <v>0</v>
      </c>
      <c r="AI281" s="8">
        <v>240224</v>
      </c>
      <c r="AJ281" s="13" t="s">
        <v>482</v>
      </c>
      <c r="AK281" s="13"/>
      <c r="AL281" s="13" t="s">
        <v>42</v>
      </c>
      <c r="AN281" s="8">
        <v>0</v>
      </c>
      <c r="AP281" s="8">
        <v>0</v>
      </c>
      <c r="AT281" s="8">
        <v>19358</v>
      </c>
      <c r="AV281" s="8">
        <v>2613</v>
      </c>
      <c r="AX281" s="8">
        <v>0</v>
      </c>
      <c r="AZ281" s="8">
        <f t="shared" si="21"/>
        <v>22022348</v>
      </c>
      <c r="BB281" s="8">
        <v>29848</v>
      </c>
      <c r="BH281" s="8">
        <v>0</v>
      </c>
      <c r="BJ281" s="8">
        <f t="shared" si="22"/>
        <v>22052196</v>
      </c>
      <c r="BL281" s="8">
        <f>+GenRev!AM281-GenExp!BJ281</f>
        <v>835201</v>
      </c>
      <c r="BN281" s="8">
        <v>1406121</v>
      </c>
      <c r="BP281" s="8">
        <v>0</v>
      </c>
      <c r="BQ281" s="8">
        <v>0</v>
      </c>
      <c r="BS281" s="8">
        <f t="shared" si="23"/>
        <v>2241322</v>
      </c>
      <c r="BU281" s="9">
        <f>+BS281-'Gen Fd BS'!AA281+BQ281</f>
        <v>0</v>
      </c>
    </row>
    <row r="282" spans="1:73">
      <c r="A282" s="13" t="s">
        <v>483</v>
      </c>
      <c r="B282" s="13"/>
      <c r="C282" s="13" t="s">
        <v>42</v>
      </c>
      <c r="D282" s="13"/>
      <c r="E282" s="32">
        <v>48017</v>
      </c>
      <c r="F282" s="11"/>
      <c r="G282" s="8">
        <v>6604301</v>
      </c>
      <c r="I282" s="8">
        <v>886947</v>
      </c>
      <c r="K282" s="8">
        <v>280224</v>
      </c>
      <c r="M282" s="8">
        <v>53216</v>
      </c>
      <c r="O282" s="8">
        <v>450980</v>
      </c>
      <c r="Q282" s="8">
        <v>709169</v>
      </c>
      <c r="S282" s="8">
        <v>528065</v>
      </c>
      <c r="U282" s="8">
        <v>1625689</v>
      </c>
      <c r="W282" s="8">
        <v>417845</v>
      </c>
      <c r="Y282" s="8">
        <v>37996</v>
      </c>
      <c r="AA282" s="8">
        <v>1559218</v>
      </c>
      <c r="AC282" s="8">
        <v>1128974</v>
      </c>
      <c r="AE282" s="8">
        <v>131850</v>
      </c>
      <c r="AG282" s="8">
        <v>0</v>
      </c>
      <c r="AI282" s="8">
        <v>0</v>
      </c>
      <c r="AJ282" s="13" t="s">
        <v>483</v>
      </c>
      <c r="AK282" s="13"/>
      <c r="AL282" s="13" t="s">
        <v>42</v>
      </c>
      <c r="AN282" s="8">
        <v>218560</v>
      </c>
      <c r="AP282" s="8">
        <v>14190</v>
      </c>
      <c r="AT282" s="8">
        <v>188179</v>
      </c>
      <c r="AV282" s="8">
        <v>86338</v>
      </c>
      <c r="AX282" s="8">
        <v>0</v>
      </c>
      <c r="AZ282" s="8">
        <f t="shared" si="21"/>
        <v>14921741</v>
      </c>
      <c r="BB282" s="8">
        <v>88150</v>
      </c>
      <c r="BH282" s="8">
        <v>0</v>
      </c>
      <c r="BJ282" s="8">
        <f t="shared" si="22"/>
        <v>15009891</v>
      </c>
      <c r="BL282" s="8">
        <f>+GenRev!AM282-GenExp!BJ282</f>
        <v>2018456</v>
      </c>
      <c r="BN282" s="8">
        <v>1131690</v>
      </c>
      <c r="BP282" s="8">
        <v>0</v>
      </c>
      <c r="BQ282" s="8">
        <v>0</v>
      </c>
      <c r="BS282" s="8">
        <f t="shared" si="23"/>
        <v>3150146</v>
      </c>
      <c r="BU282" s="9">
        <f>+BS282-'Gen Fd BS'!AA282+BQ282</f>
        <v>0</v>
      </c>
    </row>
    <row r="283" spans="1:73">
      <c r="A283" s="13" t="s">
        <v>710</v>
      </c>
      <c r="B283" s="13"/>
      <c r="C283" s="13" t="s">
        <v>67</v>
      </c>
      <c r="D283" s="13"/>
      <c r="E283" s="32">
        <v>50369</v>
      </c>
      <c r="G283" s="8">
        <v>3175901</v>
      </c>
      <c r="I283" s="8">
        <v>1165681</v>
      </c>
      <c r="K283" s="8">
        <v>173856</v>
      </c>
      <c r="M283" s="8">
        <v>685693</v>
      </c>
      <c r="O283" s="8">
        <v>134682</v>
      </c>
      <c r="Q283" s="8">
        <v>251502</v>
      </c>
      <c r="S283" s="8">
        <v>29735</v>
      </c>
      <c r="U283" s="8">
        <v>828395</v>
      </c>
      <c r="W283" s="8">
        <v>224763</v>
      </c>
      <c r="Y283" s="8">
        <v>0</v>
      </c>
      <c r="AA283" s="8">
        <v>485119</v>
      </c>
      <c r="AC283" s="8">
        <v>333710</v>
      </c>
      <c r="AE283" s="8">
        <v>8978</v>
      </c>
      <c r="AG283" s="8">
        <v>0</v>
      </c>
      <c r="AI283" s="8">
        <v>0</v>
      </c>
      <c r="AJ283" s="13" t="s">
        <v>710</v>
      </c>
      <c r="AK283" s="13"/>
      <c r="AL283" s="13" t="s">
        <v>67</v>
      </c>
      <c r="AN283" s="8">
        <v>121759</v>
      </c>
      <c r="AP283" s="8">
        <v>0</v>
      </c>
      <c r="AT283" s="8">
        <v>0</v>
      </c>
      <c r="AV283" s="8">
        <v>0</v>
      </c>
      <c r="AX283" s="8">
        <v>0</v>
      </c>
      <c r="AZ283" s="8">
        <f t="shared" si="21"/>
        <v>7619774</v>
      </c>
      <c r="BB283" s="8">
        <v>4000</v>
      </c>
      <c r="BH283" s="8">
        <v>0</v>
      </c>
      <c r="BJ283" s="8">
        <f t="shared" si="22"/>
        <v>7623774</v>
      </c>
      <c r="BL283" s="8">
        <f>+GenRev!AM283-GenExp!BJ283</f>
        <v>781815</v>
      </c>
      <c r="BN283" s="8">
        <v>6057382</v>
      </c>
      <c r="BP283" s="8">
        <v>0</v>
      </c>
      <c r="BQ283" s="8">
        <v>0</v>
      </c>
      <c r="BS283" s="8">
        <f t="shared" si="23"/>
        <v>6839197</v>
      </c>
      <c r="BU283" s="9">
        <f>+BS283-'Gen Fd BS'!AA283+BQ283</f>
        <v>0</v>
      </c>
    </row>
    <row r="284" spans="1:73">
      <c r="A284" s="13" t="s">
        <v>287</v>
      </c>
      <c r="B284" s="13"/>
      <c r="C284" s="13" t="s">
        <v>115</v>
      </c>
      <c r="D284" s="13"/>
      <c r="E284" s="32">
        <v>45450</v>
      </c>
      <c r="G284" s="8">
        <v>4229076</v>
      </c>
      <c r="I284" s="8">
        <v>814325</v>
      </c>
      <c r="K284" s="8">
        <v>83574</v>
      </c>
      <c r="M284" s="8">
        <v>142231</v>
      </c>
      <c r="O284" s="8">
        <v>471581</v>
      </c>
      <c r="Q284" s="8">
        <v>124322</v>
      </c>
      <c r="S284" s="8">
        <v>33015</v>
      </c>
      <c r="U284" s="8">
        <v>652252</v>
      </c>
      <c r="W284" s="8">
        <v>242612</v>
      </c>
      <c r="Y284" s="8">
        <v>0</v>
      </c>
      <c r="AA284" s="8">
        <v>770985</v>
      </c>
      <c r="AC284" s="8">
        <v>391955</v>
      </c>
      <c r="AE284" s="8">
        <v>43970</v>
      </c>
      <c r="AG284" s="8">
        <v>632</v>
      </c>
      <c r="AI284" s="8">
        <v>0</v>
      </c>
      <c r="AJ284" s="13" t="s">
        <v>287</v>
      </c>
      <c r="AK284" s="13"/>
      <c r="AL284" s="13" t="s">
        <v>115</v>
      </c>
      <c r="AN284" s="8">
        <v>134464</v>
      </c>
      <c r="AP284" s="8">
        <v>0</v>
      </c>
      <c r="AT284" s="8">
        <v>0</v>
      </c>
      <c r="AV284" s="8">
        <v>0</v>
      </c>
      <c r="AX284" s="8">
        <v>0</v>
      </c>
      <c r="AZ284" s="8">
        <f t="shared" ref="AZ284:AZ297" si="24">SUM(G284:AX284)</f>
        <v>8134994</v>
      </c>
      <c r="BB284" s="8">
        <v>0</v>
      </c>
      <c r="BH284" s="8">
        <v>0</v>
      </c>
      <c r="BJ284" s="8">
        <f t="shared" si="22"/>
        <v>8134994</v>
      </c>
      <c r="BL284" s="8">
        <f>+GenRev!AM284-GenExp!BJ284</f>
        <v>320124</v>
      </c>
      <c r="BN284" s="8">
        <v>1914794</v>
      </c>
      <c r="BP284" s="8">
        <v>0</v>
      </c>
      <c r="BQ284" s="8">
        <v>0</v>
      </c>
      <c r="BS284" s="8">
        <f t="shared" si="23"/>
        <v>2234918</v>
      </c>
      <c r="BU284" s="9">
        <f>+BS284-'Gen Fd BS'!AA284+BQ284</f>
        <v>0</v>
      </c>
    </row>
    <row r="285" spans="1:73">
      <c r="A285" s="13" t="s">
        <v>717</v>
      </c>
      <c r="B285" s="13"/>
      <c r="C285" s="13" t="s">
        <v>69</v>
      </c>
      <c r="D285" s="13"/>
      <c r="E285" s="32">
        <v>50443</v>
      </c>
      <c r="G285" s="8">
        <v>13458577</v>
      </c>
      <c r="I285" s="8">
        <v>2653943</v>
      </c>
      <c r="K285" s="8">
        <v>639</v>
      </c>
      <c r="M285" s="8">
        <v>937351</v>
      </c>
      <c r="O285" s="8">
        <v>1153802</v>
      </c>
      <c r="Q285" s="8">
        <v>1332128</v>
      </c>
      <c r="S285" s="8">
        <v>43126</v>
      </c>
      <c r="U285" s="8">
        <v>2689405</v>
      </c>
      <c r="W285" s="8">
        <v>680621</v>
      </c>
      <c r="Y285" s="8">
        <v>214534</v>
      </c>
      <c r="AA285" s="8">
        <v>2588516</v>
      </c>
      <c r="AC285" s="8">
        <v>2889571</v>
      </c>
      <c r="AE285" s="8">
        <v>239713</v>
      </c>
      <c r="AG285" s="8">
        <v>0</v>
      </c>
      <c r="AI285" s="8">
        <v>0</v>
      </c>
      <c r="AJ285" s="13" t="s">
        <v>717</v>
      </c>
      <c r="AK285" s="13"/>
      <c r="AL285" s="13" t="s">
        <v>69</v>
      </c>
      <c r="AN285" s="8">
        <v>514614</v>
      </c>
      <c r="AP285" s="8">
        <v>0</v>
      </c>
      <c r="AT285" s="8">
        <v>68750</v>
      </c>
      <c r="AV285" s="8">
        <v>12853</v>
      </c>
      <c r="AX285" s="8">
        <v>0</v>
      </c>
      <c r="AZ285" s="8">
        <f t="shared" si="24"/>
        <v>29478143</v>
      </c>
      <c r="BB285" s="8">
        <v>113668</v>
      </c>
      <c r="BH285" s="8">
        <v>0</v>
      </c>
      <c r="BJ285" s="8">
        <f t="shared" si="22"/>
        <v>29591811</v>
      </c>
      <c r="BL285" s="8">
        <f>+GenRev!AM285-GenExp!BJ285</f>
        <v>-301427</v>
      </c>
      <c r="BN285" s="8">
        <v>1122469</v>
      </c>
      <c r="BP285" s="8">
        <v>0</v>
      </c>
      <c r="BQ285" s="8">
        <v>0</v>
      </c>
      <c r="BS285" s="8">
        <f t="shared" si="23"/>
        <v>821042</v>
      </c>
      <c r="BU285" s="9">
        <f>+BS285-'Gen Fd BS'!AA285+BQ285</f>
        <v>0</v>
      </c>
    </row>
    <row r="286" spans="1:73" hidden="1">
      <c r="A286" s="13" t="s">
        <v>401</v>
      </c>
      <c r="B286" s="13"/>
      <c r="C286" s="13" t="s">
        <v>32</v>
      </c>
      <c r="D286" s="13"/>
      <c r="E286" s="32">
        <v>44230</v>
      </c>
      <c r="AG286" s="8">
        <v>0</v>
      </c>
      <c r="AI286" s="8">
        <v>0</v>
      </c>
      <c r="AJ286" s="13" t="s">
        <v>401</v>
      </c>
      <c r="AK286" s="13"/>
      <c r="AL286" s="13" t="s">
        <v>32</v>
      </c>
      <c r="AN286" s="8">
        <v>0</v>
      </c>
      <c r="AP286" s="8">
        <v>0</v>
      </c>
      <c r="AT286" s="8">
        <v>0</v>
      </c>
      <c r="AV286" s="8">
        <v>0</v>
      </c>
      <c r="AX286" s="8">
        <v>0</v>
      </c>
      <c r="AZ286" s="8">
        <f t="shared" si="24"/>
        <v>0</v>
      </c>
      <c r="BB286" s="8">
        <v>0</v>
      </c>
      <c r="BH286" s="8">
        <v>0</v>
      </c>
      <c r="BJ286" s="8">
        <f t="shared" si="22"/>
        <v>0</v>
      </c>
      <c r="BL286" s="8">
        <f>+GenRev!AM286-GenExp!BJ286</f>
        <v>0</v>
      </c>
      <c r="BN286" s="8">
        <v>0</v>
      </c>
      <c r="BP286" s="8">
        <v>0</v>
      </c>
      <c r="BQ286" s="8">
        <v>0</v>
      </c>
      <c r="BS286" s="8">
        <f t="shared" si="23"/>
        <v>0</v>
      </c>
      <c r="BU286" s="9">
        <f>+BS286-'Gen Fd BS'!AA286+BQ286</f>
        <v>0</v>
      </c>
    </row>
    <row r="287" spans="1:73">
      <c r="A287" s="13" t="s">
        <v>589</v>
      </c>
      <c r="B287" s="13"/>
      <c r="C287" s="13" t="s">
        <v>54</v>
      </c>
      <c r="D287" s="13"/>
      <c r="E287" s="32">
        <v>49080</v>
      </c>
      <c r="G287" s="8">
        <v>9077839</v>
      </c>
      <c r="I287" s="8">
        <v>1423503</v>
      </c>
      <c r="K287" s="8">
        <v>13754</v>
      </c>
      <c r="M287" s="8">
        <v>0</v>
      </c>
      <c r="O287" s="8">
        <v>785046</v>
      </c>
      <c r="Q287" s="8">
        <v>778117</v>
      </c>
      <c r="S287" s="8">
        <v>109719</v>
      </c>
      <c r="U287" s="8">
        <v>1377719</v>
      </c>
      <c r="W287" s="8">
        <v>495668</v>
      </c>
      <c r="Y287" s="8">
        <v>1642</v>
      </c>
      <c r="AA287" s="8">
        <v>1773468</v>
      </c>
      <c r="AC287" s="8">
        <v>1466994</v>
      </c>
      <c r="AE287" s="8">
        <v>173027</v>
      </c>
      <c r="AG287" s="8">
        <v>0</v>
      </c>
      <c r="AI287" s="8">
        <v>0</v>
      </c>
      <c r="AJ287" s="13" t="s">
        <v>589</v>
      </c>
      <c r="AK287" s="13"/>
      <c r="AL287" s="13" t="s">
        <v>54</v>
      </c>
      <c r="AN287" s="8">
        <v>254079</v>
      </c>
      <c r="AP287" s="8">
        <v>0</v>
      </c>
      <c r="AT287" s="8">
        <v>0</v>
      </c>
      <c r="AV287" s="8">
        <v>0</v>
      </c>
      <c r="AX287" s="8">
        <v>0</v>
      </c>
      <c r="AZ287" s="8">
        <f t="shared" si="24"/>
        <v>17730575</v>
      </c>
      <c r="BB287" s="8">
        <v>0</v>
      </c>
      <c r="BH287" s="8">
        <v>0</v>
      </c>
      <c r="BJ287" s="8">
        <f t="shared" si="22"/>
        <v>17730575</v>
      </c>
      <c r="BL287" s="8">
        <f>+GenRev!AM287-GenExp!BJ287</f>
        <v>1722080</v>
      </c>
      <c r="BN287" s="8">
        <v>3930187</v>
      </c>
      <c r="BP287" s="8">
        <v>0</v>
      </c>
      <c r="BQ287" s="8">
        <v>0</v>
      </c>
      <c r="BS287" s="8">
        <f t="shared" si="23"/>
        <v>5652267</v>
      </c>
      <c r="BU287" s="9">
        <f>+BS287-'Gen Fd BS'!AA287+BQ287</f>
        <v>0</v>
      </c>
    </row>
    <row r="288" spans="1:73">
      <c r="A288" s="13" t="s">
        <v>445</v>
      </c>
      <c r="B288" s="13"/>
      <c r="C288" s="13" t="s">
        <v>35</v>
      </c>
      <c r="D288" s="13"/>
      <c r="E288" s="32">
        <v>44248</v>
      </c>
      <c r="G288" s="8">
        <v>11891721</v>
      </c>
      <c r="I288" s="8">
        <v>3560435</v>
      </c>
      <c r="K288" s="8">
        <v>565152</v>
      </c>
      <c r="M288" s="8">
        <v>1</v>
      </c>
      <c r="O288" s="8">
        <v>2112489</v>
      </c>
      <c r="Q288" s="8">
        <v>1489752</v>
      </c>
      <c r="S288" s="8">
        <v>105351</v>
      </c>
      <c r="U288" s="8">
        <v>2488446</v>
      </c>
      <c r="W288" s="8">
        <v>839841</v>
      </c>
      <c r="Y288" s="8">
        <v>0</v>
      </c>
      <c r="AA288" s="8">
        <v>2923532</v>
      </c>
      <c r="AC288" s="8">
        <v>2480054</v>
      </c>
      <c r="AE288" s="8">
        <v>0</v>
      </c>
      <c r="AG288" s="8">
        <v>0</v>
      </c>
      <c r="AI288" s="8">
        <v>22155</v>
      </c>
      <c r="AJ288" s="13" t="s">
        <v>445</v>
      </c>
      <c r="AK288" s="13"/>
      <c r="AL288" s="13" t="s">
        <v>35</v>
      </c>
      <c r="AN288" s="8">
        <v>450208</v>
      </c>
      <c r="AP288" s="8">
        <v>0</v>
      </c>
      <c r="AT288" s="8">
        <v>0</v>
      </c>
      <c r="AV288" s="8">
        <v>0</v>
      </c>
      <c r="AX288" s="8">
        <v>0</v>
      </c>
      <c r="AZ288" s="8">
        <f t="shared" si="24"/>
        <v>28929137</v>
      </c>
      <c r="BB288" s="8">
        <v>4018167</v>
      </c>
      <c r="BH288" s="8">
        <v>0</v>
      </c>
      <c r="BJ288" s="8">
        <f t="shared" si="22"/>
        <v>32947304</v>
      </c>
      <c r="BL288" s="8">
        <f>+GenRev!AM288-GenExp!BJ288</f>
        <v>-1356079</v>
      </c>
      <c r="BN288" s="8">
        <v>5184362</v>
      </c>
      <c r="BP288" s="8">
        <v>7687</v>
      </c>
      <c r="BQ288" s="8">
        <v>0</v>
      </c>
      <c r="BS288" s="8">
        <f t="shared" si="23"/>
        <v>3820596</v>
      </c>
      <c r="BU288" s="9">
        <f>+BS288-'Gen Fd BS'!AA288+BQ288</f>
        <v>0</v>
      </c>
    </row>
    <row r="289" spans="1:73">
      <c r="A289" s="13" t="s">
        <v>513</v>
      </c>
      <c r="B289" s="13"/>
      <c r="C289" s="13" t="s">
        <v>511</v>
      </c>
      <c r="D289" s="13"/>
      <c r="E289" s="32">
        <v>44255</v>
      </c>
      <c r="G289" s="8">
        <v>8187039</v>
      </c>
      <c r="I289" s="8">
        <v>2399062</v>
      </c>
      <c r="K289" s="8">
        <v>291068</v>
      </c>
      <c r="M289" s="8">
        <v>0</v>
      </c>
      <c r="O289" s="8">
        <v>663179</v>
      </c>
      <c r="Q289" s="8">
        <v>839762</v>
      </c>
      <c r="S289" s="8">
        <v>83396</v>
      </c>
      <c r="U289" s="8">
        <v>1666834</v>
      </c>
      <c r="W289" s="8">
        <v>542791</v>
      </c>
      <c r="Y289" s="8">
        <v>0</v>
      </c>
      <c r="AA289" s="8">
        <v>2029863</v>
      </c>
      <c r="AC289" s="8">
        <v>977427</v>
      </c>
      <c r="AE289" s="8">
        <v>367317</v>
      </c>
      <c r="AG289" s="8">
        <v>0</v>
      </c>
      <c r="AI289" s="8">
        <v>0</v>
      </c>
      <c r="AJ289" s="13" t="s">
        <v>513</v>
      </c>
      <c r="AK289" s="13"/>
      <c r="AL289" s="13" t="s">
        <v>511</v>
      </c>
      <c r="AN289" s="8">
        <v>441709</v>
      </c>
      <c r="AP289" s="8">
        <v>125964</v>
      </c>
      <c r="AT289" s="8">
        <v>72481</v>
      </c>
      <c r="AV289" s="8">
        <v>65337</v>
      </c>
      <c r="AX289" s="8">
        <v>0</v>
      </c>
      <c r="AZ289" s="8">
        <f t="shared" si="24"/>
        <v>18753229</v>
      </c>
      <c r="BB289" s="8">
        <v>0</v>
      </c>
      <c r="BH289" s="8">
        <v>0</v>
      </c>
      <c r="BJ289" s="8">
        <f t="shared" si="22"/>
        <v>18753229</v>
      </c>
      <c r="BL289" s="8">
        <f>+GenRev!AM289-GenExp!BJ289</f>
        <v>1165041</v>
      </c>
      <c r="BN289" s="8">
        <v>1077163</v>
      </c>
      <c r="BP289" s="8">
        <v>0</v>
      </c>
      <c r="BQ289" s="8">
        <v>0</v>
      </c>
      <c r="BS289" s="8">
        <f t="shared" si="23"/>
        <v>2242204</v>
      </c>
      <c r="BU289" s="9">
        <f>+BS289-'Gen Fd BS'!AA289+BQ289</f>
        <v>0</v>
      </c>
    </row>
    <row r="290" spans="1:73">
      <c r="A290" s="13" t="s">
        <v>496</v>
      </c>
      <c r="B290" s="13"/>
      <c r="C290" s="13" t="s">
        <v>44</v>
      </c>
      <c r="D290" s="13"/>
      <c r="E290" s="32">
        <v>44263</v>
      </c>
      <c r="G290" s="8">
        <v>25460879</v>
      </c>
      <c r="I290" s="8">
        <v>8147453</v>
      </c>
      <c r="K290" s="8">
        <v>1683332</v>
      </c>
      <c r="M290" s="8">
        <f>3967+12689994</f>
        <v>12693961</v>
      </c>
      <c r="O290" s="8">
        <v>1123102</v>
      </c>
      <c r="Q290" s="8">
        <v>729162</v>
      </c>
      <c r="S290" s="8">
        <v>253255</v>
      </c>
      <c r="U290" s="8">
        <v>5339931</v>
      </c>
      <c r="W290" s="8">
        <v>1397530</v>
      </c>
      <c r="Y290" s="8">
        <v>444551</v>
      </c>
      <c r="AA290" s="8">
        <v>7257870</v>
      </c>
      <c r="AC290" s="8">
        <v>2582403</v>
      </c>
      <c r="AE290" s="8">
        <v>738965</v>
      </c>
      <c r="AG290" s="8">
        <v>0</v>
      </c>
      <c r="AI290" s="8">
        <v>72424</v>
      </c>
      <c r="AJ290" s="13" t="s">
        <v>496</v>
      </c>
      <c r="AK290" s="13"/>
      <c r="AL290" s="13" t="s">
        <v>44</v>
      </c>
      <c r="AN290" s="8">
        <v>1439711</v>
      </c>
      <c r="AP290" s="8">
        <v>82915</v>
      </c>
      <c r="AT290" s="8">
        <v>1080000</v>
      </c>
      <c r="AV290" s="8">
        <v>231563</v>
      </c>
      <c r="AX290" s="8">
        <v>0</v>
      </c>
      <c r="AZ290" s="8">
        <f t="shared" si="24"/>
        <v>70759007</v>
      </c>
      <c r="BB290" s="8">
        <v>2110423</v>
      </c>
      <c r="BH290" s="8">
        <v>0</v>
      </c>
      <c r="BJ290" s="8">
        <f t="shared" si="22"/>
        <v>72869430</v>
      </c>
      <c r="BL290" s="8">
        <f>+GenRev!AM290-GenExp!BJ290</f>
        <v>3180338</v>
      </c>
      <c r="BN290" s="8">
        <v>-3480205</v>
      </c>
      <c r="BP290" s="8">
        <v>0</v>
      </c>
      <c r="BQ290" s="8">
        <v>0</v>
      </c>
      <c r="BS290" s="8">
        <f t="shared" si="23"/>
        <v>-299867</v>
      </c>
      <c r="BU290" s="9">
        <f>+BS290-'Gen Fd BS'!AA290+BQ290</f>
        <v>0</v>
      </c>
    </row>
    <row r="291" spans="1:73">
      <c r="A291" s="13" t="s">
        <v>691</v>
      </c>
      <c r="B291" s="13"/>
      <c r="C291" s="13" t="s">
        <v>64</v>
      </c>
      <c r="D291" s="13"/>
      <c r="E291" s="32">
        <v>50203</v>
      </c>
      <c r="G291" s="8">
        <v>2890051</v>
      </c>
      <c r="I291" s="8">
        <v>417272</v>
      </c>
      <c r="K291" s="8">
        <v>58947</v>
      </c>
      <c r="M291" s="8">
        <v>182400</v>
      </c>
      <c r="O291" s="8">
        <v>152770</v>
      </c>
      <c r="Q291" s="8">
        <v>125793</v>
      </c>
      <c r="S291" s="8">
        <v>148022</v>
      </c>
      <c r="U291" s="8">
        <v>498169</v>
      </c>
      <c r="W291" s="8">
        <v>316697</v>
      </c>
      <c r="Y291" s="8">
        <v>23763</v>
      </c>
      <c r="AA291" s="8">
        <v>1131466</v>
      </c>
      <c r="AC291" s="8">
        <v>274466</v>
      </c>
      <c r="AE291" s="8">
        <v>0</v>
      </c>
      <c r="AG291" s="8">
        <v>0</v>
      </c>
      <c r="AI291" s="8">
        <v>0</v>
      </c>
      <c r="AJ291" s="13" t="s">
        <v>691</v>
      </c>
      <c r="AK291" s="13"/>
      <c r="AL291" s="13" t="s">
        <v>64</v>
      </c>
      <c r="AN291" s="8">
        <v>179747</v>
      </c>
      <c r="AP291" s="8">
        <v>0</v>
      </c>
      <c r="AT291" s="8">
        <v>42708</v>
      </c>
      <c r="AV291" s="8">
        <v>7554</v>
      </c>
      <c r="AX291" s="8">
        <v>0</v>
      </c>
      <c r="AZ291" s="8">
        <f t="shared" si="24"/>
        <v>6449825</v>
      </c>
      <c r="BB291" s="8">
        <v>155000</v>
      </c>
      <c r="BH291" s="8">
        <v>0</v>
      </c>
      <c r="BJ291" s="8">
        <f t="shared" si="22"/>
        <v>6604825</v>
      </c>
      <c r="BL291" s="8">
        <f>+GenRev!AM291-GenExp!BJ291</f>
        <v>659289</v>
      </c>
      <c r="BN291" s="8">
        <v>1399533</v>
      </c>
      <c r="BP291" s="8">
        <v>0</v>
      </c>
      <c r="BQ291" s="8">
        <v>0</v>
      </c>
      <c r="BS291" s="8">
        <f t="shared" si="23"/>
        <v>2058822</v>
      </c>
      <c r="BU291" s="9">
        <f>+BS291-'Gen Fd BS'!AA291+BQ291</f>
        <v>0</v>
      </c>
    </row>
    <row r="292" spans="1:73">
      <c r="A292" s="12" t="s">
        <v>907</v>
      </c>
      <c r="B292" s="13"/>
      <c r="C292" s="13" t="s">
        <v>11</v>
      </c>
      <c r="D292" s="13"/>
      <c r="E292" s="32">
        <v>45468</v>
      </c>
      <c r="G292" s="8">
        <v>5124565</v>
      </c>
      <c r="I292" s="8">
        <v>572162</v>
      </c>
      <c r="K292" s="8">
        <v>340849</v>
      </c>
      <c r="M292" s="8">
        <v>728040</v>
      </c>
      <c r="O292" s="8">
        <v>618033</v>
      </c>
      <c r="Q292" s="8">
        <v>682079</v>
      </c>
      <c r="S292" s="8">
        <v>29592</v>
      </c>
      <c r="U292" s="8">
        <v>895400</v>
      </c>
      <c r="W292" s="8">
        <v>375892</v>
      </c>
      <c r="Y292" s="8">
        <v>11760</v>
      </c>
      <c r="AA292" s="8">
        <v>1058674</v>
      </c>
      <c r="AC292" s="8">
        <v>665764</v>
      </c>
      <c r="AE292" s="8">
        <v>95439</v>
      </c>
      <c r="AG292" s="8">
        <v>0</v>
      </c>
      <c r="AI292" s="8">
        <v>51623</v>
      </c>
      <c r="AJ292" s="13" t="s">
        <v>217</v>
      </c>
      <c r="AK292" s="13"/>
      <c r="AL292" s="13" t="s">
        <v>11</v>
      </c>
      <c r="AN292" s="8">
        <v>291125</v>
      </c>
      <c r="AP292" s="8">
        <f>74237+8257</f>
        <v>82494</v>
      </c>
      <c r="AT292" s="8">
        <v>15188</v>
      </c>
      <c r="AV292" s="8">
        <v>3503</v>
      </c>
      <c r="AX292" s="8">
        <v>0</v>
      </c>
      <c r="AZ292" s="8">
        <f t="shared" si="24"/>
        <v>11642182</v>
      </c>
      <c r="BB292" s="8">
        <v>0</v>
      </c>
      <c r="BH292" s="8">
        <v>0</v>
      </c>
      <c r="BJ292" s="8">
        <f t="shared" si="22"/>
        <v>11642182</v>
      </c>
      <c r="BL292" s="8">
        <f>+GenRev!AM292-GenExp!BJ292</f>
        <v>-358750</v>
      </c>
      <c r="BN292" s="8">
        <v>3759066</v>
      </c>
      <c r="BP292" s="8">
        <v>0</v>
      </c>
      <c r="BQ292" s="8">
        <v>0</v>
      </c>
      <c r="BS292" s="8">
        <f t="shared" si="23"/>
        <v>3400316</v>
      </c>
      <c r="BU292" s="9">
        <f>+BS292-'Gen Fd BS'!AA292+BQ292</f>
        <v>0</v>
      </c>
    </row>
    <row r="293" spans="1:73">
      <c r="A293" s="13" t="s">
        <v>659</v>
      </c>
      <c r="B293" s="13"/>
      <c r="C293" s="13" t="s">
        <v>62</v>
      </c>
      <c r="D293" s="13"/>
      <c r="E293" s="32">
        <v>49874</v>
      </c>
      <c r="G293" s="8">
        <v>11570825</v>
      </c>
      <c r="I293" s="8">
        <v>2508081</v>
      </c>
      <c r="K293" s="8">
        <v>447774</v>
      </c>
      <c r="M293" s="8">
        <v>0</v>
      </c>
      <c r="O293" s="8">
        <v>887455</v>
      </c>
      <c r="Q293" s="8">
        <v>736664</v>
      </c>
      <c r="S293" s="8">
        <v>105316</v>
      </c>
      <c r="U293" s="8">
        <v>1499343</v>
      </c>
      <c r="W293" s="8">
        <v>390301</v>
      </c>
      <c r="Y293" s="8">
        <v>236233</v>
      </c>
      <c r="AA293" s="8">
        <v>1990436</v>
      </c>
      <c r="AC293" s="8">
        <v>1130661</v>
      </c>
      <c r="AE293" s="8">
        <v>1649</v>
      </c>
      <c r="AG293" s="8">
        <v>0</v>
      </c>
      <c r="AI293" s="8">
        <v>12917</v>
      </c>
      <c r="AJ293" s="13" t="s">
        <v>659</v>
      </c>
      <c r="AK293" s="13"/>
      <c r="AL293" s="13" t="s">
        <v>62</v>
      </c>
      <c r="AN293" s="8">
        <v>496409</v>
      </c>
      <c r="AP293" s="8">
        <v>6146</v>
      </c>
      <c r="AT293" s="8">
        <v>0</v>
      </c>
      <c r="AV293" s="8">
        <v>0</v>
      </c>
      <c r="AX293" s="8">
        <v>0</v>
      </c>
      <c r="AZ293" s="8">
        <f t="shared" si="24"/>
        <v>22020210</v>
      </c>
      <c r="BB293" s="8">
        <v>56744</v>
      </c>
      <c r="BH293" s="8">
        <v>0</v>
      </c>
      <c r="BJ293" s="8">
        <f t="shared" si="22"/>
        <v>22076954</v>
      </c>
      <c r="BL293" s="8">
        <f>+GenRev!AM293-GenExp!BJ293</f>
        <v>1294680</v>
      </c>
      <c r="BN293" s="8">
        <v>-167519</v>
      </c>
      <c r="BP293" s="8">
        <v>0</v>
      </c>
      <c r="BQ293" s="8">
        <v>0</v>
      </c>
      <c r="BS293" s="8">
        <f t="shared" si="23"/>
        <v>1127161</v>
      </c>
      <c r="BU293" s="9">
        <f>+BS293-'Gen Fd BS'!AA293+BQ293</f>
        <v>0</v>
      </c>
    </row>
    <row r="294" spans="1:73">
      <c r="A294" s="13" t="s">
        <v>402</v>
      </c>
      <c r="B294" s="13"/>
      <c r="C294" s="13" t="s">
        <v>32</v>
      </c>
      <c r="D294" s="13"/>
      <c r="E294" s="32">
        <v>44271</v>
      </c>
      <c r="G294" s="8">
        <v>19048001</v>
      </c>
      <c r="I294" s="8">
        <v>4454359</v>
      </c>
      <c r="K294" s="8">
        <v>170407</v>
      </c>
      <c r="M294" s="8">
        <v>679491</v>
      </c>
      <c r="O294" s="8">
        <v>1915133</v>
      </c>
      <c r="Q294" s="8">
        <v>930353</v>
      </c>
      <c r="S294" s="8">
        <v>92629</v>
      </c>
      <c r="U294" s="8">
        <v>2833290</v>
      </c>
      <c r="W294" s="8">
        <v>1017557</v>
      </c>
      <c r="Y294" s="8">
        <v>210642</v>
      </c>
      <c r="AA294" s="8">
        <v>2986222</v>
      </c>
      <c r="AC294" s="8">
        <v>2859182</v>
      </c>
      <c r="AE294" s="8">
        <v>611648</v>
      </c>
      <c r="AG294" s="8">
        <v>0</v>
      </c>
      <c r="AI294" s="8">
        <v>142344</v>
      </c>
      <c r="AJ294" s="13" t="s">
        <v>402</v>
      </c>
      <c r="AK294" s="13"/>
      <c r="AL294" s="13" t="s">
        <v>32</v>
      </c>
      <c r="AN294" s="8">
        <v>711052</v>
      </c>
      <c r="AP294" s="8">
        <v>16741</v>
      </c>
      <c r="AT294" s="8">
        <v>0</v>
      </c>
      <c r="AV294" s="8">
        <v>0</v>
      </c>
      <c r="AX294" s="8">
        <v>0</v>
      </c>
      <c r="AZ294" s="8">
        <f t="shared" si="24"/>
        <v>38679051</v>
      </c>
      <c r="BB294" s="8">
        <v>1265</v>
      </c>
      <c r="BH294" s="8">
        <v>0</v>
      </c>
      <c r="BJ294" s="8">
        <f t="shared" si="22"/>
        <v>38680316</v>
      </c>
      <c r="BL294" s="8">
        <f>+GenRev!AM294-GenExp!BJ294</f>
        <v>-2578172</v>
      </c>
      <c r="BN294" s="8">
        <v>7760778</v>
      </c>
      <c r="BP294" s="8">
        <v>0</v>
      </c>
      <c r="BQ294" s="8">
        <v>0</v>
      </c>
      <c r="BS294" s="8">
        <f t="shared" si="23"/>
        <v>5182606</v>
      </c>
      <c r="BU294" s="9">
        <f>+BS294-'Gen Fd BS'!AA294+BQ294</f>
        <v>0</v>
      </c>
    </row>
    <row r="295" spans="1:73">
      <c r="A295" s="13" t="s">
        <v>519</v>
      </c>
      <c r="B295" s="13"/>
      <c r="C295" s="13" t="s">
        <v>45</v>
      </c>
      <c r="D295" s="13"/>
      <c r="E295" s="32">
        <v>48330</v>
      </c>
      <c r="G295" s="8">
        <v>2350719</v>
      </c>
      <c r="I295" s="8">
        <v>233624</v>
      </c>
      <c r="K295" s="8">
        <v>32423</v>
      </c>
      <c r="M295" s="8">
        <v>14926</v>
      </c>
      <c r="O295" s="8">
        <v>190570</v>
      </c>
      <c r="Q295" s="8">
        <v>180736</v>
      </c>
      <c r="S295" s="8">
        <v>23731</v>
      </c>
      <c r="U295" s="8">
        <v>321704</v>
      </c>
      <c r="W295" s="8">
        <v>160497</v>
      </c>
      <c r="Y295" s="8">
        <v>0</v>
      </c>
      <c r="AA295" s="8">
        <v>521725</v>
      </c>
      <c r="AC295" s="8">
        <v>118661</v>
      </c>
      <c r="AE295" s="8">
        <v>26686</v>
      </c>
      <c r="AG295" s="8">
        <v>0</v>
      </c>
      <c r="AI295" s="8">
        <v>6880</v>
      </c>
      <c r="AJ295" s="13" t="s">
        <v>519</v>
      </c>
      <c r="AK295" s="13"/>
      <c r="AL295" s="13" t="s">
        <v>45</v>
      </c>
      <c r="AN295" s="8">
        <v>160301</v>
      </c>
      <c r="AP295" s="8">
        <v>0</v>
      </c>
      <c r="AT295" s="8">
        <v>0</v>
      </c>
      <c r="AV295" s="8">
        <v>0</v>
      </c>
      <c r="AX295" s="8">
        <v>0</v>
      </c>
      <c r="AZ295" s="8">
        <f t="shared" si="24"/>
        <v>4343183</v>
      </c>
      <c r="BB295" s="8">
        <v>0</v>
      </c>
      <c r="BH295" s="8">
        <v>256280</v>
      </c>
      <c r="BJ295" s="8">
        <f t="shared" si="22"/>
        <v>4599463</v>
      </c>
      <c r="BL295" s="8">
        <f>+GenRev!AM295-GenExp!BJ295</f>
        <v>104474</v>
      </c>
      <c r="BN295" s="8">
        <v>1310230</v>
      </c>
      <c r="BP295" s="8">
        <v>0</v>
      </c>
      <c r="BQ295" s="8">
        <v>0</v>
      </c>
      <c r="BS295" s="8">
        <f t="shared" si="23"/>
        <v>1414704</v>
      </c>
      <c r="BU295" s="9">
        <f>+BS295-'Gen Fd BS'!AA295+BQ295</f>
        <v>0</v>
      </c>
    </row>
    <row r="296" spans="1:73">
      <c r="A296" s="13" t="s">
        <v>616</v>
      </c>
      <c r="B296" s="13"/>
      <c r="C296" s="13" t="s">
        <v>113</v>
      </c>
      <c r="D296" s="13"/>
      <c r="E296" s="32">
        <v>49445</v>
      </c>
      <c r="F296" s="11"/>
      <c r="G296" s="8">
        <v>1905319</v>
      </c>
      <c r="I296" s="8">
        <v>316595</v>
      </c>
      <c r="K296" s="8">
        <v>9815</v>
      </c>
      <c r="M296" s="8">
        <v>245420</v>
      </c>
      <c r="O296" s="8">
        <v>61662</v>
      </c>
      <c r="Q296" s="8">
        <v>147462</v>
      </c>
      <c r="S296" s="8">
        <v>22035</v>
      </c>
      <c r="U296" s="8">
        <v>555666</v>
      </c>
      <c r="W296" s="8">
        <v>208388</v>
      </c>
      <c r="Y296" s="8">
        <v>0</v>
      </c>
      <c r="AA296" s="8">
        <v>427522</v>
      </c>
      <c r="AC296" s="8">
        <v>328899</v>
      </c>
      <c r="AE296" s="8">
        <v>47481</v>
      </c>
      <c r="AG296" s="8">
        <v>0</v>
      </c>
      <c r="AI296" s="8">
        <v>909</v>
      </c>
      <c r="AJ296" s="13" t="s">
        <v>616</v>
      </c>
      <c r="AK296" s="13"/>
      <c r="AL296" s="13" t="s">
        <v>113</v>
      </c>
      <c r="AN296" s="8">
        <v>87822</v>
      </c>
      <c r="AP296" s="8">
        <v>0</v>
      </c>
      <c r="AT296" s="8">
        <v>0</v>
      </c>
      <c r="AV296" s="8">
        <v>0</v>
      </c>
      <c r="AX296" s="8">
        <v>0</v>
      </c>
      <c r="AZ296" s="8">
        <f t="shared" si="24"/>
        <v>4364995</v>
      </c>
      <c r="BB296" s="8">
        <v>20000</v>
      </c>
      <c r="BH296" s="8">
        <v>0</v>
      </c>
      <c r="BJ296" s="8">
        <f t="shared" si="22"/>
        <v>4384995</v>
      </c>
      <c r="BL296" s="8">
        <f>+GenRev!AM296-GenExp!BJ296</f>
        <v>803661</v>
      </c>
      <c r="BN296" s="8">
        <v>1443578</v>
      </c>
      <c r="BP296" s="8">
        <v>0</v>
      </c>
      <c r="BQ296" s="8">
        <v>0</v>
      </c>
      <c r="BS296" s="8">
        <f t="shared" si="23"/>
        <v>2247239</v>
      </c>
      <c r="BU296" s="9">
        <f>+BS296-'Gen Fd BS'!AA296+BQ296</f>
        <v>0</v>
      </c>
    </row>
    <row r="297" spans="1:73">
      <c r="A297" s="13" t="s">
        <v>444</v>
      </c>
      <c r="B297" s="13"/>
      <c r="C297" s="13" t="s">
        <v>440</v>
      </c>
      <c r="D297" s="13"/>
      <c r="E297" s="13">
        <v>47639</v>
      </c>
      <c r="G297" s="8">
        <v>5011970</v>
      </c>
      <c r="I297" s="8">
        <v>896658</v>
      </c>
      <c r="K297" s="8">
        <v>185627</v>
      </c>
      <c r="M297" s="8">
        <v>57606</v>
      </c>
      <c r="O297" s="8">
        <v>330486</v>
      </c>
      <c r="Q297" s="8">
        <v>410641</v>
      </c>
      <c r="S297" s="8">
        <v>34028</v>
      </c>
      <c r="U297" s="8">
        <v>985296</v>
      </c>
      <c r="W297" s="8">
        <v>288284</v>
      </c>
      <c r="Y297" s="8">
        <v>37937</v>
      </c>
      <c r="AA297" s="8">
        <v>1188525</v>
      </c>
      <c r="AC297" s="8">
        <v>835431</v>
      </c>
      <c r="AE297" s="8">
        <v>5080</v>
      </c>
      <c r="AG297" s="8">
        <v>665</v>
      </c>
      <c r="AI297" s="8">
        <v>1477</v>
      </c>
      <c r="AJ297" s="13" t="s">
        <v>444</v>
      </c>
      <c r="AK297" s="13"/>
      <c r="AL297" s="13" t="s">
        <v>440</v>
      </c>
      <c r="AN297" s="8">
        <v>106645</v>
      </c>
      <c r="AP297" s="8">
        <v>0</v>
      </c>
      <c r="AT297" s="8">
        <v>1040</v>
      </c>
      <c r="AV297" s="8">
        <v>119</v>
      </c>
      <c r="AX297" s="8">
        <v>0</v>
      </c>
      <c r="AZ297" s="8">
        <f t="shared" si="24"/>
        <v>10377515</v>
      </c>
      <c r="BB297" s="8">
        <v>25001</v>
      </c>
      <c r="BH297" s="8">
        <v>0</v>
      </c>
      <c r="BJ297" s="8">
        <f t="shared" si="22"/>
        <v>10402516</v>
      </c>
      <c r="BL297" s="8">
        <f>+GenRev!AM297-GenExp!BJ297</f>
        <v>387552</v>
      </c>
      <c r="BN297" s="8">
        <v>5922358</v>
      </c>
      <c r="BP297" s="8">
        <v>0</v>
      </c>
      <c r="BQ297" s="8">
        <v>0</v>
      </c>
      <c r="BS297" s="8">
        <f t="shared" si="23"/>
        <v>6309910</v>
      </c>
      <c r="BU297" s="9">
        <f>+BS297-'Gen Fd BS'!AA297+BQ297</f>
        <v>0</v>
      </c>
    </row>
    <row r="298" spans="1:73">
      <c r="A298" s="13" t="s">
        <v>558</v>
      </c>
      <c r="B298" s="13"/>
      <c r="C298" s="13" t="s">
        <v>50</v>
      </c>
      <c r="D298" s="13"/>
      <c r="E298" s="32">
        <v>48702</v>
      </c>
      <c r="G298" s="8">
        <v>13411281</v>
      </c>
      <c r="I298" s="8">
        <v>3259063</v>
      </c>
      <c r="K298" s="8">
        <v>1442352</v>
      </c>
      <c r="M298" s="8">
        <v>1316537</v>
      </c>
      <c r="O298" s="8">
        <v>1658362</v>
      </c>
      <c r="Q298" s="8">
        <v>2403717</v>
      </c>
      <c r="S298" s="8">
        <v>103554</v>
      </c>
      <c r="U298" s="8">
        <v>2539953</v>
      </c>
      <c r="W298" s="8">
        <v>483320</v>
      </c>
      <c r="Y298" s="8">
        <v>30157</v>
      </c>
      <c r="AA298" s="8">
        <v>3748893</v>
      </c>
      <c r="AC298" s="8">
        <v>1512376</v>
      </c>
      <c r="AE298" s="8">
        <v>314944</v>
      </c>
      <c r="AG298" s="8">
        <v>0</v>
      </c>
      <c r="AI298" s="8">
        <v>443701</v>
      </c>
      <c r="AJ298" s="13" t="s">
        <v>558</v>
      </c>
      <c r="AK298" s="13"/>
      <c r="AL298" s="13" t="s">
        <v>50</v>
      </c>
      <c r="AN298" s="8">
        <v>469910</v>
      </c>
      <c r="AP298" s="8">
        <v>0</v>
      </c>
      <c r="AT298" s="8">
        <v>131000</v>
      </c>
      <c r="AV298" s="8">
        <v>88339</v>
      </c>
      <c r="AX298" s="8">
        <v>0</v>
      </c>
      <c r="AZ298" s="8">
        <f t="shared" ref="AZ298:AZ349" si="25">SUM(G298:AX298)</f>
        <v>33357459</v>
      </c>
      <c r="BB298" s="8">
        <v>359711</v>
      </c>
      <c r="BH298" s="8">
        <v>0</v>
      </c>
      <c r="BJ298" s="8">
        <f t="shared" ref="BJ298:BJ349" si="26">+AZ298+BB298+BD298+BH298</f>
        <v>33717170</v>
      </c>
      <c r="BL298" s="8">
        <f>+GenRev!AM298-GenExp!BJ298</f>
        <v>1405208</v>
      </c>
      <c r="BN298" s="8">
        <v>9345456</v>
      </c>
      <c r="BP298" s="8">
        <v>0</v>
      </c>
      <c r="BQ298" s="8">
        <v>0</v>
      </c>
      <c r="BS298" s="8">
        <f t="shared" ref="BS298:BS339" si="27">+BN298+BL298-BP298</f>
        <v>10750664</v>
      </c>
      <c r="BU298" s="9">
        <f>+BS298-'Gen Fd BS'!AA298+BQ298</f>
        <v>0</v>
      </c>
    </row>
    <row r="299" spans="1:73">
      <c r="A299" s="13" t="s">
        <v>403</v>
      </c>
      <c r="B299" s="13"/>
      <c r="C299" s="13" t="s">
        <v>32</v>
      </c>
      <c r="D299" s="13"/>
      <c r="E299" s="32">
        <v>44289</v>
      </c>
      <c r="G299" s="8">
        <v>6940146</v>
      </c>
      <c r="I299" s="8">
        <v>1513540</v>
      </c>
      <c r="K299" s="8">
        <v>0</v>
      </c>
      <c r="M299" s="8">
        <v>71292</v>
      </c>
      <c r="O299" s="8">
        <v>976783</v>
      </c>
      <c r="Q299" s="8">
        <v>347458</v>
      </c>
      <c r="S299" s="8">
        <v>37371</v>
      </c>
      <c r="U299" s="8">
        <v>1091099</v>
      </c>
      <c r="W299" s="8">
        <v>414928</v>
      </c>
      <c r="Y299" s="8">
        <v>50551</v>
      </c>
      <c r="AA299" s="8">
        <v>1573082</v>
      </c>
      <c r="AC299" s="8">
        <v>777863</v>
      </c>
      <c r="AE299" s="8">
        <v>337461</v>
      </c>
      <c r="AG299" s="8">
        <v>0</v>
      </c>
      <c r="AI299" s="8">
        <v>51188</v>
      </c>
      <c r="AJ299" s="13" t="s">
        <v>403</v>
      </c>
      <c r="AK299" s="13"/>
      <c r="AL299" s="13" t="s">
        <v>32</v>
      </c>
      <c r="AN299" s="8">
        <v>243881</v>
      </c>
      <c r="AP299" s="8">
        <v>0</v>
      </c>
      <c r="AT299" s="8">
        <v>137321</v>
      </c>
      <c r="AV299" s="8">
        <v>9672</v>
      </c>
      <c r="AX299" s="8">
        <v>0</v>
      </c>
      <c r="AZ299" s="8">
        <f t="shared" si="25"/>
        <v>14573636</v>
      </c>
      <c r="BB299" s="8">
        <v>5000</v>
      </c>
      <c r="BH299" s="8">
        <v>0</v>
      </c>
      <c r="BJ299" s="8">
        <f t="shared" si="26"/>
        <v>14578636</v>
      </c>
      <c r="BL299" s="8">
        <f>+GenRev!AM299-GenExp!BJ299</f>
        <v>1995094</v>
      </c>
      <c r="BN299" s="8">
        <v>3796223</v>
      </c>
      <c r="BP299" s="8">
        <v>0</v>
      </c>
      <c r="BQ299" s="8">
        <v>0</v>
      </c>
      <c r="BS299" s="8">
        <f t="shared" si="27"/>
        <v>5791317</v>
      </c>
      <c r="BU299" s="9">
        <f>+BS299-'Gen Fd BS'!AA299+BQ299</f>
        <v>0</v>
      </c>
    </row>
    <row r="300" spans="1:73">
      <c r="A300" s="13" t="s">
        <v>250</v>
      </c>
      <c r="B300" s="13"/>
      <c r="C300" s="13" t="s">
        <v>246</v>
      </c>
      <c r="D300" s="13"/>
      <c r="E300" s="32">
        <v>46128</v>
      </c>
      <c r="F300" s="11"/>
      <c r="G300" s="8">
        <v>5260356</v>
      </c>
      <c r="I300" s="8">
        <v>832697</v>
      </c>
      <c r="K300" s="8">
        <v>308413</v>
      </c>
      <c r="M300" s="8">
        <v>0</v>
      </c>
      <c r="O300" s="8">
        <v>636773</v>
      </c>
      <c r="Q300" s="8">
        <v>399246</v>
      </c>
      <c r="S300" s="8">
        <v>44099</v>
      </c>
      <c r="U300" s="8">
        <v>1077142</v>
      </c>
      <c r="W300" s="8">
        <v>287355</v>
      </c>
      <c r="Y300" s="8">
        <v>2408</v>
      </c>
      <c r="AA300" s="8">
        <v>1488593</v>
      </c>
      <c r="AC300" s="8">
        <v>1106017</v>
      </c>
      <c r="AE300" s="8">
        <v>237720</v>
      </c>
      <c r="AG300" s="8">
        <v>0</v>
      </c>
      <c r="AI300" s="8">
        <v>0</v>
      </c>
      <c r="AJ300" s="13" t="s">
        <v>250</v>
      </c>
      <c r="AK300" s="13"/>
      <c r="AL300" s="13" t="s">
        <v>246</v>
      </c>
      <c r="AN300" s="8">
        <v>214694</v>
      </c>
      <c r="AP300" s="8">
        <v>16324</v>
      </c>
      <c r="AT300" s="8">
        <v>0</v>
      </c>
      <c r="AV300" s="8">
        <v>4978</v>
      </c>
      <c r="AX300" s="8">
        <v>0</v>
      </c>
      <c r="AZ300" s="8">
        <f t="shared" si="25"/>
        <v>11916815</v>
      </c>
      <c r="BB300" s="8">
        <v>1000</v>
      </c>
      <c r="BH300" s="8">
        <v>0</v>
      </c>
      <c r="BJ300" s="8">
        <f t="shared" si="26"/>
        <v>11917815</v>
      </c>
      <c r="BL300" s="8">
        <f>+GenRev!AM300-GenExp!BJ300</f>
        <v>356317</v>
      </c>
      <c r="BN300" s="8">
        <v>1889225</v>
      </c>
      <c r="BP300" s="8">
        <v>0</v>
      </c>
      <c r="BQ300" s="8">
        <v>0</v>
      </c>
      <c r="BS300" s="8">
        <f t="shared" si="27"/>
        <v>2245542</v>
      </c>
      <c r="BU300" s="9">
        <f>+BS300-'Gen Fd BS'!AA300+BQ300</f>
        <v>0</v>
      </c>
    </row>
    <row r="301" spans="1:73">
      <c r="A301" s="13" t="s">
        <v>250</v>
      </c>
      <c r="B301" s="13"/>
      <c r="C301" s="13" t="s">
        <v>113</v>
      </c>
      <c r="D301" s="13"/>
      <c r="E301" s="32">
        <v>49452</v>
      </c>
      <c r="G301" s="8">
        <v>10847739</v>
      </c>
      <c r="I301" s="8">
        <v>2447654</v>
      </c>
      <c r="K301" s="8">
        <v>3091535</v>
      </c>
      <c r="M301" s="8">
        <v>1659555</v>
      </c>
      <c r="O301" s="8">
        <v>953063</v>
      </c>
      <c r="Q301" s="8">
        <v>1396681</v>
      </c>
      <c r="S301" s="8">
        <v>59266</v>
      </c>
      <c r="U301" s="8">
        <v>2002614</v>
      </c>
      <c r="W301" s="8">
        <v>689378</v>
      </c>
      <c r="Y301" s="8">
        <v>42649</v>
      </c>
      <c r="AA301" s="8">
        <v>2805453</v>
      </c>
      <c r="AC301" s="8">
        <v>1335509</v>
      </c>
      <c r="AE301" s="8">
        <v>157685</v>
      </c>
      <c r="AG301" s="8">
        <v>0</v>
      </c>
      <c r="AI301" s="8">
        <v>177</v>
      </c>
      <c r="AJ301" s="13" t="s">
        <v>250</v>
      </c>
      <c r="AK301" s="13"/>
      <c r="AL301" s="13" t="s">
        <v>113</v>
      </c>
      <c r="AN301" s="8">
        <v>441348</v>
      </c>
      <c r="AP301" s="8">
        <v>199336</v>
      </c>
      <c r="AT301" s="8">
        <v>165792</v>
      </c>
      <c r="AV301" s="8">
        <v>0</v>
      </c>
      <c r="AX301" s="8">
        <v>0</v>
      </c>
      <c r="AZ301" s="8">
        <f t="shared" si="25"/>
        <v>28295434</v>
      </c>
      <c r="BB301" s="8">
        <v>207745</v>
      </c>
      <c r="BH301" s="8">
        <v>0</v>
      </c>
      <c r="BJ301" s="8">
        <f t="shared" si="26"/>
        <v>28503179</v>
      </c>
      <c r="BL301" s="8">
        <f>+GenRev!AM301-GenExp!BJ301</f>
        <v>2954291</v>
      </c>
      <c r="BN301" s="8">
        <v>6291757</v>
      </c>
      <c r="BP301" s="8">
        <v>0</v>
      </c>
      <c r="BQ301" s="8">
        <v>0</v>
      </c>
      <c r="BS301" s="8">
        <f t="shared" si="27"/>
        <v>9246048</v>
      </c>
      <c r="BU301" s="9">
        <f>+BS301-'Gen Fd BS'!AA301+BQ301</f>
        <v>0</v>
      </c>
    </row>
    <row r="302" spans="1:73">
      <c r="A302" s="13" t="s">
        <v>835</v>
      </c>
      <c r="B302" s="13"/>
      <c r="C302" s="13" t="s">
        <v>210</v>
      </c>
      <c r="D302" s="13"/>
      <c r="E302" s="32"/>
      <c r="G302" s="8">
        <v>3898237</v>
      </c>
      <c r="I302" s="8">
        <v>817996</v>
      </c>
      <c r="K302" s="8">
        <v>925803</v>
      </c>
      <c r="M302" s="8">
        <v>89789</v>
      </c>
      <c r="O302" s="8">
        <v>427878</v>
      </c>
      <c r="Q302" s="8">
        <v>349710</v>
      </c>
      <c r="S302" s="8">
        <v>107164</v>
      </c>
      <c r="U302" s="8">
        <v>745636</v>
      </c>
      <c r="W302" s="8">
        <v>349475</v>
      </c>
      <c r="Y302" s="8">
        <v>0</v>
      </c>
      <c r="AA302" s="8">
        <v>915890</v>
      </c>
      <c r="AC302" s="8">
        <v>498063</v>
      </c>
      <c r="AE302" s="8">
        <v>0</v>
      </c>
      <c r="AG302" s="8">
        <v>0</v>
      </c>
      <c r="AI302" s="8">
        <v>0</v>
      </c>
      <c r="AJ302" s="13" t="s">
        <v>835</v>
      </c>
      <c r="AK302" s="13"/>
      <c r="AL302" s="13" t="s">
        <v>210</v>
      </c>
      <c r="AN302" s="8">
        <v>142741</v>
      </c>
      <c r="AP302" s="8">
        <v>0</v>
      </c>
      <c r="AT302" s="8">
        <v>0</v>
      </c>
      <c r="AV302" s="8">
        <v>0</v>
      </c>
      <c r="AX302" s="8">
        <v>0</v>
      </c>
      <c r="AZ302" s="8">
        <f t="shared" si="25"/>
        <v>9268382</v>
      </c>
      <c r="BB302" s="8">
        <v>3795485</v>
      </c>
      <c r="BH302" s="8">
        <v>0</v>
      </c>
      <c r="BJ302" s="8">
        <f t="shared" si="26"/>
        <v>13063867</v>
      </c>
      <c r="BL302" s="8">
        <f>+GenRev!AM302-GenExp!BJ302</f>
        <v>-305335</v>
      </c>
      <c r="BN302" s="8">
        <v>1825902</v>
      </c>
      <c r="BP302" s="8">
        <v>0</v>
      </c>
      <c r="BQ302" s="8">
        <v>0</v>
      </c>
      <c r="BS302" s="8">
        <f t="shared" si="27"/>
        <v>1520567</v>
      </c>
      <c r="BU302" s="9">
        <f>+BS302-'Gen Fd BS'!AA302+BQ302</f>
        <v>0</v>
      </c>
    </row>
    <row r="303" spans="1:73">
      <c r="A303" s="13" t="s">
        <v>617</v>
      </c>
      <c r="B303" s="13"/>
      <c r="C303" s="13" t="s">
        <v>113</v>
      </c>
      <c r="D303" s="13"/>
      <c r="E303" s="32">
        <v>44297</v>
      </c>
      <c r="G303" s="8">
        <v>14337233</v>
      </c>
      <c r="I303" s="8">
        <v>5097064</v>
      </c>
      <c r="K303" s="8">
        <v>1341244</v>
      </c>
      <c r="M303" s="8">
        <v>8787847</v>
      </c>
      <c r="O303" s="8">
        <v>2621568</v>
      </c>
      <c r="Q303" s="8">
        <v>1139102</v>
      </c>
      <c r="S303" s="8">
        <v>17688</v>
      </c>
      <c r="U303" s="8">
        <v>2399041</v>
      </c>
      <c r="W303" s="8">
        <v>927945</v>
      </c>
      <c r="Y303" s="8">
        <v>1360372</v>
      </c>
      <c r="AA303" s="8">
        <v>4317020</v>
      </c>
      <c r="AC303" s="8">
        <v>1697090</v>
      </c>
      <c r="AE303" s="8">
        <v>999692</v>
      </c>
      <c r="AG303" s="8">
        <v>0</v>
      </c>
      <c r="AI303" s="8">
        <v>912473</v>
      </c>
      <c r="AJ303" s="13" t="s">
        <v>617</v>
      </c>
      <c r="AK303" s="13"/>
      <c r="AL303" s="13" t="s">
        <v>113</v>
      </c>
      <c r="AN303" s="8">
        <v>386047</v>
      </c>
      <c r="AP303" s="8">
        <v>0</v>
      </c>
      <c r="AT303" s="8">
        <v>0</v>
      </c>
      <c r="AV303" s="8">
        <v>0</v>
      </c>
      <c r="AX303" s="8">
        <v>0</v>
      </c>
      <c r="AZ303" s="8">
        <f t="shared" si="25"/>
        <v>46341426</v>
      </c>
      <c r="BB303" s="8">
        <v>2224</v>
      </c>
      <c r="BH303" s="8">
        <v>0</v>
      </c>
      <c r="BJ303" s="8">
        <f t="shared" si="26"/>
        <v>46343650</v>
      </c>
      <c r="BL303" s="8">
        <f>+GenRev!AM303-GenExp!BJ303</f>
        <v>4077446</v>
      </c>
      <c r="BN303" s="8">
        <v>-5329826</v>
      </c>
      <c r="BP303" s="8">
        <v>0</v>
      </c>
      <c r="BQ303" s="8">
        <v>0</v>
      </c>
      <c r="BS303" s="8">
        <f t="shared" si="27"/>
        <v>-1252380</v>
      </c>
      <c r="BU303" s="9">
        <f>+BS303-'Gen Fd BS'!AA303+BQ303</f>
        <v>0</v>
      </c>
    </row>
    <row r="304" spans="1:73">
      <c r="A304" s="13" t="s">
        <v>315</v>
      </c>
      <c r="B304" s="13"/>
      <c r="C304" s="13" t="s">
        <v>20</v>
      </c>
      <c r="D304" s="13"/>
      <c r="E304" s="32">
        <v>44305</v>
      </c>
      <c r="G304" s="8">
        <v>15911093</v>
      </c>
      <c r="I304" s="8">
        <v>3338920</v>
      </c>
      <c r="K304" s="8">
        <v>1336315</v>
      </c>
      <c r="M304" s="8">
        <v>0</v>
      </c>
      <c r="O304" s="8">
        <v>1661711</v>
      </c>
      <c r="Q304" s="8">
        <v>1009490</v>
      </c>
      <c r="S304" s="8">
        <v>66453</v>
      </c>
      <c r="U304" s="8">
        <v>3722110</v>
      </c>
      <c r="W304" s="8">
        <v>1785126</v>
      </c>
      <c r="Y304" s="8">
        <v>820052</v>
      </c>
      <c r="AA304" s="8">
        <v>5571742</v>
      </c>
      <c r="AC304" s="8">
        <v>1637519</v>
      </c>
      <c r="AE304" s="8">
        <v>15569</v>
      </c>
      <c r="AG304" s="8">
        <v>0</v>
      </c>
      <c r="AI304" s="8">
        <v>0</v>
      </c>
      <c r="AJ304" s="13" t="s">
        <v>315</v>
      </c>
      <c r="AK304" s="13"/>
      <c r="AL304" s="13" t="s">
        <v>20</v>
      </c>
      <c r="AN304" s="8">
        <v>730306</v>
      </c>
      <c r="AP304" s="8">
        <v>148565</v>
      </c>
      <c r="AT304" s="8">
        <v>49843</v>
      </c>
      <c r="AV304" s="8">
        <v>5898</v>
      </c>
      <c r="AX304" s="8">
        <v>0</v>
      </c>
      <c r="AZ304" s="8">
        <f t="shared" si="25"/>
        <v>37810712</v>
      </c>
      <c r="BB304" s="8">
        <v>0</v>
      </c>
      <c r="BH304" s="8">
        <v>0</v>
      </c>
      <c r="BJ304" s="8">
        <f t="shared" si="26"/>
        <v>37810712</v>
      </c>
      <c r="BL304" s="8">
        <f>+GenRev!AM304-GenExp!BJ304</f>
        <v>-316358</v>
      </c>
      <c r="BN304" s="8">
        <v>4778871</v>
      </c>
      <c r="BP304" s="8">
        <v>0</v>
      </c>
      <c r="BQ304" s="8">
        <v>0</v>
      </c>
      <c r="BS304" s="8">
        <f t="shared" si="27"/>
        <v>4462513</v>
      </c>
      <c r="BU304" s="9">
        <f>+BS304-'Gen Fd BS'!AA304+BQ304</f>
        <v>0</v>
      </c>
    </row>
    <row r="305" spans="1:73">
      <c r="A305" s="13" t="s">
        <v>218</v>
      </c>
      <c r="B305" s="13"/>
      <c r="C305" s="13" t="s">
        <v>11</v>
      </c>
      <c r="D305" s="13"/>
      <c r="E305" s="32">
        <v>45831</v>
      </c>
      <c r="G305" s="8">
        <v>3382388</v>
      </c>
      <c r="I305" s="8">
        <v>443348</v>
      </c>
      <c r="K305" s="8">
        <v>230207</v>
      </c>
      <c r="M305" s="8">
        <v>626607</v>
      </c>
      <c r="O305" s="8">
        <v>225234</v>
      </c>
      <c r="Q305" s="8">
        <v>287033</v>
      </c>
      <c r="S305" s="8">
        <v>77695</v>
      </c>
      <c r="U305" s="8">
        <v>636220</v>
      </c>
      <c r="W305" s="8">
        <v>307982</v>
      </c>
      <c r="Y305" s="8">
        <v>100</v>
      </c>
      <c r="AA305" s="8">
        <v>657405</v>
      </c>
      <c r="AC305" s="8">
        <v>484093</v>
      </c>
      <c r="AE305" s="8">
        <v>41476</v>
      </c>
      <c r="AG305" s="8">
        <v>0</v>
      </c>
      <c r="AI305" s="8">
        <v>0</v>
      </c>
      <c r="AJ305" s="13" t="s">
        <v>218</v>
      </c>
      <c r="AK305" s="13"/>
      <c r="AL305" s="13" t="s">
        <v>11</v>
      </c>
      <c r="AN305" s="8">
        <v>160716</v>
      </c>
      <c r="AP305" s="8">
        <v>0</v>
      </c>
      <c r="AT305" s="8">
        <v>12610</v>
      </c>
      <c r="AV305" s="8">
        <v>3350</v>
      </c>
      <c r="AX305" s="8">
        <v>0</v>
      </c>
      <c r="AZ305" s="8">
        <f t="shared" si="25"/>
        <v>7576464</v>
      </c>
      <c r="BB305" s="8">
        <v>0</v>
      </c>
      <c r="BH305" s="8">
        <v>0</v>
      </c>
      <c r="BJ305" s="8">
        <f t="shared" si="26"/>
        <v>7576464</v>
      </c>
      <c r="BL305" s="8">
        <f>+GenRev!AM305-GenExp!BJ305</f>
        <v>-431478</v>
      </c>
      <c r="BN305" s="8">
        <v>1208874</v>
      </c>
      <c r="BP305" s="8">
        <v>0</v>
      </c>
      <c r="BQ305" s="8">
        <v>0</v>
      </c>
      <c r="BS305" s="8">
        <f t="shared" si="27"/>
        <v>777396</v>
      </c>
      <c r="BU305" s="9">
        <f>+BS305-'Gen Fd BS'!AA305+BQ305</f>
        <v>0</v>
      </c>
    </row>
    <row r="306" spans="1:73">
      <c r="A306" s="13" t="s">
        <v>692</v>
      </c>
      <c r="B306" s="13"/>
      <c r="C306" s="13" t="s">
        <v>64</v>
      </c>
      <c r="D306" s="13"/>
      <c r="E306" s="32">
        <v>50211</v>
      </c>
      <c r="G306" s="8">
        <v>4374774</v>
      </c>
      <c r="I306" s="8">
        <v>391859</v>
      </c>
      <c r="K306" s="8">
        <v>36241</v>
      </c>
      <c r="M306" s="8">
        <v>0</v>
      </c>
      <c r="O306" s="8">
        <v>395974</v>
      </c>
      <c r="Q306" s="8">
        <v>112005</v>
      </c>
      <c r="S306" s="8">
        <v>58798</v>
      </c>
      <c r="U306" s="8">
        <v>1154861</v>
      </c>
      <c r="W306" s="8">
        <v>326423</v>
      </c>
      <c r="Y306" s="8">
        <v>60619</v>
      </c>
      <c r="AA306" s="8">
        <v>1118417</v>
      </c>
      <c r="AC306" s="8">
        <v>494712</v>
      </c>
      <c r="AE306" s="8">
        <v>69099</v>
      </c>
      <c r="AG306" s="8">
        <v>0</v>
      </c>
      <c r="AI306" s="8">
        <v>930</v>
      </c>
      <c r="AJ306" s="13" t="s">
        <v>692</v>
      </c>
      <c r="AK306" s="13"/>
      <c r="AL306" s="13" t="s">
        <v>64</v>
      </c>
      <c r="AN306" s="8">
        <v>136016</v>
      </c>
      <c r="AP306" s="8">
        <v>0</v>
      </c>
      <c r="AT306" s="8">
        <v>0</v>
      </c>
      <c r="AV306" s="8">
        <v>0</v>
      </c>
      <c r="AW306" s="8" t="s">
        <v>771</v>
      </c>
      <c r="AX306" s="8">
        <v>0</v>
      </c>
      <c r="AZ306" s="8">
        <f t="shared" si="25"/>
        <v>8730728</v>
      </c>
      <c r="BB306" s="8">
        <v>0</v>
      </c>
      <c r="BH306" s="8">
        <v>0</v>
      </c>
      <c r="BJ306" s="8">
        <f t="shared" si="26"/>
        <v>8730728</v>
      </c>
      <c r="BL306" s="8">
        <f>+GenRev!AM306-GenExp!BJ306</f>
        <v>-87622</v>
      </c>
      <c r="BN306" s="8">
        <v>270678</v>
      </c>
      <c r="BP306" s="8">
        <v>0</v>
      </c>
      <c r="BQ306" s="8">
        <v>0</v>
      </c>
      <c r="BS306" s="8">
        <f t="shared" si="27"/>
        <v>183056</v>
      </c>
      <c r="BU306" s="9">
        <f>+BS306-'Gen Fd BS'!AA306+BQ306</f>
        <v>0</v>
      </c>
    </row>
    <row r="307" spans="1:73">
      <c r="A307" s="13" t="s">
        <v>343</v>
      </c>
      <c r="B307" s="13"/>
      <c r="C307" s="13" t="s">
        <v>24</v>
      </c>
      <c r="D307" s="13"/>
      <c r="E307" s="32">
        <v>46805</v>
      </c>
      <c r="G307" s="8">
        <v>5542248</v>
      </c>
      <c r="I307" s="8">
        <v>1028348</v>
      </c>
      <c r="K307" s="8">
        <v>390094</v>
      </c>
      <c r="M307" s="8">
        <v>5659</v>
      </c>
      <c r="O307" s="8">
        <v>510374</v>
      </c>
      <c r="Q307" s="8">
        <v>683185</v>
      </c>
      <c r="S307" s="8">
        <v>225158</v>
      </c>
      <c r="U307" s="8">
        <v>1099845</v>
      </c>
      <c r="W307" s="8">
        <v>417950</v>
      </c>
      <c r="Y307" s="8">
        <v>0</v>
      </c>
      <c r="AA307" s="8">
        <v>1426089</v>
      </c>
      <c r="AC307" s="8">
        <v>1087758</v>
      </c>
      <c r="AE307" s="8">
        <v>67171</v>
      </c>
      <c r="AG307" s="8">
        <v>0</v>
      </c>
      <c r="AI307" s="8">
        <v>21131</v>
      </c>
      <c r="AJ307" s="13" t="s">
        <v>343</v>
      </c>
      <c r="AK307" s="13"/>
      <c r="AL307" s="13" t="s">
        <v>24</v>
      </c>
      <c r="AN307" s="8">
        <v>259936</v>
      </c>
      <c r="AP307" s="8">
        <v>0</v>
      </c>
      <c r="AT307" s="8">
        <v>0</v>
      </c>
      <c r="AV307" s="8">
        <v>37718</v>
      </c>
      <c r="AX307" s="8">
        <v>5700</v>
      </c>
      <c r="AZ307" s="8">
        <f t="shared" si="25"/>
        <v>12808364</v>
      </c>
      <c r="BB307" s="8">
        <v>336592</v>
      </c>
      <c r="BH307" s="8">
        <v>0</v>
      </c>
      <c r="BJ307" s="8">
        <f t="shared" si="26"/>
        <v>13144956</v>
      </c>
      <c r="BL307" s="8">
        <f>+GenRev!AM307-GenExp!BJ307</f>
        <v>-914713</v>
      </c>
      <c r="BN307" s="8">
        <v>1492608</v>
      </c>
      <c r="BP307" s="8">
        <v>0</v>
      </c>
      <c r="BQ307" s="8">
        <v>0</v>
      </c>
      <c r="BS307" s="8">
        <f t="shared" si="27"/>
        <v>577895</v>
      </c>
      <c r="BU307" s="9">
        <f>+BS307-'Gen Fd BS'!AA307+BQ307</f>
        <v>0</v>
      </c>
    </row>
    <row r="308" spans="1:73">
      <c r="A308" s="13" t="s">
        <v>404</v>
      </c>
      <c r="B308" s="13"/>
      <c r="C308" s="13" t="s">
        <v>32</v>
      </c>
      <c r="D308" s="13"/>
      <c r="E308" s="32">
        <v>44313</v>
      </c>
      <c r="F308" s="11"/>
      <c r="G308" s="8">
        <v>9406360</v>
      </c>
      <c r="I308" s="8">
        <v>1793182</v>
      </c>
      <c r="K308" s="8">
        <v>0</v>
      </c>
      <c r="M308" s="8">
        <v>94540</v>
      </c>
      <c r="O308" s="8">
        <v>1180593</v>
      </c>
      <c r="Q308" s="8">
        <v>1136706</v>
      </c>
      <c r="S308" s="8">
        <v>9678</v>
      </c>
      <c r="U308" s="8">
        <v>1583526</v>
      </c>
      <c r="W308" s="8">
        <v>480765</v>
      </c>
      <c r="Y308" s="8">
        <v>30593</v>
      </c>
      <c r="AA308" s="8">
        <v>2567870</v>
      </c>
      <c r="AC308" s="8">
        <v>737620</v>
      </c>
      <c r="AE308" s="8">
        <v>71722</v>
      </c>
      <c r="AG308" s="8">
        <v>0</v>
      </c>
      <c r="AI308" s="8">
        <v>0</v>
      </c>
      <c r="AJ308" s="13" t="s">
        <v>404</v>
      </c>
      <c r="AK308" s="13"/>
      <c r="AL308" s="13" t="s">
        <v>32</v>
      </c>
      <c r="AN308" s="8">
        <v>438784</v>
      </c>
      <c r="AP308" s="8">
        <v>304865</v>
      </c>
      <c r="AT308" s="8">
        <v>103297</v>
      </c>
      <c r="AV308" s="8">
        <v>66426</v>
      </c>
      <c r="AX308" s="8">
        <v>0</v>
      </c>
      <c r="AZ308" s="8">
        <f t="shared" si="25"/>
        <v>20006527</v>
      </c>
      <c r="BB308" s="8">
        <v>68000</v>
      </c>
      <c r="BH308" s="8">
        <v>0</v>
      </c>
      <c r="BJ308" s="8">
        <f t="shared" si="26"/>
        <v>20074527</v>
      </c>
      <c r="BL308" s="8">
        <f>+GenRev!AM308-GenExp!BJ308</f>
        <v>-502233</v>
      </c>
      <c r="BN308" s="8">
        <v>8607970</v>
      </c>
      <c r="BP308" s="8">
        <v>0</v>
      </c>
      <c r="BQ308" s="8">
        <v>0</v>
      </c>
      <c r="BS308" s="8">
        <f t="shared" si="27"/>
        <v>8105737</v>
      </c>
      <c r="BU308" s="9">
        <f>+BS308-'Gen Fd BS'!AA308+BQ308</f>
        <v>0</v>
      </c>
    </row>
    <row r="309" spans="1:73" hidden="1">
      <c r="A309" s="13" t="s">
        <v>724</v>
      </c>
      <c r="B309" s="13"/>
      <c r="C309" s="13" t="s">
        <v>70</v>
      </c>
      <c r="D309" s="13"/>
      <c r="E309" s="32">
        <v>44321</v>
      </c>
      <c r="AJ309" s="13" t="s">
        <v>724</v>
      </c>
      <c r="AK309" s="13"/>
      <c r="AL309" s="13" t="s">
        <v>70</v>
      </c>
      <c r="AP309" s="8">
        <v>0</v>
      </c>
      <c r="AV309" s="8">
        <v>0</v>
      </c>
      <c r="AX309" s="8">
        <v>0</v>
      </c>
      <c r="AZ309" s="8">
        <f t="shared" si="25"/>
        <v>0</v>
      </c>
      <c r="BB309" s="8">
        <v>0</v>
      </c>
      <c r="BH309" s="8">
        <v>0</v>
      </c>
      <c r="BJ309" s="8">
        <f t="shared" si="26"/>
        <v>0</v>
      </c>
      <c r="BL309" s="8">
        <f>+GenRev!AM309-GenExp!BJ309</f>
        <v>0</v>
      </c>
      <c r="BN309" s="8">
        <v>0</v>
      </c>
      <c r="BP309" s="8">
        <v>0</v>
      </c>
      <c r="BQ309" s="8">
        <v>0</v>
      </c>
      <c r="BS309" s="8">
        <f t="shared" si="27"/>
        <v>0</v>
      </c>
      <c r="BU309" s="9">
        <f>+BS309-'Gen Fd BS'!AA309+BQ309</f>
        <v>0</v>
      </c>
    </row>
    <row r="310" spans="1:73">
      <c r="A310" s="13" t="s">
        <v>527</v>
      </c>
      <c r="B310" s="13"/>
      <c r="C310" s="13" t="s">
        <v>46</v>
      </c>
      <c r="D310" s="13"/>
      <c r="E310" s="32">
        <v>44339</v>
      </c>
      <c r="G310" s="8">
        <v>20742224</v>
      </c>
      <c r="I310" s="8">
        <v>4120057</v>
      </c>
      <c r="K310" s="8">
        <v>450520</v>
      </c>
      <c r="M310" s="8">
        <v>17004</v>
      </c>
      <c r="O310" s="8">
        <v>1974353</v>
      </c>
      <c r="Q310" s="8">
        <v>997087</v>
      </c>
      <c r="S310" s="8">
        <v>33112</v>
      </c>
      <c r="U310" s="8">
        <v>2957556</v>
      </c>
      <c r="W310" s="8">
        <v>624829</v>
      </c>
      <c r="Y310" s="8">
        <v>376044</v>
      </c>
      <c r="AA310" s="8">
        <v>4060721</v>
      </c>
      <c r="AC310" s="8">
        <v>792527</v>
      </c>
      <c r="AE310" s="8">
        <v>3750</v>
      </c>
      <c r="AG310" s="8">
        <v>0</v>
      </c>
      <c r="AI310" s="8">
        <v>961139</v>
      </c>
      <c r="AJ310" s="13" t="s">
        <v>527</v>
      </c>
      <c r="AK310" s="13"/>
      <c r="AL310" s="13" t="s">
        <v>46</v>
      </c>
      <c r="AN310" s="8">
        <v>616834</v>
      </c>
      <c r="AP310" s="8">
        <v>33050</v>
      </c>
      <c r="AT310" s="8">
        <v>54710</v>
      </c>
      <c r="AV310" s="8">
        <v>15948</v>
      </c>
      <c r="AX310" s="8">
        <v>0</v>
      </c>
      <c r="AZ310" s="8">
        <f t="shared" si="25"/>
        <v>38831465</v>
      </c>
      <c r="BB310" s="8">
        <v>0</v>
      </c>
      <c r="BH310" s="8">
        <v>0</v>
      </c>
      <c r="BJ310" s="8">
        <f t="shared" si="26"/>
        <v>38831465</v>
      </c>
      <c r="BL310" s="8">
        <f>+GenRev!AM310-GenExp!BJ310</f>
        <v>2467670</v>
      </c>
      <c r="BN310" s="8">
        <v>8382134</v>
      </c>
      <c r="BP310" s="8">
        <v>0</v>
      </c>
      <c r="BQ310" s="8">
        <v>0</v>
      </c>
      <c r="BS310" s="8">
        <f t="shared" si="27"/>
        <v>10849804</v>
      </c>
      <c r="BU310" s="9">
        <f>+BS310-'Gen Fd BS'!AA310+BQ310</f>
        <v>0</v>
      </c>
    </row>
    <row r="311" spans="1:73">
      <c r="A311" s="13" t="s">
        <v>660</v>
      </c>
      <c r="B311" s="13"/>
      <c r="C311" s="13" t="s">
        <v>62</v>
      </c>
      <c r="D311" s="13"/>
      <c r="E311" s="32">
        <v>49882</v>
      </c>
      <c r="G311" s="8">
        <v>8869437</v>
      </c>
      <c r="I311" s="8">
        <v>1973079</v>
      </c>
      <c r="K311" s="8">
        <v>945800</v>
      </c>
      <c r="M311" s="8">
        <v>1407225</v>
      </c>
      <c r="O311" s="8">
        <v>567959</v>
      </c>
      <c r="Q311" s="8">
        <v>860602</v>
      </c>
      <c r="S311" s="8">
        <v>0</v>
      </c>
      <c r="U311" s="8">
        <v>1864767</v>
      </c>
      <c r="W311" s="8">
        <v>393023</v>
      </c>
      <c r="Y311" s="8">
        <v>6528</v>
      </c>
      <c r="AA311" s="8">
        <v>1902448</v>
      </c>
      <c r="AC311" s="8">
        <v>1338712</v>
      </c>
      <c r="AE311" s="8">
        <v>50428</v>
      </c>
      <c r="AG311" s="8">
        <v>0</v>
      </c>
      <c r="AI311" s="8">
        <v>29138</v>
      </c>
      <c r="AJ311" s="13" t="s">
        <v>660</v>
      </c>
      <c r="AK311" s="13"/>
      <c r="AL311" s="13" t="s">
        <v>62</v>
      </c>
      <c r="AN311" s="8">
        <v>564746</v>
      </c>
      <c r="AP311" s="8">
        <v>204759</v>
      </c>
      <c r="AT311" s="8">
        <v>98410</v>
      </c>
      <c r="AV311" s="8">
        <v>33650</v>
      </c>
      <c r="AX311" s="8">
        <v>0</v>
      </c>
      <c r="AZ311" s="8">
        <f t="shared" si="25"/>
        <v>21110711</v>
      </c>
      <c r="BB311" s="8">
        <v>2934</v>
      </c>
      <c r="BH311" s="8">
        <v>0</v>
      </c>
      <c r="BJ311" s="8">
        <f t="shared" si="26"/>
        <v>21113645</v>
      </c>
      <c r="BL311" s="8">
        <f>+GenRev!AM311-GenExp!BJ311</f>
        <v>669753</v>
      </c>
      <c r="BN311" s="8">
        <v>2816071</v>
      </c>
      <c r="BP311" s="8">
        <v>5685</v>
      </c>
      <c r="BQ311" s="8">
        <v>0</v>
      </c>
      <c r="BS311" s="8">
        <f t="shared" si="27"/>
        <v>3480139</v>
      </c>
      <c r="BU311" s="9">
        <f>+BS311-'Gen Fd BS'!AA311+BQ311</f>
        <v>0</v>
      </c>
    </row>
    <row r="312" spans="1:73">
      <c r="A312" s="13" t="s">
        <v>236</v>
      </c>
      <c r="B312" s="13"/>
      <c r="C312" s="13" t="s">
        <v>15</v>
      </c>
      <c r="D312" s="13"/>
      <c r="E312" s="32">
        <v>44347</v>
      </c>
      <c r="G312" s="8">
        <v>5527135</v>
      </c>
      <c r="I312" s="8">
        <v>1312993</v>
      </c>
      <c r="K312" s="8">
        <v>315141</v>
      </c>
      <c r="M312" s="8">
        <v>0</v>
      </c>
      <c r="O312" s="8">
        <v>611131</v>
      </c>
      <c r="Q312" s="8">
        <v>357112</v>
      </c>
      <c r="S312" s="8">
        <v>75673</v>
      </c>
      <c r="U312" s="8">
        <v>1108239</v>
      </c>
      <c r="W312" s="8">
        <v>284729</v>
      </c>
      <c r="Y312" s="8">
        <v>0</v>
      </c>
      <c r="AA312" s="8">
        <v>1366525</v>
      </c>
      <c r="AC312" s="8">
        <v>737632</v>
      </c>
      <c r="AE312" s="8">
        <v>62331</v>
      </c>
      <c r="AG312" s="8">
        <v>0</v>
      </c>
      <c r="AI312" s="8">
        <v>0</v>
      </c>
      <c r="AJ312" s="13" t="s">
        <v>236</v>
      </c>
      <c r="AK312" s="13"/>
      <c r="AL312" s="13" t="s">
        <v>15</v>
      </c>
      <c r="AN312" s="8">
        <v>216480</v>
      </c>
      <c r="AP312" s="8">
        <v>904721</v>
      </c>
      <c r="AT312" s="8">
        <v>77089</v>
      </c>
      <c r="AV312" s="8">
        <v>96152</v>
      </c>
      <c r="AX312" s="8">
        <v>0</v>
      </c>
      <c r="AZ312" s="8">
        <f t="shared" si="25"/>
        <v>13053083</v>
      </c>
      <c r="BB312" s="8">
        <v>0</v>
      </c>
      <c r="BH312" s="8">
        <v>0</v>
      </c>
      <c r="BJ312" s="8">
        <f t="shared" si="26"/>
        <v>13053083</v>
      </c>
      <c r="BL312" s="8">
        <f>+GenRev!AM312-GenExp!BJ312</f>
        <v>-1872691</v>
      </c>
      <c r="BN312" s="8">
        <v>861220</v>
      </c>
      <c r="BP312" s="8">
        <v>0</v>
      </c>
      <c r="BQ312" s="8">
        <v>0</v>
      </c>
      <c r="BS312" s="8">
        <f t="shared" si="27"/>
        <v>-1011471</v>
      </c>
      <c r="BU312" s="9">
        <f>+BS312-'Gen Fd BS'!AA312+BQ312</f>
        <v>0</v>
      </c>
    </row>
    <row r="313" spans="1:73">
      <c r="A313" s="13" t="s">
        <v>708</v>
      </c>
      <c r="B313" s="13"/>
      <c r="C313" s="13" t="s">
        <v>66</v>
      </c>
      <c r="D313" s="13"/>
      <c r="E313" s="32">
        <v>45476</v>
      </c>
      <c r="G313" s="8">
        <v>26847621</v>
      </c>
      <c r="I313" s="8">
        <v>0</v>
      </c>
      <c r="K313" s="8">
        <v>0</v>
      </c>
      <c r="M313" s="8">
        <v>0</v>
      </c>
      <c r="O313" s="8">
        <v>2861874</v>
      </c>
      <c r="Q313" s="8">
        <v>3398975</v>
      </c>
      <c r="S313" s="8">
        <v>22055</v>
      </c>
      <c r="U313" s="8">
        <v>3269526</v>
      </c>
      <c r="W313" s="8">
        <v>1104491</v>
      </c>
      <c r="Y313" s="8">
        <v>819539</v>
      </c>
      <c r="AA313" s="8">
        <v>4095501</v>
      </c>
      <c r="AC313" s="8">
        <v>2210742</v>
      </c>
      <c r="AE313" s="8">
        <v>578932</v>
      </c>
      <c r="AG313" s="8">
        <v>0</v>
      </c>
      <c r="AI313" s="8">
        <v>2562</v>
      </c>
      <c r="AJ313" s="13" t="s">
        <v>708</v>
      </c>
      <c r="AK313" s="13"/>
      <c r="AL313" s="13" t="s">
        <v>66</v>
      </c>
      <c r="AN313" s="8">
        <v>945502</v>
      </c>
      <c r="AP313" s="8">
        <v>0</v>
      </c>
      <c r="AT313" s="8">
        <v>60000</v>
      </c>
      <c r="AV313" s="8">
        <v>34272</v>
      </c>
      <c r="AX313" s="8">
        <v>0</v>
      </c>
      <c r="AZ313" s="8">
        <f t="shared" si="25"/>
        <v>46251592</v>
      </c>
      <c r="BB313" s="8">
        <v>445988</v>
      </c>
      <c r="BH313" s="8">
        <v>0</v>
      </c>
      <c r="BJ313" s="8">
        <f t="shared" si="26"/>
        <v>46697580</v>
      </c>
      <c r="BL313" s="8">
        <f>+GenRev!AM313-GenExp!BJ313</f>
        <v>-3583480</v>
      </c>
      <c r="BN313" s="8">
        <v>283167</v>
      </c>
      <c r="BP313" s="8">
        <v>0</v>
      </c>
      <c r="BQ313" s="8">
        <v>0</v>
      </c>
      <c r="BS313" s="8">
        <f t="shared" si="27"/>
        <v>-3300313</v>
      </c>
      <c r="BU313" s="9">
        <f>+BS313-'Gen Fd BS'!AA313+BQ313</f>
        <v>0</v>
      </c>
    </row>
    <row r="314" spans="1:73">
      <c r="A314" s="13" t="s">
        <v>718</v>
      </c>
      <c r="B314" s="13"/>
      <c r="C314" s="13" t="s">
        <v>69</v>
      </c>
      <c r="D314" s="13"/>
      <c r="E314" s="32">
        <v>50450</v>
      </c>
      <c r="G314" s="8">
        <v>40368497</v>
      </c>
      <c r="I314" s="8">
        <v>8613495</v>
      </c>
      <c r="K314" s="8">
        <v>0</v>
      </c>
      <c r="M314" s="8">
        <v>882543</v>
      </c>
      <c r="O314" s="8">
        <v>5414656</v>
      </c>
      <c r="Q314" s="8">
        <v>6392547</v>
      </c>
      <c r="S314" s="8">
        <v>85525</v>
      </c>
      <c r="U314" s="8">
        <v>5322132</v>
      </c>
      <c r="W314" s="8">
        <v>1894767</v>
      </c>
      <c r="Y314" s="8">
        <v>347817</v>
      </c>
      <c r="AA314" s="8">
        <v>10145378</v>
      </c>
      <c r="AC314" s="8">
        <v>6656372</v>
      </c>
      <c r="AE314" s="8">
        <v>2987145</v>
      </c>
      <c r="AG314" s="8">
        <v>0</v>
      </c>
      <c r="AI314" s="8">
        <v>27125</v>
      </c>
      <c r="AJ314" s="13" t="s">
        <v>718</v>
      </c>
      <c r="AK314" s="13"/>
      <c r="AL314" s="13" t="s">
        <v>69</v>
      </c>
      <c r="AN314" s="8">
        <v>1531994</v>
      </c>
      <c r="AP314" s="8">
        <v>0</v>
      </c>
      <c r="AT314" s="8">
        <v>0</v>
      </c>
      <c r="AV314" s="8">
        <v>0</v>
      </c>
      <c r="AX314" s="8">
        <v>0</v>
      </c>
      <c r="AZ314" s="8">
        <f t="shared" si="25"/>
        <v>90669993</v>
      </c>
      <c r="BB314" s="8">
        <v>289743</v>
      </c>
      <c r="BH314" s="8">
        <v>0</v>
      </c>
      <c r="BJ314" s="8">
        <f t="shared" si="26"/>
        <v>90959736</v>
      </c>
      <c r="BL314" s="8">
        <f>+GenRev!AM314-GenExp!BJ314</f>
        <v>6209437</v>
      </c>
      <c r="BN314" s="8">
        <v>31457643</v>
      </c>
      <c r="BP314" s="8">
        <v>0</v>
      </c>
      <c r="BQ314" s="8">
        <v>0</v>
      </c>
      <c r="BS314" s="8">
        <f t="shared" si="27"/>
        <v>37667080</v>
      </c>
      <c r="BU314" s="9">
        <f>+BS314-'Gen Fd BS'!AA314+BQ314</f>
        <v>0</v>
      </c>
    </row>
    <row r="315" spans="1:73">
      <c r="A315" s="13" t="s">
        <v>661</v>
      </c>
      <c r="B315" s="13"/>
      <c r="C315" s="13" t="s">
        <v>62</v>
      </c>
      <c r="D315" s="13"/>
      <c r="E315" s="32">
        <v>44354</v>
      </c>
      <c r="G315" s="8">
        <v>15877742</v>
      </c>
      <c r="I315" s="8">
        <v>3738804</v>
      </c>
      <c r="K315" s="8">
        <v>1788418</v>
      </c>
      <c r="M315" s="8">
        <v>781285</v>
      </c>
      <c r="O315" s="8">
        <v>2842567</v>
      </c>
      <c r="Q315" s="8">
        <v>1260657</v>
      </c>
      <c r="S315" s="8">
        <v>287542</v>
      </c>
      <c r="U315" s="8">
        <v>2668097</v>
      </c>
      <c r="W315" s="8">
        <v>714583</v>
      </c>
      <c r="Y315" s="8">
        <v>40124</v>
      </c>
      <c r="AA315" s="8">
        <v>5240871</v>
      </c>
      <c r="AC315" s="8">
        <v>1521047</v>
      </c>
      <c r="AE315" s="8">
        <v>439017</v>
      </c>
      <c r="AG315" s="8">
        <v>0</v>
      </c>
      <c r="AI315" s="8">
        <f>1635+16689</f>
        <v>18324</v>
      </c>
      <c r="AJ315" s="13" t="s">
        <v>661</v>
      </c>
      <c r="AK315" s="13"/>
      <c r="AL315" s="13" t="s">
        <v>62</v>
      </c>
      <c r="AN315" s="8">
        <v>866647</v>
      </c>
      <c r="AP315" s="8">
        <v>0</v>
      </c>
      <c r="AT315" s="8">
        <v>50564</v>
      </c>
      <c r="AV315" s="8">
        <v>13863</v>
      </c>
      <c r="AX315" s="8">
        <v>0</v>
      </c>
      <c r="AZ315" s="8">
        <f t="shared" si="25"/>
        <v>38150152</v>
      </c>
      <c r="BB315" s="8">
        <v>0</v>
      </c>
      <c r="BH315" s="8">
        <v>0</v>
      </c>
      <c r="BJ315" s="8">
        <f t="shared" si="26"/>
        <v>38150152</v>
      </c>
      <c r="BL315" s="8">
        <f>+GenRev!AM315-GenExp!BJ315</f>
        <v>496341</v>
      </c>
      <c r="BN315" s="8">
        <v>5929209</v>
      </c>
      <c r="BP315" s="8">
        <v>0</v>
      </c>
      <c r="BQ315" s="8">
        <v>0</v>
      </c>
      <c r="BS315" s="8">
        <f t="shared" si="27"/>
        <v>6425550</v>
      </c>
      <c r="BU315" s="9">
        <f>+BS315-'Gen Fd BS'!AA315+BQ315</f>
        <v>0</v>
      </c>
    </row>
    <row r="316" spans="1:73">
      <c r="A316" s="13" t="s">
        <v>693</v>
      </c>
      <c r="B316" s="13"/>
      <c r="C316" s="13" t="s">
        <v>64</v>
      </c>
      <c r="D316" s="13"/>
      <c r="E316" s="13">
        <v>50153</v>
      </c>
      <c r="G316" s="8">
        <v>4179999</v>
      </c>
      <c r="I316" s="8">
        <v>630059</v>
      </c>
      <c r="K316" s="8">
        <v>68612</v>
      </c>
      <c r="M316" s="8">
        <v>103063</v>
      </c>
      <c r="O316" s="8">
        <v>452341</v>
      </c>
      <c r="Q316" s="8">
        <v>205462</v>
      </c>
      <c r="S316" s="8">
        <v>51092</v>
      </c>
      <c r="U316" s="8">
        <v>711566</v>
      </c>
      <c r="W316" s="8">
        <v>296987</v>
      </c>
      <c r="Y316" s="8">
        <v>0</v>
      </c>
      <c r="AA316" s="8">
        <v>939337</v>
      </c>
      <c r="AC316" s="8">
        <v>505451</v>
      </c>
      <c r="AE316" s="8">
        <v>75554</v>
      </c>
      <c r="AG316" s="8">
        <v>0</v>
      </c>
      <c r="AI316" s="8">
        <v>0</v>
      </c>
      <c r="AJ316" s="13" t="s">
        <v>693</v>
      </c>
      <c r="AK316" s="13"/>
      <c r="AL316" s="13" t="s">
        <v>64</v>
      </c>
      <c r="AN316" s="8">
        <v>25168</v>
      </c>
      <c r="AP316" s="8">
        <v>252296</v>
      </c>
      <c r="AT316" s="8">
        <v>0</v>
      </c>
      <c r="AV316" s="8">
        <v>0</v>
      </c>
      <c r="AX316" s="8">
        <v>0</v>
      </c>
      <c r="AZ316" s="8">
        <f t="shared" si="25"/>
        <v>8496987</v>
      </c>
      <c r="BB316" s="8">
        <v>365926</v>
      </c>
      <c r="BH316" s="8">
        <v>0</v>
      </c>
      <c r="BJ316" s="8">
        <f t="shared" si="26"/>
        <v>8862913</v>
      </c>
      <c r="BL316" s="8">
        <f>+GenRev!AM316-GenExp!BJ316</f>
        <v>-440281</v>
      </c>
      <c r="BN316" s="8">
        <v>1397052</v>
      </c>
      <c r="BP316" s="8">
        <v>0</v>
      </c>
      <c r="BQ316" s="8">
        <v>0</v>
      </c>
      <c r="BS316" s="8">
        <f t="shared" si="27"/>
        <v>956771</v>
      </c>
      <c r="BU316" s="9">
        <f>+BS316-'Gen Fd BS'!AA316+BQ316</f>
        <v>0</v>
      </c>
    </row>
    <row r="317" spans="1:73">
      <c r="A317" s="13" t="s">
        <v>503</v>
      </c>
      <c r="B317" s="13"/>
      <c r="C317" s="13" t="s">
        <v>118</v>
      </c>
      <c r="D317" s="13"/>
      <c r="E317" s="32">
        <v>44362</v>
      </c>
      <c r="F317" s="11"/>
      <c r="G317" s="8">
        <v>14448310</v>
      </c>
      <c r="I317" s="8">
        <v>2198037</v>
      </c>
      <c r="K317" s="8">
        <v>297982</v>
      </c>
      <c r="M317" s="8">
        <f>369+373982</f>
        <v>374351</v>
      </c>
      <c r="O317" s="8">
        <v>1375063</v>
      </c>
      <c r="Q317" s="8">
        <v>530521</v>
      </c>
      <c r="S317" s="8">
        <v>60269</v>
      </c>
      <c r="U317" s="8">
        <v>2519473</v>
      </c>
      <c r="W317" s="8">
        <v>822079</v>
      </c>
      <c r="Y317" s="8">
        <v>45196</v>
      </c>
      <c r="AA317" s="8">
        <v>3353747</v>
      </c>
      <c r="AC317" s="8">
        <v>855015</v>
      </c>
      <c r="AE317" s="8">
        <v>206723</v>
      </c>
      <c r="AG317" s="8">
        <v>0</v>
      </c>
      <c r="AI317" s="8">
        <v>4810</v>
      </c>
      <c r="AJ317" s="13" t="s">
        <v>503</v>
      </c>
      <c r="AK317" s="13"/>
      <c r="AL317" s="13" t="s">
        <v>118</v>
      </c>
      <c r="AN317" s="8">
        <v>715275</v>
      </c>
      <c r="AP317" s="8">
        <v>0</v>
      </c>
      <c r="AT317" s="8">
        <v>0</v>
      </c>
      <c r="AV317" s="8">
        <v>0</v>
      </c>
      <c r="AX317" s="8">
        <v>0</v>
      </c>
      <c r="AZ317" s="8">
        <f t="shared" si="25"/>
        <v>27806851</v>
      </c>
      <c r="BB317" s="8">
        <v>50500</v>
      </c>
      <c r="BH317" s="8">
        <v>0</v>
      </c>
      <c r="BJ317" s="8">
        <f t="shared" si="26"/>
        <v>27857351</v>
      </c>
      <c r="BL317" s="8">
        <f>+GenRev!AM317-GenExp!BJ317</f>
        <v>-250248</v>
      </c>
      <c r="BN317" s="8">
        <v>533919</v>
      </c>
      <c r="BP317" s="8">
        <v>968</v>
      </c>
      <c r="BQ317" s="8">
        <v>0</v>
      </c>
      <c r="BS317" s="8">
        <f t="shared" si="27"/>
        <v>282703</v>
      </c>
      <c r="BU317" s="9">
        <f>+BS317-'Gen Fd BS'!AA317+BQ317</f>
        <v>0</v>
      </c>
    </row>
    <row r="318" spans="1:73">
      <c r="A318" s="13" t="s">
        <v>316</v>
      </c>
      <c r="B318" s="13"/>
      <c r="C318" s="13" t="s">
        <v>20</v>
      </c>
      <c r="D318" s="13"/>
      <c r="E318" s="32">
        <v>44370</v>
      </c>
      <c r="G318" s="8">
        <v>21353526</v>
      </c>
      <c r="I318" s="8">
        <v>8216445</v>
      </c>
      <c r="K318" s="8">
        <v>1347821</v>
      </c>
      <c r="M318" s="8">
        <v>0</v>
      </c>
      <c r="O318" s="8">
        <v>3374531</v>
      </c>
      <c r="Q318" s="8">
        <v>3718644</v>
      </c>
      <c r="S318" s="8">
        <v>90665</v>
      </c>
      <c r="U318" s="8">
        <v>2924205</v>
      </c>
      <c r="W318" s="8">
        <v>1563819</v>
      </c>
      <c r="Y318" s="8">
        <v>282293</v>
      </c>
      <c r="AA318" s="8">
        <v>5974042</v>
      </c>
      <c r="AC318" s="8">
        <v>4478174</v>
      </c>
      <c r="AE318" s="8">
        <v>638576</v>
      </c>
      <c r="AG318" s="8">
        <v>0</v>
      </c>
      <c r="AI318" s="8">
        <v>7904</v>
      </c>
      <c r="AJ318" s="13" t="s">
        <v>316</v>
      </c>
      <c r="AK318" s="13"/>
      <c r="AL318" s="13" t="s">
        <v>20</v>
      </c>
      <c r="AN318" s="8">
        <v>892027</v>
      </c>
      <c r="AP318" s="8">
        <v>340922</v>
      </c>
      <c r="AT318" s="8">
        <v>79299</v>
      </c>
      <c r="AV318" s="8">
        <v>6158</v>
      </c>
      <c r="AX318" s="8">
        <v>0</v>
      </c>
      <c r="AZ318" s="8">
        <f t="shared" si="25"/>
        <v>55289051</v>
      </c>
      <c r="BB318" s="8">
        <v>1436743</v>
      </c>
      <c r="BH318" s="8">
        <v>0</v>
      </c>
      <c r="BJ318" s="8">
        <f t="shared" si="26"/>
        <v>56725794</v>
      </c>
      <c r="BL318" s="8">
        <f>+GenRev!AM318-GenExp!BJ318</f>
        <v>-868105</v>
      </c>
      <c r="BN318" s="8">
        <v>13284949</v>
      </c>
      <c r="BP318" s="8">
        <v>0</v>
      </c>
      <c r="BQ318" s="8">
        <v>0</v>
      </c>
      <c r="BS318" s="8">
        <f t="shared" si="27"/>
        <v>12416844</v>
      </c>
      <c r="BU318" s="9">
        <f>+BS318-'Gen Fd BS'!AA318+BQ318</f>
        <v>0</v>
      </c>
    </row>
    <row r="319" spans="1:73">
      <c r="A319" s="13" t="s">
        <v>573</v>
      </c>
      <c r="B319" s="13"/>
      <c r="C319" s="13" t="s">
        <v>51</v>
      </c>
      <c r="D319" s="13"/>
      <c r="E319" s="32">
        <v>48850</v>
      </c>
      <c r="G319" s="8">
        <v>8032930</v>
      </c>
      <c r="I319" s="8">
        <v>1213278</v>
      </c>
      <c r="K319" s="8">
        <v>133674</v>
      </c>
      <c r="M319" s="8">
        <v>219025</v>
      </c>
      <c r="O319" s="8">
        <v>638367</v>
      </c>
      <c r="Q319" s="8">
        <v>737912</v>
      </c>
      <c r="S319" s="8">
        <v>62581</v>
      </c>
      <c r="U319" s="8">
        <v>1775998</v>
      </c>
      <c r="W319" s="8">
        <v>365988</v>
      </c>
      <c r="Y319" s="8">
        <v>0</v>
      </c>
      <c r="AA319" s="8">
        <v>1810984</v>
      </c>
      <c r="AC319" s="8">
        <v>939104</v>
      </c>
      <c r="AE319" s="8">
        <v>31853</v>
      </c>
      <c r="AG319" s="8">
        <v>0</v>
      </c>
      <c r="AI319" s="8">
        <v>0</v>
      </c>
      <c r="AJ319" s="13" t="s">
        <v>573</v>
      </c>
      <c r="AK319" s="13"/>
      <c r="AL319" s="13" t="s">
        <v>51</v>
      </c>
      <c r="AN319" s="8">
        <v>313921</v>
      </c>
      <c r="AP319" s="8">
        <v>0</v>
      </c>
      <c r="AT319" s="8">
        <v>50738</v>
      </c>
      <c r="AV319" s="8">
        <v>5982</v>
      </c>
      <c r="AX319" s="8">
        <v>0</v>
      </c>
      <c r="AZ319" s="8">
        <f t="shared" si="25"/>
        <v>16332335</v>
      </c>
      <c r="BB319" s="8">
        <v>200000</v>
      </c>
      <c r="BH319" s="8">
        <v>0</v>
      </c>
      <c r="BJ319" s="8">
        <f t="shared" si="26"/>
        <v>16532335</v>
      </c>
      <c r="BL319" s="8">
        <f>+GenRev!AM319-GenExp!BJ319</f>
        <v>-1297676</v>
      </c>
      <c r="BN319" s="8">
        <v>2376269</v>
      </c>
      <c r="BP319" s="8">
        <v>0</v>
      </c>
      <c r="BQ319" s="8">
        <v>0</v>
      </c>
      <c r="BS319" s="8">
        <f t="shared" si="27"/>
        <v>1078593</v>
      </c>
      <c r="BU319" s="9">
        <f>+BS319-'Gen Fd BS'!AA319+BQ319</f>
        <v>0</v>
      </c>
    </row>
    <row r="320" spans="1:73" hidden="1">
      <c r="A320" s="13" t="s">
        <v>830</v>
      </c>
      <c r="B320" s="13"/>
      <c r="C320" s="13" t="s">
        <v>33</v>
      </c>
      <c r="D320" s="13"/>
      <c r="E320" s="32">
        <v>47456</v>
      </c>
      <c r="AJ320" s="13" t="s">
        <v>423</v>
      </c>
      <c r="AK320" s="13"/>
      <c r="AL320" s="13" t="s">
        <v>33</v>
      </c>
      <c r="AX320" s="8">
        <v>0</v>
      </c>
      <c r="AZ320" s="8">
        <f t="shared" si="25"/>
        <v>0</v>
      </c>
      <c r="BB320" s="8">
        <v>0</v>
      </c>
      <c r="BH320" s="8">
        <v>0</v>
      </c>
      <c r="BJ320" s="8">
        <f t="shared" si="26"/>
        <v>0</v>
      </c>
      <c r="BL320" s="8">
        <f>+GenRev!AM320-GenExp!BJ320</f>
        <v>0</v>
      </c>
      <c r="BN320" s="8">
        <v>0</v>
      </c>
      <c r="BP320" s="8">
        <v>0</v>
      </c>
      <c r="BQ320" s="8">
        <v>0</v>
      </c>
      <c r="BS320" s="8">
        <f t="shared" si="27"/>
        <v>0</v>
      </c>
      <c r="BU320" s="9">
        <f>+BS320-'Gen Fd BS'!AA320+BQ320</f>
        <v>0</v>
      </c>
    </row>
    <row r="321" spans="1:73">
      <c r="A321" s="13" t="s">
        <v>928</v>
      </c>
      <c r="B321" s="13"/>
      <c r="C321" s="13" t="s">
        <v>64</v>
      </c>
      <c r="D321" s="13"/>
      <c r="E321" s="32">
        <v>50229</v>
      </c>
      <c r="G321" s="8">
        <v>4018048</v>
      </c>
      <c r="I321" s="8">
        <v>453913</v>
      </c>
      <c r="K321" s="8">
        <v>42867</v>
      </c>
      <c r="M321" s="8">
        <v>0</v>
      </c>
      <c r="O321" s="8">
        <v>182692</v>
      </c>
      <c r="Q321" s="8">
        <v>64063</v>
      </c>
      <c r="S321" s="8">
        <v>40640</v>
      </c>
      <c r="U321" s="8">
        <v>534393</v>
      </c>
      <c r="W321" s="8">
        <v>197449</v>
      </c>
      <c r="Y321" s="8">
        <v>0</v>
      </c>
      <c r="AA321" s="8">
        <v>463434</v>
      </c>
      <c r="AC321" s="8">
        <v>123619</v>
      </c>
      <c r="AE321" s="8">
        <v>14787</v>
      </c>
      <c r="AG321" s="8">
        <v>0</v>
      </c>
      <c r="AI321" s="8">
        <v>0</v>
      </c>
      <c r="AJ321" s="13" t="s">
        <v>928</v>
      </c>
      <c r="AK321" s="13"/>
      <c r="AL321" s="13" t="s">
        <v>64</v>
      </c>
      <c r="AN321" s="8">
        <v>170759</v>
      </c>
      <c r="AP321" s="8">
        <v>0</v>
      </c>
      <c r="AT321" s="8">
        <v>131020</v>
      </c>
      <c r="AV321" s="8">
        <v>15189</v>
      </c>
      <c r="AX321" s="8">
        <v>0</v>
      </c>
      <c r="AZ321" s="8">
        <f t="shared" si="25"/>
        <v>6452873</v>
      </c>
      <c r="BB321" s="8">
        <v>0</v>
      </c>
      <c r="BH321" s="8">
        <v>0</v>
      </c>
      <c r="BJ321" s="8">
        <f t="shared" si="26"/>
        <v>6452873</v>
      </c>
      <c r="BL321" s="8">
        <f>+GenRev!AM321-GenExp!BJ321</f>
        <v>-369073</v>
      </c>
      <c r="BN321" s="8">
        <v>-843474</v>
      </c>
      <c r="BP321" s="8">
        <v>0</v>
      </c>
      <c r="BQ321" s="8">
        <v>0</v>
      </c>
      <c r="BS321" s="8">
        <f t="shared" si="27"/>
        <v>-1212547</v>
      </c>
      <c r="BU321" s="9">
        <f>+BS321-'Gen Fd BS'!AA321+BQ321</f>
        <v>0</v>
      </c>
    </row>
    <row r="322" spans="1:73">
      <c r="A322" s="13" t="s">
        <v>260</v>
      </c>
      <c r="B322" s="13"/>
      <c r="C322" s="13" t="s">
        <v>259</v>
      </c>
      <c r="D322" s="13"/>
      <c r="E322" s="32">
        <v>45484</v>
      </c>
      <c r="G322" s="8">
        <v>3302728</v>
      </c>
      <c r="I322" s="8">
        <v>878796</v>
      </c>
      <c r="K322" s="8">
        <v>127977</v>
      </c>
      <c r="M322" s="8">
        <v>0</v>
      </c>
      <c r="O322" s="8">
        <v>248861</v>
      </c>
      <c r="Q322" s="8">
        <v>172956</v>
      </c>
      <c r="S322" s="8">
        <v>39981</v>
      </c>
      <c r="U322" s="8">
        <v>653494</v>
      </c>
      <c r="W322" s="8">
        <v>290293</v>
      </c>
      <c r="Y322" s="8">
        <v>0</v>
      </c>
      <c r="AA322" s="8">
        <v>762123</v>
      </c>
      <c r="AC322" s="8">
        <v>652566</v>
      </c>
      <c r="AE322" s="8">
        <v>71797</v>
      </c>
      <c r="AG322" s="8">
        <v>0</v>
      </c>
      <c r="AI322" s="8">
        <v>0</v>
      </c>
      <c r="AJ322" s="13" t="s">
        <v>260</v>
      </c>
      <c r="AK322" s="13"/>
      <c r="AL322" s="13" t="s">
        <v>259</v>
      </c>
      <c r="AN322" s="8">
        <v>191642</v>
      </c>
      <c r="AP322" s="8">
        <v>0</v>
      </c>
      <c r="AT322" s="8">
        <v>19761</v>
      </c>
      <c r="AV322" s="8">
        <v>4387</v>
      </c>
      <c r="AX322" s="8">
        <v>0</v>
      </c>
      <c r="AZ322" s="8">
        <f t="shared" si="25"/>
        <v>7417362</v>
      </c>
      <c r="BB322" s="8">
        <v>29922</v>
      </c>
      <c r="BH322" s="8">
        <v>0</v>
      </c>
      <c r="BJ322" s="8">
        <f t="shared" si="26"/>
        <v>7447284</v>
      </c>
      <c r="BL322" s="8">
        <f>+GenRev!AM322-GenExp!BJ322</f>
        <v>950120</v>
      </c>
      <c r="BN322" s="8">
        <v>639104</v>
      </c>
      <c r="BP322" s="8">
        <v>0</v>
      </c>
      <c r="BQ322" s="8">
        <v>0</v>
      </c>
      <c r="BS322" s="8">
        <f t="shared" si="27"/>
        <v>1589224</v>
      </c>
      <c r="BU322" s="9">
        <f>+BS322-'Gen Fd BS'!AA322+BQ322</f>
        <v>0</v>
      </c>
    </row>
    <row r="323" spans="1:73">
      <c r="A323" s="13" t="s">
        <v>535</v>
      </c>
      <c r="B323" s="13"/>
      <c r="C323" s="13" t="s">
        <v>47</v>
      </c>
      <c r="D323" s="13"/>
      <c r="E323" s="32">
        <v>44388</v>
      </c>
      <c r="G323" s="8">
        <v>34494593</v>
      </c>
      <c r="I323" s="8">
        <v>8024172</v>
      </c>
      <c r="K323" s="8">
        <v>489821</v>
      </c>
      <c r="M323" s="8">
        <v>0</v>
      </c>
      <c r="O323" s="8">
        <v>3552160</v>
      </c>
      <c r="Q323" s="8">
        <v>3320462</v>
      </c>
      <c r="S323" s="8">
        <v>100378</v>
      </c>
      <c r="U323" s="8">
        <v>4744128</v>
      </c>
      <c r="W323" s="8">
        <v>1441355</v>
      </c>
      <c r="Y323" s="8">
        <v>650735</v>
      </c>
      <c r="AA323" s="8">
        <v>7413513</v>
      </c>
      <c r="AC323" s="8">
        <v>2996693</v>
      </c>
      <c r="AE323" s="8">
        <v>391759</v>
      </c>
      <c r="AG323" s="8">
        <v>0</v>
      </c>
      <c r="AI323" s="8">
        <v>89192</v>
      </c>
      <c r="AJ323" s="13" t="s">
        <v>535</v>
      </c>
      <c r="AK323" s="13"/>
      <c r="AL323" s="13" t="s">
        <v>47</v>
      </c>
      <c r="AN323" s="8">
        <v>1274532</v>
      </c>
      <c r="AP323" s="8">
        <v>367178</v>
      </c>
      <c r="AT323" s="8">
        <v>81730</v>
      </c>
      <c r="AV323" s="8">
        <v>14114</v>
      </c>
      <c r="AX323" s="8">
        <v>0</v>
      </c>
      <c r="AZ323" s="8">
        <f t="shared" si="25"/>
        <v>69446515</v>
      </c>
      <c r="BB323" s="8">
        <v>180500</v>
      </c>
      <c r="BH323" s="8">
        <v>0</v>
      </c>
      <c r="BJ323" s="8">
        <f t="shared" si="26"/>
        <v>69627015</v>
      </c>
      <c r="BL323" s="8">
        <f>+GenRev!AM323-GenExp!BJ323</f>
        <v>-1633750</v>
      </c>
      <c r="BN323" s="8">
        <v>14613437</v>
      </c>
      <c r="BP323" s="8">
        <v>0</v>
      </c>
      <c r="BQ323" s="8">
        <v>0</v>
      </c>
      <c r="BS323" s="8">
        <f t="shared" si="27"/>
        <v>12979687</v>
      </c>
      <c r="BU323" s="9">
        <f>+BS323-'Gen Fd BS'!AA323+BQ323</f>
        <v>0</v>
      </c>
    </row>
    <row r="324" spans="1:73">
      <c r="A324" s="13" t="s">
        <v>538</v>
      </c>
      <c r="B324" s="13"/>
      <c r="C324" s="13" t="s">
        <v>537</v>
      </c>
      <c r="D324" s="13"/>
      <c r="E324" s="32">
        <v>48520</v>
      </c>
      <c r="G324" s="8">
        <v>6077401</v>
      </c>
      <c r="I324" s="8">
        <v>1206390</v>
      </c>
      <c r="K324" s="8">
        <v>1261386</v>
      </c>
      <c r="M324" s="8">
        <f>5500+1975638</f>
        <v>1981138</v>
      </c>
      <c r="O324" s="8">
        <v>186943</v>
      </c>
      <c r="Q324" s="8">
        <v>337809</v>
      </c>
      <c r="S324" s="8">
        <v>44983</v>
      </c>
      <c r="U324" s="8">
        <v>1643661</v>
      </c>
      <c r="W324" s="8">
        <v>446848</v>
      </c>
      <c r="Y324" s="8">
        <v>0</v>
      </c>
      <c r="AA324" s="8">
        <v>1782667</v>
      </c>
      <c r="AC324" s="8">
        <v>1629945</v>
      </c>
      <c r="AE324" s="8">
        <v>0</v>
      </c>
      <c r="AG324" s="8">
        <v>0</v>
      </c>
      <c r="AI324" s="8">
        <v>40723</v>
      </c>
      <c r="AJ324" s="13" t="s">
        <v>538</v>
      </c>
      <c r="AK324" s="13"/>
      <c r="AL324" s="13" t="s">
        <v>537</v>
      </c>
      <c r="AN324" s="8">
        <v>202430</v>
      </c>
      <c r="AP324" s="8">
        <v>0</v>
      </c>
      <c r="AT324" s="8">
        <v>0</v>
      </c>
      <c r="AV324" s="8">
        <v>0</v>
      </c>
      <c r="AX324" s="8">
        <v>0</v>
      </c>
      <c r="AZ324" s="8">
        <f t="shared" si="25"/>
        <v>16842324</v>
      </c>
      <c r="BB324" s="8">
        <v>5000</v>
      </c>
      <c r="BH324" s="8">
        <v>0</v>
      </c>
      <c r="BJ324" s="8">
        <f t="shared" si="26"/>
        <v>16847324</v>
      </c>
      <c r="BL324" s="8">
        <f>+GenRev!AM324-GenExp!BJ324</f>
        <v>-1112358</v>
      </c>
      <c r="BN324" s="8">
        <v>-542438</v>
      </c>
      <c r="BP324" s="8">
        <v>0</v>
      </c>
      <c r="BQ324" s="8">
        <v>0</v>
      </c>
      <c r="BS324" s="8">
        <f t="shared" si="27"/>
        <v>-1654796</v>
      </c>
      <c r="BU324" s="9">
        <f>+BS324-'Gen Fd BS'!AA324+BQ324</f>
        <v>0</v>
      </c>
    </row>
    <row r="325" spans="1:73">
      <c r="A325" s="13" t="s">
        <v>465</v>
      </c>
      <c r="B325" s="13"/>
      <c r="C325" s="13" t="s">
        <v>41</v>
      </c>
      <c r="D325" s="13"/>
      <c r="E325" s="32">
        <v>45492</v>
      </c>
      <c r="F325" s="11"/>
      <c r="G325" s="8">
        <v>42169183</v>
      </c>
      <c r="I325" s="8">
        <v>9977566</v>
      </c>
      <c r="K325" s="8">
        <v>2119475</v>
      </c>
      <c r="M325" s="8">
        <v>797941</v>
      </c>
      <c r="O325" s="8">
        <v>4749226</v>
      </c>
      <c r="Q325" s="8">
        <v>4870477</v>
      </c>
      <c r="S325" s="8">
        <v>627720</v>
      </c>
      <c r="U325" s="8">
        <v>4990730</v>
      </c>
      <c r="W325" s="8">
        <v>2456566</v>
      </c>
      <c r="Y325" s="8">
        <v>422564</v>
      </c>
      <c r="AA325" s="8">
        <v>8123995</v>
      </c>
      <c r="AC325" s="8">
        <v>6128221</v>
      </c>
      <c r="AE325" s="8">
        <v>1353861</v>
      </c>
      <c r="AG325" s="8">
        <v>0</v>
      </c>
      <c r="AI325" s="8">
        <v>148017</v>
      </c>
      <c r="AJ325" s="13" t="s">
        <v>465</v>
      </c>
      <c r="AK325" s="13"/>
      <c r="AL325" s="13" t="s">
        <v>41</v>
      </c>
      <c r="AN325" s="8">
        <v>1259965</v>
      </c>
      <c r="AP325" s="8">
        <v>0</v>
      </c>
      <c r="AT325" s="8">
        <v>61671</v>
      </c>
      <c r="AV325" s="8">
        <v>7517</v>
      </c>
      <c r="AX325" s="8">
        <v>0</v>
      </c>
      <c r="AZ325" s="8">
        <f t="shared" si="25"/>
        <v>90264695</v>
      </c>
      <c r="BB325" s="8">
        <v>439489</v>
      </c>
      <c r="BH325" s="8">
        <v>0</v>
      </c>
      <c r="BJ325" s="8">
        <f t="shared" si="26"/>
        <v>90704184</v>
      </c>
      <c r="BL325" s="8">
        <f>+GenRev!AM325-GenExp!BJ325</f>
        <v>9161512</v>
      </c>
      <c r="BN325" s="8">
        <v>32614082</v>
      </c>
      <c r="BP325" s="8">
        <v>0</v>
      </c>
      <c r="BQ325" s="8">
        <v>0</v>
      </c>
      <c r="BS325" s="8">
        <f t="shared" si="27"/>
        <v>41775594</v>
      </c>
      <c r="BU325" s="9">
        <f>+BS325-'Gen Fd BS'!AA325+BQ325</f>
        <v>0</v>
      </c>
    </row>
    <row r="326" spans="1:73">
      <c r="A326" s="13" t="s">
        <v>545</v>
      </c>
      <c r="B326" s="13"/>
      <c r="C326" s="13" t="s">
        <v>48</v>
      </c>
      <c r="D326" s="13"/>
      <c r="E326" s="32">
        <v>48629</v>
      </c>
      <c r="G326" s="8">
        <v>5337518</v>
      </c>
      <c r="I326" s="8">
        <v>529612</v>
      </c>
      <c r="K326" s="8">
        <v>122002</v>
      </c>
      <c r="M326" s="8">
        <v>13661</v>
      </c>
      <c r="O326" s="8">
        <v>267065</v>
      </c>
      <c r="Q326" s="8">
        <v>242440</v>
      </c>
      <c r="S326" s="8">
        <v>76344</v>
      </c>
      <c r="U326" s="8">
        <v>826165</v>
      </c>
      <c r="W326" s="8">
        <v>324501</v>
      </c>
      <c r="Y326" s="8">
        <v>53121</v>
      </c>
      <c r="AA326" s="8">
        <v>876863</v>
      </c>
      <c r="AC326" s="8">
        <v>725416</v>
      </c>
      <c r="AE326" s="8">
        <v>178003</v>
      </c>
      <c r="AG326" s="8">
        <v>0</v>
      </c>
      <c r="AI326" s="8">
        <v>4695</v>
      </c>
      <c r="AJ326" s="13" t="s">
        <v>545</v>
      </c>
      <c r="AK326" s="13"/>
      <c r="AL326" s="13" t="s">
        <v>48</v>
      </c>
      <c r="AN326" s="8">
        <v>292538</v>
      </c>
      <c r="AP326" s="8">
        <v>7981</v>
      </c>
      <c r="AT326" s="8">
        <v>0</v>
      </c>
      <c r="AV326" s="8">
        <v>0</v>
      </c>
      <c r="AX326" s="8">
        <v>0</v>
      </c>
      <c r="AZ326" s="8">
        <f t="shared" si="25"/>
        <v>9877925</v>
      </c>
      <c r="BB326" s="8">
        <v>445160</v>
      </c>
      <c r="BH326" s="8">
        <v>0</v>
      </c>
      <c r="BJ326" s="8">
        <f t="shared" si="26"/>
        <v>10323085</v>
      </c>
      <c r="BL326" s="8">
        <f>+GenRev!AM326-GenExp!BJ326</f>
        <v>535373</v>
      </c>
      <c r="BN326" s="8">
        <v>-208122</v>
      </c>
      <c r="BP326" s="8">
        <v>0</v>
      </c>
      <c r="BQ326" s="8">
        <v>0</v>
      </c>
      <c r="BS326" s="8">
        <f t="shared" si="27"/>
        <v>327251</v>
      </c>
      <c r="BU326" s="9">
        <f>+BS326-'Gen Fd BS'!AA326+BQ326</f>
        <v>0</v>
      </c>
    </row>
    <row r="327" spans="1:73">
      <c r="A327" s="13" t="s">
        <v>354</v>
      </c>
      <c r="B327" s="13"/>
      <c r="C327" s="13" t="s">
        <v>26</v>
      </c>
      <c r="D327" s="13"/>
      <c r="E327" s="32">
        <v>46920</v>
      </c>
      <c r="F327" s="11"/>
      <c r="G327" s="8">
        <v>9664366</v>
      </c>
      <c r="I327" s="8">
        <v>1400798</v>
      </c>
      <c r="K327" s="8">
        <v>571565</v>
      </c>
      <c r="M327" s="8">
        <v>1540200</v>
      </c>
      <c r="O327" s="8">
        <v>978954</v>
      </c>
      <c r="Q327" s="8">
        <v>1419916</v>
      </c>
      <c r="S327" s="8">
        <v>28370</v>
      </c>
      <c r="U327" s="8">
        <v>2298173</v>
      </c>
      <c r="W327" s="8">
        <v>667398</v>
      </c>
      <c r="Y327" s="8">
        <v>112572</v>
      </c>
      <c r="AA327" s="8">
        <v>2030931</v>
      </c>
      <c r="AC327" s="8">
        <v>1819190</v>
      </c>
      <c r="AE327" s="8">
        <v>97703</v>
      </c>
      <c r="AG327" s="8">
        <v>0</v>
      </c>
      <c r="AI327" s="8">
        <v>9357</v>
      </c>
      <c r="AJ327" s="13" t="s">
        <v>354</v>
      </c>
      <c r="AK327" s="13"/>
      <c r="AL327" s="13" t="s">
        <v>26</v>
      </c>
      <c r="AN327" s="8">
        <v>301476</v>
      </c>
      <c r="AP327" s="8">
        <v>290076</v>
      </c>
      <c r="AT327" s="8">
        <v>0</v>
      </c>
      <c r="AV327" s="8">
        <v>0</v>
      </c>
      <c r="AX327" s="8">
        <v>0</v>
      </c>
      <c r="AZ327" s="8">
        <f t="shared" si="25"/>
        <v>23231045</v>
      </c>
      <c r="BB327" s="8">
        <v>118666</v>
      </c>
      <c r="BH327" s="8">
        <v>0</v>
      </c>
      <c r="BJ327" s="8">
        <f t="shared" si="26"/>
        <v>23349711</v>
      </c>
      <c r="BL327" s="8">
        <f>+GenRev!AM327-GenExp!BJ327</f>
        <v>990653</v>
      </c>
      <c r="BN327" s="8">
        <v>3530506</v>
      </c>
      <c r="BP327" s="8">
        <v>0</v>
      </c>
      <c r="BQ327" s="8">
        <v>0</v>
      </c>
      <c r="BS327" s="8">
        <f t="shared" si="27"/>
        <v>4521159</v>
      </c>
      <c r="BU327" s="9">
        <f>+BS327-'Gen Fd BS'!AA327+BQ327</f>
        <v>0</v>
      </c>
    </row>
    <row r="328" spans="1:73">
      <c r="A328" s="13" t="s">
        <v>559</v>
      </c>
      <c r="B328" s="13"/>
      <c r="C328" s="13" t="s">
        <v>50</v>
      </c>
      <c r="D328" s="13"/>
      <c r="E328" s="32">
        <v>44396</v>
      </c>
      <c r="G328" s="8">
        <v>22334687</v>
      </c>
      <c r="I328" s="8">
        <v>5735406</v>
      </c>
      <c r="K328" s="8">
        <v>677098</v>
      </c>
      <c r="M328" s="8">
        <v>448642</v>
      </c>
      <c r="O328" s="8">
        <v>4145428</v>
      </c>
      <c r="Q328" s="8">
        <v>1358049</v>
      </c>
      <c r="S328" s="8">
        <v>30720</v>
      </c>
      <c r="U328" s="8">
        <v>2910596</v>
      </c>
      <c r="W328" s="8">
        <v>893548</v>
      </c>
      <c r="Y328" s="8">
        <v>285511</v>
      </c>
      <c r="AA328" s="8">
        <v>3296818</v>
      </c>
      <c r="AC328" s="8">
        <v>2297892</v>
      </c>
      <c r="AE328" s="8">
        <v>379611</v>
      </c>
      <c r="AG328" s="8">
        <v>0</v>
      </c>
      <c r="AI328" s="8">
        <v>24890</v>
      </c>
      <c r="AJ328" s="13" t="s">
        <v>559</v>
      </c>
      <c r="AK328" s="13"/>
      <c r="AL328" s="13" t="s">
        <v>50</v>
      </c>
      <c r="AN328" s="8">
        <v>512894</v>
      </c>
      <c r="AP328" s="8">
        <v>0</v>
      </c>
      <c r="AT328" s="8">
        <v>0</v>
      </c>
      <c r="AV328" s="8">
        <v>0</v>
      </c>
      <c r="AX328" s="8">
        <v>0</v>
      </c>
      <c r="AZ328" s="8">
        <f t="shared" si="25"/>
        <v>45331790</v>
      </c>
      <c r="BB328" s="8">
        <v>203241</v>
      </c>
      <c r="BH328" s="8">
        <v>0</v>
      </c>
      <c r="BJ328" s="8">
        <f t="shared" si="26"/>
        <v>45535031</v>
      </c>
      <c r="BL328" s="8">
        <f>+GenRev!AM328-GenExp!BJ328</f>
        <v>-4139293</v>
      </c>
      <c r="BN328" s="8">
        <v>7536502</v>
      </c>
      <c r="BP328" s="8">
        <v>0</v>
      </c>
      <c r="BQ328" s="8">
        <v>0</v>
      </c>
      <c r="BS328" s="8">
        <f t="shared" si="27"/>
        <v>3397209</v>
      </c>
      <c r="BU328" s="9">
        <f>+BS328-'Gen Fd BS'!AA328+BQ328</f>
        <v>3</v>
      </c>
    </row>
    <row r="329" spans="1:73">
      <c r="A329" s="13" t="s">
        <v>251</v>
      </c>
      <c r="B329" s="13"/>
      <c r="C329" s="13" t="s">
        <v>246</v>
      </c>
      <c r="D329" s="13"/>
      <c r="E329" s="32">
        <v>44404</v>
      </c>
      <c r="G329" s="8">
        <v>21275634</v>
      </c>
      <c r="I329" s="8">
        <v>96408</v>
      </c>
      <c r="K329" s="8">
        <v>0</v>
      </c>
      <c r="M329" s="8">
        <v>447828</v>
      </c>
      <c r="O329" s="8">
        <v>3477339</v>
      </c>
      <c r="Q329" s="8">
        <v>1450970</v>
      </c>
      <c r="S329" s="8">
        <v>0</v>
      </c>
      <c r="U329" s="8">
        <f>28152+4679091</f>
        <v>4707243</v>
      </c>
      <c r="W329" s="8">
        <v>1224645</v>
      </c>
      <c r="Y329" s="8">
        <v>425545</v>
      </c>
      <c r="AA329" s="8">
        <v>4152782</v>
      </c>
      <c r="AC329" s="8">
        <v>63707</v>
      </c>
      <c r="AE329" s="8">
        <v>658287</v>
      </c>
      <c r="AG329" s="8">
        <v>0</v>
      </c>
      <c r="AI329" s="8">
        <v>3456</v>
      </c>
      <c r="AJ329" s="13" t="s">
        <v>251</v>
      </c>
      <c r="AK329" s="13"/>
      <c r="AL329" s="13" t="s">
        <v>246</v>
      </c>
      <c r="AN329" s="8">
        <v>649401</v>
      </c>
      <c r="AP329" s="8">
        <v>677662</v>
      </c>
      <c r="AT329" s="8">
        <v>238876</v>
      </c>
      <c r="AV329" s="8">
        <v>87376</v>
      </c>
      <c r="AX329" s="8">
        <v>0</v>
      </c>
      <c r="AZ329" s="8">
        <f t="shared" si="25"/>
        <v>39637159</v>
      </c>
      <c r="BB329" s="8">
        <v>90451</v>
      </c>
      <c r="BH329" s="8">
        <v>0</v>
      </c>
      <c r="BJ329" s="8">
        <f t="shared" si="26"/>
        <v>39727610</v>
      </c>
      <c r="BL329" s="8">
        <f>+GenRev!AM329-GenExp!BJ329</f>
        <v>4294273</v>
      </c>
      <c r="BN329" s="8">
        <v>-6525518</v>
      </c>
      <c r="BP329" s="8">
        <v>0</v>
      </c>
      <c r="BQ329" s="8">
        <v>0</v>
      </c>
      <c r="BS329" s="8">
        <f t="shared" si="27"/>
        <v>-2231245</v>
      </c>
      <c r="BU329" s="9">
        <f>+BS329-'Gen Fd BS'!AA329+BQ329</f>
        <v>0</v>
      </c>
    </row>
    <row r="330" spans="1:73">
      <c r="A330" s="13" t="s">
        <v>497</v>
      </c>
      <c r="B330" s="13"/>
      <c r="C330" s="13" t="s">
        <v>44</v>
      </c>
      <c r="D330" s="13"/>
      <c r="E330" s="32">
        <v>48173</v>
      </c>
      <c r="G330" s="8">
        <v>11638791</v>
      </c>
      <c r="I330" s="8">
        <v>1564659</v>
      </c>
      <c r="K330" s="8">
        <v>125973</v>
      </c>
      <c r="M330" s="8">
        <v>55122</v>
      </c>
      <c r="O330" s="8">
        <v>1625951</v>
      </c>
      <c r="Q330" s="8">
        <v>434927</v>
      </c>
      <c r="S330" s="8">
        <v>878834</v>
      </c>
      <c r="U330" s="8">
        <v>2419981</v>
      </c>
      <c r="W330" s="8">
        <v>940826</v>
      </c>
      <c r="Y330" s="8">
        <v>382262</v>
      </c>
      <c r="AA330" s="8">
        <v>2521668</v>
      </c>
      <c r="AC330" s="8">
        <v>1473020</v>
      </c>
      <c r="AE330" s="8">
        <v>0</v>
      </c>
      <c r="AG330" s="8">
        <v>0</v>
      </c>
      <c r="AI330" s="8">
        <v>0</v>
      </c>
      <c r="AJ330" s="13" t="s">
        <v>497</v>
      </c>
      <c r="AK330" s="13"/>
      <c r="AL330" s="13" t="s">
        <v>44</v>
      </c>
      <c r="AN330" s="8">
        <f>10081+343151+17253</f>
        <v>370485</v>
      </c>
      <c r="AP330" s="8">
        <f>47042+479</f>
        <v>47521</v>
      </c>
      <c r="AT330" s="8">
        <v>0</v>
      </c>
      <c r="AV330" s="8">
        <v>0</v>
      </c>
      <c r="AX330" s="8">
        <v>0</v>
      </c>
      <c r="AZ330" s="8">
        <f t="shared" si="25"/>
        <v>24480020</v>
      </c>
      <c r="BB330" s="8">
        <v>22433</v>
      </c>
      <c r="BH330" s="8">
        <v>0</v>
      </c>
      <c r="BJ330" s="8">
        <f t="shared" si="26"/>
        <v>24502453</v>
      </c>
      <c r="BL330" s="8">
        <f>+GenRev!AM330-GenExp!BJ330</f>
        <v>629955</v>
      </c>
      <c r="BN330" s="8">
        <v>1947726</v>
      </c>
      <c r="BP330" s="8">
        <v>0</v>
      </c>
      <c r="BQ330" s="8">
        <v>0</v>
      </c>
      <c r="BS330" s="8">
        <f t="shared" si="27"/>
        <v>2577681</v>
      </c>
      <c r="BU330" s="9">
        <f>+BS330-'Gen Fd BS'!AA330+BQ330</f>
        <v>0</v>
      </c>
    </row>
    <row r="331" spans="1:73">
      <c r="A331" s="13" t="s">
        <v>274</v>
      </c>
      <c r="B331" s="13"/>
      <c r="C331" s="13" t="s">
        <v>116</v>
      </c>
      <c r="D331" s="13"/>
      <c r="E331" s="32">
        <v>45500</v>
      </c>
      <c r="G331" s="8">
        <v>23913872</v>
      </c>
      <c r="I331" s="8">
        <v>5118715</v>
      </c>
      <c r="K331" s="8">
        <v>256885</v>
      </c>
      <c r="M331" s="8">
        <v>879674</v>
      </c>
      <c r="O331" s="8">
        <v>1288150</v>
      </c>
      <c r="Q331" s="8">
        <v>2943422</v>
      </c>
      <c r="S331" s="8">
        <v>94742</v>
      </c>
      <c r="U331" s="8">
        <v>2733299</v>
      </c>
      <c r="W331" s="8">
        <v>1264269</v>
      </c>
      <c r="Y331" s="8">
        <v>357824</v>
      </c>
      <c r="AA331" s="8">
        <v>5922061</v>
      </c>
      <c r="AC331" s="8">
        <v>4279941</v>
      </c>
      <c r="AE331" s="8">
        <v>785493</v>
      </c>
      <c r="AG331" s="8">
        <v>0</v>
      </c>
      <c r="AI331" s="8">
        <v>0</v>
      </c>
      <c r="AJ331" s="13" t="s">
        <v>274</v>
      </c>
      <c r="AK331" s="13"/>
      <c r="AL331" s="13" t="s">
        <v>116</v>
      </c>
      <c r="AN331" s="8">
        <v>946989</v>
      </c>
      <c r="AP331" s="8">
        <v>83676</v>
      </c>
      <c r="AT331" s="8">
        <v>281633</v>
      </c>
      <c r="AV331" s="8">
        <v>153404</v>
      </c>
      <c r="AX331" s="8">
        <v>0</v>
      </c>
      <c r="AZ331" s="8">
        <f t="shared" si="25"/>
        <v>51304049</v>
      </c>
      <c r="BB331" s="8">
        <v>0</v>
      </c>
      <c r="BH331" s="8">
        <v>0</v>
      </c>
      <c r="BJ331" s="8">
        <f t="shared" si="26"/>
        <v>51304049</v>
      </c>
      <c r="BL331" s="8">
        <f>+GenRev!AM331-GenExp!BJ331</f>
        <v>1484355</v>
      </c>
      <c r="BN331" s="8">
        <v>-1806659</v>
      </c>
      <c r="BP331" s="8">
        <v>52453</v>
      </c>
      <c r="BQ331" s="8">
        <v>0</v>
      </c>
      <c r="BS331" s="8">
        <f t="shared" si="27"/>
        <v>-374757</v>
      </c>
      <c r="BU331" s="9">
        <f>+BS331-'Gen Fd BS'!AA331+BQ331</f>
        <v>0</v>
      </c>
    </row>
    <row r="332" spans="1:73" hidden="1">
      <c r="A332" s="13" t="s">
        <v>736</v>
      </c>
      <c r="B332" s="13"/>
      <c r="C332" s="13" t="s">
        <v>733</v>
      </c>
      <c r="D332" s="13"/>
      <c r="E332" s="32">
        <v>50633</v>
      </c>
      <c r="F332" s="11"/>
      <c r="AJ332" s="13" t="s">
        <v>736</v>
      </c>
      <c r="AK332" s="13"/>
      <c r="AL332" s="13" t="s">
        <v>733</v>
      </c>
      <c r="AV332" s="8">
        <v>0</v>
      </c>
      <c r="AX332" s="8">
        <v>0</v>
      </c>
      <c r="AZ332" s="8">
        <f t="shared" si="25"/>
        <v>0</v>
      </c>
      <c r="BB332" s="8">
        <v>0</v>
      </c>
      <c r="BH332" s="8">
        <v>0</v>
      </c>
      <c r="BJ332" s="8">
        <f t="shared" si="26"/>
        <v>0</v>
      </c>
      <c r="BL332" s="8">
        <f>+GenRev!AM332-GenExp!BJ332</f>
        <v>0</v>
      </c>
      <c r="BN332" s="8">
        <v>0</v>
      </c>
      <c r="BP332" s="8">
        <v>0</v>
      </c>
      <c r="BQ332" s="8">
        <v>0</v>
      </c>
      <c r="BS332" s="8">
        <f t="shared" si="27"/>
        <v>0</v>
      </c>
      <c r="BU332" s="9">
        <f>+BS332-'Gen Fd BS'!AA332+BQ332</f>
        <v>0</v>
      </c>
    </row>
    <row r="333" spans="1:73" hidden="1">
      <c r="A333" s="13" t="s">
        <v>610</v>
      </c>
      <c r="B333" s="13"/>
      <c r="C333" s="13" t="s">
        <v>608</v>
      </c>
      <c r="D333" s="13"/>
      <c r="E333" s="32">
        <v>49361</v>
      </c>
      <c r="AJ333" s="13" t="s">
        <v>610</v>
      </c>
      <c r="AK333" s="13"/>
      <c r="AL333" s="13" t="s">
        <v>608</v>
      </c>
      <c r="AV333" s="8">
        <v>0</v>
      </c>
      <c r="AX333" s="8">
        <v>0</v>
      </c>
      <c r="AZ333" s="8">
        <f t="shared" si="25"/>
        <v>0</v>
      </c>
      <c r="BB333" s="8">
        <v>0</v>
      </c>
      <c r="BH333" s="8">
        <v>0</v>
      </c>
      <c r="BJ333" s="8">
        <f t="shared" si="26"/>
        <v>0</v>
      </c>
      <c r="BL333" s="8">
        <f>+GenRev!AM333-GenExp!BJ333</f>
        <v>0</v>
      </c>
      <c r="BN333" s="8">
        <v>0</v>
      </c>
      <c r="BP333" s="8">
        <v>0</v>
      </c>
      <c r="BQ333" s="8">
        <v>0</v>
      </c>
      <c r="BS333" s="8">
        <f t="shared" si="27"/>
        <v>0</v>
      </c>
      <c r="BU333" s="9">
        <f>+BS333-'Gen Fd BS'!AA333+BQ333</f>
        <v>0</v>
      </c>
    </row>
    <row r="334" spans="1:73">
      <c r="A334" s="13" t="s">
        <v>546</v>
      </c>
      <c r="B334" s="13"/>
      <c r="C334" s="13" t="s">
        <v>48</v>
      </c>
      <c r="D334" s="13"/>
      <c r="E334" s="32">
        <v>45518</v>
      </c>
      <c r="G334" s="8">
        <v>7576901</v>
      </c>
      <c r="I334" s="8">
        <v>0</v>
      </c>
      <c r="K334" s="8">
        <v>0</v>
      </c>
      <c r="M334" s="8">
        <v>0</v>
      </c>
      <c r="O334" s="8">
        <v>726106</v>
      </c>
      <c r="Q334" s="8">
        <v>622309</v>
      </c>
      <c r="S334" s="8">
        <v>94438</v>
      </c>
      <c r="U334" s="8">
        <v>970070</v>
      </c>
      <c r="W334" s="8">
        <v>385430</v>
      </c>
      <c r="Y334" s="8">
        <v>127317</v>
      </c>
      <c r="AA334" s="8">
        <v>887427</v>
      </c>
      <c r="AC334" s="8">
        <v>622099</v>
      </c>
      <c r="AE334" s="8">
        <v>259370</v>
      </c>
      <c r="AG334" s="8">
        <v>0</v>
      </c>
      <c r="AI334" s="8">
        <v>0</v>
      </c>
      <c r="AJ334" s="13" t="s">
        <v>546</v>
      </c>
      <c r="AK334" s="13"/>
      <c r="AL334" s="13" t="s">
        <v>48</v>
      </c>
      <c r="AN334" s="8">
        <v>35078</v>
      </c>
      <c r="AP334" s="8">
        <v>0</v>
      </c>
      <c r="AT334" s="8">
        <v>0</v>
      </c>
      <c r="AV334" s="8">
        <v>0</v>
      </c>
      <c r="AX334" s="8">
        <v>0</v>
      </c>
      <c r="AZ334" s="8">
        <f t="shared" si="25"/>
        <v>12306545</v>
      </c>
      <c r="BB334" s="8">
        <v>417000</v>
      </c>
      <c r="BH334" s="8">
        <v>4049</v>
      </c>
      <c r="BJ334" s="8">
        <f t="shared" si="26"/>
        <v>12727594</v>
      </c>
      <c r="BL334" s="8">
        <f>+GenRev!AM334-GenExp!BJ334</f>
        <v>526958</v>
      </c>
      <c r="BN334" s="8">
        <v>2746422</v>
      </c>
      <c r="BP334" s="8">
        <v>-6109</v>
      </c>
      <c r="BQ334" s="8">
        <v>0</v>
      </c>
      <c r="BS334" s="8">
        <f t="shared" si="27"/>
        <v>3279489</v>
      </c>
      <c r="BU334" s="9">
        <f>+BS334-'Gen Fd BS'!AA334+BQ334</f>
        <v>0</v>
      </c>
    </row>
    <row r="335" spans="1:73">
      <c r="A335" s="13" t="s">
        <v>662</v>
      </c>
      <c r="B335" s="13"/>
      <c r="C335" s="13" t="s">
        <v>62</v>
      </c>
      <c r="D335" s="13"/>
      <c r="E335" s="32">
        <v>49890</v>
      </c>
      <c r="G335" s="8">
        <v>8399857</v>
      </c>
      <c r="I335" s="8">
        <v>1281495</v>
      </c>
      <c r="K335" s="8">
        <v>8062</v>
      </c>
      <c r="M335" s="8">
        <v>4625</v>
      </c>
      <c r="O335" s="8">
        <v>928161</v>
      </c>
      <c r="Q335" s="8">
        <v>836770</v>
      </c>
      <c r="S335" s="8">
        <v>99271</v>
      </c>
      <c r="U335" s="8">
        <v>1469854</v>
      </c>
      <c r="W335" s="8">
        <v>455358</v>
      </c>
      <c r="Y335" s="8">
        <v>101652</v>
      </c>
      <c r="AA335" s="8">
        <v>1119939</v>
      </c>
      <c r="AC335" s="8">
        <v>1089551</v>
      </c>
      <c r="AE335" s="8">
        <v>40617</v>
      </c>
      <c r="AG335" s="8">
        <v>0</v>
      </c>
      <c r="AI335" s="8">
        <v>2008</v>
      </c>
      <c r="AJ335" s="13" t="s">
        <v>662</v>
      </c>
      <c r="AK335" s="13"/>
      <c r="AL335" s="13" t="s">
        <v>62</v>
      </c>
      <c r="AN335" s="8">
        <v>330305</v>
      </c>
      <c r="AP335" s="8">
        <v>300</v>
      </c>
      <c r="AT335" s="8">
        <v>9232</v>
      </c>
      <c r="AV335" s="8">
        <v>485</v>
      </c>
      <c r="AX335" s="8">
        <v>12071</v>
      </c>
      <c r="AZ335" s="8">
        <f t="shared" si="25"/>
        <v>16189613</v>
      </c>
      <c r="BB335" s="8">
        <v>0</v>
      </c>
      <c r="BH335" s="8">
        <v>0</v>
      </c>
      <c r="BJ335" s="8">
        <f t="shared" si="26"/>
        <v>16189613</v>
      </c>
      <c r="BL335" s="8">
        <f>+GenRev!AM335-GenExp!BJ335</f>
        <v>374931</v>
      </c>
      <c r="BN335" s="8">
        <v>-2130536</v>
      </c>
      <c r="BP335" s="8">
        <v>0</v>
      </c>
      <c r="BQ335" s="8">
        <v>0</v>
      </c>
      <c r="BS335" s="8">
        <f t="shared" si="27"/>
        <v>-1755605</v>
      </c>
      <c r="BU335" s="9">
        <f>+BS335-'Gen Fd BS'!AA335+BQ335</f>
        <v>0</v>
      </c>
    </row>
    <row r="336" spans="1:73">
      <c r="A336" s="13" t="s">
        <v>634</v>
      </c>
      <c r="B336" s="13"/>
      <c r="C336" s="13" t="s">
        <v>59</v>
      </c>
      <c r="D336" s="13"/>
      <c r="E336" s="32">
        <v>49627</v>
      </c>
      <c r="G336" s="8">
        <v>6181056</v>
      </c>
      <c r="I336" s="8">
        <v>594441</v>
      </c>
      <c r="K336" s="8">
        <v>241369</v>
      </c>
      <c r="M336" s="8">
        <v>18920</v>
      </c>
      <c r="O336" s="8">
        <v>379538</v>
      </c>
      <c r="Q336" s="8">
        <v>503953</v>
      </c>
      <c r="S336" s="8">
        <v>44803</v>
      </c>
      <c r="U336" s="8">
        <v>1325024</v>
      </c>
      <c r="W336" s="8">
        <v>266809</v>
      </c>
      <c r="Y336" s="8">
        <v>0</v>
      </c>
      <c r="AA336" s="8">
        <v>1137211</v>
      </c>
      <c r="AC336" s="8">
        <v>896381</v>
      </c>
      <c r="AE336" s="8">
        <v>2847</v>
      </c>
      <c r="AG336" s="8">
        <v>0</v>
      </c>
      <c r="AI336" s="8">
        <v>52769</v>
      </c>
      <c r="AJ336" s="13" t="s">
        <v>634</v>
      </c>
      <c r="AK336" s="13"/>
      <c r="AL336" s="13" t="s">
        <v>59</v>
      </c>
      <c r="AN336" s="8">
        <v>436086</v>
      </c>
      <c r="AP336" s="8">
        <v>158210</v>
      </c>
      <c r="AT336" s="8">
        <v>196023</v>
      </c>
      <c r="AV336" s="8">
        <v>92198</v>
      </c>
      <c r="AX336" s="8">
        <v>0</v>
      </c>
      <c r="AZ336" s="8">
        <f t="shared" si="25"/>
        <v>12527638</v>
      </c>
      <c r="BB336" s="8">
        <v>6827</v>
      </c>
      <c r="BH336" s="8">
        <v>0</v>
      </c>
      <c r="BJ336" s="8">
        <f t="shared" si="26"/>
        <v>12534465</v>
      </c>
      <c r="BL336" s="8">
        <f>+GenRev!AM336-GenExp!BJ336</f>
        <v>292869</v>
      </c>
      <c r="BN336" s="8">
        <v>-915634</v>
      </c>
      <c r="BP336" s="8">
        <v>0</v>
      </c>
      <c r="BQ336" s="8">
        <v>0</v>
      </c>
      <c r="BS336" s="8">
        <f t="shared" si="27"/>
        <v>-622765</v>
      </c>
      <c r="BU336" s="9">
        <f>+BS336-'Gen Fd BS'!AA336+BQ336</f>
        <v>0</v>
      </c>
    </row>
    <row r="337" spans="1:73">
      <c r="A337" s="13" t="s">
        <v>229</v>
      </c>
      <c r="B337" s="13"/>
      <c r="C337" s="13" t="s">
        <v>14</v>
      </c>
      <c r="D337" s="13"/>
      <c r="E337" s="32">
        <v>45948</v>
      </c>
      <c r="G337" s="8">
        <v>4032127</v>
      </c>
      <c r="I337" s="8">
        <v>451334</v>
      </c>
      <c r="K337" s="8">
        <v>226273</v>
      </c>
      <c r="M337" s="8">
        <v>0</v>
      </c>
      <c r="O337" s="8">
        <v>391134</v>
      </c>
      <c r="Q337" s="8">
        <v>367781</v>
      </c>
      <c r="S337" s="8">
        <v>31711</v>
      </c>
      <c r="U337" s="8">
        <v>608856</v>
      </c>
      <c r="W337" s="8">
        <v>234599</v>
      </c>
      <c r="Y337" s="8">
        <v>0</v>
      </c>
      <c r="AA337" s="8">
        <v>841817</v>
      </c>
      <c r="AC337" s="8">
        <v>280843</v>
      </c>
      <c r="AE337" s="8">
        <v>41943</v>
      </c>
      <c r="AG337" s="8">
        <v>0</v>
      </c>
      <c r="AI337" s="8">
        <v>212375</v>
      </c>
      <c r="AJ337" s="13" t="s">
        <v>229</v>
      </c>
      <c r="AK337" s="13"/>
      <c r="AL337" s="13" t="s">
        <v>14</v>
      </c>
      <c r="AN337" s="8">
        <v>177480</v>
      </c>
      <c r="AP337" s="8">
        <v>16206</v>
      </c>
      <c r="AT337" s="8">
        <v>0</v>
      </c>
      <c r="AV337" s="8">
        <v>0</v>
      </c>
      <c r="AX337" s="8">
        <v>0</v>
      </c>
      <c r="AZ337" s="8">
        <f t="shared" si="25"/>
        <v>7914479</v>
      </c>
      <c r="BB337" s="8">
        <v>79117</v>
      </c>
      <c r="BH337" s="8">
        <v>0</v>
      </c>
      <c r="BJ337" s="8">
        <f t="shared" si="26"/>
        <v>7993596</v>
      </c>
      <c r="BL337" s="8">
        <f>+GenRev!AM339-GenExp!BJ337</f>
        <v>69708</v>
      </c>
      <c r="BN337" s="8">
        <v>190072</v>
      </c>
      <c r="BP337" s="8">
        <v>0</v>
      </c>
      <c r="BQ337" s="8">
        <v>0</v>
      </c>
      <c r="BS337" s="8">
        <f t="shared" si="27"/>
        <v>259780</v>
      </c>
      <c r="BU337" s="9">
        <f>+BS337-'Gen Fd BS'!AA337+BQ337</f>
        <v>0</v>
      </c>
    </row>
    <row r="338" spans="1:73" hidden="1">
      <c r="A338" s="13" t="s">
        <v>332</v>
      </c>
      <c r="B338" s="13"/>
      <c r="C338" s="13" t="s">
        <v>21</v>
      </c>
      <c r="D338" s="13"/>
      <c r="E338" s="32">
        <v>46672</v>
      </c>
      <c r="AJ338" s="13" t="s">
        <v>332</v>
      </c>
      <c r="AK338" s="13"/>
      <c r="AL338" s="13" t="s">
        <v>21</v>
      </c>
      <c r="AV338" s="8">
        <v>0</v>
      </c>
      <c r="AX338" s="8">
        <v>0</v>
      </c>
      <c r="AZ338" s="8">
        <f t="shared" si="25"/>
        <v>0</v>
      </c>
      <c r="BB338" s="8">
        <v>0</v>
      </c>
      <c r="BH338" s="8">
        <v>0</v>
      </c>
      <c r="BJ338" s="8">
        <f t="shared" si="26"/>
        <v>0</v>
      </c>
      <c r="BL338" s="8">
        <f>+GenRev!AM340-GenExp!BJ338</f>
        <v>0</v>
      </c>
      <c r="BN338" s="8">
        <v>0</v>
      </c>
      <c r="BP338" s="8">
        <v>0</v>
      </c>
      <c r="BQ338" s="8">
        <v>0</v>
      </c>
      <c r="BS338" s="8">
        <f t="shared" si="27"/>
        <v>0</v>
      </c>
      <c r="BU338" s="9">
        <f>+BS338-'Gen Fd BS'!AA338+BQ338</f>
        <v>0</v>
      </c>
    </row>
    <row r="339" spans="1:73">
      <c r="A339" s="13" t="s">
        <v>672</v>
      </c>
      <c r="B339" s="13"/>
      <c r="C339" s="13" t="s">
        <v>63</v>
      </c>
      <c r="D339" s="13"/>
      <c r="E339" s="32">
        <v>50039</v>
      </c>
      <c r="G339" s="8">
        <v>3857849</v>
      </c>
      <c r="I339" s="8">
        <v>538817</v>
      </c>
      <c r="K339" s="8">
        <v>82236</v>
      </c>
      <c r="M339" s="8">
        <v>546462</v>
      </c>
      <c r="O339" s="8">
        <v>459835</v>
      </c>
      <c r="Q339" s="8">
        <v>359504</v>
      </c>
      <c r="S339" s="8">
        <v>45899</v>
      </c>
      <c r="U339" s="8">
        <v>779404</v>
      </c>
      <c r="W339" s="8">
        <v>392501</v>
      </c>
      <c r="Y339" s="8">
        <v>397</v>
      </c>
      <c r="AA339" s="8">
        <v>920500</v>
      </c>
      <c r="AC339" s="8">
        <v>354297</v>
      </c>
      <c r="AE339" s="8">
        <v>59836</v>
      </c>
      <c r="AG339" s="8">
        <v>0</v>
      </c>
      <c r="AI339" s="8">
        <v>0</v>
      </c>
      <c r="AJ339" s="13" t="s">
        <v>672</v>
      </c>
      <c r="AK339" s="13"/>
      <c r="AL339" s="13" t="s">
        <v>63</v>
      </c>
      <c r="AN339" s="8">
        <v>205994</v>
      </c>
      <c r="AP339" s="8">
        <v>0</v>
      </c>
      <c r="AT339" s="8">
        <v>19745</v>
      </c>
      <c r="AV339" s="8">
        <v>1780</v>
      </c>
      <c r="AX339" s="8">
        <v>0</v>
      </c>
      <c r="AZ339" s="8">
        <f t="shared" si="25"/>
        <v>8625056</v>
      </c>
      <c r="BB339" s="8">
        <v>48350</v>
      </c>
      <c r="BH339" s="8">
        <v>0</v>
      </c>
      <c r="BJ339" s="8">
        <f t="shared" si="26"/>
        <v>8673406</v>
      </c>
      <c r="BL339" s="8">
        <f>+GenRev!AM341-GenExp!BJ339</f>
        <v>-1013372</v>
      </c>
      <c r="BN339" s="8">
        <v>6384147</v>
      </c>
      <c r="BP339" s="8">
        <v>0</v>
      </c>
      <c r="BQ339" s="8">
        <v>0</v>
      </c>
      <c r="BS339" s="8">
        <f t="shared" si="27"/>
        <v>5370775</v>
      </c>
      <c r="BU339" s="9">
        <f>+BS339-'Gen Fd BS'!AA341+BQ339</f>
        <v>0</v>
      </c>
    </row>
    <row r="340" spans="1:73" hidden="1">
      <c r="A340" s="13" t="s">
        <v>748</v>
      </c>
      <c r="B340" s="13"/>
      <c r="C340" s="13" t="s">
        <v>747</v>
      </c>
      <c r="D340" s="13"/>
      <c r="E340" s="32">
        <v>50740</v>
      </c>
      <c r="AJ340" s="13" t="s">
        <v>748</v>
      </c>
      <c r="AK340" s="13"/>
      <c r="AL340" s="13" t="s">
        <v>747</v>
      </c>
      <c r="AV340" s="8">
        <v>0</v>
      </c>
      <c r="AX340" s="8">
        <v>0</v>
      </c>
      <c r="AZ340" s="8">
        <f t="shared" si="25"/>
        <v>0</v>
      </c>
      <c r="BB340" s="8">
        <v>0</v>
      </c>
      <c r="BH340" s="8">
        <v>0</v>
      </c>
      <c r="BJ340" s="8">
        <f t="shared" si="26"/>
        <v>0</v>
      </c>
      <c r="BL340" s="8">
        <f>+GenRev!AM342-GenExp!BJ340</f>
        <v>0</v>
      </c>
      <c r="BN340" s="8">
        <v>0</v>
      </c>
      <c r="BP340" s="8">
        <v>0</v>
      </c>
      <c r="BQ340" s="8">
        <v>0</v>
      </c>
      <c r="BS340" s="8">
        <f t="shared" ref="BS340:BS362" si="28">+BN340+BL340-BP340</f>
        <v>0</v>
      </c>
      <c r="BU340" s="9">
        <f>+BS340-'Gen Fd BS'!AA342+BQ340</f>
        <v>0</v>
      </c>
    </row>
    <row r="341" spans="1:73">
      <c r="A341" s="13" t="s">
        <v>252</v>
      </c>
      <c r="B341" s="13"/>
      <c r="C341" s="13" t="s">
        <v>246</v>
      </c>
      <c r="D341" s="13"/>
      <c r="E341" s="32">
        <v>139303</v>
      </c>
      <c r="G341" s="8">
        <v>7314106</v>
      </c>
      <c r="I341" s="8">
        <v>542723</v>
      </c>
      <c r="K341" s="8">
        <v>0</v>
      </c>
      <c r="M341" s="8">
        <v>33521</v>
      </c>
      <c r="O341" s="8">
        <v>546828</v>
      </c>
      <c r="Q341" s="8">
        <v>306424</v>
      </c>
      <c r="S341" s="8">
        <v>59758</v>
      </c>
      <c r="U341" s="8">
        <v>1359792</v>
      </c>
      <c r="W341" s="8">
        <v>376721</v>
      </c>
      <c r="Y341" s="8">
        <v>129205</v>
      </c>
      <c r="AA341" s="8">
        <v>1032803</v>
      </c>
      <c r="AC341" s="8">
        <v>0</v>
      </c>
      <c r="AE341" s="8">
        <v>180284</v>
      </c>
      <c r="AG341" s="8">
        <v>0</v>
      </c>
      <c r="AI341" s="8">
        <v>2240</v>
      </c>
      <c r="AJ341" s="13" t="s">
        <v>252</v>
      </c>
      <c r="AK341" s="13"/>
      <c r="AL341" s="13" t="s">
        <v>246</v>
      </c>
      <c r="AN341" s="8">
        <v>658688</v>
      </c>
      <c r="AP341" s="8">
        <v>7741</v>
      </c>
      <c r="AT341" s="8">
        <v>77322</v>
      </c>
      <c r="AV341" s="8">
        <v>11384</v>
      </c>
      <c r="AX341" s="8">
        <v>0</v>
      </c>
      <c r="AZ341" s="8">
        <f t="shared" si="25"/>
        <v>12639540</v>
      </c>
      <c r="BB341" s="8">
        <v>0</v>
      </c>
      <c r="BH341" s="8">
        <v>0</v>
      </c>
      <c r="BJ341" s="8">
        <f t="shared" si="26"/>
        <v>12639540</v>
      </c>
      <c r="BL341" s="8">
        <f>+GenRev!AM343-GenExp!BJ341</f>
        <v>-388720</v>
      </c>
      <c r="BN341" s="8">
        <v>-616062</v>
      </c>
      <c r="BP341" s="8">
        <v>0</v>
      </c>
      <c r="BQ341" s="8">
        <v>0</v>
      </c>
      <c r="BS341" s="8">
        <f t="shared" si="28"/>
        <v>-1004782</v>
      </c>
      <c r="BU341" s="9">
        <f>+BS341-'Gen Fd BS'!AA343+BQ341</f>
        <v>0</v>
      </c>
    </row>
    <row r="342" spans="1:73">
      <c r="A342" s="13" t="s">
        <v>449</v>
      </c>
      <c r="B342" s="13"/>
      <c r="C342" s="13" t="s">
        <v>37</v>
      </c>
      <c r="D342" s="13"/>
      <c r="E342" s="32">
        <v>47712</v>
      </c>
      <c r="G342" s="8">
        <v>2804772</v>
      </c>
      <c r="I342" s="8">
        <v>359465</v>
      </c>
      <c r="K342" s="8">
        <v>253963</v>
      </c>
      <c r="M342" s="8">
        <v>6182</v>
      </c>
      <c r="O342" s="8">
        <v>162143</v>
      </c>
      <c r="Q342" s="8">
        <v>259620</v>
      </c>
      <c r="S342" s="8">
        <v>31551</v>
      </c>
      <c r="U342" s="8">
        <v>432682</v>
      </c>
      <c r="W342" s="8">
        <v>236642</v>
      </c>
      <c r="Y342" s="8">
        <v>2690</v>
      </c>
      <c r="AA342" s="8">
        <v>498129</v>
      </c>
      <c r="AC342" s="8">
        <v>380891</v>
      </c>
      <c r="AE342" s="8">
        <v>5417</v>
      </c>
      <c r="AG342" s="8">
        <v>0</v>
      </c>
      <c r="AI342" s="8">
        <v>0</v>
      </c>
      <c r="AJ342" s="13" t="s">
        <v>449</v>
      </c>
      <c r="AK342" s="13"/>
      <c r="AL342" s="13" t="s">
        <v>37</v>
      </c>
      <c r="AN342" s="8">
        <v>156065</v>
      </c>
      <c r="AP342" s="8">
        <f>26047+129596</f>
        <v>155643</v>
      </c>
      <c r="AT342" s="8">
        <v>64093</v>
      </c>
      <c r="AV342" s="8">
        <v>5106</v>
      </c>
      <c r="AX342" s="8">
        <v>0</v>
      </c>
      <c r="AZ342" s="8">
        <f t="shared" si="25"/>
        <v>5815054</v>
      </c>
      <c r="BB342" s="8">
        <v>1600</v>
      </c>
      <c r="BH342" s="8">
        <v>0</v>
      </c>
      <c r="BJ342" s="8">
        <f t="shared" si="26"/>
        <v>5816654</v>
      </c>
      <c r="BL342" s="8">
        <f>+GenRev!AM344-GenExp!BJ342</f>
        <v>10793</v>
      </c>
      <c r="BN342" s="8">
        <v>1418027</v>
      </c>
      <c r="BP342" s="8">
        <v>0</v>
      </c>
      <c r="BQ342" s="8">
        <v>0</v>
      </c>
      <c r="BS342" s="8">
        <f t="shared" si="28"/>
        <v>1428820</v>
      </c>
      <c r="BU342" s="9">
        <f>+BS342-'Gen Fd BS'!AA344+BQ342</f>
        <v>0</v>
      </c>
    </row>
    <row r="343" spans="1:73">
      <c r="A343" s="13" t="s">
        <v>737</v>
      </c>
      <c r="B343" s="13"/>
      <c r="C343" s="13" t="s">
        <v>733</v>
      </c>
      <c r="D343" s="13"/>
      <c r="E343" s="32">
        <v>45526</v>
      </c>
      <c r="G343" s="8">
        <v>4545263</v>
      </c>
      <c r="I343" s="8">
        <v>633633</v>
      </c>
      <c r="K343" s="8">
        <v>154699</v>
      </c>
      <c r="M343" s="8">
        <f>11068+458819</f>
        <v>469887</v>
      </c>
      <c r="O343" s="8">
        <v>372441</v>
      </c>
      <c r="Q343" s="8">
        <v>365580</v>
      </c>
      <c r="S343" s="8">
        <v>13095</v>
      </c>
      <c r="U343" s="8">
        <v>612866</v>
      </c>
      <c r="W343" s="8">
        <v>225950</v>
      </c>
      <c r="Y343" s="8">
        <v>105</v>
      </c>
      <c r="AA343" s="8">
        <v>915388</v>
      </c>
      <c r="AC343" s="8">
        <v>379169</v>
      </c>
      <c r="AE343" s="8">
        <v>196260</v>
      </c>
      <c r="AG343" s="8">
        <v>0</v>
      </c>
      <c r="AI343" s="8">
        <v>7908</v>
      </c>
      <c r="AJ343" s="13" t="s">
        <v>737</v>
      </c>
      <c r="AK343" s="13"/>
      <c r="AL343" s="13" t="s">
        <v>733</v>
      </c>
      <c r="AN343" s="8">
        <v>215194</v>
      </c>
      <c r="AP343" s="8">
        <v>22359</v>
      </c>
      <c r="AT343" s="8">
        <v>0</v>
      </c>
      <c r="AV343" s="8">
        <v>0</v>
      </c>
      <c r="AX343" s="8">
        <v>0</v>
      </c>
      <c r="AZ343" s="8">
        <f t="shared" si="25"/>
        <v>9129797</v>
      </c>
      <c r="BB343" s="8">
        <v>7470</v>
      </c>
      <c r="BH343" s="8">
        <v>0</v>
      </c>
      <c r="BJ343" s="8">
        <f t="shared" si="26"/>
        <v>9137267</v>
      </c>
      <c r="BL343" s="8">
        <f>+GenRev!AM345-GenExp!BJ343</f>
        <v>14511</v>
      </c>
      <c r="BN343" s="8">
        <v>1538936</v>
      </c>
      <c r="BP343" s="8">
        <v>0</v>
      </c>
      <c r="BQ343" s="8">
        <v>0</v>
      </c>
      <c r="BS343" s="8">
        <f t="shared" si="28"/>
        <v>1553447</v>
      </c>
      <c r="BU343" s="9">
        <f>+BS343-'Gen Fd BS'!AA345+BQ343</f>
        <v>0</v>
      </c>
    </row>
    <row r="344" spans="1:73">
      <c r="A344" s="13" t="s">
        <v>566</v>
      </c>
      <c r="B344" s="13"/>
      <c r="C344" s="13" t="s">
        <v>567</v>
      </c>
      <c r="D344" s="13"/>
      <c r="E344" s="32">
        <v>48777</v>
      </c>
      <c r="F344" s="11"/>
      <c r="G344" s="8">
        <v>8591160</v>
      </c>
      <c r="I344" s="8">
        <v>1481289</v>
      </c>
      <c r="K344" s="8">
        <v>929947</v>
      </c>
      <c r="M344" s="8">
        <v>974</v>
      </c>
      <c r="O344" s="8">
        <v>657626</v>
      </c>
      <c r="Q344" s="8">
        <v>471834</v>
      </c>
      <c r="S344" s="8">
        <v>86216</v>
      </c>
      <c r="U344" s="8">
        <v>1648760</v>
      </c>
      <c r="W344" s="8">
        <v>546781</v>
      </c>
      <c r="Y344" s="8">
        <v>167392</v>
      </c>
      <c r="AA344" s="8">
        <v>1490719</v>
      </c>
      <c r="AC344" s="8">
        <v>1973382</v>
      </c>
      <c r="AE344" s="8">
        <v>160306</v>
      </c>
      <c r="AG344" s="8">
        <v>0</v>
      </c>
      <c r="AI344" s="8">
        <v>0</v>
      </c>
      <c r="AJ344" s="13" t="s">
        <v>566</v>
      </c>
      <c r="AK344" s="13"/>
      <c r="AL344" s="13" t="s">
        <v>567</v>
      </c>
      <c r="AN344" s="8">
        <v>175438</v>
      </c>
      <c r="AP344" s="8">
        <v>8772</v>
      </c>
      <c r="AT344" s="8">
        <v>29919</v>
      </c>
      <c r="AV344" s="8">
        <v>10852</v>
      </c>
      <c r="AX344" s="8">
        <v>0</v>
      </c>
      <c r="AZ344" s="8">
        <f t="shared" si="25"/>
        <v>18431367</v>
      </c>
      <c r="BB344" s="8">
        <v>77917</v>
      </c>
      <c r="BH344" s="8">
        <v>0</v>
      </c>
      <c r="BJ344" s="8">
        <f t="shared" si="26"/>
        <v>18509284</v>
      </c>
      <c r="BL344" s="8">
        <f>+GenRev!AM346-GenExp!BJ344</f>
        <v>-10719</v>
      </c>
      <c r="BN344" s="8">
        <v>2251154</v>
      </c>
      <c r="BP344" s="8">
        <v>0</v>
      </c>
      <c r="BQ344" s="8">
        <v>0</v>
      </c>
      <c r="BS344" s="8">
        <f t="shared" si="28"/>
        <v>2240435</v>
      </c>
      <c r="BU344" s="9">
        <f>+BS344-'Gen Fd BS'!AA346+BQ344</f>
        <v>0</v>
      </c>
    </row>
    <row r="345" spans="1:73">
      <c r="A345" s="13" t="s">
        <v>894</v>
      </c>
      <c r="B345" s="13"/>
      <c r="C345" s="13" t="s">
        <v>78</v>
      </c>
      <c r="D345" s="13"/>
      <c r="E345" s="32">
        <v>45534</v>
      </c>
      <c r="G345" s="8">
        <v>4318423</v>
      </c>
      <c r="I345" s="8">
        <v>852755</v>
      </c>
      <c r="K345" s="8">
        <v>336261</v>
      </c>
      <c r="M345" s="8">
        <v>1167433</v>
      </c>
      <c r="O345" s="8">
        <v>560373</v>
      </c>
      <c r="Q345" s="8">
        <v>410296</v>
      </c>
      <c r="S345" s="8">
        <v>50387</v>
      </c>
      <c r="U345" s="8">
        <v>679678</v>
      </c>
      <c r="W345" s="8">
        <v>382375</v>
      </c>
      <c r="Y345" s="8">
        <v>0</v>
      </c>
      <c r="AA345" s="8">
        <v>1253489</v>
      </c>
      <c r="AC345" s="8">
        <v>454328</v>
      </c>
      <c r="AE345" s="8">
        <v>12244</v>
      </c>
      <c r="AG345" s="8">
        <v>0</v>
      </c>
      <c r="AI345" s="8">
        <v>0</v>
      </c>
      <c r="AJ345" s="13" t="s">
        <v>569</v>
      </c>
      <c r="AK345" s="13"/>
      <c r="AL345" s="13" t="s">
        <v>78</v>
      </c>
      <c r="AN345" s="8">
        <v>131779</v>
      </c>
      <c r="AP345" s="8">
        <v>0</v>
      </c>
      <c r="AT345" s="8">
        <v>6302</v>
      </c>
      <c r="AV345" s="8">
        <v>43216</v>
      </c>
      <c r="AX345" s="8">
        <v>0</v>
      </c>
      <c r="AZ345" s="8">
        <f t="shared" si="25"/>
        <v>10659339</v>
      </c>
      <c r="BB345" s="8">
        <v>259717</v>
      </c>
      <c r="BH345" s="8">
        <v>0</v>
      </c>
      <c r="BJ345" s="8">
        <f t="shared" si="26"/>
        <v>10919056</v>
      </c>
      <c r="BL345" s="8">
        <f>+GenRev!AM347-GenExp!BJ345</f>
        <v>1253867</v>
      </c>
      <c r="BN345" s="8">
        <v>1362371</v>
      </c>
      <c r="BP345" s="8">
        <v>0</v>
      </c>
      <c r="BQ345" s="8">
        <v>0</v>
      </c>
      <c r="BS345" s="8">
        <f t="shared" si="28"/>
        <v>2616238</v>
      </c>
      <c r="BU345" s="9">
        <f>+BS345-'Gen Fd BS'!AA347+BQ345</f>
        <v>0</v>
      </c>
    </row>
    <row r="346" spans="1:73">
      <c r="A346" s="13" t="s">
        <v>462</v>
      </c>
      <c r="B346" s="13"/>
      <c r="C346" s="13" t="s">
        <v>40</v>
      </c>
      <c r="D346" s="13"/>
      <c r="E346" s="32">
        <v>44420</v>
      </c>
      <c r="F346" s="11"/>
      <c r="G346" s="8">
        <v>15841950</v>
      </c>
      <c r="I346" s="8">
        <v>2596293</v>
      </c>
      <c r="K346" s="8">
        <v>305072</v>
      </c>
      <c r="M346" s="8">
        <v>0</v>
      </c>
      <c r="O346" s="8">
        <v>1427815</v>
      </c>
      <c r="Q346" s="8">
        <v>1591319</v>
      </c>
      <c r="S346" s="8">
        <v>38206</v>
      </c>
      <c r="U346" s="8">
        <v>2152743</v>
      </c>
      <c r="W346" s="8">
        <v>2793772</v>
      </c>
      <c r="Y346" s="8">
        <v>222482</v>
      </c>
      <c r="AA346" s="8">
        <v>2506247</v>
      </c>
      <c r="AC346" s="8">
        <v>1234993</v>
      </c>
      <c r="AE346" s="8">
        <v>147095</v>
      </c>
      <c r="AG346" s="8">
        <v>0</v>
      </c>
      <c r="AI346" s="8">
        <v>0</v>
      </c>
      <c r="AJ346" s="13" t="s">
        <v>462</v>
      </c>
      <c r="AK346" s="13"/>
      <c r="AL346" s="13" t="s">
        <v>40</v>
      </c>
      <c r="AN346" s="8">
        <v>480712</v>
      </c>
      <c r="AP346" s="8">
        <v>0</v>
      </c>
      <c r="AT346" s="8">
        <v>91629</v>
      </c>
      <c r="AV346" s="8">
        <v>13479</v>
      </c>
      <c r="AX346" s="8">
        <v>0</v>
      </c>
      <c r="AZ346" s="8">
        <f t="shared" si="25"/>
        <v>31443807</v>
      </c>
      <c r="BB346" s="8">
        <v>86885</v>
      </c>
      <c r="BH346" s="8">
        <v>0</v>
      </c>
      <c r="BJ346" s="8">
        <f t="shared" si="26"/>
        <v>31530692</v>
      </c>
      <c r="BL346" s="8">
        <f>+GenRev!AM348-GenExp!BJ346</f>
        <v>-2337930</v>
      </c>
      <c r="BN346" s="8">
        <v>11655740</v>
      </c>
      <c r="BP346" s="8">
        <v>0</v>
      </c>
      <c r="BQ346" s="8">
        <v>0</v>
      </c>
      <c r="BS346" s="8">
        <f t="shared" si="28"/>
        <v>9317810</v>
      </c>
      <c r="BU346" s="9">
        <f>+BS346-'Gen Fd BS'!AA348+BQ346</f>
        <v>0</v>
      </c>
    </row>
    <row r="347" spans="1:73">
      <c r="A347" s="13"/>
      <c r="B347" s="13"/>
      <c r="C347" s="13"/>
      <c r="D347" s="13"/>
      <c r="E347" s="32"/>
      <c r="F347" s="11"/>
      <c r="AJ347" s="13"/>
      <c r="AK347" s="13"/>
      <c r="AL347" s="13"/>
    </row>
    <row r="348" spans="1:73">
      <c r="A348" s="13"/>
      <c r="B348" s="13"/>
      <c r="C348" s="13"/>
      <c r="D348" s="13"/>
      <c r="E348" s="32"/>
      <c r="F348" s="11"/>
      <c r="AI348" s="8" t="s">
        <v>819</v>
      </c>
      <c r="AJ348" s="13"/>
      <c r="AK348" s="13"/>
      <c r="AL348" s="13"/>
      <c r="BS348" s="8" t="s">
        <v>819</v>
      </c>
    </row>
    <row r="349" spans="1:73" s="35" customFormat="1">
      <c r="A349" s="34" t="s">
        <v>898</v>
      </c>
      <c r="B349" s="34"/>
      <c r="C349" s="34" t="s">
        <v>32</v>
      </c>
      <c r="D349" s="34"/>
      <c r="E349" s="34">
        <v>44412</v>
      </c>
      <c r="F349" s="48"/>
      <c r="G349" s="35">
        <v>11704147</v>
      </c>
      <c r="I349" s="35">
        <v>3808445</v>
      </c>
      <c r="K349" s="35">
        <v>173481</v>
      </c>
      <c r="M349" s="35">
        <v>3658433</v>
      </c>
      <c r="O349" s="35">
        <v>1349535</v>
      </c>
      <c r="Q349" s="35">
        <v>1666487</v>
      </c>
      <c r="S349" s="35">
        <v>141616</v>
      </c>
      <c r="U349" s="35">
        <v>2304633</v>
      </c>
      <c r="W349" s="35">
        <v>734253</v>
      </c>
      <c r="Y349" s="35">
        <v>142260</v>
      </c>
      <c r="AA349" s="35">
        <v>4065282</v>
      </c>
      <c r="AC349" s="35">
        <v>2381322</v>
      </c>
      <c r="AE349" s="35">
        <v>317218</v>
      </c>
      <c r="AG349" s="35">
        <v>0</v>
      </c>
      <c r="AI349" s="35">
        <v>42285</v>
      </c>
      <c r="AJ349" s="34" t="s">
        <v>405</v>
      </c>
      <c r="AK349" s="34"/>
      <c r="AL349" s="34" t="s">
        <v>32</v>
      </c>
      <c r="AN349" s="35">
        <v>574525</v>
      </c>
      <c r="AP349" s="35">
        <v>3396</v>
      </c>
      <c r="AT349" s="35">
        <v>42583</v>
      </c>
      <c r="AV349" s="35">
        <v>8685</v>
      </c>
      <c r="AX349" s="35">
        <v>0</v>
      </c>
      <c r="AZ349" s="35">
        <f t="shared" si="25"/>
        <v>33118586</v>
      </c>
      <c r="BB349" s="35">
        <v>141802</v>
      </c>
      <c r="BH349" s="35">
        <v>0</v>
      </c>
      <c r="BJ349" s="35">
        <f t="shared" si="26"/>
        <v>33260388</v>
      </c>
      <c r="BL349" s="35">
        <f>+GenRev!AM349-GenExp!BJ349</f>
        <v>-1009739</v>
      </c>
      <c r="BN349" s="35">
        <v>4170604</v>
      </c>
      <c r="BP349" s="35">
        <v>0</v>
      </c>
      <c r="BQ349" s="35">
        <v>0</v>
      </c>
      <c r="BS349" s="35">
        <f t="shared" si="28"/>
        <v>3160865</v>
      </c>
      <c r="BU349" s="44">
        <f>+BS349-'Gen Fd BS'!AA349+BQ349</f>
        <v>0</v>
      </c>
    </row>
    <row r="350" spans="1:73">
      <c r="A350" s="13" t="s">
        <v>437</v>
      </c>
      <c r="B350" s="13"/>
      <c r="C350" s="13" t="s">
        <v>34</v>
      </c>
      <c r="D350" s="13"/>
      <c r="E350" s="32">
        <v>44438</v>
      </c>
      <c r="G350" s="8">
        <v>7587489</v>
      </c>
      <c r="I350" s="8">
        <v>3312995</v>
      </c>
      <c r="K350" s="8">
        <v>254157</v>
      </c>
      <c r="M350" s="8">
        <v>1492792</v>
      </c>
      <c r="O350" s="8">
        <v>726742</v>
      </c>
      <c r="Q350" s="8">
        <v>320371</v>
      </c>
      <c r="S350" s="8">
        <v>17780</v>
      </c>
      <c r="U350" s="8">
        <v>1600738</v>
      </c>
      <c r="W350" s="8">
        <v>611179</v>
      </c>
      <c r="Y350" s="8">
        <v>0</v>
      </c>
      <c r="AA350" s="8">
        <v>1496008</v>
      </c>
      <c r="AC350" s="8">
        <v>1004343</v>
      </c>
      <c r="AE350" s="8">
        <v>387097</v>
      </c>
      <c r="AG350" s="8">
        <v>0</v>
      </c>
      <c r="AI350" s="8">
        <v>0</v>
      </c>
      <c r="AJ350" s="13" t="s">
        <v>437</v>
      </c>
      <c r="AK350" s="13"/>
      <c r="AL350" s="13" t="s">
        <v>34</v>
      </c>
      <c r="AN350" s="8">
        <v>423757</v>
      </c>
      <c r="AP350" s="8">
        <v>0</v>
      </c>
      <c r="AT350" s="8">
        <v>0</v>
      </c>
      <c r="AV350" s="8">
        <v>0</v>
      </c>
      <c r="AX350" s="8">
        <v>0</v>
      </c>
      <c r="AZ350" s="8">
        <f t="shared" ref="AZ350:AZ362" si="29">SUM(G350:AX350)</f>
        <v>19235448</v>
      </c>
      <c r="BB350" s="8">
        <v>250338</v>
      </c>
      <c r="BH350" s="8">
        <v>0</v>
      </c>
      <c r="BJ350" s="8">
        <f t="shared" ref="BJ350:BJ362" si="30">+AZ350+BB350+BD350+BH350</f>
        <v>19485786</v>
      </c>
      <c r="BL350" s="8">
        <f>+GenRev!AM350-GenExp!BJ350</f>
        <v>896759</v>
      </c>
      <c r="BN350" s="8">
        <v>6147540</v>
      </c>
      <c r="BP350" s="8">
        <v>0</v>
      </c>
      <c r="BQ350" s="8">
        <v>0</v>
      </c>
      <c r="BS350" s="8">
        <f t="shared" si="28"/>
        <v>7044299</v>
      </c>
      <c r="BU350" s="9">
        <f>+BS350-'Gen Fd BS'!AA350+BQ350</f>
        <v>0</v>
      </c>
    </row>
    <row r="351" spans="1:73">
      <c r="A351" s="13" t="s">
        <v>227</v>
      </c>
      <c r="B351" s="13"/>
      <c r="C351" s="13" t="s">
        <v>13</v>
      </c>
      <c r="D351" s="13"/>
      <c r="E351" s="32">
        <v>44446</v>
      </c>
      <c r="G351" s="8">
        <v>4400793</v>
      </c>
      <c r="I351" s="8">
        <v>908150</v>
      </c>
      <c r="K351" s="8">
        <v>78663</v>
      </c>
      <c r="M351" s="8">
        <v>0</v>
      </c>
      <c r="O351" s="8">
        <v>305293</v>
      </c>
      <c r="Q351" s="8">
        <v>565587</v>
      </c>
      <c r="S351" s="8">
        <v>71315</v>
      </c>
      <c r="U351" s="8">
        <v>1111149</v>
      </c>
      <c r="W351" s="8">
        <v>295872</v>
      </c>
      <c r="Y351" s="8">
        <v>0</v>
      </c>
      <c r="AA351" s="8">
        <v>1151659</v>
      </c>
      <c r="AC351" s="8">
        <v>850925</v>
      </c>
      <c r="AE351" s="8">
        <v>1840</v>
      </c>
      <c r="AG351" s="8">
        <v>0</v>
      </c>
      <c r="AI351" s="8">
        <v>2522</v>
      </c>
      <c r="AJ351" s="13" t="s">
        <v>227</v>
      </c>
      <c r="AK351" s="13"/>
      <c r="AL351" s="13" t="s">
        <v>13</v>
      </c>
      <c r="AN351" s="8">
        <v>201487</v>
      </c>
      <c r="AP351" s="8">
        <v>78177</v>
      </c>
      <c r="AT351" s="8">
        <v>196312</v>
      </c>
      <c r="AV351" s="8">
        <v>21688</v>
      </c>
      <c r="AX351" s="8">
        <v>0</v>
      </c>
      <c r="AZ351" s="8">
        <f t="shared" si="29"/>
        <v>10241432</v>
      </c>
      <c r="BB351" s="8">
        <v>59514</v>
      </c>
      <c r="BH351" s="8">
        <v>0</v>
      </c>
      <c r="BJ351" s="8">
        <f t="shared" si="30"/>
        <v>10300946</v>
      </c>
      <c r="BL351" s="8">
        <f>+GenRev!AM351-GenExp!BJ351</f>
        <v>91774</v>
      </c>
      <c r="BN351" s="8">
        <v>1864055</v>
      </c>
      <c r="BP351" s="8">
        <v>0</v>
      </c>
      <c r="BQ351" s="8">
        <v>0</v>
      </c>
      <c r="BS351" s="8">
        <f t="shared" si="28"/>
        <v>1955829</v>
      </c>
      <c r="BU351" s="9">
        <f>+BS351-'Gen Fd BS'!AA351+BQ351</f>
        <v>0</v>
      </c>
    </row>
    <row r="352" spans="1:73">
      <c r="A352" s="13" t="s">
        <v>844</v>
      </c>
      <c r="B352" s="13"/>
      <c r="C352" s="13" t="s">
        <v>27</v>
      </c>
      <c r="D352" s="13"/>
      <c r="E352" s="32">
        <v>44461</v>
      </c>
      <c r="G352" s="8">
        <v>18220738</v>
      </c>
      <c r="I352" s="8">
        <v>2757299</v>
      </c>
      <c r="K352" s="8">
        <v>2238973</v>
      </c>
      <c r="M352" s="8">
        <v>0</v>
      </c>
      <c r="O352" s="8">
        <v>2038394</v>
      </c>
      <c r="Q352" s="8">
        <v>1542452</v>
      </c>
      <c r="S352" s="8">
        <v>73388</v>
      </c>
      <c r="U352" s="8">
        <v>2930062</v>
      </c>
      <c r="W352" s="8">
        <v>0</v>
      </c>
      <c r="Y352" s="8">
        <v>1517870</v>
      </c>
      <c r="AA352" s="8">
        <v>4247855</v>
      </c>
      <c r="AC352" s="8">
        <v>2205602</v>
      </c>
      <c r="AE352" s="8">
        <v>153234</v>
      </c>
      <c r="AG352" s="8">
        <v>0</v>
      </c>
      <c r="AI352" s="8">
        <v>1082656</v>
      </c>
      <c r="AJ352" s="13" t="s">
        <v>844</v>
      </c>
      <c r="AK352" s="13"/>
      <c r="AL352" s="13" t="s">
        <v>27</v>
      </c>
      <c r="AN352" s="8">
        <v>1091175</v>
      </c>
      <c r="AP352" s="8">
        <v>0</v>
      </c>
      <c r="AT352" s="8">
        <v>0</v>
      </c>
      <c r="AV352" s="8">
        <v>0</v>
      </c>
      <c r="AX352" s="8">
        <v>194350</v>
      </c>
      <c r="AZ352" s="8">
        <f t="shared" si="29"/>
        <v>40294048</v>
      </c>
      <c r="BB352" s="8">
        <v>137640</v>
      </c>
      <c r="BH352" s="8">
        <v>0</v>
      </c>
      <c r="BJ352" s="8">
        <f t="shared" si="30"/>
        <v>40431688</v>
      </c>
      <c r="BL352" s="8">
        <f>+GenRev!AM352-GenExp!BJ352</f>
        <v>2789998</v>
      </c>
      <c r="BN352" s="8">
        <v>15348445</v>
      </c>
      <c r="BP352" s="8">
        <v>0</v>
      </c>
      <c r="BQ352" s="8">
        <v>0</v>
      </c>
      <c r="BS352" s="8">
        <f t="shared" si="28"/>
        <v>18138443</v>
      </c>
      <c r="BU352" s="9">
        <f>+BS352-'Gen Fd BS'!AA352+BQ352</f>
        <v>0</v>
      </c>
    </row>
    <row r="353" spans="1:73">
      <c r="A353" s="13" t="s">
        <v>635</v>
      </c>
      <c r="B353" s="13"/>
      <c r="C353" s="13" t="s">
        <v>59</v>
      </c>
      <c r="D353" s="13"/>
      <c r="E353" s="32">
        <v>44461</v>
      </c>
      <c r="G353" s="8">
        <v>1695292</v>
      </c>
      <c r="I353" s="8">
        <v>238699</v>
      </c>
      <c r="K353" s="8">
        <v>0</v>
      </c>
      <c r="M353" s="8">
        <v>306</v>
      </c>
      <c r="O353" s="8">
        <v>107872</v>
      </c>
      <c r="Q353" s="8">
        <v>123827</v>
      </c>
      <c r="S353" s="8">
        <v>11070</v>
      </c>
      <c r="U353" s="8">
        <v>454637</v>
      </c>
      <c r="W353" s="8">
        <v>198432</v>
      </c>
      <c r="Y353" s="8">
        <v>0</v>
      </c>
      <c r="AA353" s="8">
        <v>551173</v>
      </c>
      <c r="AC353" s="8">
        <v>67871</v>
      </c>
      <c r="AE353" s="8">
        <v>3952</v>
      </c>
      <c r="AG353" s="8">
        <v>1595</v>
      </c>
      <c r="AI353" s="8">
        <v>0</v>
      </c>
      <c r="AJ353" s="13" t="s">
        <v>635</v>
      </c>
      <c r="AK353" s="13"/>
      <c r="AL353" s="13" t="s">
        <v>59</v>
      </c>
      <c r="AN353" s="8">
        <v>61505</v>
      </c>
      <c r="AP353" s="8">
        <v>0</v>
      </c>
      <c r="AT353" s="8">
        <v>0</v>
      </c>
      <c r="AV353" s="8">
        <v>0</v>
      </c>
      <c r="AX353" s="8">
        <v>0</v>
      </c>
      <c r="AZ353" s="8">
        <f t="shared" si="29"/>
        <v>3516231</v>
      </c>
      <c r="BB353" s="8">
        <v>0</v>
      </c>
      <c r="BH353" s="8">
        <v>0</v>
      </c>
      <c r="BJ353" s="8">
        <f t="shared" si="30"/>
        <v>3516231</v>
      </c>
      <c r="BL353" s="8">
        <f>+GenRev!AM353-GenExp!BJ353</f>
        <v>5107</v>
      </c>
      <c r="BN353" s="8">
        <v>474074</v>
      </c>
      <c r="BP353" s="8">
        <v>0</v>
      </c>
      <c r="BQ353" s="8">
        <v>0</v>
      </c>
      <c r="BS353" s="8">
        <f t="shared" si="28"/>
        <v>479181</v>
      </c>
      <c r="BU353" s="9">
        <f>+BS353-'Gen Fd BS'!AA353+BQ353</f>
        <v>0</v>
      </c>
    </row>
    <row r="354" spans="1:73">
      <c r="A354" s="13" t="s">
        <v>230</v>
      </c>
      <c r="B354" s="13"/>
      <c r="C354" s="13" t="s">
        <v>14</v>
      </c>
      <c r="D354" s="13"/>
      <c r="E354" s="32">
        <v>45955</v>
      </c>
      <c r="F354" s="11"/>
      <c r="G354" s="8">
        <v>4059030</v>
      </c>
      <c r="I354" s="8">
        <v>155442</v>
      </c>
      <c r="K354" s="8">
        <v>278078</v>
      </c>
      <c r="M354" s="8">
        <v>0</v>
      </c>
      <c r="O354" s="8">
        <v>381205</v>
      </c>
      <c r="Q354" s="8">
        <v>390916</v>
      </c>
      <c r="S354" s="8">
        <v>31215</v>
      </c>
      <c r="U354" s="8">
        <v>726636</v>
      </c>
      <c r="W354" s="8">
        <v>183819</v>
      </c>
      <c r="Y354" s="8">
        <v>0</v>
      </c>
      <c r="AA354" s="8">
        <v>854162</v>
      </c>
      <c r="AC354" s="8">
        <v>246899</v>
      </c>
      <c r="AE354" s="8">
        <v>61031</v>
      </c>
      <c r="AG354" s="8">
        <v>0</v>
      </c>
      <c r="AI354" s="8">
        <v>0</v>
      </c>
      <c r="AJ354" s="13" t="s">
        <v>230</v>
      </c>
      <c r="AK354" s="13"/>
      <c r="AL354" s="13" t="s">
        <v>14</v>
      </c>
      <c r="AN354" s="8">
        <v>212618</v>
      </c>
      <c r="AP354" s="8">
        <v>0</v>
      </c>
      <c r="AT354" s="8">
        <v>0</v>
      </c>
      <c r="AV354" s="8">
        <v>0</v>
      </c>
      <c r="AX354" s="8">
        <v>0</v>
      </c>
      <c r="AZ354" s="8">
        <f t="shared" si="29"/>
        <v>7581051</v>
      </c>
      <c r="BB354" s="8">
        <v>34000</v>
      </c>
      <c r="BH354" s="8">
        <v>0</v>
      </c>
      <c r="BJ354" s="8">
        <f t="shared" si="30"/>
        <v>7615051</v>
      </c>
      <c r="BL354" s="8">
        <f>+GenRev!AM354-GenExp!BJ354</f>
        <v>785581</v>
      </c>
      <c r="BN354" s="8">
        <v>3346118</v>
      </c>
      <c r="BP354" s="8">
        <v>0</v>
      </c>
      <c r="BQ354" s="8">
        <v>0</v>
      </c>
      <c r="BS354" s="8">
        <f t="shared" si="28"/>
        <v>4131699</v>
      </c>
      <c r="BU354" s="9">
        <f>+BS354-'Gen Fd BS'!AA354+BQ354</f>
        <v>0</v>
      </c>
    </row>
    <row r="355" spans="1:73" hidden="1">
      <c r="A355" s="13" t="s">
        <v>231</v>
      </c>
      <c r="B355" s="13"/>
      <c r="C355" s="13" t="s">
        <v>14</v>
      </c>
      <c r="D355" s="13"/>
      <c r="E355" s="32">
        <v>45963</v>
      </c>
      <c r="Y355" s="8">
        <v>0</v>
      </c>
      <c r="AG355" s="8">
        <v>0</v>
      </c>
      <c r="AI355" s="8">
        <v>0</v>
      </c>
      <c r="AJ355" s="13" t="s">
        <v>231</v>
      </c>
      <c r="AK355" s="13"/>
      <c r="AL355" s="13" t="s">
        <v>14</v>
      </c>
      <c r="AN355" s="8">
        <v>0</v>
      </c>
      <c r="AP355" s="8">
        <v>0</v>
      </c>
      <c r="AT355" s="8">
        <v>0</v>
      </c>
      <c r="AV355" s="8">
        <v>0</v>
      </c>
      <c r="AX355" s="8">
        <v>0</v>
      </c>
      <c r="AZ355" s="8">
        <f t="shared" si="29"/>
        <v>0</v>
      </c>
      <c r="BB355" s="8">
        <v>0</v>
      </c>
      <c r="BH355" s="8">
        <v>0</v>
      </c>
      <c r="BJ355" s="8">
        <f t="shared" si="30"/>
        <v>0</v>
      </c>
      <c r="BL355" s="8">
        <f>+GenRev!AM355-GenExp!BJ355</f>
        <v>0</v>
      </c>
      <c r="BN355" s="8">
        <v>0</v>
      </c>
      <c r="BP355" s="8">
        <v>0</v>
      </c>
      <c r="BQ355" s="8">
        <v>0</v>
      </c>
      <c r="BS355" s="8">
        <f t="shared" si="28"/>
        <v>0</v>
      </c>
      <c r="BU355" s="9">
        <f>+BS355-'Gen Fd BS'!AA355+BQ355</f>
        <v>0</v>
      </c>
    </row>
    <row r="356" spans="1:73">
      <c r="A356" s="13" t="s">
        <v>560</v>
      </c>
      <c r="B356" s="13"/>
      <c r="C356" s="13" t="s">
        <v>50</v>
      </c>
      <c r="D356" s="13"/>
      <c r="E356" s="32">
        <v>48710</v>
      </c>
      <c r="G356" s="8">
        <v>4025375</v>
      </c>
      <c r="I356" s="8">
        <v>1244153</v>
      </c>
      <c r="K356" s="8">
        <v>0</v>
      </c>
      <c r="M356" s="8">
        <v>333387</v>
      </c>
      <c r="O356" s="8">
        <v>328745</v>
      </c>
      <c r="Q356" s="8">
        <v>290358</v>
      </c>
      <c r="S356" s="8">
        <v>110041</v>
      </c>
      <c r="U356" s="8">
        <v>794130</v>
      </c>
      <c r="W356" s="8">
        <v>236828</v>
      </c>
      <c r="Y356" s="8">
        <v>34468</v>
      </c>
      <c r="AA356" s="8">
        <v>1239190</v>
      </c>
      <c r="AC356" s="8">
        <v>307995</v>
      </c>
      <c r="AE356" s="8">
        <v>193575</v>
      </c>
      <c r="AG356" s="8">
        <v>0</v>
      </c>
      <c r="AI356" s="8">
        <v>0</v>
      </c>
      <c r="AJ356" s="13" t="s">
        <v>560</v>
      </c>
      <c r="AK356" s="13"/>
      <c r="AL356" s="13" t="s">
        <v>50</v>
      </c>
      <c r="AN356" s="8">
        <v>185147</v>
      </c>
      <c r="AP356" s="8">
        <v>0</v>
      </c>
      <c r="AT356" s="8">
        <v>0</v>
      </c>
      <c r="AV356" s="8">
        <v>0</v>
      </c>
      <c r="AX356" s="8">
        <v>0</v>
      </c>
      <c r="AZ356" s="8">
        <f t="shared" si="29"/>
        <v>9323392</v>
      </c>
      <c r="BB356" s="8">
        <v>0</v>
      </c>
      <c r="BH356" s="8">
        <v>0</v>
      </c>
      <c r="BJ356" s="8">
        <f t="shared" si="30"/>
        <v>9323392</v>
      </c>
      <c r="BL356" s="8">
        <f>+GenRev!AM356-GenExp!BJ356</f>
        <v>987879</v>
      </c>
      <c r="BN356" s="8">
        <v>1232245</v>
      </c>
      <c r="BP356" s="8">
        <v>0</v>
      </c>
      <c r="BQ356" s="8">
        <v>0</v>
      </c>
      <c r="BS356" s="8">
        <f t="shared" si="28"/>
        <v>2220124</v>
      </c>
      <c r="BU356" s="9">
        <f>+BS356-'Gen Fd BS'!AA356+BQ356</f>
        <v>0</v>
      </c>
    </row>
    <row r="357" spans="1:73" hidden="1">
      <c r="A357" s="13" t="s">
        <v>587</v>
      </c>
      <c r="B357" s="13"/>
      <c r="C357" s="13" t="s">
        <v>586</v>
      </c>
      <c r="D357" s="13"/>
      <c r="E357" s="32">
        <v>44479</v>
      </c>
      <c r="Y357" s="8">
        <v>0</v>
      </c>
      <c r="AG357" s="8">
        <v>0</v>
      </c>
      <c r="AI357" s="8">
        <v>0</v>
      </c>
      <c r="AJ357" s="13" t="s">
        <v>587</v>
      </c>
      <c r="AK357" s="13"/>
      <c r="AL357" s="13" t="s">
        <v>586</v>
      </c>
      <c r="AN357" s="8">
        <v>0</v>
      </c>
      <c r="AP357" s="8">
        <v>0</v>
      </c>
      <c r="AT357" s="8">
        <v>0</v>
      </c>
      <c r="AV357" s="8">
        <v>0</v>
      </c>
      <c r="AX357" s="8">
        <v>0</v>
      </c>
      <c r="AZ357" s="8">
        <f t="shared" si="29"/>
        <v>0</v>
      </c>
      <c r="BB357" s="8">
        <v>0</v>
      </c>
      <c r="BH357" s="8">
        <v>0</v>
      </c>
      <c r="BJ357" s="8">
        <f t="shared" si="30"/>
        <v>0</v>
      </c>
      <c r="BL357" s="8">
        <f>+GenRev!AM357-GenExp!BJ357</f>
        <v>0</v>
      </c>
      <c r="BN357" s="8">
        <v>0</v>
      </c>
      <c r="BP357" s="8">
        <v>0</v>
      </c>
      <c r="BQ357" s="8">
        <v>0</v>
      </c>
      <c r="BS357" s="8">
        <f t="shared" si="28"/>
        <v>0</v>
      </c>
      <c r="BU357" s="9">
        <f>+BS357-'Gen Fd BS'!AA357+BQ357</f>
        <v>0</v>
      </c>
    </row>
    <row r="358" spans="1:73">
      <c r="A358" s="13" t="s">
        <v>450</v>
      </c>
      <c r="B358" s="13"/>
      <c r="C358" s="13" t="s">
        <v>37</v>
      </c>
      <c r="D358" s="13"/>
      <c r="E358" s="32">
        <v>47720</v>
      </c>
      <c r="G358" s="8">
        <v>4519219</v>
      </c>
      <c r="I358" s="8">
        <v>706972</v>
      </c>
      <c r="K358" s="8">
        <v>376804</v>
      </c>
      <c r="M358" s="8">
        <f>12685+61746</f>
        <v>74431</v>
      </c>
      <c r="O358" s="8">
        <v>239925</v>
      </c>
      <c r="Q358" s="8">
        <v>496438</v>
      </c>
      <c r="S358" s="8">
        <v>17366</v>
      </c>
      <c r="U358" s="8">
        <v>715037</v>
      </c>
      <c r="W358" s="8">
        <v>239063</v>
      </c>
      <c r="Y358" s="8">
        <v>0</v>
      </c>
      <c r="AA358" s="8">
        <v>802286</v>
      </c>
      <c r="AC358" s="8">
        <v>516325</v>
      </c>
      <c r="AE358" s="8">
        <v>0</v>
      </c>
      <c r="AG358" s="8">
        <v>0</v>
      </c>
      <c r="AI358" s="8">
        <v>0</v>
      </c>
      <c r="AJ358" s="13" t="s">
        <v>450</v>
      </c>
      <c r="AK358" s="13"/>
      <c r="AL358" s="13" t="s">
        <v>37</v>
      </c>
      <c r="AN358" s="8">
        <v>199221</v>
      </c>
      <c r="AP358" s="8">
        <v>325430</v>
      </c>
      <c r="AT358" s="8">
        <v>31774</v>
      </c>
      <c r="AV358" s="8">
        <v>9585</v>
      </c>
      <c r="AX358" s="8">
        <v>0</v>
      </c>
      <c r="AZ358" s="8">
        <f t="shared" si="29"/>
        <v>9269876</v>
      </c>
      <c r="BB358" s="8">
        <v>0</v>
      </c>
      <c r="BH358" s="8">
        <v>0</v>
      </c>
      <c r="BJ358" s="8">
        <f t="shared" si="30"/>
        <v>9269876</v>
      </c>
      <c r="BL358" s="8">
        <f>+GenRev!AM358-GenExp!BJ358</f>
        <v>-114029</v>
      </c>
      <c r="BN358" s="8">
        <v>1547087</v>
      </c>
      <c r="BP358" s="8">
        <v>0</v>
      </c>
      <c r="BQ358" s="8">
        <v>0</v>
      </c>
      <c r="BS358" s="8">
        <f t="shared" si="28"/>
        <v>1433058</v>
      </c>
      <c r="BU358" s="9">
        <f>+BS358-'Gen Fd BS'!AA358+BQ358</f>
        <v>0</v>
      </c>
    </row>
    <row r="359" spans="1:73">
      <c r="A359" s="13" t="s">
        <v>253</v>
      </c>
      <c r="B359" s="13"/>
      <c r="C359" s="13" t="s">
        <v>246</v>
      </c>
      <c r="D359" s="13"/>
      <c r="E359" s="32">
        <v>46136</v>
      </c>
      <c r="G359" s="8">
        <v>2615259</v>
      </c>
      <c r="I359" s="8">
        <v>185762</v>
      </c>
      <c r="K359" s="8">
        <v>0</v>
      </c>
      <c r="M359" s="8">
        <v>2174</v>
      </c>
      <c r="O359" s="8">
        <v>228046</v>
      </c>
      <c r="Q359" s="8">
        <v>174228</v>
      </c>
      <c r="S359" s="8">
        <v>60065</v>
      </c>
      <c r="U359" s="8">
        <v>835682</v>
      </c>
      <c r="W359" s="8">
        <v>174923</v>
      </c>
      <c r="Y359" s="8">
        <v>78767</v>
      </c>
      <c r="AA359" s="8">
        <v>758462</v>
      </c>
      <c r="AC359" s="8">
        <v>381117</v>
      </c>
      <c r="AE359" s="8">
        <v>0</v>
      </c>
      <c r="AG359" s="8">
        <v>0</v>
      </c>
      <c r="AI359" s="8">
        <v>0</v>
      </c>
      <c r="AJ359" s="13" t="s">
        <v>253</v>
      </c>
      <c r="AK359" s="13"/>
      <c r="AL359" s="13" t="s">
        <v>246</v>
      </c>
      <c r="AN359" s="8">
        <v>103138</v>
      </c>
      <c r="AP359" s="8">
        <v>0</v>
      </c>
      <c r="AT359" s="8">
        <v>0</v>
      </c>
      <c r="AV359" s="8">
        <v>0</v>
      </c>
      <c r="AX359" s="8">
        <v>0</v>
      </c>
      <c r="AZ359" s="8">
        <f t="shared" si="29"/>
        <v>5597623</v>
      </c>
      <c r="BB359" s="8">
        <v>28211</v>
      </c>
      <c r="BH359" s="8">
        <v>0</v>
      </c>
      <c r="BJ359" s="8">
        <f t="shared" si="30"/>
        <v>5625834</v>
      </c>
      <c r="BL359" s="8">
        <f>+GenRev!AM359-GenExp!BJ359</f>
        <v>187453</v>
      </c>
      <c r="BN359" s="8">
        <v>1666044</v>
      </c>
      <c r="BP359" s="8">
        <v>0</v>
      </c>
      <c r="BQ359" s="8">
        <v>0</v>
      </c>
      <c r="BS359" s="8">
        <f t="shared" si="28"/>
        <v>1853497</v>
      </c>
      <c r="BU359" s="9">
        <f>+BS359-'Gen Fd BS'!AA359+BQ359</f>
        <v>0</v>
      </c>
    </row>
    <row r="360" spans="1:73">
      <c r="A360" s="13" t="s">
        <v>703</v>
      </c>
      <c r="B360" s="13"/>
      <c r="C360" s="13" t="s">
        <v>65</v>
      </c>
      <c r="D360" s="13"/>
      <c r="E360" s="32">
        <v>44487</v>
      </c>
      <c r="G360" s="8">
        <v>9813863</v>
      </c>
      <c r="I360" s="8">
        <v>2231768</v>
      </c>
      <c r="K360" s="8">
        <v>86871</v>
      </c>
      <c r="M360" s="8">
        <v>404872</v>
      </c>
      <c r="O360" s="8">
        <v>1111728</v>
      </c>
      <c r="Q360" s="8">
        <v>476906</v>
      </c>
      <c r="S360" s="8">
        <v>50664</v>
      </c>
      <c r="U360" s="8">
        <v>1757478</v>
      </c>
      <c r="W360" s="8">
        <v>831120</v>
      </c>
      <c r="Y360" s="8">
        <v>0</v>
      </c>
      <c r="AA360" s="8">
        <v>1968820</v>
      </c>
      <c r="AC360" s="8">
        <v>532354</v>
      </c>
      <c r="AE360" s="8">
        <v>0</v>
      </c>
      <c r="AG360" s="8">
        <v>0</v>
      </c>
      <c r="AI360" s="8">
        <v>2585</v>
      </c>
      <c r="AJ360" s="13" t="s">
        <v>703</v>
      </c>
      <c r="AK360" s="13"/>
      <c r="AL360" s="13" t="s">
        <v>65</v>
      </c>
      <c r="AN360" s="8">
        <v>379937</v>
      </c>
      <c r="AP360" s="8">
        <v>0</v>
      </c>
      <c r="AT360" s="8">
        <v>90150</v>
      </c>
      <c r="AV360" s="8">
        <v>61266</v>
      </c>
      <c r="AX360" s="8">
        <v>0</v>
      </c>
      <c r="AZ360" s="8">
        <f t="shared" si="29"/>
        <v>19800382</v>
      </c>
      <c r="BB360" s="8">
        <v>133500</v>
      </c>
      <c r="BH360" s="8">
        <v>0</v>
      </c>
      <c r="BJ360" s="8">
        <f t="shared" si="30"/>
        <v>19933882</v>
      </c>
      <c r="BL360" s="8">
        <f>+GenRev!AM360-GenExp!BJ360</f>
        <v>421324</v>
      </c>
      <c r="BN360" s="8">
        <v>3441579</v>
      </c>
      <c r="BP360" s="8">
        <v>0</v>
      </c>
      <c r="BQ360" s="8">
        <v>0</v>
      </c>
      <c r="BS360" s="8">
        <f t="shared" si="28"/>
        <v>3862903</v>
      </c>
      <c r="BU360" s="9">
        <f>+BS360-'Gen Fd BS'!AA360+BQ360</f>
        <v>0</v>
      </c>
    </row>
    <row r="361" spans="1:73">
      <c r="A361" s="13" t="s">
        <v>275</v>
      </c>
      <c r="B361" s="13"/>
      <c r="C361" s="13" t="s">
        <v>116</v>
      </c>
      <c r="D361" s="13"/>
      <c r="E361" s="32">
        <v>45559</v>
      </c>
      <c r="G361" s="8">
        <v>11799598</v>
      </c>
      <c r="I361" s="8">
        <v>2803638</v>
      </c>
      <c r="K361" s="8">
        <v>0</v>
      </c>
      <c r="M361" s="8">
        <v>19488</v>
      </c>
      <c r="O361" s="8">
        <v>1019943</v>
      </c>
      <c r="Q361" s="8">
        <v>883737</v>
      </c>
      <c r="S361" s="8">
        <v>110271</v>
      </c>
      <c r="U361" s="8">
        <v>1520319</v>
      </c>
      <c r="W361" s="8">
        <v>704708</v>
      </c>
      <c r="Y361" s="8">
        <v>0</v>
      </c>
      <c r="AA361" s="8">
        <v>2795132</v>
      </c>
      <c r="AC361" s="8">
        <v>1996630</v>
      </c>
      <c r="AE361" s="8">
        <v>273017</v>
      </c>
      <c r="AG361" s="8">
        <v>0</v>
      </c>
      <c r="AI361" s="8">
        <v>0</v>
      </c>
      <c r="AJ361" s="13" t="s">
        <v>275</v>
      </c>
      <c r="AK361" s="13"/>
      <c r="AL361" s="13" t="s">
        <v>116</v>
      </c>
      <c r="AN361" s="8">
        <v>281963</v>
      </c>
      <c r="AP361" s="8">
        <v>641</v>
      </c>
      <c r="AT361" s="8">
        <v>0</v>
      </c>
      <c r="AV361" s="8">
        <v>0</v>
      </c>
      <c r="AX361" s="8">
        <v>0</v>
      </c>
      <c r="AZ361" s="8">
        <f t="shared" si="29"/>
        <v>24209085</v>
      </c>
      <c r="BB361" s="8">
        <v>16298</v>
      </c>
      <c r="BH361" s="8">
        <v>0</v>
      </c>
      <c r="BJ361" s="8">
        <f t="shared" si="30"/>
        <v>24225383</v>
      </c>
      <c r="BL361" s="8">
        <f>+GenRev!AM361-GenExp!BJ361</f>
        <v>1747645</v>
      </c>
      <c r="BN361" s="8">
        <v>13284986</v>
      </c>
      <c r="BP361" s="8">
        <v>0</v>
      </c>
      <c r="BQ361" s="8">
        <v>0</v>
      </c>
      <c r="BS361" s="8">
        <f t="shared" si="28"/>
        <v>15032631</v>
      </c>
      <c r="BU361" s="9">
        <f>+BS361-'Gen Fd BS'!AA361+BQ361</f>
        <v>0</v>
      </c>
    </row>
    <row r="362" spans="1:73" hidden="1">
      <c r="A362" s="13" t="s">
        <v>642</v>
      </c>
      <c r="B362" s="13"/>
      <c r="C362" s="13" t="s">
        <v>60</v>
      </c>
      <c r="D362" s="13"/>
      <c r="E362" s="32">
        <v>49718</v>
      </c>
      <c r="AG362" s="8">
        <v>0</v>
      </c>
      <c r="AI362" s="8">
        <v>0</v>
      </c>
      <c r="AJ362" s="13" t="s">
        <v>642</v>
      </c>
      <c r="AK362" s="13"/>
      <c r="AL362" s="13" t="s">
        <v>60</v>
      </c>
      <c r="AT362" s="8">
        <v>0</v>
      </c>
      <c r="AV362" s="8">
        <v>0</v>
      </c>
      <c r="AX362" s="8">
        <v>0</v>
      </c>
      <c r="AZ362" s="8">
        <f t="shared" si="29"/>
        <v>0</v>
      </c>
      <c r="BB362" s="8">
        <v>0</v>
      </c>
      <c r="BH362" s="8">
        <v>0</v>
      </c>
      <c r="BJ362" s="8">
        <f t="shared" si="30"/>
        <v>0</v>
      </c>
      <c r="BL362" s="8">
        <f>+GenRev!AM362-GenExp!BJ362</f>
        <v>0</v>
      </c>
      <c r="BP362" s="8">
        <v>0</v>
      </c>
      <c r="BQ362" s="8">
        <v>0</v>
      </c>
      <c r="BS362" s="8">
        <f t="shared" si="28"/>
        <v>0</v>
      </c>
      <c r="BU362" s="9">
        <f>+BS362-'Gen Fd BS'!AA362+BQ362</f>
        <v>0</v>
      </c>
    </row>
    <row r="363" spans="1:73">
      <c r="A363" s="13" t="s">
        <v>484</v>
      </c>
      <c r="B363" s="13"/>
      <c r="C363" s="13" t="s">
        <v>42</v>
      </c>
      <c r="D363" s="13"/>
      <c r="E363" s="13">
        <v>44453</v>
      </c>
      <c r="G363" s="8">
        <v>23600158</v>
      </c>
      <c r="I363" s="8">
        <v>5190357</v>
      </c>
      <c r="K363" s="8">
        <v>474685</v>
      </c>
      <c r="M363" s="8">
        <v>130191</v>
      </c>
      <c r="O363" s="8">
        <v>2818776</v>
      </c>
      <c r="Q363" s="8">
        <v>2445018</v>
      </c>
      <c r="S363" s="8">
        <v>314946</v>
      </c>
      <c r="U363" s="8">
        <v>3293663</v>
      </c>
      <c r="W363" s="8">
        <v>1003317</v>
      </c>
      <c r="Y363" s="8">
        <v>530976</v>
      </c>
      <c r="AA363" s="8">
        <v>4972319</v>
      </c>
      <c r="AC363" s="8">
        <v>1767290</v>
      </c>
      <c r="AE363" s="8">
        <v>937177</v>
      </c>
      <c r="AG363" s="8">
        <v>0</v>
      </c>
      <c r="AI363" s="8">
        <v>256</v>
      </c>
      <c r="AJ363" s="13" t="s">
        <v>484</v>
      </c>
      <c r="AK363" s="13"/>
      <c r="AL363" s="13" t="s">
        <v>42</v>
      </c>
      <c r="AN363" s="8">
        <v>649910</v>
      </c>
      <c r="AP363" s="8">
        <v>0</v>
      </c>
      <c r="AT363" s="8">
        <v>0</v>
      </c>
      <c r="AV363" s="8">
        <v>0</v>
      </c>
      <c r="AX363" s="8">
        <v>0</v>
      </c>
      <c r="AZ363" s="8">
        <f>SUM(G363:AX363)</f>
        <v>48129039</v>
      </c>
      <c r="BB363" s="8">
        <v>60000</v>
      </c>
      <c r="BH363" s="8">
        <v>0</v>
      </c>
      <c r="BJ363" s="8">
        <f>+AZ363+BB363+BD363+BH363</f>
        <v>48189039</v>
      </c>
      <c r="BL363" s="8">
        <f>+GenRev!AM363-GenExp!BJ363</f>
        <v>2796907</v>
      </c>
      <c r="BN363" s="8">
        <v>3140700</v>
      </c>
      <c r="BP363" s="8">
        <v>0</v>
      </c>
      <c r="BQ363" s="8">
        <v>0</v>
      </c>
      <c r="BS363" s="8">
        <f>+BN363+BL363-BP363</f>
        <v>5937607</v>
      </c>
      <c r="BU363" s="9">
        <f>+BS363-'Gen Fd BS'!AA363+BQ363</f>
        <v>0</v>
      </c>
    </row>
    <row r="364" spans="1:73" s="35" customFormat="1">
      <c r="A364" s="34" t="s">
        <v>386</v>
      </c>
      <c r="B364" s="34"/>
      <c r="C364" s="34" t="s">
        <v>30</v>
      </c>
      <c r="D364" s="34"/>
      <c r="E364" s="32">
        <v>47217</v>
      </c>
      <c r="G364" s="8">
        <v>3510825</v>
      </c>
      <c r="H364" s="8"/>
      <c r="I364" s="8">
        <v>499934</v>
      </c>
      <c r="J364" s="8"/>
      <c r="K364" s="8">
        <v>38454</v>
      </c>
      <c r="L364" s="8"/>
      <c r="M364" s="8">
        <v>0</v>
      </c>
      <c r="N364" s="8"/>
      <c r="O364" s="8">
        <v>326425</v>
      </c>
      <c r="P364" s="8"/>
      <c r="Q364" s="8">
        <v>137616</v>
      </c>
      <c r="R364" s="8"/>
      <c r="S364" s="8">
        <v>64246</v>
      </c>
      <c r="T364" s="8"/>
      <c r="U364" s="8">
        <v>508709</v>
      </c>
      <c r="V364" s="8"/>
      <c r="W364" s="8">
        <v>259464</v>
      </c>
      <c r="X364" s="8"/>
      <c r="Y364" s="8">
        <v>0</v>
      </c>
      <c r="Z364" s="8"/>
      <c r="AA364" s="8">
        <v>599167</v>
      </c>
      <c r="AB364" s="8"/>
      <c r="AC364" s="8">
        <v>504338</v>
      </c>
      <c r="AD364" s="8"/>
      <c r="AE364" s="8">
        <v>53554</v>
      </c>
      <c r="AF364" s="8"/>
      <c r="AG364" s="8">
        <v>0</v>
      </c>
      <c r="AH364" s="8"/>
      <c r="AI364" s="8">
        <v>0</v>
      </c>
      <c r="AJ364" s="13" t="s">
        <v>386</v>
      </c>
      <c r="AK364" s="13"/>
      <c r="AL364" s="13" t="s">
        <v>30</v>
      </c>
      <c r="AM364" s="8"/>
      <c r="AN364" s="8">
        <v>206235</v>
      </c>
      <c r="AO364" s="8"/>
      <c r="AP364" s="8">
        <v>75209</v>
      </c>
      <c r="AQ364" s="8"/>
      <c r="AR364" s="8"/>
      <c r="AS364" s="8"/>
      <c r="AT364" s="8">
        <v>0</v>
      </c>
      <c r="AU364" s="8"/>
      <c r="AV364" s="8">
        <v>0</v>
      </c>
      <c r="AW364" s="8"/>
      <c r="AX364" s="8">
        <v>0</v>
      </c>
      <c r="AY364" s="8"/>
      <c r="AZ364" s="8">
        <f t="shared" ref="AZ364:AZ427" si="31">SUM(G364:AX364)</f>
        <v>6784176</v>
      </c>
      <c r="BA364" s="8"/>
      <c r="BB364" s="8">
        <v>18039</v>
      </c>
      <c r="BC364" s="8"/>
      <c r="BD364" s="8"/>
      <c r="BE364" s="8"/>
      <c r="BF364" s="8"/>
      <c r="BG364" s="8"/>
      <c r="BH364" s="8">
        <v>0</v>
      </c>
      <c r="BI364" s="8"/>
      <c r="BJ364" s="8">
        <f t="shared" ref="BJ364:BJ409" si="32">+AZ364+BB364+BD364+BH364</f>
        <v>6802215</v>
      </c>
      <c r="BK364" s="8"/>
      <c r="BL364" s="8">
        <f>+GenRev!AM364-GenExp!BJ364</f>
        <v>-544409</v>
      </c>
      <c r="BM364" s="8"/>
      <c r="BN364" s="8">
        <v>1904139</v>
      </c>
      <c r="BO364" s="8"/>
      <c r="BP364" s="8">
        <v>0</v>
      </c>
      <c r="BQ364" s="8">
        <v>0</v>
      </c>
      <c r="BR364" s="8"/>
      <c r="BS364" s="8">
        <f t="shared" ref="BS364:BS407" si="33">+BN364+BL364-BP364</f>
        <v>1359730</v>
      </c>
      <c r="BT364" s="8"/>
      <c r="BU364" s="9">
        <f>+BS364-'Gen Fd BS'!AA364+BQ364</f>
        <v>0</v>
      </c>
    </row>
    <row r="365" spans="1:73">
      <c r="A365" s="13" t="s">
        <v>704</v>
      </c>
      <c r="B365" s="13"/>
      <c r="C365" s="13" t="s">
        <v>65</v>
      </c>
      <c r="D365" s="13"/>
      <c r="E365" s="32">
        <v>45542</v>
      </c>
      <c r="G365" s="8">
        <v>4181978</v>
      </c>
      <c r="I365" s="8">
        <v>875011</v>
      </c>
      <c r="K365" s="8">
        <v>130110</v>
      </c>
      <c r="M365" s="8">
        <v>200256</v>
      </c>
      <c r="O365" s="8">
        <v>361934</v>
      </c>
      <c r="Q365" s="8">
        <v>504737</v>
      </c>
      <c r="S365" s="8">
        <v>33519</v>
      </c>
      <c r="U365" s="8">
        <v>966923</v>
      </c>
      <c r="W365" s="8">
        <v>309028</v>
      </c>
      <c r="Y365" s="8">
        <v>0</v>
      </c>
      <c r="AA365" s="8">
        <v>1249405</v>
      </c>
      <c r="AC365" s="8">
        <v>570956</v>
      </c>
      <c r="AE365" s="8">
        <v>4954</v>
      </c>
      <c r="AG365" s="8">
        <v>0</v>
      </c>
      <c r="AI365" s="8">
        <v>233</v>
      </c>
      <c r="AJ365" s="13" t="s">
        <v>704</v>
      </c>
      <c r="AK365" s="13"/>
      <c r="AL365" s="13" t="s">
        <v>65</v>
      </c>
      <c r="AN365" s="8">
        <v>150865</v>
      </c>
      <c r="AP365" s="8">
        <v>30022</v>
      </c>
      <c r="AT365" s="8">
        <v>0</v>
      </c>
      <c r="AV365" s="8">
        <v>0</v>
      </c>
      <c r="AX365" s="8">
        <v>0</v>
      </c>
      <c r="AZ365" s="8">
        <f t="shared" si="31"/>
        <v>9569931</v>
      </c>
      <c r="BB365" s="8">
        <v>0</v>
      </c>
      <c r="BH365" s="8">
        <v>0</v>
      </c>
      <c r="BJ365" s="8">
        <f t="shared" si="32"/>
        <v>9569931</v>
      </c>
      <c r="BL365" s="8">
        <f>+GenRev!AM365-GenExp!BJ365</f>
        <v>-240613</v>
      </c>
      <c r="BN365" s="8">
        <v>854158</v>
      </c>
      <c r="BP365" s="8">
        <v>0</v>
      </c>
      <c r="BQ365" s="8">
        <v>0</v>
      </c>
      <c r="BS365" s="8">
        <f t="shared" si="33"/>
        <v>613545</v>
      </c>
      <c r="BU365" s="9">
        <f>+BS365-'Gen Fd BS'!AA365+BQ365</f>
        <v>0</v>
      </c>
    </row>
    <row r="366" spans="1:73">
      <c r="A366" s="13" t="s">
        <v>695</v>
      </c>
      <c r="B366" s="13"/>
      <c r="C366" s="13" t="s">
        <v>64</v>
      </c>
      <c r="D366" s="13"/>
      <c r="E366" s="32">
        <v>45567</v>
      </c>
      <c r="G366" s="8">
        <v>5584160</v>
      </c>
      <c r="I366" s="8">
        <v>1057971</v>
      </c>
      <c r="K366" s="8">
        <v>122230</v>
      </c>
      <c r="M366" s="8">
        <v>0</v>
      </c>
      <c r="O366" s="8">
        <v>548873</v>
      </c>
      <c r="Q366" s="8">
        <v>166169</v>
      </c>
      <c r="S366" s="8">
        <v>130789</v>
      </c>
      <c r="U366" s="8">
        <v>875015</v>
      </c>
      <c r="W366" s="8">
        <v>308068</v>
      </c>
      <c r="Y366" s="8">
        <v>0</v>
      </c>
      <c r="AA366" s="8">
        <v>985637</v>
      </c>
      <c r="AC366" s="8">
        <v>705783</v>
      </c>
      <c r="AE366" s="8">
        <v>292267</v>
      </c>
      <c r="AG366" s="8">
        <v>0</v>
      </c>
      <c r="AI366" s="8">
        <v>531</v>
      </c>
      <c r="AJ366" s="13" t="s">
        <v>695</v>
      </c>
      <c r="AK366" s="13"/>
      <c r="AL366" s="13" t="s">
        <v>64</v>
      </c>
      <c r="AN366" s="8">
        <v>182241</v>
      </c>
      <c r="AP366" s="8">
        <v>960</v>
      </c>
      <c r="AT366" s="8">
        <v>0</v>
      </c>
      <c r="AV366" s="8">
        <v>0</v>
      </c>
      <c r="AX366" s="8">
        <v>0</v>
      </c>
      <c r="AZ366" s="8">
        <f t="shared" si="31"/>
        <v>10960694</v>
      </c>
      <c r="BB366" s="8">
        <v>0</v>
      </c>
      <c r="BH366" s="8">
        <v>0</v>
      </c>
      <c r="BJ366" s="8">
        <f t="shared" si="32"/>
        <v>10960694</v>
      </c>
      <c r="BL366" s="8">
        <f>+GenRev!AM366-GenExp!BJ366</f>
        <v>-136690</v>
      </c>
      <c r="BN366" s="8">
        <v>-553520</v>
      </c>
      <c r="BP366" s="8">
        <v>0</v>
      </c>
      <c r="BQ366" s="8">
        <v>0</v>
      </c>
      <c r="BS366" s="8">
        <f t="shared" si="33"/>
        <v>-690210</v>
      </c>
      <c r="BU366" s="9">
        <f>+BS366-'Gen Fd BS'!AA366+BQ366</f>
        <v>0</v>
      </c>
    </row>
    <row r="367" spans="1:73">
      <c r="A367" s="13" t="s">
        <v>547</v>
      </c>
      <c r="B367" s="13"/>
      <c r="C367" s="13" t="s">
        <v>48</v>
      </c>
      <c r="D367" s="13"/>
      <c r="E367" s="32">
        <v>48637</v>
      </c>
      <c r="G367" s="8">
        <v>2480224</v>
      </c>
      <c r="I367" s="8">
        <v>262147</v>
      </c>
      <c r="K367" s="8">
        <v>433</v>
      </c>
      <c r="M367" s="8">
        <v>5496</v>
      </c>
      <c r="O367" s="8">
        <v>210670</v>
      </c>
      <c r="Q367" s="8">
        <v>240465</v>
      </c>
      <c r="S367" s="8">
        <v>5631</v>
      </c>
      <c r="U367" s="8">
        <v>583978</v>
      </c>
      <c r="W367" s="8">
        <v>193768</v>
      </c>
      <c r="Y367" s="8">
        <v>1495</v>
      </c>
      <c r="AA367" s="8">
        <v>361318</v>
      </c>
      <c r="AC367" s="8">
        <v>233824</v>
      </c>
      <c r="AE367" s="8">
        <v>0</v>
      </c>
      <c r="AG367" s="8">
        <v>0</v>
      </c>
      <c r="AI367" s="8">
        <v>7358</v>
      </c>
      <c r="AJ367" s="13" t="s">
        <v>547</v>
      </c>
      <c r="AK367" s="13"/>
      <c r="AL367" s="13" t="s">
        <v>48</v>
      </c>
      <c r="AN367" s="8">
        <v>135654</v>
      </c>
      <c r="AP367" s="8">
        <v>0</v>
      </c>
      <c r="AT367" s="8">
        <v>0</v>
      </c>
      <c r="AV367" s="8">
        <v>0</v>
      </c>
      <c r="AX367" s="8">
        <v>0</v>
      </c>
      <c r="AZ367" s="8">
        <f t="shared" si="31"/>
        <v>4722461</v>
      </c>
      <c r="BB367" s="8">
        <v>0</v>
      </c>
      <c r="BH367" s="8">
        <v>0</v>
      </c>
      <c r="BJ367" s="8">
        <f t="shared" si="32"/>
        <v>4722461</v>
      </c>
      <c r="BL367" s="8">
        <f>+GenRev!AM367-GenExp!BJ367</f>
        <v>385178</v>
      </c>
      <c r="BN367" s="8">
        <v>602291</v>
      </c>
      <c r="BP367" s="8">
        <v>0</v>
      </c>
      <c r="BQ367" s="8">
        <v>0</v>
      </c>
      <c r="BS367" s="8">
        <f t="shared" si="33"/>
        <v>987469</v>
      </c>
      <c r="BU367" s="9">
        <f>+BS367-'Gen Fd BS'!AA367+BQ367</f>
        <v>0</v>
      </c>
    </row>
    <row r="368" spans="1:73">
      <c r="A368" s="13" t="s">
        <v>836</v>
      </c>
      <c r="B368" s="13"/>
      <c r="C368" s="13" t="s">
        <v>64</v>
      </c>
      <c r="D368" s="13"/>
      <c r="E368" s="32"/>
      <c r="G368" s="8">
        <v>11122748</v>
      </c>
      <c r="I368" s="8">
        <v>2306377</v>
      </c>
      <c r="K368" s="8">
        <v>164598</v>
      </c>
      <c r="M368" s="8">
        <v>775755</v>
      </c>
      <c r="O368" s="8">
        <v>1187613</v>
      </c>
      <c r="Q368" s="8">
        <v>608526</v>
      </c>
      <c r="S368" s="8">
        <v>57975</v>
      </c>
      <c r="U368" s="8">
        <v>1891069</v>
      </c>
      <c r="W368" s="8">
        <v>483163</v>
      </c>
      <c r="Y368" s="8">
        <v>134686</v>
      </c>
      <c r="AA368" s="8">
        <v>2195651</v>
      </c>
      <c r="AC368" s="8">
        <v>1108674</v>
      </c>
      <c r="AE368" s="8">
        <v>122189</v>
      </c>
      <c r="AG368" s="8">
        <v>0</v>
      </c>
      <c r="AI368" s="8">
        <v>68823</v>
      </c>
      <c r="AJ368" s="13" t="s">
        <v>836</v>
      </c>
      <c r="AK368" s="13"/>
      <c r="AL368" s="13" t="s">
        <v>64</v>
      </c>
      <c r="AN368" s="8">
        <v>360682</v>
      </c>
      <c r="AP368" s="8">
        <v>108337</v>
      </c>
      <c r="AT368" s="8">
        <v>132000</v>
      </c>
      <c r="AV368" s="8">
        <v>118718</v>
      </c>
      <c r="AX368" s="8">
        <v>0</v>
      </c>
      <c r="AZ368" s="8">
        <f t="shared" si="31"/>
        <v>22947584</v>
      </c>
      <c r="BB368" s="8">
        <v>0</v>
      </c>
      <c r="BH368" s="8">
        <v>0</v>
      </c>
      <c r="BJ368" s="8">
        <f t="shared" si="32"/>
        <v>22947584</v>
      </c>
      <c r="BL368" s="8">
        <f>+GenRev!AM368-GenExp!BJ368</f>
        <v>-336770</v>
      </c>
      <c r="BN368" s="8">
        <v>-1630654</v>
      </c>
      <c r="BP368" s="8">
        <v>0</v>
      </c>
      <c r="BQ368" s="8">
        <v>0</v>
      </c>
      <c r="BS368" s="8">
        <f t="shared" si="33"/>
        <v>-1967424</v>
      </c>
      <c r="BU368" s="9">
        <f>+BS368-'Gen Fd BS'!AA368+BQ368</f>
        <v>0</v>
      </c>
    </row>
    <row r="369" spans="1:73">
      <c r="A369" s="13" t="s">
        <v>578</v>
      </c>
      <c r="B369" s="13"/>
      <c r="C369" s="13" t="s">
        <v>52</v>
      </c>
      <c r="D369" s="13"/>
      <c r="E369" s="32">
        <v>48900</v>
      </c>
      <c r="G369" s="8">
        <v>4032454</v>
      </c>
      <c r="I369" s="8">
        <v>662600</v>
      </c>
      <c r="K369" s="8">
        <v>264303</v>
      </c>
      <c r="M369" s="8">
        <v>5893</v>
      </c>
      <c r="O369" s="8">
        <v>345670</v>
      </c>
      <c r="Q369" s="8">
        <v>245705</v>
      </c>
      <c r="S369" s="8">
        <v>62543</v>
      </c>
      <c r="U369" s="8">
        <v>721187</v>
      </c>
      <c r="W369" s="8">
        <v>374329</v>
      </c>
      <c r="Y369" s="8">
        <v>11868</v>
      </c>
      <c r="AA369" s="8">
        <v>784097</v>
      </c>
      <c r="AC369" s="8">
        <v>927012</v>
      </c>
      <c r="AE369" s="8">
        <v>0</v>
      </c>
      <c r="AG369" s="8">
        <v>0</v>
      </c>
      <c r="AI369" s="8">
        <v>0</v>
      </c>
      <c r="AJ369" s="13" t="s">
        <v>578</v>
      </c>
      <c r="AK369" s="13"/>
      <c r="AL369" s="13" t="s">
        <v>52</v>
      </c>
      <c r="AN369" s="8">
        <v>101306</v>
      </c>
      <c r="AP369" s="8">
        <v>0</v>
      </c>
      <c r="AT369" s="8">
        <v>6517</v>
      </c>
      <c r="AV369" s="8">
        <v>1871</v>
      </c>
      <c r="AX369" s="8">
        <v>0</v>
      </c>
      <c r="AZ369" s="8">
        <f t="shared" si="31"/>
        <v>8547355</v>
      </c>
      <c r="BB369" s="8">
        <v>300297</v>
      </c>
      <c r="BH369" s="8">
        <v>0</v>
      </c>
      <c r="BJ369" s="8">
        <f t="shared" si="32"/>
        <v>8847652</v>
      </c>
      <c r="BL369" s="8">
        <f>+GenRev!AM369-GenExp!BJ369</f>
        <v>24029</v>
      </c>
      <c r="BN369" s="8">
        <v>631252</v>
      </c>
      <c r="BP369" s="8">
        <v>0</v>
      </c>
      <c r="BQ369" s="8">
        <v>0</v>
      </c>
      <c r="BS369" s="8">
        <f t="shared" si="33"/>
        <v>655281</v>
      </c>
      <c r="BU369" s="9">
        <f>+BS369-'Gen Fd BS'!AA369+BQ369</f>
        <v>0</v>
      </c>
    </row>
    <row r="370" spans="1:73">
      <c r="A370" s="13" t="s">
        <v>673</v>
      </c>
      <c r="B370" s="13"/>
      <c r="C370" s="13" t="s">
        <v>63</v>
      </c>
      <c r="D370" s="13"/>
      <c r="E370" s="32">
        <v>50047</v>
      </c>
      <c r="G370" s="8">
        <v>15938075</v>
      </c>
      <c r="I370" s="8">
        <v>3270282</v>
      </c>
      <c r="K370" s="8">
        <v>354277</v>
      </c>
      <c r="M370" s="8">
        <v>169160</v>
      </c>
      <c r="O370" s="8">
        <v>2572940</v>
      </c>
      <c r="Q370" s="8">
        <v>1263820</v>
      </c>
      <c r="S370" s="8">
        <v>80990</v>
      </c>
      <c r="U370" s="8">
        <v>2349528</v>
      </c>
      <c r="W370" s="8">
        <v>758560</v>
      </c>
      <c r="Y370" s="8">
        <v>264566</v>
      </c>
      <c r="AA370" s="8">
        <v>3534160</v>
      </c>
      <c r="AC370" s="8">
        <v>2032416</v>
      </c>
      <c r="AE370" s="8">
        <v>36347</v>
      </c>
      <c r="AG370" s="8">
        <v>0</v>
      </c>
      <c r="AI370" s="8">
        <v>0</v>
      </c>
      <c r="AJ370" s="13" t="s">
        <v>673</v>
      </c>
      <c r="AK370" s="13"/>
      <c r="AL370" s="13" t="s">
        <v>63</v>
      </c>
      <c r="AN370" s="8">
        <v>834057</v>
      </c>
      <c r="AP370" s="8">
        <v>520982</v>
      </c>
      <c r="AT370" s="8">
        <v>0</v>
      </c>
      <c r="AV370" s="8">
        <v>0</v>
      </c>
      <c r="AX370" s="8">
        <v>0</v>
      </c>
      <c r="AZ370" s="8">
        <f t="shared" si="31"/>
        <v>33980160</v>
      </c>
      <c r="BB370" s="8">
        <v>30160</v>
      </c>
      <c r="BH370" s="8">
        <v>0</v>
      </c>
      <c r="BJ370" s="8">
        <f t="shared" si="32"/>
        <v>34010320</v>
      </c>
      <c r="BL370" s="8">
        <f>+GenRev!AM370-GenExp!BJ370</f>
        <v>3635930</v>
      </c>
      <c r="BN370" s="8">
        <v>6797383</v>
      </c>
      <c r="BP370" s="8">
        <v>0</v>
      </c>
      <c r="BQ370" s="8">
        <v>0</v>
      </c>
      <c r="BS370" s="8">
        <f t="shared" si="33"/>
        <v>10433313</v>
      </c>
      <c r="BU370" s="9">
        <f>+BS370-'Gen Fd BS'!AA370+BQ370</f>
        <v>0</v>
      </c>
    </row>
    <row r="371" spans="1:73">
      <c r="A371" s="13" t="s">
        <v>741</v>
      </c>
      <c r="B371" s="13"/>
      <c r="C371" s="13" t="s">
        <v>72</v>
      </c>
      <c r="D371" s="13"/>
      <c r="E371" s="32">
        <v>50708</v>
      </c>
      <c r="G371" s="8">
        <v>2687073</v>
      </c>
      <c r="I371" s="8">
        <v>959470</v>
      </c>
      <c r="K371" s="8">
        <v>0</v>
      </c>
      <c r="M371" s="8">
        <v>641734</v>
      </c>
      <c r="O371" s="8">
        <v>214721</v>
      </c>
      <c r="Q371" s="8">
        <v>334646</v>
      </c>
      <c r="S371" s="8">
        <v>134381</v>
      </c>
      <c r="U371" s="8">
        <v>593212</v>
      </c>
      <c r="W371" s="8">
        <v>259624</v>
      </c>
      <c r="Y371" s="8">
        <v>0</v>
      </c>
      <c r="AA371" s="8">
        <v>596034</v>
      </c>
      <c r="AC371" s="8">
        <v>333946</v>
      </c>
      <c r="AE371" s="8">
        <v>0</v>
      </c>
      <c r="AG371" s="8">
        <v>0</v>
      </c>
      <c r="AI371" s="8">
        <v>0</v>
      </c>
      <c r="AJ371" s="13" t="s">
        <v>741</v>
      </c>
      <c r="AK371" s="13"/>
      <c r="AL371" s="13" t="s">
        <v>72</v>
      </c>
      <c r="AN371" s="8">
        <v>146197</v>
      </c>
      <c r="AP371" s="8">
        <v>0</v>
      </c>
      <c r="AT371" s="8">
        <v>0</v>
      </c>
      <c r="AV371" s="8">
        <v>0</v>
      </c>
      <c r="AX371" s="8">
        <v>0</v>
      </c>
      <c r="AZ371" s="8">
        <f t="shared" si="31"/>
        <v>6901038</v>
      </c>
      <c r="BB371" s="8">
        <v>1707</v>
      </c>
      <c r="BH371" s="8">
        <v>0</v>
      </c>
      <c r="BJ371" s="8">
        <f t="shared" si="32"/>
        <v>6902745</v>
      </c>
      <c r="BL371" s="8">
        <f>+GenRev!AM371-GenExp!BJ371</f>
        <v>-457889</v>
      </c>
      <c r="BN371" s="8">
        <v>1441897</v>
      </c>
      <c r="BP371" s="8">
        <v>0</v>
      </c>
      <c r="BQ371" s="8">
        <v>0</v>
      </c>
      <c r="BS371" s="8">
        <f t="shared" si="33"/>
        <v>984008</v>
      </c>
      <c r="BU371" s="9">
        <f>+BS371-'Gen Fd BS'!AA371+BQ371</f>
        <v>0</v>
      </c>
    </row>
    <row r="372" spans="1:73" hidden="1">
      <c r="A372" s="13" t="s">
        <v>581</v>
      </c>
      <c r="B372" s="13"/>
      <c r="C372" s="13" t="s">
        <v>53</v>
      </c>
      <c r="D372" s="13"/>
      <c r="E372" s="32">
        <v>48967</v>
      </c>
      <c r="AG372" s="8">
        <v>0</v>
      </c>
      <c r="AI372" s="8">
        <v>0</v>
      </c>
      <c r="AJ372" s="13" t="s">
        <v>581</v>
      </c>
      <c r="AK372" s="13"/>
      <c r="AL372" s="13" t="s">
        <v>53</v>
      </c>
      <c r="AN372" s="8">
        <v>0</v>
      </c>
      <c r="AP372" s="8">
        <v>0</v>
      </c>
      <c r="AT372" s="8">
        <v>0</v>
      </c>
      <c r="AV372" s="8">
        <v>0</v>
      </c>
      <c r="AX372" s="8">
        <v>0</v>
      </c>
      <c r="AZ372" s="8">
        <f t="shared" si="31"/>
        <v>0</v>
      </c>
      <c r="BB372" s="8">
        <v>0</v>
      </c>
      <c r="BH372" s="8">
        <v>0</v>
      </c>
      <c r="BJ372" s="8">
        <f t="shared" si="32"/>
        <v>0</v>
      </c>
      <c r="BL372" s="8">
        <f>+GenRev!AM372-GenExp!BJ372</f>
        <v>0</v>
      </c>
      <c r="BN372" s="8">
        <v>0</v>
      </c>
      <c r="BP372" s="8">
        <v>0</v>
      </c>
      <c r="BQ372" s="8">
        <v>0</v>
      </c>
      <c r="BS372" s="8">
        <f t="shared" si="33"/>
        <v>0</v>
      </c>
      <c r="BU372" s="9">
        <f>+BS372-'Gen Fd BS'!AA372+BQ372</f>
        <v>0</v>
      </c>
    </row>
    <row r="373" spans="1:73">
      <c r="A373" s="13" t="s">
        <v>663</v>
      </c>
      <c r="B373" s="13"/>
      <c r="C373" s="13" t="s">
        <v>62</v>
      </c>
      <c r="D373" s="13"/>
      <c r="E373" s="32">
        <v>44503</v>
      </c>
      <c r="G373" s="8">
        <v>18605344</v>
      </c>
      <c r="I373" s="8">
        <v>3040726</v>
      </c>
      <c r="K373" s="8">
        <v>1807672</v>
      </c>
      <c r="M373" s="8">
        <f>6158+36219</f>
        <v>42377</v>
      </c>
      <c r="O373" s="8">
        <v>1897305</v>
      </c>
      <c r="Q373" s="8">
        <v>2107891</v>
      </c>
      <c r="S373" s="8">
        <v>16861</v>
      </c>
      <c r="U373" s="8">
        <v>2766540</v>
      </c>
      <c r="W373" s="8">
        <v>927480</v>
      </c>
      <c r="Y373" s="8">
        <v>25154</v>
      </c>
      <c r="AA373" s="8">
        <v>3777859</v>
      </c>
      <c r="AC373" s="8">
        <v>2720639</v>
      </c>
      <c r="AE373" s="8">
        <v>351462</v>
      </c>
      <c r="AG373" s="8">
        <v>0</v>
      </c>
      <c r="AI373" s="8">
        <v>30678</v>
      </c>
      <c r="AJ373" s="13" t="s">
        <v>663</v>
      </c>
      <c r="AK373" s="13"/>
      <c r="AL373" s="13" t="s">
        <v>62</v>
      </c>
      <c r="AN373" s="8">
        <v>703907</v>
      </c>
      <c r="AP373" s="8">
        <f>437913+889741</f>
        <v>1327654</v>
      </c>
      <c r="AT373" s="8">
        <v>128120</v>
      </c>
      <c r="AV373" s="8">
        <v>59127</v>
      </c>
      <c r="AX373" s="8">
        <v>0</v>
      </c>
      <c r="AZ373" s="8">
        <f t="shared" si="31"/>
        <v>40336796</v>
      </c>
      <c r="BB373" s="8">
        <v>160009</v>
      </c>
      <c r="BH373" s="8">
        <v>0</v>
      </c>
      <c r="BJ373" s="8">
        <f t="shared" si="32"/>
        <v>40496805</v>
      </c>
      <c r="BL373" s="8">
        <f>+GenRev!AM373-GenExp!BJ373</f>
        <v>846215</v>
      </c>
      <c r="BN373" s="8">
        <v>-3118775</v>
      </c>
      <c r="BP373" s="8">
        <v>-15132</v>
      </c>
      <c r="BQ373" s="8">
        <v>0</v>
      </c>
      <c r="BS373" s="8">
        <f t="shared" si="33"/>
        <v>-2257428</v>
      </c>
      <c r="BU373" s="9">
        <f>+BS373-'Gen Fd BS'!AA373+BQ373</f>
        <v>0</v>
      </c>
    </row>
    <row r="374" spans="1:73" hidden="1">
      <c r="A374" s="13" t="s">
        <v>728</v>
      </c>
      <c r="B374" s="13"/>
      <c r="C374" s="13" t="s">
        <v>733</v>
      </c>
      <c r="D374" s="13"/>
      <c r="E374" s="32">
        <v>50641</v>
      </c>
      <c r="F374" s="11"/>
      <c r="AG374" s="8">
        <v>0</v>
      </c>
      <c r="AI374" s="8">
        <v>0</v>
      </c>
      <c r="AJ374" s="13" t="s">
        <v>728</v>
      </c>
      <c r="AK374" s="13"/>
      <c r="AL374" s="13" t="s">
        <v>733</v>
      </c>
      <c r="AN374" s="8">
        <v>0</v>
      </c>
      <c r="AP374" s="8">
        <v>0</v>
      </c>
      <c r="AT374" s="8">
        <v>0</v>
      </c>
      <c r="AV374" s="8">
        <v>0</v>
      </c>
      <c r="AX374" s="8">
        <v>0</v>
      </c>
      <c r="AZ374" s="8">
        <f t="shared" si="31"/>
        <v>0</v>
      </c>
      <c r="BB374" s="8">
        <v>0</v>
      </c>
      <c r="BH374" s="8">
        <v>0</v>
      </c>
      <c r="BJ374" s="8">
        <f t="shared" si="32"/>
        <v>0</v>
      </c>
      <c r="BL374" s="8">
        <f>+GenRev!AM374-GenExp!BJ374</f>
        <v>0</v>
      </c>
      <c r="BN374" s="8">
        <v>0</v>
      </c>
      <c r="BP374" s="8">
        <v>0</v>
      </c>
      <c r="BQ374" s="8">
        <v>0</v>
      </c>
      <c r="BS374" s="8">
        <f t="shared" si="33"/>
        <v>0</v>
      </c>
      <c r="BU374" s="9">
        <f>+BS374-'Gen Fd BS'!AA374+BQ374</f>
        <v>0</v>
      </c>
    </row>
    <row r="375" spans="1:73" hidden="1">
      <c r="A375" s="13" t="s">
        <v>406</v>
      </c>
      <c r="B375" s="13"/>
      <c r="C375" s="13" t="s">
        <v>32</v>
      </c>
      <c r="D375" s="13"/>
      <c r="E375" s="32">
        <v>44511</v>
      </c>
      <c r="AG375" s="8">
        <v>0</v>
      </c>
      <c r="AI375" s="8">
        <v>0</v>
      </c>
      <c r="AJ375" s="13" t="s">
        <v>406</v>
      </c>
      <c r="AK375" s="13"/>
      <c r="AL375" s="13" t="s">
        <v>32</v>
      </c>
      <c r="AN375" s="8">
        <v>0</v>
      </c>
      <c r="AP375" s="8">
        <v>0</v>
      </c>
      <c r="AT375" s="8">
        <v>0</v>
      </c>
      <c r="AV375" s="8">
        <v>0</v>
      </c>
      <c r="AX375" s="8">
        <v>0</v>
      </c>
      <c r="AZ375" s="8">
        <f t="shared" si="31"/>
        <v>0</v>
      </c>
      <c r="BB375" s="8">
        <v>0</v>
      </c>
      <c r="BH375" s="8">
        <v>0</v>
      </c>
      <c r="BJ375" s="8">
        <f t="shared" si="32"/>
        <v>0</v>
      </c>
      <c r="BL375" s="8">
        <f>+GenRev!AM375-GenExp!BJ375</f>
        <v>0</v>
      </c>
      <c r="BN375" s="8">
        <v>0</v>
      </c>
      <c r="BP375" s="8">
        <v>0</v>
      </c>
      <c r="BQ375" s="8">
        <v>0</v>
      </c>
      <c r="BS375" s="8">
        <f t="shared" si="33"/>
        <v>0</v>
      </c>
      <c r="BU375" s="9">
        <f>+BS375-'Gen Fd BS'!AA375+BQ375</f>
        <v>0</v>
      </c>
    </row>
    <row r="376" spans="1:73">
      <c r="A376" s="13" t="s">
        <v>485</v>
      </c>
      <c r="B376" s="13"/>
      <c r="C376" s="13" t="s">
        <v>42</v>
      </c>
      <c r="D376" s="13"/>
      <c r="E376" s="32">
        <v>48025</v>
      </c>
      <c r="G376" s="8">
        <v>5249979</v>
      </c>
      <c r="I376" s="8">
        <v>1958180</v>
      </c>
      <c r="K376" s="8">
        <v>256543</v>
      </c>
      <c r="M376" s="8">
        <v>252224</v>
      </c>
      <c r="O376" s="8">
        <v>1250325</v>
      </c>
      <c r="Q376" s="8">
        <v>215353</v>
      </c>
      <c r="S376" s="8">
        <v>33056</v>
      </c>
      <c r="U376" s="8">
        <v>1299653</v>
      </c>
      <c r="W376" s="8">
        <v>440729</v>
      </c>
      <c r="Y376" s="8">
        <v>0</v>
      </c>
      <c r="AA376" s="8">
        <v>1373868</v>
      </c>
      <c r="AC376" s="8">
        <v>1301340</v>
      </c>
      <c r="AE376" s="8">
        <v>338458</v>
      </c>
      <c r="AG376" s="8">
        <v>0</v>
      </c>
      <c r="AI376" s="8">
        <v>0</v>
      </c>
      <c r="AJ376" s="13" t="s">
        <v>485</v>
      </c>
      <c r="AK376" s="13"/>
      <c r="AL376" s="13" t="s">
        <v>42</v>
      </c>
      <c r="AN376" s="8">
        <v>316957</v>
      </c>
      <c r="AP376" s="8">
        <v>0</v>
      </c>
      <c r="AT376" s="8">
        <v>0</v>
      </c>
      <c r="AV376" s="8">
        <v>0</v>
      </c>
      <c r="AX376" s="8">
        <v>0</v>
      </c>
      <c r="AZ376" s="8">
        <f t="shared" si="31"/>
        <v>14286665</v>
      </c>
      <c r="BB376" s="8">
        <v>162922</v>
      </c>
      <c r="BH376" s="8">
        <v>0</v>
      </c>
      <c r="BJ376" s="8">
        <f t="shared" si="32"/>
        <v>14449587</v>
      </c>
      <c r="BL376" s="8">
        <f>+GenRev!AM376-GenExp!BJ376</f>
        <v>-636807</v>
      </c>
      <c r="BN376" s="8">
        <v>-177802</v>
      </c>
      <c r="BP376" s="8">
        <v>0</v>
      </c>
      <c r="BQ376" s="8">
        <v>0</v>
      </c>
      <c r="BS376" s="8">
        <f t="shared" si="33"/>
        <v>-814609</v>
      </c>
      <c r="BU376" s="9">
        <f>+BS376-'Gen Fd BS'!AA376+BQ376</f>
        <v>0</v>
      </c>
    </row>
    <row r="377" spans="1:73">
      <c r="A377" s="13" t="s">
        <v>317</v>
      </c>
      <c r="B377" s="13"/>
      <c r="C377" s="13" t="s">
        <v>20</v>
      </c>
      <c r="D377" s="13"/>
      <c r="E377" s="32">
        <v>44529</v>
      </c>
      <c r="G377" s="8">
        <v>22298874</v>
      </c>
      <c r="I377" s="8">
        <v>6787775</v>
      </c>
      <c r="K377" s="8">
        <v>343137</v>
      </c>
      <c r="M377" s="8">
        <v>335822</v>
      </c>
      <c r="O377" s="8">
        <v>3405423</v>
      </c>
      <c r="Q377" s="8">
        <v>1070877</v>
      </c>
      <c r="S377" s="8">
        <v>194264</v>
      </c>
      <c r="U377" s="8">
        <v>3128584</v>
      </c>
      <c r="W377" s="8">
        <v>1170847</v>
      </c>
      <c r="Y377" s="8">
        <v>90143</v>
      </c>
      <c r="AA377" s="8">
        <v>4051021</v>
      </c>
      <c r="AC377" s="8">
        <v>2003798</v>
      </c>
      <c r="AE377" s="8">
        <v>1077880</v>
      </c>
      <c r="AG377" s="8">
        <v>0</v>
      </c>
      <c r="AI377" s="8">
        <f>47710+27244</f>
        <v>74954</v>
      </c>
      <c r="AJ377" s="13" t="s">
        <v>317</v>
      </c>
      <c r="AK377" s="13"/>
      <c r="AL377" s="13" t="s">
        <v>20</v>
      </c>
      <c r="AN377" s="8">
        <v>1235266</v>
      </c>
      <c r="AP377" s="8">
        <v>0</v>
      </c>
      <c r="AT377" s="8">
        <v>29774</v>
      </c>
      <c r="AV377" s="8">
        <v>353</v>
      </c>
      <c r="AX377" s="8">
        <v>0</v>
      </c>
      <c r="AZ377" s="8">
        <f t="shared" si="31"/>
        <v>47298792</v>
      </c>
      <c r="BB377" s="8">
        <v>249628</v>
      </c>
      <c r="BH377" s="8">
        <v>0</v>
      </c>
      <c r="BJ377" s="8">
        <f t="shared" si="32"/>
        <v>47548420</v>
      </c>
      <c r="BL377" s="8">
        <f>+GenRev!AM377-GenExp!BJ377</f>
        <v>1743706</v>
      </c>
      <c r="BN377" s="8">
        <v>8275500</v>
      </c>
      <c r="BP377" s="8">
        <v>-2130</v>
      </c>
      <c r="BQ377" s="8">
        <v>0</v>
      </c>
      <c r="BS377" s="8">
        <f t="shared" si="33"/>
        <v>10021336</v>
      </c>
      <c r="BU377" s="9">
        <f>+BS377-'Gen Fd BS'!AA377+BQ377</f>
        <v>0</v>
      </c>
    </row>
    <row r="378" spans="1:73">
      <c r="A378" s="13" t="s">
        <v>498</v>
      </c>
      <c r="B378" s="13"/>
      <c r="C378" s="13" t="s">
        <v>44</v>
      </c>
      <c r="D378" s="13"/>
      <c r="E378" s="32">
        <v>44537</v>
      </c>
      <c r="G378" s="8">
        <v>8917731</v>
      </c>
      <c r="I378" s="8">
        <v>2760193</v>
      </c>
      <c r="K378" s="8">
        <v>433238</v>
      </c>
      <c r="M378" s="8">
        <v>934623</v>
      </c>
      <c r="O378" s="8">
        <v>1300425</v>
      </c>
      <c r="Q378" s="8">
        <v>2254510</v>
      </c>
      <c r="S378" s="8">
        <v>145829</v>
      </c>
      <c r="U378" s="8">
        <v>1858351</v>
      </c>
      <c r="W378" s="8">
        <v>650096</v>
      </c>
      <c r="Y378" s="8">
        <v>263518</v>
      </c>
      <c r="AA378" s="8">
        <v>2566778</v>
      </c>
      <c r="AC378" s="8">
        <v>2058089</v>
      </c>
      <c r="AE378" s="8">
        <v>53640</v>
      </c>
      <c r="AG378" s="8">
        <v>0</v>
      </c>
      <c r="AI378" s="8">
        <v>1068</v>
      </c>
      <c r="AJ378" s="13" t="s">
        <v>498</v>
      </c>
      <c r="AK378" s="13"/>
      <c r="AL378" s="13" t="s">
        <v>44</v>
      </c>
      <c r="AN378" s="8">
        <v>476711</v>
      </c>
      <c r="AP378" s="8">
        <v>44941</v>
      </c>
      <c r="AT378" s="8">
        <v>0</v>
      </c>
      <c r="AV378" s="8">
        <v>0</v>
      </c>
      <c r="AX378" s="8">
        <v>0</v>
      </c>
      <c r="AZ378" s="8">
        <f t="shared" si="31"/>
        <v>24719741</v>
      </c>
      <c r="BB378" s="8">
        <v>51943</v>
      </c>
      <c r="BH378" s="8">
        <v>0</v>
      </c>
      <c r="BJ378" s="8">
        <f t="shared" si="32"/>
        <v>24771684</v>
      </c>
      <c r="BL378" s="8">
        <f>+GenRev!AM378-GenExp!BJ378</f>
        <v>-1484753</v>
      </c>
      <c r="BN378" s="8">
        <v>5332963</v>
      </c>
      <c r="BP378" s="8">
        <v>0</v>
      </c>
      <c r="BQ378" s="8">
        <v>0</v>
      </c>
      <c r="BS378" s="8">
        <f t="shared" si="33"/>
        <v>3848210</v>
      </c>
      <c r="BU378" s="9">
        <f>+BS378-'Gen Fd BS'!AA378+BQ378</f>
        <v>0</v>
      </c>
    </row>
    <row r="379" spans="1:73">
      <c r="A379" s="13" t="s">
        <v>318</v>
      </c>
      <c r="B379" s="13"/>
      <c r="C379" s="13" t="s">
        <v>20</v>
      </c>
      <c r="D379" s="13"/>
      <c r="E379" s="32">
        <v>44545</v>
      </c>
      <c r="G379" s="8">
        <v>20158229</v>
      </c>
      <c r="I379" s="8">
        <v>4648069</v>
      </c>
      <c r="K379" s="8">
        <v>179747</v>
      </c>
      <c r="M379" s="8">
        <v>0</v>
      </c>
      <c r="O379" s="8">
        <v>2405571</v>
      </c>
      <c r="Q379" s="8">
        <v>2083079</v>
      </c>
      <c r="S379" s="8">
        <v>38657</v>
      </c>
      <c r="U379" s="8">
        <v>3245513</v>
      </c>
      <c r="W379" s="8">
        <v>985873</v>
      </c>
      <c r="Y379" s="8">
        <v>317103</v>
      </c>
      <c r="AA379" s="8">
        <v>3595814</v>
      </c>
      <c r="AC379" s="8">
        <v>3029463</v>
      </c>
      <c r="AE379" s="8">
        <v>557250</v>
      </c>
      <c r="AG379" s="8">
        <v>0</v>
      </c>
      <c r="AI379" s="8">
        <v>79362</v>
      </c>
      <c r="AJ379" s="13" t="s">
        <v>318</v>
      </c>
      <c r="AK379" s="13"/>
      <c r="AL379" s="13" t="s">
        <v>20</v>
      </c>
      <c r="AN379" s="8">
        <v>717162</v>
      </c>
      <c r="AP379" s="8">
        <v>0</v>
      </c>
      <c r="AT379" s="8">
        <v>0</v>
      </c>
      <c r="AV379" s="8">
        <v>0</v>
      </c>
      <c r="AX379" s="8">
        <v>0</v>
      </c>
      <c r="AZ379" s="8">
        <f t="shared" si="31"/>
        <v>42040892</v>
      </c>
      <c r="BB379" s="8">
        <v>147000</v>
      </c>
      <c r="BH379" s="8">
        <v>0</v>
      </c>
      <c r="BJ379" s="8">
        <f t="shared" si="32"/>
        <v>42187892</v>
      </c>
      <c r="BL379" s="8">
        <f>+GenRev!AM379-GenExp!BJ379</f>
        <v>-98973</v>
      </c>
      <c r="BN379" s="8">
        <v>5662941</v>
      </c>
      <c r="BP379" s="8">
        <v>0</v>
      </c>
      <c r="BQ379" s="8">
        <v>0</v>
      </c>
      <c r="BS379" s="8">
        <f t="shared" si="33"/>
        <v>5563968</v>
      </c>
      <c r="BU379" s="9">
        <f>+BS379-'Gen Fd BS'!AA379+BQ379</f>
        <v>0</v>
      </c>
    </row>
    <row r="380" spans="1:73">
      <c r="A380" s="13" t="s">
        <v>709</v>
      </c>
      <c r="B380" s="13"/>
      <c r="C380" s="13" t="s">
        <v>66</v>
      </c>
      <c r="D380" s="13"/>
      <c r="E380" s="32">
        <v>50336</v>
      </c>
      <c r="G380" s="8">
        <v>6051543</v>
      </c>
      <c r="I380" s="8">
        <v>1155499</v>
      </c>
      <c r="K380" s="8">
        <v>675549</v>
      </c>
      <c r="M380" s="8">
        <v>0</v>
      </c>
      <c r="O380" s="8">
        <v>479841</v>
      </c>
      <c r="Q380" s="8">
        <v>631132</v>
      </c>
      <c r="S380" s="8">
        <v>28133</v>
      </c>
      <c r="U380" s="8">
        <v>994685</v>
      </c>
      <c r="W380" s="8">
        <v>418206</v>
      </c>
      <c r="Y380" s="8">
        <v>0</v>
      </c>
      <c r="AA380" s="8">
        <v>1472514</v>
      </c>
      <c r="AC380" s="8">
        <v>905186</v>
      </c>
      <c r="AE380" s="8">
        <v>34309</v>
      </c>
      <c r="AG380" s="8">
        <v>0</v>
      </c>
      <c r="AI380" s="8">
        <v>0</v>
      </c>
      <c r="AJ380" s="13" t="s">
        <v>709</v>
      </c>
      <c r="AK380" s="13"/>
      <c r="AL380" s="13" t="s">
        <v>66</v>
      </c>
      <c r="AN380" s="8">
        <v>176646</v>
      </c>
      <c r="AP380" s="8">
        <v>0</v>
      </c>
      <c r="AT380" s="8">
        <v>0</v>
      </c>
      <c r="AV380" s="8">
        <v>0</v>
      </c>
      <c r="AX380" s="8">
        <v>0</v>
      </c>
      <c r="AZ380" s="8">
        <f t="shared" si="31"/>
        <v>13023243</v>
      </c>
      <c r="BB380" s="8">
        <v>507000</v>
      </c>
      <c r="BH380" s="8">
        <v>0</v>
      </c>
      <c r="BJ380" s="8">
        <f t="shared" si="32"/>
        <v>13530243</v>
      </c>
      <c r="BL380" s="8">
        <f>+GenRev!AM380-GenExp!BJ380</f>
        <v>475368</v>
      </c>
      <c r="BN380" s="8">
        <v>9343296</v>
      </c>
      <c r="BP380" s="8">
        <v>0</v>
      </c>
      <c r="BQ380" s="8">
        <v>0</v>
      </c>
      <c r="BS380" s="8">
        <f t="shared" si="33"/>
        <v>9818664</v>
      </c>
      <c r="BU380" s="9">
        <f>+BS380-'Gen Fd BS'!AA380+BQ380</f>
        <v>0</v>
      </c>
    </row>
    <row r="381" spans="1:73">
      <c r="A381" s="13" t="s">
        <v>266</v>
      </c>
      <c r="B381" s="13"/>
      <c r="C381" s="13" t="s">
        <v>17</v>
      </c>
      <c r="D381" s="13"/>
      <c r="E381" s="32">
        <v>46250</v>
      </c>
      <c r="G381" s="8">
        <v>13776511</v>
      </c>
      <c r="I381" s="8">
        <v>2234253</v>
      </c>
      <c r="K381" s="8">
        <v>756637</v>
      </c>
      <c r="M381" s="8">
        <f>276+25515</f>
        <v>25791</v>
      </c>
      <c r="O381" s="8">
        <v>1428458</v>
      </c>
      <c r="Q381" s="8">
        <v>1427814</v>
      </c>
      <c r="S381" s="8">
        <v>50737</v>
      </c>
      <c r="U381" s="8">
        <v>2583083</v>
      </c>
      <c r="W381" s="8">
        <v>695380</v>
      </c>
      <c r="Y381" s="8">
        <v>0</v>
      </c>
      <c r="AA381" s="8">
        <v>2655567</v>
      </c>
      <c r="AC381" s="8">
        <v>1851983</v>
      </c>
      <c r="AE381" s="8">
        <v>4500</v>
      </c>
      <c r="AG381" s="8">
        <v>0</v>
      </c>
      <c r="AI381" s="8">
        <v>80900</v>
      </c>
      <c r="AJ381" s="13" t="s">
        <v>266</v>
      </c>
      <c r="AK381" s="13"/>
      <c r="AL381" s="13" t="s">
        <v>17</v>
      </c>
      <c r="AN381" s="8">
        <v>666324</v>
      </c>
      <c r="AP381" s="8">
        <v>0</v>
      </c>
      <c r="AT381" s="8">
        <v>319110</v>
      </c>
      <c r="AV381" s="8">
        <v>62675</v>
      </c>
      <c r="AX381" s="8">
        <v>0</v>
      </c>
      <c r="AZ381" s="8">
        <f t="shared" si="31"/>
        <v>28619723</v>
      </c>
      <c r="BB381" s="8">
        <v>0</v>
      </c>
      <c r="BH381" s="8">
        <v>0</v>
      </c>
      <c r="BJ381" s="8">
        <f t="shared" si="32"/>
        <v>28619723</v>
      </c>
      <c r="BL381" s="8">
        <f>+GenRev!AM381-GenExp!BJ381</f>
        <v>-495266</v>
      </c>
      <c r="BN381" s="8">
        <v>5647345</v>
      </c>
      <c r="BP381" s="8">
        <v>-374</v>
      </c>
      <c r="BQ381" s="8">
        <v>0</v>
      </c>
      <c r="BS381" s="8">
        <f t="shared" si="33"/>
        <v>5152453</v>
      </c>
      <c r="BU381" s="9">
        <f>+BS381-'Gen Fd BS'!AA381+BQ381</f>
        <v>0</v>
      </c>
    </row>
    <row r="382" spans="1:73" hidden="1">
      <c r="A382" s="13" t="s">
        <v>266</v>
      </c>
      <c r="B382" s="13"/>
      <c r="C382" s="13" t="s">
        <v>22</v>
      </c>
      <c r="D382" s="13"/>
      <c r="E382" s="32">
        <v>46722</v>
      </c>
      <c r="AG382" s="8">
        <v>0</v>
      </c>
      <c r="AI382" s="8">
        <v>0</v>
      </c>
      <c r="AJ382" s="13" t="s">
        <v>266</v>
      </c>
      <c r="AK382" s="13"/>
      <c r="AL382" s="13" t="s">
        <v>22</v>
      </c>
      <c r="AP382" s="8">
        <v>0</v>
      </c>
      <c r="AX382" s="8">
        <v>0</v>
      </c>
      <c r="AZ382" s="8">
        <f t="shared" si="31"/>
        <v>0</v>
      </c>
      <c r="BB382" s="8">
        <v>0</v>
      </c>
      <c r="BH382" s="8">
        <v>0</v>
      </c>
      <c r="BJ382" s="8">
        <f t="shared" si="32"/>
        <v>0</v>
      </c>
      <c r="BL382" s="8">
        <f>+GenRev!AM382-GenExp!BJ382</f>
        <v>0</v>
      </c>
      <c r="BN382" s="8">
        <v>0</v>
      </c>
      <c r="BP382" s="8">
        <v>0</v>
      </c>
      <c r="BQ382" s="8">
        <v>0</v>
      </c>
      <c r="BS382" s="8">
        <f t="shared" si="33"/>
        <v>0</v>
      </c>
      <c r="BU382" s="9">
        <f>+BS382-'Gen Fd BS'!AA382+BQ382</f>
        <v>0</v>
      </c>
    </row>
    <row r="383" spans="1:73">
      <c r="A383" s="13" t="s">
        <v>561</v>
      </c>
      <c r="B383" s="13"/>
      <c r="C383" s="13" t="s">
        <v>50</v>
      </c>
      <c r="D383" s="13"/>
      <c r="E383" s="32">
        <v>48728</v>
      </c>
      <c r="F383" s="11"/>
      <c r="G383" s="8">
        <v>23429620</v>
      </c>
      <c r="I383" s="8">
        <v>8373009</v>
      </c>
      <c r="K383" s="8">
        <v>365754</v>
      </c>
      <c r="M383" s="8">
        <v>22803</v>
      </c>
      <c r="O383" s="8">
        <v>3605886</v>
      </c>
      <c r="Q383" s="8">
        <v>557798</v>
      </c>
      <c r="S383" s="8">
        <v>98739</v>
      </c>
      <c r="U383" s="8">
        <v>3269466</v>
      </c>
      <c r="W383" s="8">
        <v>956109</v>
      </c>
      <c r="Y383" s="8">
        <v>424107</v>
      </c>
      <c r="AA383" s="8">
        <v>3748758</v>
      </c>
      <c r="AC383" s="8">
        <v>2053041</v>
      </c>
      <c r="AE383" s="8">
        <v>336214</v>
      </c>
      <c r="AG383" s="8">
        <v>0</v>
      </c>
      <c r="AI383" s="8">
        <v>0</v>
      </c>
      <c r="AJ383" s="13" t="s">
        <v>561</v>
      </c>
      <c r="AK383" s="13"/>
      <c r="AL383" s="13" t="s">
        <v>50</v>
      </c>
      <c r="AN383" s="8">
        <v>507315</v>
      </c>
      <c r="AP383" s="8">
        <v>400824</v>
      </c>
      <c r="AT383" s="8">
        <v>206982</v>
      </c>
      <c r="AV383" s="8">
        <v>33409</v>
      </c>
      <c r="AX383" s="8">
        <v>0</v>
      </c>
      <c r="AZ383" s="8">
        <f t="shared" si="31"/>
        <v>48389834</v>
      </c>
      <c r="BB383" s="8">
        <v>33000</v>
      </c>
      <c r="BH383" s="8">
        <v>0</v>
      </c>
      <c r="BJ383" s="8">
        <f t="shared" si="32"/>
        <v>48422834</v>
      </c>
      <c r="BL383" s="8">
        <f>+GenRev!AM383-GenExp!BJ383</f>
        <v>308149</v>
      </c>
      <c r="BN383" s="8">
        <v>4804442</v>
      </c>
      <c r="BP383" s="8">
        <v>0</v>
      </c>
      <c r="BQ383" s="8">
        <v>0</v>
      </c>
      <c r="BS383" s="8">
        <f t="shared" si="33"/>
        <v>5112591</v>
      </c>
      <c r="BU383" s="9">
        <f>+BS383-'Gen Fd BS'!AA383+BQ383</f>
        <v>0</v>
      </c>
    </row>
    <row r="384" spans="1:73">
      <c r="A384" s="13" t="s">
        <v>570</v>
      </c>
      <c r="B384" s="13"/>
      <c r="C384" s="13" t="s">
        <v>78</v>
      </c>
      <c r="D384" s="13"/>
      <c r="E384" s="32">
        <v>48819</v>
      </c>
      <c r="G384" s="8">
        <v>4313475</v>
      </c>
      <c r="I384" s="8">
        <v>980009</v>
      </c>
      <c r="K384" s="8">
        <v>283988</v>
      </c>
      <c r="M384" s="8">
        <v>924231</v>
      </c>
      <c r="O384" s="8">
        <v>262600</v>
      </c>
      <c r="Q384" s="8">
        <v>481869</v>
      </c>
      <c r="S384" s="8">
        <v>16289</v>
      </c>
      <c r="U384" s="8">
        <v>945834</v>
      </c>
      <c r="W384" s="8">
        <v>410368</v>
      </c>
      <c r="Y384" s="8">
        <v>0</v>
      </c>
      <c r="AA384" s="8">
        <v>862961</v>
      </c>
      <c r="AC384" s="8">
        <v>732072</v>
      </c>
      <c r="AE384" s="8">
        <v>2089</v>
      </c>
      <c r="AG384" s="8">
        <v>0</v>
      </c>
      <c r="AI384" s="8">
        <v>0</v>
      </c>
      <c r="AJ384" s="13" t="s">
        <v>570</v>
      </c>
      <c r="AK384" s="13"/>
      <c r="AL384" s="13" t="s">
        <v>78</v>
      </c>
      <c r="AN384" s="8">
        <v>195451</v>
      </c>
      <c r="AP384" s="8">
        <v>0</v>
      </c>
      <c r="AT384" s="8">
        <v>0</v>
      </c>
      <c r="AV384" s="8">
        <v>0</v>
      </c>
      <c r="AX384" s="8">
        <v>0</v>
      </c>
      <c r="AZ384" s="8">
        <f t="shared" si="31"/>
        <v>10411236</v>
      </c>
      <c r="BB384" s="8">
        <v>0</v>
      </c>
      <c r="BH384" s="8">
        <v>0</v>
      </c>
      <c r="BJ384" s="8">
        <f t="shared" si="32"/>
        <v>10411236</v>
      </c>
      <c r="BL384" s="8">
        <f>+GenRev!AM384-GenExp!BJ384</f>
        <v>761866</v>
      </c>
      <c r="BN384" s="8">
        <v>760284</v>
      </c>
      <c r="BP384" s="8">
        <v>0</v>
      </c>
      <c r="BQ384" s="8">
        <v>0</v>
      </c>
      <c r="BS384" s="8">
        <f t="shared" si="33"/>
        <v>1522150</v>
      </c>
      <c r="BU384" s="9">
        <f>+BS384-'Gen Fd BS'!AA384+BQ384</f>
        <v>0</v>
      </c>
    </row>
    <row r="385" spans="1:73">
      <c r="A385" s="13" t="s">
        <v>486</v>
      </c>
      <c r="B385" s="13"/>
      <c r="C385" s="13" t="s">
        <v>50</v>
      </c>
      <c r="D385" s="13"/>
      <c r="E385" s="32">
        <v>48033</v>
      </c>
      <c r="G385" s="8">
        <v>7482534</v>
      </c>
      <c r="I385" s="8">
        <v>1895839</v>
      </c>
      <c r="K385" s="8">
        <v>322194</v>
      </c>
      <c r="M385" s="8">
        <v>0</v>
      </c>
      <c r="O385" s="8">
        <v>1152799</v>
      </c>
      <c r="Q385" s="8">
        <v>363594</v>
      </c>
      <c r="S385" s="8">
        <v>28022</v>
      </c>
      <c r="U385" s="8">
        <v>1554611</v>
      </c>
      <c r="W385" s="8">
        <v>407636</v>
      </c>
      <c r="Y385" s="8">
        <v>200160</v>
      </c>
      <c r="AA385" s="8">
        <v>2123596</v>
      </c>
      <c r="AC385" s="8">
        <v>945242</v>
      </c>
      <c r="AE385" s="8">
        <v>36917</v>
      </c>
      <c r="AG385" s="8">
        <v>0</v>
      </c>
      <c r="AI385" s="8">
        <v>1008</v>
      </c>
      <c r="AJ385" s="13" t="s">
        <v>486</v>
      </c>
      <c r="AK385" s="13"/>
      <c r="AL385" s="13" t="s">
        <v>42</v>
      </c>
      <c r="AN385" s="8">
        <v>486437</v>
      </c>
      <c r="AP385" s="8">
        <v>169935</v>
      </c>
      <c r="AT385" s="8">
        <v>105000</v>
      </c>
      <c r="AV385" s="8">
        <v>47094</v>
      </c>
      <c r="AX385" s="8">
        <v>0</v>
      </c>
      <c r="AZ385" s="8">
        <f t="shared" si="31"/>
        <v>17322618</v>
      </c>
      <c r="BB385" s="8">
        <v>0</v>
      </c>
      <c r="BH385" s="8">
        <v>0</v>
      </c>
      <c r="BJ385" s="8">
        <f t="shared" si="32"/>
        <v>17322618</v>
      </c>
      <c r="BL385" s="8">
        <f>+GenRev!AM385-GenExp!BJ385</f>
        <v>-25232</v>
      </c>
      <c r="BN385" s="8">
        <v>7230060</v>
      </c>
      <c r="BP385" s="8">
        <v>0</v>
      </c>
      <c r="BQ385" s="8">
        <v>0</v>
      </c>
      <c r="BS385" s="8">
        <f t="shared" si="33"/>
        <v>7204828</v>
      </c>
      <c r="BU385" s="9">
        <f>+BS385-'Gen Fd BS'!AA385+BQ385</f>
        <v>0</v>
      </c>
    </row>
    <row r="386" spans="1:73">
      <c r="A386" s="13" t="s">
        <v>486</v>
      </c>
      <c r="B386" s="13"/>
      <c r="C386" s="13" t="s">
        <v>42</v>
      </c>
      <c r="D386" s="13"/>
      <c r="E386" s="32">
        <v>48736</v>
      </c>
      <c r="G386" s="8">
        <v>5567062</v>
      </c>
      <c r="I386" s="8">
        <v>764698</v>
      </c>
      <c r="K386" s="8">
        <v>132602</v>
      </c>
      <c r="M386" s="8">
        <v>0</v>
      </c>
      <c r="O386" s="8">
        <v>446437</v>
      </c>
      <c r="Q386" s="8">
        <v>464331</v>
      </c>
      <c r="S386" s="8">
        <v>84871</v>
      </c>
      <c r="U386" s="8">
        <v>998827</v>
      </c>
      <c r="W386" s="8">
        <v>275837</v>
      </c>
      <c r="Y386" s="8">
        <v>0</v>
      </c>
      <c r="AA386" s="8">
        <v>1073151</v>
      </c>
      <c r="AC386" s="8">
        <v>1392862</v>
      </c>
      <c r="AE386" s="8">
        <v>71463</v>
      </c>
      <c r="AG386" s="8">
        <v>0</v>
      </c>
      <c r="AI386" s="8">
        <v>0</v>
      </c>
      <c r="AJ386" s="13" t="s">
        <v>486</v>
      </c>
      <c r="AK386" s="13"/>
      <c r="AL386" s="13" t="s">
        <v>50</v>
      </c>
      <c r="AN386" s="8">
        <v>148532</v>
      </c>
      <c r="AP386" s="8">
        <v>51675</v>
      </c>
      <c r="AT386" s="8">
        <v>14195</v>
      </c>
      <c r="AV386" s="8">
        <v>12217</v>
      </c>
      <c r="AX386" s="8">
        <v>0</v>
      </c>
      <c r="AZ386" s="8">
        <f t="shared" si="31"/>
        <v>11498760</v>
      </c>
      <c r="BB386" s="8">
        <v>46914</v>
      </c>
      <c r="BH386" s="8">
        <v>0</v>
      </c>
      <c r="BJ386" s="8">
        <f t="shared" si="32"/>
        <v>11545674</v>
      </c>
      <c r="BL386" s="8">
        <f>+GenRev!AM386-GenExp!BJ386</f>
        <v>319866</v>
      </c>
      <c r="BN386" s="8">
        <v>-110337</v>
      </c>
      <c r="BP386" s="8">
        <v>0</v>
      </c>
      <c r="BQ386" s="8">
        <v>0</v>
      </c>
      <c r="BS386" s="8">
        <f t="shared" si="33"/>
        <v>209529</v>
      </c>
      <c r="BU386" s="9">
        <f>+BS386-'Gen Fd BS'!AA386+BQ386</f>
        <v>0</v>
      </c>
    </row>
    <row r="387" spans="1:73">
      <c r="A387" s="13" t="s">
        <v>407</v>
      </c>
      <c r="B387" s="13"/>
      <c r="C387" s="13" t="s">
        <v>32</v>
      </c>
      <c r="D387" s="13"/>
      <c r="E387" s="32">
        <v>47365</v>
      </c>
      <c r="G387" s="8">
        <v>40171326</v>
      </c>
      <c r="I387" s="8">
        <v>7529788</v>
      </c>
      <c r="K387" s="8">
        <v>1778058</v>
      </c>
      <c r="M387" s="8">
        <v>1202085</v>
      </c>
      <c r="O387" s="8">
        <v>4352452</v>
      </c>
      <c r="Q387" s="8">
        <v>5028224</v>
      </c>
      <c r="S387" s="8">
        <v>182771</v>
      </c>
      <c r="U387" s="8">
        <v>5268296</v>
      </c>
      <c r="W387" s="8">
        <v>1551892</v>
      </c>
      <c r="Y387" s="8">
        <v>691835</v>
      </c>
      <c r="AA387" s="8">
        <v>7961056</v>
      </c>
      <c r="AC387" s="8">
        <v>4427452</v>
      </c>
      <c r="AE387" s="8">
        <v>1665690</v>
      </c>
      <c r="AG387" s="8">
        <v>0</v>
      </c>
      <c r="AI387" s="8">
        <f>230609+707669</f>
        <v>938278</v>
      </c>
      <c r="AJ387" s="13" t="s">
        <v>407</v>
      </c>
      <c r="AK387" s="13"/>
      <c r="AL387" s="13" t="s">
        <v>32</v>
      </c>
      <c r="AN387" s="8">
        <v>1228906</v>
      </c>
      <c r="AP387" s="8">
        <v>0</v>
      </c>
      <c r="AT387" s="8">
        <v>138396</v>
      </c>
      <c r="AV387" s="8">
        <v>7942</v>
      </c>
      <c r="AX387" s="8">
        <v>0</v>
      </c>
      <c r="AZ387" s="8">
        <f t="shared" si="31"/>
        <v>84124447</v>
      </c>
      <c r="BB387" s="8">
        <v>2628</v>
      </c>
      <c r="BH387" s="8">
        <v>0</v>
      </c>
      <c r="BJ387" s="8">
        <f t="shared" si="32"/>
        <v>84127075</v>
      </c>
      <c r="BL387" s="8">
        <f>+GenRev!AM387-GenExp!BJ387</f>
        <v>2304377</v>
      </c>
      <c r="BN387" s="8">
        <v>18269983</v>
      </c>
      <c r="BP387" s="8">
        <v>0</v>
      </c>
      <c r="BQ387" s="8">
        <v>0</v>
      </c>
      <c r="BS387" s="8">
        <f t="shared" si="33"/>
        <v>20574360</v>
      </c>
      <c r="BU387" s="9">
        <f>+BS387-'Gen Fd BS'!AA387+BQ387</f>
        <v>0</v>
      </c>
    </row>
    <row r="388" spans="1:73">
      <c r="A388" s="13" t="s">
        <v>407</v>
      </c>
      <c r="B388" s="13"/>
      <c r="C388" s="13" t="s">
        <v>59</v>
      </c>
      <c r="D388" s="13"/>
      <c r="E388" s="32">
        <v>49635</v>
      </c>
      <c r="G388" s="8">
        <v>5428051</v>
      </c>
      <c r="I388" s="8">
        <v>956012</v>
      </c>
      <c r="K388" s="8">
        <v>66979</v>
      </c>
      <c r="M388" s="8">
        <f>13562+565920</f>
        <v>579482</v>
      </c>
      <c r="O388" s="8">
        <v>532487</v>
      </c>
      <c r="Q388" s="8">
        <v>434307</v>
      </c>
      <c r="S388" s="8">
        <v>13462</v>
      </c>
      <c r="U388" s="8">
        <v>1199163</v>
      </c>
      <c r="W388" s="8">
        <v>277964</v>
      </c>
      <c r="Y388" s="8">
        <v>0</v>
      </c>
      <c r="AA388" s="8">
        <v>1712623</v>
      </c>
      <c r="AC388" s="8">
        <v>1513595</v>
      </c>
      <c r="AE388" s="8">
        <v>27925</v>
      </c>
      <c r="AG388" s="8">
        <v>0</v>
      </c>
      <c r="AI388" s="8">
        <v>0</v>
      </c>
      <c r="AJ388" s="13" t="s">
        <v>407</v>
      </c>
      <c r="AK388" s="13"/>
      <c r="AL388" s="13" t="s">
        <v>59</v>
      </c>
      <c r="AN388" s="8">
        <v>207075</v>
      </c>
      <c r="AP388" s="8">
        <v>39988</v>
      </c>
      <c r="AT388" s="8">
        <v>175000</v>
      </c>
      <c r="AV388" s="8">
        <v>120357</v>
      </c>
      <c r="AX388" s="8">
        <v>0</v>
      </c>
      <c r="AZ388" s="8">
        <f t="shared" si="31"/>
        <v>13284470</v>
      </c>
      <c r="BB388" s="8">
        <v>38133</v>
      </c>
      <c r="BH388" s="8">
        <v>0</v>
      </c>
      <c r="BJ388" s="8">
        <f t="shared" si="32"/>
        <v>13322603</v>
      </c>
      <c r="BL388" s="8">
        <f>+GenRev!AM388-GenExp!BJ388</f>
        <v>28591</v>
      </c>
      <c r="BN388" s="8">
        <v>1887867</v>
      </c>
      <c r="BP388" s="8">
        <v>0</v>
      </c>
      <c r="BQ388" s="8">
        <v>0</v>
      </c>
      <c r="BS388" s="8">
        <f t="shared" si="33"/>
        <v>1916458</v>
      </c>
      <c r="BU388" s="9">
        <f>+BS388-'Gen Fd BS'!AA388+BQ388</f>
        <v>0</v>
      </c>
    </row>
    <row r="389" spans="1:73">
      <c r="A389" s="13" t="s">
        <v>407</v>
      </c>
      <c r="B389" s="13"/>
      <c r="C389" s="13" t="s">
        <v>62</v>
      </c>
      <c r="D389" s="13"/>
      <c r="E389" s="32">
        <v>49908</v>
      </c>
      <c r="G389" s="8">
        <v>9394514</v>
      </c>
      <c r="I389" s="8">
        <v>2192731</v>
      </c>
      <c r="K389" s="8">
        <v>280121</v>
      </c>
      <c r="M389" s="8">
        <v>88382</v>
      </c>
      <c r="O389" s="8">
        <v>773747</v>
      </c>
      <c r="Q389" s="8">
        <v>256224</v>
      </c>
      <c r="S389" s="8">
        <v>39685</v>
      </c>
      <c r="U389" s="8">
        <v>1808896</v>
      </c>
      <c r="W389" s="8">
        <v>383487</v>
      </c>
      <c r="Y389" s="8">
        <v>0</v>
      </c>
      <c r="AA389" s="8">
        <v>1853136</v>
      </c>
      <c r="AC389" s="8">
        <v>1156733</v>
      </c>
      <c r="AE389" s="8">
        <v>300502</v>
      </c>
      <c r="AG389" s="8">
        <v>0</v>
      </c>
      <c r="AI389" s="8">
        <v>224</v>
      </c>
      <c r="AJ389" s="13" t="s">
        <v>407</v>
      </c>
      <c r="AK389" s="13"/>
      <c r="AL389" s="13" t="s">
        <v>62</v>
      </c>
      <c r="AN389" s="8">
        <v>257314</v>
      </c>
      <c r="AP389" s="8">
        <v>0</v>
      </c>
      <c r="AT389" s="8">
        <v>0</v>
      </c>
      <c r="AV389" s="8">
        <v>0</v>
      </c>
      <c r="AX389" s="8">
        <v>0</v>
      </c>
      <c r="AZ389" s="8">
        <f t="shared" si="31"/>
        <v>18785696</v>
      </c>
      <c r="BB389" s="8">
        <v>0</v>
      </c>
      <c r="BH389" s="8">
        <v>0</v>
      </c>
      <c r="BJ389" s="8">
        <f t="shared" si="32"/>
        <v>18785696</v>
      </c>
      <c r="BL389" s="8">
        <f>+GenRev!AM389-GenExp!BJ389</f>
        <v>-918089</v>
      </c>
      <c r="BN389" s="8">
        <v>-2396199</v>
      </c>
      <c r="BP389" s="8">
        <v>2353</v>
      </c>
      <c r="BQ389" s="8">
        <v>0</v>
      </c>
      <c r="BS389" s="8">
        <f t="shared" si="33"/>
        <v>-3316641</v>
      </c>
      <c r="BU389" s="9">
        <f>+BS389-'Gen Fd BS'!AA389+BQ389</f>
        <v>0</v>
      </c>
    </row>
    <row r="390" spans="1:73">
      <c r="A390" s="13" t="s">
        <v>267</v>
      </c>
      <c r="B390" s="13"/>
      <c r="C390" s="13" t="s">
        <v>17</v>
      </c>
      <c r="D390" s="13"/>
      <c r="E390" s="32">
        <v>46268</v>
      </c>
      <c r="G390" s="8">
        <v>7284092</v>
      </c>
      <c r="I390" s="8">
        <v>1231320</v>
      </c>
      <c r="K390" s="8">
        <v>119</v>
      </c>
      <c r="M390" s="8">
        <v>10026</v>
      </c>
      <c r="O390" s="8">
        <v>486061</v>
      </c>
      <c r="Q390" s="8">
        <v>793463</v>
      </c>
      <c r="S390" s="8">
        <v>93922</v>
      </c>
      <c r="U390" s="8">
        <v>1197292</v>
      </c>
      <c r="W390" s="8">
        <v>387192</v>
      </c>
      <c r="Y390" s="8">
        <v>0</v>
      </c>
      <c r="AA390" s="8">
        <v>1206989</v>
      </c>
      <c r="AC390" s="8">
        <v>1080807</v>
      </c>
      <c r="AE390" s="8">
        <v>26675</v>
      </c>
      <c r="AG390" s="8">
        <v>0</v>
      </c>
      <c r="AI390" s="8">
        <v>0</v>
      </c>
      <c r="AJ390" s="13" t="s">
        <v>267</v>
      </c>
      <c r="AK390" s="13"/>
      <c r="AL390" s="13" t="s">
        <v>17</v>
      </c>
      <c r="AN390" s="8">
        <v>274561</v>
      </c>
      <c r="AP390" s="8">
        <v>19238</v>
      </c>
      <c r="AT390" s="8">
        <v>0</v>
      </c>
      <c r="AV390" s="8">
        <v>0</v>
      </c>
      <c r="AX390" s="8">
        <v>0</v>
      </c>
      <c r="AZ390" s="8">
        <f t="shared" si="31"/>
        <v>14091757</v>
      </c>
      <c r="BB390" s="8">
        <v>259</v>
      </c>
      <c r="BH390" s="8">
        <v>0</v>
      </c>
      <c r="BJ390" s="8">
        <f t="shared" si="32"/>
        <v>14092016</v>
      </c>
      <c r="BL390" s="8">
        <f>+GenRev!AM390-GenExp!BJ390</f>
        <v>-496711</v>
      </c>
      <c r="BN390" s="8">
        <v>3335854</v>
      </c>
      <c r="BP390" s="8">
        <v>10485</v>
      </c>
      <c r="BQ390" s="8">
        <v>0</v>
      </c>
      <c r="BS390" s="8">
        <f t="shared" si="33"/>
        <v>2828658</v>
      </c>
      <c r="BU390" s="9">
        <f>+BS390-'Gen Fd BS'!AA390+BQ390</f>
        <v>0</v>
      </c>
    </row>
    <row r="391" spans="1:73">
      <c r="A391" s="13" t="s">
        <v>742</v>
      </c>
      <c r="B391" s="13"/>
      <c r="C391" s="13" t="s">
        <v>72</v>
      </c>
      <c r="D391" s="13"/>
      <c r="E391" s="13">
        <v>50716</v>
      </c>
      <c r="G391" s="8">
        <v>4411812</v>
      </c>
      <c r="I391" s="8">
        <v>831444</v>
      </c>
      <c r="K391" s="8">
        <v>137508</v>
      </c>
      <c r="M391" s="8">
        <v>0</v>
      </c>
      <c r="O391" s="8">
        <v>307837</v>
      </c>
      <c r="Q391" s="8">
        <v>512064</v>
      </c>
      <c r="S391" s="8">
        <v>13926</v>
      </c>
      <c r="U391" s="8">
        <v>822591</v>
      </c>
      <c r="W391" s="8">
        <v>280417</v>
      </c>
      <c r="Y391" s="8">
        <v>0</v>
      </c>
      <c r="AA391" s="8">
        <v>878131</v>
      </c>
      <c r="AC391" s="8">
        <v>340694</v>
      </c>
      <c r="AE391" s="8">
        <v>0</v>
      </c>
      <c r="AG391" s="8">
        <v>0</v>
      </c>
      <c r="AI391" s="8">
        <v>1004</v>
      </c>
      <c r="AJ391" s="13" t="s">
        <v>742</v>
      </c>
      <c r="AK391" s="13"/>
      <c r="AL391" s="13" t="s">
        <v>72</v>
      </c>
      <c r="AN391" s="8">
        <v>247225</v>
      </c>
      <c r="AP391" s="8">
        <v>0</v>
      </c>
      <c r="AT391" s="8">
        <v>0</v>
      </c>
      <c r="AV391" s="8">
        <v>0</v>
      </c>
      <c r="AX391" s="8">
        <v>0</v>
      </c>
      <c r="AZ391" s="8">
        <f t="shared" si="31"/>
        <v>8784653</v>
      </c>
      <c r="BB391" s="8">
        <v>88444</v>
      </c>
      <c r="BH391" s="8">
        <v>0</v>
      </c>
      <c r="BJ391" s="8">
        <f t="shared" si="32"/>
        <v>8873097</v>
      </c>
      <c r="BL391" s="8">
        <f>+GenRev!AM391-GenExp!BJ391</f>
        <v>-36440</v>
      </c>
      <c r="BN391" s="8">
        <v>1076114</v>
      </c>
      <c r="BP391" s="8">
        <v>0</v>
      </c>
      <c r="BQ391" s="8">
        <v>0</v>
      </c>
      <c r="BS391" s="8">
        <f t="shared" si="33"/>
        <v>1039674</v>
      </c>
      <c r="BU391" s="9">
        <f>+BS391-'Gen Fd BS'!AA391+BQ391</f>
        <v>0</v>
      </c>
    </row>
    <row r="392" spans="1:73">
      <c r="A392" s="13" t="s">
        <v>674</v>
      </c>
      <c r="B392" s="13"/>
      <c r="C392" s="13" t="s">
        <v>63</v>
      </c>
      <c r="D392" s="13"/>
      <c r="E392" s="32">
        <v>44552</v>
      </c>
      <c r="G392" s="8">
        <v>10189472</v>
      </c>
      <c r="I392" s="8">
        <v>1189642</v>
      </c>
      <c r="K392" s="8">
        <v>759846</v>
      </c>
      <c r="M392" s="8">
        <f>1167+294266</f>
        <v>295433</v>
      </c>
      <c r="O392" s="8">
        <v>690911</v>
      </c>
      <c r="Q392" s="8">
        <v>738980</v>
      </c>
      <c r="S392" s="8">
        <v>40964</v>
      </c>
      <c r="U392" s="8">
        <v>1359600</v>
      </c>
      <c r="W392" s="8">
        <v>489678</v>
      </c>
      <c r="Y392" s="8">
        <v>346611</v>
      </c>
      <c r="AA392" s="8">
        <v>1788120</v>
      </c>
      <c r="AC392" s="8">
        <v>1246530</v>
      </c>
      <c r="AE392" s="8">
        <v>68148</v>
      </c>
      <c r="AG392" s="8">
        <v>62</v>
      </c>
      <c r="AI392" s="8">
        <v>0</v>
      </c>
      <c r="AJ392" s="13" t="s">
        <v>674</v>
      </c>
      <c r="AK392" s="13"/>
      <c r="AL392" s="13" t="s">
        <v>63</v>
      </c>
      <c r="AN392" s="8">
        <v>360843</v>
      </c>
      <c r="AP392" s="8">
        <v>14955</v>
      </c>
      <c r="AT392" s="8">
        <v>35589</v>
      </c>
      <c r="AV392" s="8">
        <v>3147</v>
      </c>
      <c r="AX392" s="8">
        <v>0</v>
      </c>
      <c r="AZ392" s="8">
        <f t="shared" si="31"/>
        <v>19618531</v>
      </c>
      <c r="BB392" s="8">
        <v>0</v>
      </c>
      <c r="BH392" s="8">
        <v>0</v>
      </c>
      <c r="BJ392" s="8">
        <f t="shared" si="32"/>
        <v>19618531</v>
      </c>
      <c r="BL392" s="8">
        <f>+GenRev!AM392-GenExp!BJ392</f>
        <v>499634</v>
      </c>
      <c r="BN392" s="8">
        <v>4704851</v>
      </c>
      <c r="BP392" s="8">
        <v>0</v>
      </c>
      <c r="BQ392" s="8">
        <v>0</v>
      </c>
      <c r="BS392" s="8">
        <f t="shared" si="33"/>
        <v>5204485</v>
      </c>
      <c r="BU392" s="9">
        <f>+BS392-'Gen Fd BS'!AA392+BQ392</f>
        <v>0</v>
      </c>
    </row>
    <row r="393" spans="1:73">
      <c r="A393" s="13" t="s">
        <v>451</v>
      </c>
      <c r="B393" s="13"/>
      <c r="C393" s="13" t="s">
        <v>37</v>
      </c>
      <c r="D393" s="13"/>
      <c r="E393" s="32">
        <v>44560</v>
      </c>
      <c r="G393" s="8">
        <v>9942193</v>
      </c>
      <c r="I393" s="8">
        <v>2472891</v>
      </c>
      <c r="K393" s="8">
        <v>186835</v>
      </c>
      <c r="M393" s="8">
        <f>10915+858336</f>
        <v>869251</v>
      </c>
      <c r="O393" s="8">
        <v>791661</v>
      </c>
      <c r="Q393" s="8">
        <v>1665701</v>
      </c>
      <c r="S393" s="8">
        <v>50925</v>
      </c>
      <c r="U393" s="8">
        <v>1926952</v>
      </c>
      <c r="W393" s="8">
        <v>372751</v>
      </c>
      <c r="Y393" s="8">
        <v>55786</v>
      </c>
      <c r="AA393" s="8">
        <v>2436278</v>
      </c>
      <c r="AC393" s="8">
        <v>921029</v>
      </c>
      <c r="AE393" s="8">
        <v>92895</v>
      </c>
      <c r="AG393" s="8">
        <v>0</v>
      </c>
      <c r="AI393" s="8">
        <v>20604</v>
      </c>
      <c r="AJ393" s="13" t="s">
        <v>451</v>
      </c>
      <c r="AK393" s="13"/>
      <c r="AL393" s="13" t="s">
        <v>37</v>
      </c>
      <c r="AN393" s="8">
        <v>445182</v>
      </c>
      <c r="AP393" s="8">
        <v>309165</v>
      </c>
      <c r="AT393" s="8">
        <v>0</v>
      </c>
      <c r="AV393" s="8">
        <v>0</v>
      </c>
      <c r="AX393" s="8">
        <v>0</v>
      </c>
      <c r="AZ393" s="8">
        <f t="shared" si="31"/>
        <v>22560099</v>
      </c>
      <c r="BB393" s="8">
        <v>0</v>
      </c>
      <c r="BH393" s="8">
        <v>0</v>
      </c>
      <c r="BJ393" s="8">
        <f t="shared" si="32"/>
        <v>22560099</v>
      </c>
      <c r="BL393" s="8">
        <f>+GenRev!AM393-GenExp!BJ393</f>
        <v>281907</v>
      </c>
      <c r="BN393" s="8">
        <v>12845338</v>
      </c>
      <c r="BP393" s="8">
        <v>0</v>
      </c>
      <c r="BQ393" s="8">
        <v>0</v>
      </c>
      <c r="BS393" s="8">
        <f t="shared" si="33"/>
        <v>13127245</v>
      </c>
      <c r="BU393" s="9">
        <f>+BS393-'Gen Fd BS'!AA393+BQ393</f>
        <v>0</v>
      </c>
    </row>
    <row r="394" spans="1:73">
      <c r="A394" s="13" t="s">
        <v>902</v>
      </c>
      <c r="B394" s="13"/>
      <c r="C394" s="13" t="s">
        <v>32</v>
      </c>
      <c r="D394" s="13"/>
      <c r="E394" s="32">
        <v>44578</v>
      </c>
      <c r="G394" s="8">
        <v>10867767</v>
      </c>
      <c r="I394" s="8">
        <v>2107798</v>
      </c>
      <c r="K394" s="8">
        <v>0</v>
      </c>
      <c r="M394" s="8">
        <v>643401</v>
      </c>
      <c r="O394" s="8">
        <v>1319391</v>
      </c>
      <c r="Q394" s="8">
        <v>1132907</v>
      </c>
      <c r="S394" s="8">
        <v>30966</v>
      </c>
      <c r="U394" s="8">
        <v>1733602</v>
      </c>
      <c r="W394" s="8">
        <v>623860</v>
      </c>
      <c r="Y394" s="8">
        <v>0</v>
      </c>
      <c r="AA394" s="8">
        <v>2686721</v>
      </c>
      <c r="AC394" s="8">
        <v>457708</v>
      </c>
      <c r="AE394" s="8">
        <v>313822</v>
      </c>
      <c r="AG394" s="8">
        <v>1248376</v>
      </c>
      <c r="AI394" s="8">
        <v>7432</v>
      </c>
      <c r="AJ394" s="13" t="s">
        <v>408</v>
      </c>
      <c r="AK394" s="13"/>
      <c r="AL394" s="13" t="s">
        <v>32</v>
      </c>
      <c r="AN394" s="8">
        <v>421866</v>
      </c>
      <c r="AP394" s="8">
        <v>43971</v>
      </c>
      <c r="AT394" s="8">
        <v>0</v>
      </c>
      <c r="AV394" s="8">
        <v>238721</v>
      </c>
      <c r="AX394" s="8">
        <v>0</v>
      </c>
      <c r="AZ394" s="8">
        <f t="shared" si="31"/>
        <v>23878309</v>
      </c>
      <c r="BB394" s="8">
        <v>83000</v>
      </c>
      <c r="BH394" s="8">
        <v>0</v>
      </c>
      <c r="BJ394" s="8">
        <f t="shared" si="32"/>
        <v>23961309</v>
      </c>
      <c r="BL394" s="8">
        <f>+GenRev!AM394-GenExp!BJ394</f>
        <v>283012</v>
      </c>
      <c r="BN394" s="8">
        <v>6109353</v>
      </c>
      <c r="BP394" s="8">
        <v>0</v>
      </c>
      <c r="BQ394" s="8">
        <v>0</v>
      </c>
      <c r="BS394" s="8">
        <f t="shared" si="33"/>
        <v>6392365</v>
      </c>
      <c r="BU394" s="9">
        <f>+BS394-'Gen Fd BS'!AA394+BQ394</f>
        <v>0</v>
      </c>
    </row>
    <row r="395" spans="1:73">
      <c r="A395" s="13" t="s">
        <v>409</v>
      </c>
      <c r="B395" s="13"/>
      <c r="C395" s="13" t="s">
        <v>32</v>
      </c>
      <c r="D395" s="13"/>
      <c r="E395" s="32">
        <v>47373</v>
      </c>
      <c r="G395" s="8">
        <v>31161922</v>
      </c>
      <c r="I395" s="8">
        <v>5693738</v>
      </c>
      <c r="K395" s="8">
        <v>244</v>
      </c>
      <c r="M395" s="8">
        <v>235794</v>
      </c>
      <c r="O395" s="8">
        <v>3500563</v>
      </c>
      <c r="Q395" s="8">
        <v>4651177</v>
      </c>
      <c r="S395" s="8">
        <v>133180</v>
      </c>
      <c r="U395" s="8">
        <v>4579545</v>
      </c>
      <c r="W395" s="8">
        <v>1055920</v>
      </c>
      <c r="Y395" s="8">
        <v>436098</v>
      </c>
      <c r="AA395" s="8">
        <v>6403584</v>
      </c>
      <c r="AC395" s="8">
        <v>2456404</v>
      </c>
      <c r="AE395" s="8">
        <v>517100</v>
      </c>
      <c r="AG395" s="8">
        <v>0</v>
      </c>
      <c r="AI395" s="8">
        <v>54913</v>
      </c>
      <c r="AJ395" s="13" t="s">
        <v>409</v>
      </c>
      <c r="AK395" s="13"/>
      <c r="AL395" s="13" t="s">
        <v>32</v>
      </c>
      <c r="AN395" s="8">
        <v>834959</v>
      </c>
      <c r="AP395" s="8">
        <v>769508</v>
      </c>
      <c r="AT395" s="8">
        <v>0</v>
      </c>
      <c r="AV395" s="8">
        <v>0</v>
      </c>
      <c r="AX395" s="8">
        <v>0</v>
      </c>
      <c r="AZ395" s="8">
        <f t="shared" si="31"/>
        <v>62484649</v>
      </c>
      <c r="BB395" s="8">
        <v>381212</v>
      </c>
      <c r="BH395" s="8">
        <v>0</v>
      </c>
      <c r="BJ395" s="8">
        <f t="shared" si="32"/>
        <v>62865861</v>
      </c>
      <c r="BL395" s="8">
        <f>+GenRev!AM395-GenExp!BJ395</f>
        <v>-2261284</v>
      </c>
      <c r="BN395" s="8">
        <v>30692025</v>
      </c>
      <c r="BP395" s="8">
        <v>0</v>
      </c>
      <c r="BQ395" s="8">
        <v>0</v>
      </c>
      <c r="BS395" s="8">
        <f t="shared" si="33"/>
        <v>28430741</v>
      </c>
      <c r="BU395" s="9">
        <f>+BS395-'Gen Fd BS'!AA395+BQ395</f>
        <v>0</v>
      </c>
    </row>
    <row r="396" spans="1:73">
      <c r="A396" s="13" t="s">
        <v>562</v>
      </c>
      <c r="B396" s="13"/>
      <c r="C396" s="13" t="s">
        <v>50</v>
      </c>
      <c r="D396" s="13"/>
      <c r="E396" s="32">
        <v>44586</v>
      </c>
      <c r="G396" s="8">
        <v>10994249</v>
      </c>
      <c r="I396" s="8">
        <v>1850718</v>
      </c>
      <c r="K396" s="8">
        <v>0</v>
      </c>
      <c r="M396" s="8">
        <v>233939</v>
      </c>
      <c r="O396" s="8">
        <v>1260949</v>
      </c>
      <c r="Q396" s="8">
        <v>315326</v>
      </c>
      <c r="S396" s="8">
        <v>28249</v>
      </c>
      <c r="U396" s="8">
        <v>1725871</v>
      </c>
      <c r="W396" s="8">
        <v>684496</v>
      </c>
      <c r="Y396" s="8">
        <v>9289</v>
      </c>
      <c r="AA396" s="8">
        <v>1946260</v>
      </c>
      <c r="AC396" s="8">
        <v>174654</v>
      </c>
      <c r="AE396" s="8">
        <v>572727</v>
      </c>
      <c r="AG396" s="8">
        <v>0</v>
      </c>
      <c r="AI396" s="8">
        <v>33073</v>
      </c>
      <c r="AJ396" s="13" t="s">
        <v>562</v>
      </c>
      <c r="AK396" s="13"/>
      <c r="AL396" s="13" t="s">
        <v>50</v>
      </c>
      <c r="AN396" s="8">
        <v>622138</v>
      </c>
      <c r="AP396" s="8">
        <v>0</v>
      </c>
      <c r="AT396" s="8">
        <v>0</v>
      </c>
      <c r="AV396" s="8">
        <v>37972</v>
      </c>
      <c r="AX396" s="8">
        <v>0</v>
      </c>
      <c r="AZ396" s="8">
        <f t="shared" si="31"/>
        <v>20489910</v>
      </c>
      <c r="BB396" s="8">
        <v>0</v>
      </c>
      <c r="BH396" s="8">
        <v>0</v>
      </c>
      <c r="BJ396" s="8">
        <f t="shared" si="32"/>
        <v>20489910</v>
      </c>
      <c r="BL396" s="8">
        <f>+GenRev!AM396-GenExp!BJ396</f>
        <v>540808</v>
      </c>
      <c r="BN396" s="8">
        <v>-1251546</v>
      </c>
      <c r="BP396" s="8">
        <v>0</v>
      </c>
      <c r="BQ396" s="8">
        <v>0</v>
      </c>
      <c r="BS396" s="8">
        <f t="shared" si="33"/>
        <v>-710738</v>
      </c>
      <c r="BU396" s="9">
        <f>+BS396-'Gen Fd BS'!AA396+BQ396</f>
        <v>0</v>
      </c>
    </row>
    <row r="397" spans="1:73">
      <c r="A397" s="13" t="s">
        <v>499</v>
      </c>
      <c r="B397" s="13"/>
      <c r="C397" s="13" t="s">
        <v>44</v>
      </c>
      <c r="D397" s="13"/>
      <c r="E397" s="32">
        <v>44594</v>
      </c>
      <c r="G397" s="8">
        <v>5756602</v>
      </c>
      <c r="I397" s="8">
        <v>692023</v>
      </c>
      <c r="K397" s="8">
        <v>93210</v>
      </c>
      <c r="M397" s="8">
        <v>23025</v>
      </c>
      <c r="O397" s="8">
        <v>826721</v>
      </c>
      <c r="Q397" s="8">
        <v>401135</v>
      </c>
      <c r="S397" s="8">
        <v>76992</v>
      </c>
      <c r="U397" s="8">
        <v>1406542</v>
      </c>
      <c r="W397" s="8">
        <v>377312</v>
      </c>
      <c r="Y397" s="8">
        <v>195650</v>
      </c>
      <c r="AA397" s="8">
        <v>1217418</v>
      </c>
      <c r="AC397" s="8">
        <v>429791</v>
      </c>
      <c r="AE397" s="8">
        <v>51381</v>
      </c>
      <c r="AG397" s="8">
        <v>0</v>
      </c>
      <c r="AI397" s="8">
        <v>0</v>
      </c>
      <c r="AJ397" s="13" t="s">
        <v>499</v>
      </c>
      <c r="AK397" s="13"/>
      <c r="AL397" s="13" t="s">
        <v>44</v>
      </c>
      <c r="AN397" s="8">
        <v>311273</v>
      </c>
      <c r="AP397" s="8">
        <v>0</v>
      </c>
      <c r="AT397" s="8">
        <v>77518</v>
      </c>
      <c r="AV397" s="8">
        <v>24293</v>
      </c>
      <c r="AX397" s="8">
        <v>0</v>
      </c>
      <c r="AZ397" s="8">
        <f t="shared" si="31"/>
        <v>11960886</v>
      </c>
      <c r="BB397" s="8">
        <v>77200</v>
      </c>
      <c r="BH397" s="8">
        <v>0</v>
      </c>
      <c r="BJ397" s="8">
        <f t="shared" si="32"/>
        <v>12038086</v>
      </c>
      <c r="BL397" s="8">
        <f>+GenRev!AM397-GenExp!BJ397</f>
        <v>-211663</v>
      </c>
      <c r="BN397" s="8">
        <v>751365</v>
      </c>
      <c r="BP397" s="8">
        <v>0</v>
      </c>
      <c r="BQ397" s="8">
        <v>0</v>
      </c>
      <c r="BS397" s="8">
        <f t="shared" si="33"/>
        <v>539702</v>
      </c>
      <c r="BU397" s="9">
        <f>+BS397-'Gen Fd BS'!AA397+BQ397</f>
        <v>0</v>
      </c>
    </row>
    <row r="398" spans="1:73" hidden="1">
      <c r="A398" s="13" t="s">
        <v>643</v>
      </c>
      <c r="B398" s="13"/>
      <c r="C398" s="13" t="s">
        <v>60</v>
      </c>
      <c r="D398" s="13"/>
      <c r="E398" s="32">
        <v>49726</v>
      </c>
      <c r="AG398" s="8">
        <v>0</v>
      </c>
      <c r="AI398" s="8">
        <v>0</v>
      </c>
      <c r="AJ398" s="13" t="s">
        <v>643</v>
      </c>
      <c r="AK398" s="13"/>
      <c r="AL398" s="13" t="s">
        <v>60</v>
      </c>
      <c r="AN398" s="8">
        <v>0</v>
      </c>
      <c r="AP398" s="8">
        <v>0</v>
      </c>
      <c r="AT398" s="8">
        <v>0</v>
      </c>
      <c r="AV398" s="8">
        <v>0</v>
      </c>
      <c r="AX398" s="8">
        <v>0</v>
      </c>
      <c r="AZ398" s="8">
        <f t="shared" si="31"/>
        <v>0</v>
      </c>
      <c r="BB398" s="8">
        <v>0</v>
      </c>
      <c r="BH398" s="8">
        <v>0</v>
      </c>
      <c r="BJ398" s="8">
        <f t="shared" si="32"/>
        <v>0</v>
      </c>
      <c r="BL398" s="8">
        <f>+GenRev!AM398-GenExp!BJ398</f>
        <v>0</v>
      </c>
      <c r="BN398" s="8">
        <v>0</v>
      </c>
      <c r="BP398" s="8">
        <v>0</v>
      </c>
      <c r="BQ398" s="8">
        <v>0</v>
      </c>
      <c r="BS398" s="8">
        <f t="shared" si="33"/>
        <v>0</v>
      </c>
      <c r="BU398" s="9">
        <f>+BS398-'Gen Fd BS'!AA398+BQ398</f>
        <v>0</v>
      </c>
    </row>
    <row r="399" spans="1:73">
      <c r="A399" s="13" t="s">
        <v>339</v>
      </c>
      <c r="B399" s="13"/>
      <c r="C399" s="13" t="s">
        <v>23</v>
      </c>
      <c r="D399" s="13"/>
      <c r="E399" s="32">
        <v>46763</v>
      </c>
      <c r="G399" s="8">
        <v>54812010</v>
      </c>
      <c r="I399" s="8">
        <v>11414278</v>
      </c>
      <c r="K399" s="8">
        <v>981998</v>
      </c>
      <c r="M399" s="8">
        <v>0</v>
      </c>
      <c r="O399" s="8">
        <v>4449128</v>
      </c>
      <c r="Q399" s="8">
        <v>6351343</v>
      </c>
      <c r="S399" s="8">
        <v>396744</v>
      </c>
      <c r="U399" s="8">
        <v>7018217</v>
      </c>
      <c r="W399" s="8">
        <v>0</v>
      </c>
      <c r="Y399" s="8">
        <v>1976074</v>
      </c>
      <c r="AA399" s="8">
        <v>12594254</v>
      </c>
      <c r="AC399" s="8">
        <v>6404133</v>
      </c>
      <c r="AE399" s="8">
        <v>2220354</v>
      </c>
      <c r="AG399" s="8">
        <v>0</v>
      </c>
      <c r="AI399" s="8">
        <v>0</v>
      </c>
      <c r="AJ399" s="13" t="s">
        <v>339</v>
      </c>
      <c r="AK399" s="13"/>
      <c r="AL399" s="13" t="s">
        <v>23</v>
      </c>
      <c r="AN399" s="8">
        <v>2553197</v>
      </c>
      <c r="AP399" s="8">
        <v>282933</v>
      </c>
      <c r="AT399" s="8">
        <v>101828</v>
      </c>
      <c r="AV399" s="8">
        <v>64987</v>
      </c>
      <c r="AX399" s="8">
        <v>0</v>
      </c>
      <c r="AZ399" s="8">
        <f t="shared" si="31"/>
        <v>111621478</v>
      </c>
      <c r="BB399" s="8">
        <v>0</v>
      </c>
      <c r="BH399" s="8">
        <v>0</v>
      </c>
      <c r="BJ399" s="8">
        <f t="shared" si="32"/>
        <v>111621478</v>
      </c>
      <c r="BL399" s="8">
        <f>+GenRev!AM399-GenExp!BJ399</f>
        <v>1391867</v>
      </c>
      <c r="BN399" s="8">
        <v>20898032</v>
      </c>
      <c r="BP399" s="8">
        <v>0</v>
      </c>
      <c r="BQ399" s="8">
        <v>0</v>
      </c>
      <c r="BS399" s="8">
        <f t="shared" si="33"/>
        <v>22289899</v>
      </c>
      <c r="BU399" s="9">
        <f>+BS399-'Gen Fd BS'!AA399+BQ399</f>
        <v>0</v>
      </c>
    </row>
    <row r="400" spans="1:73">
      <c r="A400" s="13" t="s">
        <v>319</v>
      </c>
      <c r="B400" s="13"/>
      <c r="C400" s="13" t="s">
        <v>20</v>
      </c>
      <c r="D400" s="13"/>
      <c r="E400" s="32">
        <v>46573</v>
      </c>
      <c r="G400" s="8">
        <v>16259176</v>
      </c>
      <c r="I400" s="8">
        <v>3886347</v>
      </c>
      <c r="K400" s="8">
        <v>604542</v>
      </c>
      <c r="M400" s="8">
        <v>42151</v>
      </c>
      <c r="O400" s="8">
        <v>1173772</v>
      </c>
      <c r="Q400" s="8">
        <v>1544002</v>
      </c>
      <c r="S400" s="8">
        <v>214720</v>
      </c>
      <c r="U400" s="8">
        <v>2697003</v>
      </c>
      <c r="W400" s="8">
        <v>851434</v>
      </c>
      <c r="Y400" s="8">
        <v>0</v>
      </c>
      <c r="AA400" s="8">
        <v>3554890</v>
      </c>
      <c r="AC400" s="8">
        <v>2339005</v>
      </c>
      <c r="AE400" s="8">
        <v>329562</v>
      </c>
      <c r="AG400" s="8">
        <v>721</v>
      </c>
      <c r="AI400" s="8">
        <v>21336</v>
      </c>
      <c r="AJ400" s="13" t="s">
        <v>319</v>
      </c>
      <c r="AK400" s="13"/>
      <c r="AL400" s="13" t="s">
        <v>20</v>
      </c>
      <c r="AN400" s="8">
        <v>1111300</v>
      </c>
      <c r="AP400" s="8">
        <v>304304</v>
      </c>
      <c r="AT400" s="8">
        <v>290553</v>
      </c>
      <c r="AV400" s="8">
        <v>41659</v>
      </c>
      <c r="AX400" s="8">
        <v>0</v>
      </c>
      <c r="AZ400" s="8">
        <f t="shared" si="31"/>
        <v>35266477</v>
      </c>
      <c r="BB400" s="8">
        <v>0</v>
      </c>
      <c r="BH400" s="8">
        <v>0</v>
      </c>
      <c r="BJ400" s="8">
        <f t="shared" si="32"/>
        <v>35266477</v>
      </c>
      <c r="BL400" s="8">
        <f>+GenRev!AM400-GenExp!BJ400</f>
        <v>-312439</v>
      </c>
      <c r="BN400" s="8">
        <v>5556576</v>
      </c>
      <c r="BP400" s="8">
        <v>0</v>
      </c>
      <c r="BQ400" s="8">
        <v>0</v>
      </c>
      <c r="BS400" s="8">
        <f t="shared" si="33"/>
        <v>5244137</v>
      </c>
      <c r="BU400" s="9">
        <f>+BS400-'Gen Fd BS'!AA400+BQ400</f>
        <v>0</v>
      </c>
    </row>
    <row r="401" spans="1:73">
      <c r="A401" s="13" t="s">
        <v>618</v>
      </c>
      <c r="B401" s="13"/>
      <c r="C401" s="13" t="s">
        <v>113</v>
      </c>
      <c r="D401" s="13"/>
      <c r="E401" s="32">
        <v>49478</v>
      </c>
      <c r="G401" s="8">
        <v>6253183</v>
      </c>
      <c r="I401" s="8">
        <v>865738</v>
      </c>
      <c r="K401" s="8">
        <v>301854</v>
      </c>
      <c r="M401" s="8">
        <v>312475</v>
      </c>
      <c r="O401" s="8">
        <v>800127</v>
      </c>
      <c r="Q401" s="8">
        <v>621281</v>
      </c>
      <c r="S401" s="8">
        <v>38541</v>
      </c>
      <c r="U401" s="8">
        <v>1292540</v>
      </c>
      <c r="W401" s="8">
        <v>529284</v>
      </c>
      <c r="Y401" s="8">
        <v>0</v>
      </c>
      <c r="AA401" s="8">
        <v>1942048</v>
      </c>
      <c r="AC401" s="8">
        <v>749057</v>
      </c>
      <c r="AE401" s="8">
        <v>25414</v>
      </c>
      <c r="AG401" s="8">
        <v>0</v>
      </c>
      <c r="AI401" s="8">
        <v>0</v>
      </c>
      <c r="AJ401" s="13" t="s">
        <v>618</v>
      </c>
      <c r="AK401" s="13"/>
      <c r="AL401" s="13" t="s">
        <v>113</v>
      </c>
      <c r="AN401" s="8">
        <v>408477</v>
      </c>
      <c r="AP401" s="8">
        <v>52844</v>
      </c>
      <c r="AT401" s="8">
        <v>0</v>
      </c>
      <c r="AV401" s="8">
        <v>0</v>
      </c>
      <c r="AX401" s="8">
        <v>0</v>
      </c>
      <c r="AZ401" s="8">
        <f t="shared" si="31"/>
        <v>14192863</v>
      </c>
      <c r="BB401" s="8">
        <v>30636</v>
      </c>
      <c r="BH401" s="8">
        <v>0</v>
      </c>
      <c r="BJ401" s="8">
        <f t="shared" si="32"/>
        <v>14223499</v>
      </c>
      <c r="BL401" s="8">
        <f>+GenRev!AM401-GenExp!BJ401</f>
        <v>1296186</v>
      </c>
      <c r="BN401" s="8">
        <v>4571744</v>
      </c>
      <c r="BP401" s="8">
        <v>-165449</v>
      </c>
      <c r="BQ401" s="8">
        <v>0</v>
      </c>
      <c r="BS401" s="8">
        <f t="shared" si="33"/>
        <v>6033379</v>
      </c>
      <c r="BU401" s="9">
        <f>+BS401-'Gen Fd BS'!AA401+BQ401</f>
        <v>0</v>
      </c>
    </row>
    <row r="402" spans="1:73">
      <c r="A402" s="13" t="s">
        <v>320</v>
      </c>
      <c r="B402" s="13"/>
      <c r="C402" s="13" t="s">
        <v>20</v>
      </c>
      <c r="D402" s="13"/>
      <c r="E402" s="32">
        <v>46581</v>
      </c>
      <c r="G402" s="8">
        <v>17235563</v>
      </c>
      <c r="I402" s="8">
        <v>5427337</v>
      </c>
      <c r="K402" s="8">
        <v>267594</v>
      </c>
      <c r="M402" s="8">
        <v>0</v>
      </c>
      <c r="O402" s="8">
        <v>3116704</v>
      </c>
      <c r="Q402" s="8">
        <v>3530790</v>
      </c>
      <c r="S402" s="8">
        <v>110200</v>
      </c>
      <c r="U402" s="8">
        <v>2869783</v>
      </c>
      <c r="W402" s="8">
        <v>1171481</v>
      </c>
      <c r="Y402" s="8">
        <v>537479</v>
      </c>
      <c r="AA402" s="8">
        <v>4597992</v>
      </c>
      <c r="AC402" s="8">
        <v>3424859</v>
      </c>
      <c r="AE402" s="8">
        <v>1156631</v>
      </c>
      <c r="AG402" s="8">
        <v>0</v>
      </c>
      <c r="AI402" s="8">
        <v>15604</v>
      </c>
      <c r="AJ402" s="13" t="s">
        <v>320</v>
      </c>
      <c r="AK402" s="13"/>
      <c r="AL402" s="13" t="s">
        <v>20</v>
      </c>
      <c r="AN402" s="8">
        <v>1207523</v>
      </c>
      <c r="AP402" s="8">
        <v>294690</v>
      </c>
      <c r="AT402" s="8">
        <v>22432</v>
      </c>
      <c r="AV402" s="8">
        <v>10470</v>
      </c>
      <c r="AX402" s="8">
        <v>0</v>
      </c>
      <c r="AZ402" s="8">
        <f t="shared" si="31"/>
        <v>44997132</v>
      </c>
      <c r="BB402" s="8">
        <v>260319</v>
      </c>
      <c r="BH402" s="8">
        <v>0</v>
      </c>
      <c r="BJ402" s="8">
        <f t="shared" si="32"/>
        <v>45257451</v>
      </c>
      <c r="BL402" s="8">
        <f>+GenRev!AM402-GenExp!BJ402</f>
        <v>3882312</v>
      </c>
      <c r="BN402" s="8">
        <v>27301730</v>
      </c>
      <c r="BP402" s="8">
        <v>0</v>
      </c>
      <c r="BQ402" s="8">
        <v>0</v>
      </c>
      <c r="BS402" s="8">
        <f t="shared" si="33"/>
        <v>31184042</v>
      </c>
      <c r="BU402" s="9">
        <f>+BS402-'Gen Fd BS'!AA402+BQ402</f>
        <v>0</v>
      </c>
    </row>
    <row r="403" spans="1:73">
      <c r="A403" s="13" t="s">
        <v>504</v>
      </c>
      <c r="B403" s="13"/>
      <c r="C403" s="13" t="s">
        <v>118</v>
      </c>
      <c r="D403" s="13"/>
      <c r="E403" s="32">
        <v>44602</v>
      </c>
      <c r="G403" s="8">
        <v>17336678</v>
      </c>
      <c r="I403" s="8">
        <v>3382543</v>
      </c>
      <c r="K403" s="8">
        <v>3524212</v>
      </c>
      <c r="M403" s="8">
        <f>247533+158484</f>
        <v>406017</v>
      </c>
      <c r="O403" s="8">
        <v>2700556</v>
      </c>
      <c r="Q403" s="8">
        <v>2337584</v>
      </c>
      <c r="S403" s="8">
        <v>48546</v>
      </c>
      <c r="U403" s="8">
        <v>2410524</v>
      </c>
      <c r="W403" s="8">
        <v>859608</v>
      </c>
      <c r="Y403" s="8">
        <v>285288</v>
      </c>
      <c r="AA403" s="8">
        <v>4600856</v>
      </c>
      <c r="AC403" s="8">
        <v>2094111</v>
      </c>
      <c r="AE403" s="8">
        <v>9219</v>
      </c>
      <c r="AG403" s="8">
        <v>0</v>
      </c>
      <c r="AI403" s="8">
        <v>0</v>
      </c>
      <c r="AJ403" s="13" t="s">
        <v>504</v>
      </c>
      <c r="AK403" s="13"/>
      <c r="AL403" s="13" t="s">
        <v>118</v>
      </c>
      <c r="AN403" s="8">
        <v>677676</v>
      </c>
      <c r="AP403" s="8">
        <v>149350</v>
      </c>
      <c r="AT403" s="8">
        <v>309040</v>
      </c>
      <c r="AV403" s="8">
        <v>163972</v>
      </c>
      <c r="AX403" s="8">
        <v>0</v>
      </c>
      <c r="AZ403" s="8">
        <f t="shared" si="31"/>
        <v>41295780</v>
      </c>
      <c r="BB403" s="8">
        <v>2360</v>
      </c>
      <c r="BH403" s="8">
        <v>0</v>
      </c>
      <c r="BJ403" s="8">
        <f t="shared" si="32"/>
        <v>41298140</v>
      </c>
      <c r="BL403" s="8">
        <f>+GenRev!AM403-GenExp!BJ403</f>
        <v>-2627253</v>
      </c>
      <c r="BN403" s="8">
        <v>381130</v>
      </c>
      <c r="BP403" s="8">
        <v>0</v>
      </c>
      <c r="BQ403" s="8">
        <v>0</v>
      </c>
      <c r="BS403" s="8">
        <f t="shared" si="33"/>
        <v>-2246123</v>
      </c>
      <c r="BU403" s="9">
        <f>+BS403-'Gen Fd BS'!AA403+BQ403</f>
        <v>0</v>
      </c>
    </row>
    <row r="404" spans="1:73">
      <c r="A404" s="13" t="s">
        <v>729</v>
      </c>
      <c r="B404" s="13"/>
      <c r="C404" s="13" t="s">
        <v>71</v>
      </c>
      <c r="D404" s="13"/>
      <c r="E404" s="32">
        <v>44610</v>
      </c>
      <c r="G404" s="8">
        <v>6862015</v>
      </c>
      <c r="I404" s="8">
        <v>880409</v>
      </c>
      <c r="K404" s="8">
        <v>308741</v>
      </c>
      <c r="M404" s="8">
        <v>642467</v>
      </c>
      <c r="O404" s="8">
        <v>570941</v>
      </c>
      <c r="Q404" s="8">
        <v>706841</v>
      </c>
      <c r="S404" s="8">
        <v>213566</v>
      </c>
      <c r="U404" s="8">
        <v>1344717</v>
      </c>
      <c r="W404" s="8">
        <v>414034</v>
      </c>
      <c r="Y404" s="8">
        <v>37045</v>
      </c>
      <c r="AA404" s="8">
        <v>1422023</v>
      </c>
      <c r="AC404" s="8">
        <v>455065</v>
      </c>
      <c r="AE404" s="8">
        <v>32835</v>
      </c>
      <c r="AG404" s="8">
        <v>0</v>
      </c>
      <c r="AI404" s="8">
        <v>0</v>
      </c>
      <c r="AJ404" s="13" t="s">
        <v>729</v>
      </c>
      <c r="AK404" s="13"/>
      <c r="AL404" s="13" t="s">
        <v>71</v>
      </c>
      <c r="AN404" s="8">
        <v>250383</v>
      </c>
      <c r="AP404" s="8">
        <v>3563</v>
      </c>
      <c r="AT404" s="8">
        <v>70000</v>
      </c>
      <c r="AV404" s="8">
        <v>5040</v>
      </c>
      <c r="AX404" s="8">
        <v>0</v>
      </c>
      <c r="AZ404" s="8">
        <f t="shared" si="31"/>
        <v>14219685</v>
      </c>
      <c r="BB404" s="8">
        <v>0</v>
      </c>
      <c r="BH404" s="8">
        <v>0</v>
      </c>
      <c r="BJ404" s="8">
        <f t="shared" si="32"/>
        <v>14219685</v>
      </c>
      <c r="BL404" s="8">
        <f>+GenRev!AM404-GenExp!BJ404</f>
        <v>-40517</v>
      </c>
      <c r="BN404" s="8">
        <v>532811</v>
      </c>
      <c r="BP404" s="8">
        <v>0</v>
      </c>
      <c r="BQ404" s="8">
        <v>0</v>
      </c>
      <c r="BS404" s="8">
        <f t="shared" si="33"/>
        <v>492294</v>
      </c>
      <c r="BU404" s="9">
        <f>+BS404-'Gen Fd BS'!AA404+BQ404</f>
        <v>0</v>
      </c>
    </row>
    <row r="405" spans="1:73">
      <c r="A405" s="13" t="s">
        <v>664</v>
      </c>
      <c r="B405" s="13"/>
      <c r="C405" s="13" t="s">
        <v>62</v>
      </c>
      <c r="D405" s="13"/>
      <c r="E405" s="32">
        <v>49916</v>
      </c>
      <c r="G405" s="8">
        <v>3398798</v>
      </c>
      <c r="I405" s="8">
        <v>560446</v>
      </c>
      <c r="K405" s="8">
        <v>230285</v>
      </c>
      <c r="M405" s="8">
        <v>723241</v>
      </c>
      <c r="O405" s="8">
        <v>267644</v>
      </c>
      <c r="Q405" s="8">
        <v>136771</v>
      </c>
      <c r="S405" s="8">
        <v>24066</v>
      </c>
      <c r="U405" s="8">
        <v>645058</v>
      </c>
      <c r="W405" s="8">
        <v>235406</v>
      </c>
      <c r="Y405" s="8">
        <v>10437</v>
      </c>
      <c r="AA405" s="8">
        <v>616164</v>
      </c>
      <c r="AC405" s="8">
        <v>520783</v>
      </c>
      <c r="AE405" s="8">
        <v>20170</v>
      </c>
      <c r="AG405" s="8">
        <v>0</v>
      </c>
      <c r="AI405" s="8">
        <v>21939</v>
      </c>
      <c r="AJ405" s="13" t="s">
        <v>664</v>
      </c>
      <c r="AK405" s="13"/>
      <c r="AL405" s="13" t="s">
        <v>62</v>
      </c>
      <c r="AN405" s="8">
        <v>251487</v>
      </c>
      <c r="AP405" s="8">
        <v>10796</v>
      </c>
      <c r="AT405" s="8">
        <v>0</v>
      </c>
      <c r="AV405" s="8">
        <v>0</v>
      </c>
      <c r="AX405" s="8">
        <v>0</v>
      </c>
      <c r="AZ405" s="8">
        <f t="shared" si="31"/>
        <v>7673491</v>
      </c>
      <c r="BB405" s="8">
        <v>0</v>
      </c>
      <c r="BH405" s="8">
        <v>0</v>
      </c>
      <c r="BJ405" s="8">
        <f t="shared" si="32"/>
        <v>7673491</v>
      </c>
      <c r="BL405" s="8">
        <f>+GenRev!AM405-GenExp!BJ405</f>
        <v>-417979</v>
      </c>
      <c r="BN405" s="8">
        <v>3956120</v>
      </c>
      <c r="BP405" s="8">
        <v>0</v>
      </c>
      <c r="BQ405" s="8">
        <v>0</v>
      </c>
      <c r="BS405" s="8">
        <f t="shared" si="33"/>
        <v>3538141</v>
      </c>
      <c r="BU405" s="9">
        <f>+BS405-'Gen Fd BS'!AA405+BQ405</f>
        <v>0</v>
      </c>
    </row>
    <row r="406" spans="1:73">
      <c r="A406" s="13" t="s">
        <v>743</v>
      </c>
      <c r="B406" s="13"/>
      <c r="C406" s="13" t="s">
        <v>72</v>
      </c>
      <c r="D406" s="13"/>
      <c r="E406" s="32">
        <v>50724</v>
      </c>
      <c r="G406" s="8">
        <v>7386022</v>
      </c>
      <c r="I406" s="8">
        <v>1585629</v>
      </c>
      <c r="K406" s="8">
        <v>362956</v>
      </c>
      <c r="M406" s="8">
        <v>0</v>
      </c>
      <c r="O406" s="8">
        <v>546496</v>
      </c>
      <c r="Q406" s="8">
        <v>597520</v>
      </c>
      <c r="S406" s="8">
        <v>45176</v>
      </c>
      <c r="U406" s="8">
        <v>1242915</v>
      </c>
      <c r="W406" s="8">
        <v>390397</v>
      </c>
      <c r="Y406" s="8">
        <v>7183</v>
      </c>
      <c r="AA406" s="8">
        <v>1008009</v>
      </c>
      <c r="AC406" s="8">
        <v>892072</v>
      </c>
      <c r="AE406" s="8">
        <v>0</v>
      </c>
      <c r="AG406" s="8">
        <v>0</v>
      </c>
      <c r="AI406" s="8">
        <v>0</v>
      </c>
      <c r="AJ406" s="13" t="s">
        <v>743</v>
      </c>
      <c r="AK406" s="13"/>
      <c r="AL406" s="13" t="s">
        <v>72</v>
      </c>
      <c r="AN406" s="8">
        <v>243667</v>
      </c>
      <c r="AP406" s="8">
        <v>29440</v>
      </c>
      <c r="AT406" s="8">
        <v>0</v>
      </c>
      <c r="AV406" s="8">
        <v>0</v>
      </c>
      <c r="AX406" s="8">
        <v>0</v>
      </c>
      <c r="AZ406" s="8">
        <f t="shared" si="31"/>
        <v>14337482</v>
      </c>
      <c r="BB406" s="8">
        <v>60000</v>
      </c>
      <c r="BH406" s="8">
        <v>0</v>
      </c>
      <c r="BJ406" s="8">
        <f t="shared" si="32"/>
        <v>14397482</v>
      </c>
      <c r="BL406" s="8">
        <f>+GenRev!AM406-GenExp!BJ406</f>
        <v>-771873</v>
      </c>
      <c r="BN406" s="8">
        <v>1761803</v>
      </c>
      <c r="BP406" s="8">
        <v>0</v>
      </c>
      <c r="BQ406" s="8">
        <v>0</v>
      </c>
      <c r="BS406" s="8">
        <f t="shared" si="33"/>
        <v>989930</v>
      </c>
      <c r="BU406" s="9">
        <f>+BS406-'Gen Fd BS'!AA406+BQ406</f>
        <v>0</v>
      </c>
    </row>
    <row r="407" spans="1:73">
      <c r="A407" s="13" t="s">
        <v>505</v>
      </c>
      <c r="B407" s="13"/>
      <c r="C407" s="13" t="s">
        <v>118</v>
      </c>
      <c r="D407" s="13"/>
      <c r="E407" s="32">
        <v>48215</v>
      </c>
      <c r="G407" s="8">
        <v>8161841</v>
      </c>
      <c r="I407" s="8">
        <v>0</v>
      </c>
      <c r="K407" s="8">
        <v>0</v>
      </c>
      <c r="M407" s="8">
        <v>0</v>
      </c>
      <c r="O407" s="8">
        <v>550759</v>
      </c>
      <c r="Q407" s="8">
        <v>423998</v>
      </c>
      <c r="S407" s="8">
        <v>20664</v>
      </c>
      <c r="U407" s="8">
        <v>875601</v>
      </c>
      <c r="W407" s="8">
        <v>447619</v>
      </c>
      <c r="Y407" s="8">
        <v>0</v>
      </c>
      <c r="AA407" s="8">
        <v>1267434</v>
      </c>
      <c r="AC407" s="8">
        <v>33071</v>
      </c>
      <c r="AE407" s="8">
        <v>42757</v>
      </c>
      <c r="AG407" s="8">
        <v>0</v>
      </c>
      <c r="AI407" s="8">
        <v>14733</v>
      </c>
      <c r="AJ407" s="13" t="s">
        <v>505</v>
      </c>
      <c r="AK407" s="13"/>
      <c r="AL407" s="13" t="s">
        <v>118</v>
      </c>
      <c r="AN407" s="8">
        <v>355744</v>
      </c>
      <c r="AP407" s="8">
        <v>0</v>
      </c>
      <c r="AT407" s="8">
        <v>0</v>
      </c>
      <c r="AV407" s="8">
        <v>0</v>
      </c>
      <c r="AX407" s="8">
        <v>0</v>
      </c>
      <c r="AZ407" s="8">
        <f t="shared" si="31"/>
        <v>12194221</v>
      </c>
      <c r="BB407" s="8">
        <v>119210</v>
      </c>
      <c r="BH407" s="8">
        <v>0</v>
      </c>
      <c r="BJ407" s="8">
        <f t="shared" si="32"/>
        <v>12313431</v>
      </c>
      <c r="BL407" s="8">
        <f>+GenRev!AM407-GenExp!BJ407</f>
        <v>-47302</v>
      </c>
      <c r="BN407" s="8">
        <v>5539698</v>
      </c>
      <c r="BP407" s="8">
        <v>0</v>
      </c>
      <c r="BQ407" s="8">
        <v>0</v>
      </c>
      <c r="BS407" s="8">
        <f t="shared" si="33"/>
        <v>5492396</v>
      </c>
      <c r="BU407" s="9">
        <f>+BS407-'Gen Fd BS'!AA407+BQ407</f>
        <v>0</v>
      </c>
    </row>
    <row r="408" spans="1:73" hidden="1">
      <c r="A408" s="13" t="s">
        <v>611</v>
      </c>
      <c r="B408" s="13"/>
      <c r="C408" s="13" t="s">
        <v>608</v>
      </c>
      <c r="D408" s="13"/>
      <c r="E408" s="32">
        <v>49379</v>
      </c>
      <c r="AG408" s="8">
        <v>0</v>
      </c>
      <c r="AI408" s="8">
        <v>0</v>
      </c>
      <c r="AJ408" s="13" t="s">
        <v>611</v>
      </c>
      <c r="AK408" s="13"/>
      <c r="AL408" s="13" t="s">
        <v>608</v>
      </c>
      <c r="AN408" s="8">
        <v>0</v>
      </c>
      <c r="AP408" s="8">
        <v>0</v>
      </c>
      <c r="AT408" s="8">
        <v>0</v>
      </c>
      <c r="AV408" s="8">
        <v>0</v>
      </c>
      <c r="AX408" s="8">
        <v>0</v>
      </c>
      <c r="AZ408" s="8">
        <f t="shared" si="31"/>
        <v>0</v>
      </c>
      <c r="BB408" s="8">
        <v>0</v>
      </c>
      <c r="BH408" s="8">
        <v>0</v>
      </c>
      <c r="BJ408" s="8">
        <f t="shared" si="32"/>
        <v>0</v>
      </c>
      <c r="BL408" s="8">
        <f>+GenRev!AM408-GenExp!BJ408</f>
        <v>0</v>
      </c>
      <c r="BN408" s="8">
        <v>0</v>
      </c>
      <c r="BP408" s="8">
        <v>0</v>
      </c>
      <c r="BQ408" s="8">
        <v>0</v>
      </c>
      <c r="BS408" s="8">
        <f t="shared" ref="BS408:BS457" si="34">+BN408+BL408-BP408</f>
        <v>0</v>
      </c>
      <c r="BU408" s="9">
        <f>+BS408-'Gen Fd BS'!AA408+BQ408</f>
        <v>0</v>
      </c>
    </row>
    <row r="409" spans="1:73" hidden="1">
      <c r="A409" s="13" t="s">
        <v>612</v>
      </c>
      <c r="B409" s="13"/>
      <c r="C409" s="13" t="s">
        <v>608</v>
      </c>
      <c r="D409" s="13"/>
      <c r="E409" s="32">
        <v>49387</v>
      </c>
      <c r="AG409" s="8">
        <v>0</v>
      </c>
      <c r="AI409" s="8">
        <v>0</v>
      </c>
      <c r="AJ409" s="13" t="s">
        <v>612</v>
      </c>
      <c r="AK409" s="13"/>
      <c r="AL409" s="13" t="s">
        <v>608</v>
      </c>
      <c r="AN409" s="8">
        <v>0</v>
      </c>
      <c r="AP409" s="8">
        <v>0</v>
      </c>
      <c r="AT409" s="8">
        <v>0</v>
      </c>
      <c r="AV409" s="8">
        <v>0</v>
      </c>
      <c r="AX409" s="8">
        <v>0</v>
      </c>
      <c r="AZ409" s="8">
        <f t="shared" si="31"/>
        <v>0</v>
      </c>
      <c r="BB409" s="8">
        <v>0</v>
      </c>
      <c r="BH409" s="8">
        <v>0</v>
      </c>
      <c r="BJ409" s="8">
        <f t="shared" si="32"/>
        <v>0</v>
      </c>
      <c r="BL409" s="8">
        <f>+GenRev!AM409-GenExp!BJ409</f>
        <v>0</v>
      </c>
      <c r="BN409" s="8">
        <v>0</v>
      </c>
      <c r="BP409" s="8">
        <v>0</v>
      </c>
      <c r="BQ409" s="8">
        <v>0</v>
      </c>
      <c r="BS409" s="8">
        <f t="shared" si="34"/>
        <v>0</v>
      </c>
      <c r="BU409" s="9">
        <f>+BS409-'Gen Fd BS'!AA409+BQ409</f>
        <v>0</v>
      </c>
    </row>
    <row r="410" spans="1:73">
      <c r="A410" s="13" t="s">
        <v>466</v>
      </c>
      <c r="B410" s="13"/>
      <c r="C410" s="13" t="s">
        <v>41</v>
      </c>
      <c r="D410" s="13"/>
      <c r="E410" s="32">
        <v>44628</v>
      </c>
      <c r="G410" s="8">
        <v>11072699</v>
      </c>
      <c r="I410" s="8">
        <v>3336634</v>
      </c>
      <c r="K410" s="8">
        <v>572635</v>
      </c>
      <c r="M410" s="8">
        <v>2470402</v>
      </c>
      <c r="O410" s="8">
        <v>1439914</v>
      </c>
      <c r="Q410" s="8">
        <v>1336306</v>
      </c>
      <c r="S410" s="8">
        <v>0</v>
      </c>
      <c r="U410" s="8">
        <f>145164+3633499</f>
        <v>3778663</v>
      </c>
      <c r="W410" s="8">
        <v>597490</v>
      </c>
      <c r="Y410" s="8">
        <v>84624</v>
      </c>
      <c r="AA410" s="8">
        <v>2666094</v>
      </c>
      <c r="AC410" s="8">
        <v>1619304</v>
      </c>
      <c r="AE410" s="8">
        <v>293153</v>
      </c>
      <c r="AG410" s="8">
        <v>0</v>
      </c>
      <c r="AI410" s="8">
        <v>233006</v>
      </c>
      <c r="AJ410" s="13" t="s">
        <v>466</v>
      </c>
      <c r="AK410" s="13"/>
      <c r="AL410" s="13" t="s">
        <v>41</v>
      </c>
      <c r="AN410" s="8">
        <v>438179</v>
      </c>
      <c r="AP410" s="8">
        <v>114521</v>
      </c>
      <c r="AT410" s="8">
        <v>57829</v>
      </c>
      <c r="AV410" s="8">
        <v>3049</v>
      </c>
      <c r="AX410" s="8">
        <v>0</v>
      </c>
      <c r="AZ410" s="8">
        <f t="shared" si="31"/>
        <v>30114502</v>
      </c>
      <c r="BB410" s="8">
        <v>84647</v>
      </c>
      <c r="BH410" s="8">
        <v>0</v>
      </c>
      <c r="BJ410" s="8">
        <f>+AZ410+BB410+BD410+BH410</f>
        <v>30199149</v>
      </c>
      <c r="BL410" s="8">
        <f>+GenRev!AM410-GenExp!BJ410</f>
        <v>-2643641</v>
      </c>
      <c r="BN410" s="8">
        <v>5526231</v>
      </c>
      <c r="BP410" s="8">
        <v>0</v>
      </c>
      <c r="BQ410" s="8">
        <v>0</v>
      </c>
      <c r="BS410" s="8">
        <f t="shared" si="34"/>
        <v>2882590</v>
      </c>
      <c r="BU410" s="9">
        <f>+BS410-'Gen Fd BS'!AA410+BQ410</f>
        <v>0</v>
      </c>
    </row>
    <row r="411" spans="1:73" hidden="1">
      <c r="A411" s="13" t="s">
        <v>467</v>
      </c>
      <c r="B411" s="13"/>
      <c r="C411" s="13" t="s">
        <v>41</v>
      </c>
      <c r="D411" s="13"/>
      <c r="E411" s="32">
        <v>47894</v>
      </c>
      <c r="AJ411" s="13" t="s">
        <v>467</v>
      </c>
      <c r="AK411" s="13"/>
      <c r="AL411" s="13" t="s">
        <v>41</v>
      </c>
      <c r="AX411" s="8">
        <v>0</v>
      </c>
      <c r="AZ411" s="8">
        <f t="shared" si="31"/>
        <v>0</v>
      </c>
      <c r="BB411" s="8">
        <v>0</v>
      </c>
      <c r="BH411" s="8">
        <v>0</v>
      </c>
      <c r="BJ411" s="8">
        <f t="shared" ref="BJ411:BJ457" si="35">+AZ411+BB411+BD411+BH411</f>
        <v>0</v>
      </c>
      <c r="BL411" s="8">
        <f>+GenRev!AM411-GenExp!BJ411</f>
        <v>0</v>
      </c>
      <c r="BN411" s="8">
        <v>0</v>
      </c>
      <c r="BP411" s="8">
        <v>0</v>
      </c>
      <c r="BQ411" s="8">
        <v>0</v>
      </c>
      <c r="BS411" s="8">
        <f t="shared" si="34"/>
        <v>0</v>
      </c>
      <c r="BU411" s="9">
        <f>+BS411-'Gen Fd BS'!AA411+BQ411</f>
        <v>0</v>
      </c>
    </row>
    <row r="412" spans="1:73">
      <c r="A412" s="13" t="s">
        <v>624</v>
      </c>
      <c r="B412" s="13"/>
      <c r="C412" s="13" t="s">
        <v>58</v>
      </c>
      <c r="D412" s="13"/>
      <c r="E412" s="32">
        <v>49510</v>
      </c>
      <c r="F412" s="11"/>
      <c r="G412" s="8">
        <v>4351512</v>
      </c>
      <c r="I412" s="8">
        <v>833678</v>
      </c>
      <c r="K412" s="8">
        <v>3830</v>
      </c>
      <c r="M412" s="8">
        <v>522041</v>
      </c>
      <c r="O412" s="8">
        <v>271263</v>
      </c>
      <c r="Q412" s="8">
        <v>195638</v>
      </c>
      <c r="S412" s="8">
        <v>149524</v>
      </c>
      <c r="U412" s="8">
        <v>649074</v>
      </c>
      <c r="W412" s="8">
        <v>253488</v>
      </c>
      <c r="Y412" s="8">
        <v>0</v>
      </c>
      <c r="AA412" s="8">
        <v>937359</v>
      </c>
      <c r="AC412" s="8">
        <v>613594</v>
      </c>
      <c r="AE412" s="8">
        <v>0</v>
      </c>
      <c r="AG412" s="8">
        <v>0</v>
      </c>
      <c r="AI412" s="8">
        <v>8179</v>
      </c>
      <c r="AJ412" s="13" t="s">
        <v>624</v>
      </c>
      <c r="AK412" s="13"/>
      <c r="AL412" s="13" t="s">
        <v>58</v>
      </c>
      <c r="AN412" s="8">
        <v>164533</v>
      </c>
      <c r="AP412" s="8">
        <v>63110</v>
      </c>
      <c r="AT412" s="8">
        <v>29148</v>
      </c>
      <c r="AV412" s="8">
        <v>9521</v>
      </c>
      <c r="AX412" s="8">
        <v>0</v>
      </c>
      <c r="AZ412" s="8">
        <f t="shared" si="31"/>
        <v>9055492</v>
      </c>
      <c r="BB412" s="8">
        <v>36563</v>
      </c>
      <c r="BH412" s="8">
        <v>0</v>
      </c>
      <c r="BJ412" s="8">
        <f t="shared" si="35"/>
        <v>9092055</v>
      </c>
      <c r="BL412" s="8">
        <f>+GenRev!AM412-GenExp!BJ412</f>
        <v>-92453</v>
      </c>
      <c r="BN412" s="8">
        <v>636925</v>
      </c>
      <c r="BP412" s="8">
        <v>0</v>
      </c>
      <c r="BQ412" s="8">
        <v>0</v>
      </c>
      <c r="BS412" s="8">
        <f t="shared" si="34"/>
        <v>544472</v>
      </c>
      <c r="BU412" s="9">
        <f>+BS412-'Gen Fd BS'!AA412+BQ412</f>
        <v>0</v>
      </c>
    </row>
    <row r="413" spans="1:73" hidden="1">
      <c r="A413" s="13" t="s">
        <v>613</v>
      </c>
      <c r="B413" s="13"/>
      <c r="C413" s="13" t="s">
        <v>608</v>
      </c>
      <c r="D413" s="13"/>
      <c r="E413" s="32">
        <v>49395</v>
      </c>
      <c r="AJ413" s="13" t="s">
        <v>613</v>
      </c>
      <c r="AK413" s="13"/>
      <c r="AL413" s="13" t="s">
        <v>608</v>
      </c>
      <c r="AX413" s="8">
        <v>0</v>
      </c>
      <c r="AZ413" s="8">
        <f t="shared" si="31"/>
        <v>0</v>
      </c>
      <c r="BB413" s="8">
        <v>0</v>
      </c>
      <c r="BH413" s="8">
        <v>0</v>
      </c>
      <c r="BJ413" s="8">
        <f t="shared" si="35"/>
        <v>0</v>
      </c>
      <c r="BL413" s="8">
        <f>+GenRev!AM413-GenExp!BJ413</f>
        <v>0</v>
      </c>
      <c r="BN413" s="8">
        <v>0</v>
      </c>
      <c r="BP413" s="8">
        <v>0</v>
      </c>
      <c r="BQ413" s="8">
        <v>0</v>
      </c>
      <c r="BS413" s="8">
        <f t="shared" si="34"/>
        <v>0</v>
      </c>
      <c r="BU413" s="9">
        <f>+BS413-'Gen Fd BS'!AA413+BQ413</f>
        <v>0</v>
      </c>
    </row>
    <row r="414" spans="1:73" hidden="1">
      <c r="A414" s="13" t="s">
        <v>541</v>
      </c>
      <c r="B414" s="13"/>
      <c r="C414" s="13" t="s">
        <v>540</v>
      </c>
      <c r="D414" s="13"/>
      <c r="E414" s="32">
        <v>48579</v>
      </c>
      <c r="AJ414" s="13" t="s">
        <v>541</v>
      </c>
      <c r="AK414" s="13"/>
      <c r="AL414" s="13" t="s">
        <v>540</v>
      </c>
      <c r="AX414" s="8">
        <v>0</v>
      </c>
      <c r="AZ414" s="8">
        <f t="shared" si="31"/>
        <v>0</v>
      </c>
      <c r="BB414" s="8">
        <v>0</v>
      </c>
      <c r="BH414" s="8">
        <v>0</v>
      </c>
      <c r="BJ414" s="8">
        <f t="shared" si="35"/>
        <v>0</v>
      </c>
      <c r="BL414" s="8">
        <f>+GenRev!AM414-GenExp!BJ414</f>
        <v>0</v>
      </c>
      <c r="BN414" s="8">
        <v>0</v>
      </c>
      <c r="BP414" s="8">
        <v>0</v>
      </c>
      <c r="BQ414" s="8">
        <v>0</v>
      </c>
      <c r="BS414" s="8">
        <f t="shared" si="34"/>
        <v>0</v>
      </c>
      <c r="BU414" s="9">
        <f>+BS414-'Gen Fd BS'!AA414+BQ414</f>
        <v>0</v>
      </c>
    </row>
    <row r="415" spans="1:73">
      <c r="A415" s="13" t="s">
        <v>321</v>
      </c>
      <c r="B415" s="13"/>
      <c r="C415" s="13" t="s">
        <v>20</v>
      </c>
      <c r="D415" s="13"/>
      <c r="E415" s="32">
        <v>44636</v>
      </c>
      <c r="G415" s="8">
        <v>59575595</v>
      </c>
      <c r="I415" s="8">
        <v>16736322</v>
      </c>
      <c r="K415" s="8">
        <v>3703577</v>
      </c>
      <c r="M415" s="8">
        <v>9528</v>
      </c>
      <c r="O415" s="8">
        <v>7371935</v>
      </c>
      <c r="Q415" s="8">
        <v>4477366</v>
      </c>
      <c r="S415" s="8">
        <v>1116321</v>
      </c>
      <c r="U415" s="8">
        <v>11315760</v>
      </c>
      <c r="W415" s="8">
        <v>2750331</v>
      </c>
      <c r="Y415" s="8">
        <v>1219540</v>
      </c>
      <c r="AA415" s="8">
        <v>12012939</v>
      </c>
      <c r="AC415" s="8">
        <v>6652175</v>
      </c>
      <c r="AE415" s="8">
        <v>2132997</v>
      </c>
      <c r="AG415" s="8">
        <v>27347</v>
      </c>
      <c r="AI415" s="8">
        <v>0</v>
      </c>
      <c r="AJ415" s="13" t="s">
        <v>321</v>
      </c>
      <c r="AK415" s="13"/>
      <c r="AL415" s="13" t="s">
        <v>20</v>
      </c>
      <c r="AN415" s="8">
        <v>1751595</v>
      </c>
      <c r="AP415" s="8">
        <v>1679754</v>
      </c>
      <c r="AT415" s="8">
        <v>1659216</v>
      </c>
      <c r="AV415" s="8">
        <v>891075</v>
      </c>
      <c r="AX415" s="8">
        <v>0</v>
      </c>
      <c r="AZ415" s="8">
        <f t="shared" si="31"/>
        <v>135083373</v>
      </c>
      <c r="BB415" s="8">
        <v>446856</v>
      </c>
      <c r="BH415" s="8">
        <v>0</v>
      </c>
      <c r="BJ415" s="8">
        <f t="shared" si="35"/>
        <v>135530229</v>
      </c>
      <c r="BL415" s="8">
        <f>+GenRev!AM415-GenExp!BJ415</f>
        <v>-6295141</v>
      </c>
      <c r="BN415" s="8">
        <v>21533025</v>
      </c>
      <c r="BP415" s="8">
        <v>0</v>
      </c>
      <c r="BQ415" s="8">
        <v>0</v>
      </c>
      <c r="BS415" s="8">
        <f t="shared" si="34"/>
        <v>15237884</v>
      </c>
      <c r="BU415" s="9">
        <f>+BS415-'Gen Fd BS'!AA415+BQ415</f>
        <v>0</v>
      </c>
    </row>
    <row r="416" spans="1:73">
      <c r="A416" s="13" t="s">
        <v>438</v>
      </c>
      <c r="B416" s="13"/>
      <c r="C416" s="13" t="s">
        <v>34</v>
      </c>
      <c r="D416" s="13"/>
      <c r="E416" s="32">
        <v>47597</v>
      </c>
      <c r="G416" s="8">
        <v>4010408</v>
      </c>
      <c r="I416" s="8">
        <v>607945</v>
      </c>
      <c r="K416" s="8">
        <v>2457</v>
      </c>
      <c r="M416" s="8">
        <v>390749</v>
      </c>
      <c r="O416" s="8">
        <v>468297</v>
      </c>
      <c r="Q416" s="8">
        <v>550425</v>
      </c>
      <c r="S416" s="8">
        <v>42802</v>
      </c>
      <c r="U416" s="8">
        <v>820440</v>
      </c>
      <c r="W416" s="8">
        <v>334797</v>
      </c>
      <c r="Y416" s="8">
        <v>117659</v>
      </c>
      <c r="AA416" s="8">
        <v>870867</v>
      </c>
      <c r="AC416" s="8">
        <v>681396</v>
      </c>
      <c r="AE416" s="8">
        <v>149718</v>
      </c>
      <c r="AG416" s="8">
        <v>0</v>
      </c>
      <c r="AI416" s="8">
        <v>3806</v>
      </c>
      <c r="AJ416" s="13" t="s">
        <v>438</v>
      </c>
      <c r="AK416" s="13"/>
      <c r="AL416" s="13" t="s">
        <v>34</v>
      </c>
      <c r="AN416" s="8">
        <v>213226</v>
      </c>
      <c r="AP416" s="8">
        <v>0</v>
      </c>
      <c r="AT416" s="8">
        <v>0</v>
      </c>
      <c r="AV416" s="8">
        <v>0</v>
      </c>
      <c r="AX416" s="8">
        <v>0</v>
      </c>
      <c r="AZ416" s="8">
        <f t="shared" si="31"/>
        <v>9264992</v>
      </c>
      <c r="BB416" s="8">
        <v>76155</v>
      </c>
      <c r="BH416" s="8">
        <v>0</v>
      </c>
      <c r="BJ416" s="8">
        <f t="shared" si="35"/>
        <v>9341147</v>
      </c>
      <c r="BL416" s="8">
        <f>+GenRev!AM416-GenExp!BJ416</f>
        <v>383111</v>
      </c>
      <c r="BN416" s="8">
        <v>1374771</v>
      </c>
      <c r="BP416" s="8">
        <v>0</v>
      </c>
      <c r="BQ416" s="8">
        <v>0</v>
      </c>
      <c r="BS416" s="8">
        <f t="shared" si="34"/>
        <v>1757882</v>
      </c>
      <c r="BU416" s="9">
        <f>+BS416-'Gen Fd BS'!AA416+BQ416</f>
        <v>0</v>
      </c>
    </row>
    <row r="417" spans="1:73" hidden="1">
      <c r="A417" s="13" t="s">
        <v>584</v>
      </c>
      <c r="B417" s="13"/>
      <c r="C417" s="13" t="s">
        <v>583</v>
      </c>
      <c r="D417" s="13"/>
      <c r="E417" s="32">
        <v>45575</v>
      </c>
      <c r="AJ417" s="13" t="s">
        <v>584</v>
      </c>
      <c r="AK417" s="13"/>
      <c r="AL417" s="13" t="s">
        <v>583</v>
      </c>
      <c r="AX417" s="8">
        <v>0</v>
      </c>
      <c r="AZ417" s="8">
        <f t="shared" si="31"/>
        <v>0</v>
      </c>
      <c r="BB417" s="8">
        <v>0</v>
      </c>
      <c r="BH417" s="8">
        <v>0</v>
      </c>
      <c r="BJ417" s="8">
        <f t="shared" si="35"/>
        <v>0</v>
      </c>
      <c r="BL417" s="8">
        <f>+GenRev!AM417-GenExp!BJ417</f>
        <v>0</v>
      </c>
      <c r="BN417" s="8">
        <v>0</v>
      </c>
      <c r="BP417" s="8">
        <v>0</v>
      </c>
      <c r="BQ417" s="8">
        <v>0</v>
      </c>
      <c r="BS417" s="8">
        <f t="shared" si="34"/>
        <v>0</v>
      </c>
      <c r="BU417" s="9">
        <f>+BS417-'Gen Fd BS'!AA417+BQ417</f>
        <v>0</v>
      </c>
    </row>
    <row r="418" spans="1:73">
      <c r="A418" s="13" t="s">
        <v>344</v>
      </c>
      <c r="B418" s="13"/>
      <c r="C418" s="13" t="s">
        <v>24</v>
      </c>
      <c r="D418" s="13"/>
      <c r="E418" s="32">
        <v>46813</v>
      </c>
      <c r="G418" s="8">
        <v>8879907</v>
      </c>
      <c r="I418" s="8">
        <v>2006368</v>
      </c>
      <c r="K418" s="8">
        <v>206566</v>
      </c>
      <c r="M418" s="8">
        <v>358945</v>
      </c>
      <c r="O418" s="8">
        <v>1161028</v>
      </c>
      <c r="Q418" s="8">
        <v>1040026</v>
      </c>
      <c r="S418" s="8">
        <v>32376</v>
      </c>
      <c r="U418" s="8">
        <v>1476143</v>
      </c>
      <c r="W418" s="8">
        <v>560639</v>
      </c>
      <c r="Y418" s="8">
        <v>26129</v>
      </c>
      <c r="AA418" s="8">
        <v>1824139</v>
      </c>
      <c r="AC418" s="8">
        <v>891172</v>
      </c>
      <c r="AE418" s="8">
        <v>37097</v>
      </c>
      <c r="AG418" s="8">
        <v>0</v>
      </c>
      <c r="AI418" s="8">
        <v>499096</v>
      </c>
      <c r="AJ418" s="13" t="s">
        <v>344</v>
      </c>
      <c r="AK418" s="13"/>
      <c r="AL418" s="13" t="s">
        <v>24</v>
      </c>
      <c r="AN418" s="8">
        <v>0</v>
      </c>
      <c r="AP418" s="8">
        <v>992</v>
      </c>
      <c r="AT418" s="8">
        <v>0</v>
      </c>
      <c r="AV418" s="8">
        <v>0</v>
      </c>
      <c r="AX418" s="8">
        <v>0</v>
      </c>
      <c r="AZ418" s="8">
        <f t="shared" si="31"/>
        <v>19000623</v>
      </c>
      <c r="BB418" s="8">
        <v>61601</v>
      </c>
      <c r="BH418" s="8">
        <v>0</v>
      </c>
      <c r="BJ418" s="8">
        <f t="shared" si="35"/>
        <v>19062224</v>
      </c>
      <c r="BL418" s="8">
        <f>+GenRev!AM418-GenExp!BJ418</f>
        <v>1518357</v>
      </c>
      <c r="BN418" s="8">
        <v>2846702</v>
      </c>
      <c r="BP418" s="8">
        <v>-1124</v>
      </c>
      <c r="BQ418" s="8">
        <v>0</v>
      </c>
      <c r="BS418" s="8">
        <f t="shared" si="34"/>
        <v>4366183</v>
      </c>
      <c r="BU418" s="9">
        <f>+BS418-'Gen Fd BS'!AA418+BQ418</f>
        <v>0</v>
      </c>
    </row>
    <row r="419" spans="1:73">
      <c r="A419" s="13" t="s">
        <v>213</v>
      </c>
      <c r="B419" s="13"/>
      <c r="C419" s="13" t="s">
        <v>41</v>
      </c>
      <c r="D419" s="13"/>
      <c r="E419" s="32">
        <v>47902</v>
      </c>
      <c r="G419" s="8">
        <v>11188001</v>
      </c>
      <c r="I419" s="8">
        <v>1178349</v>
      </c>
      <c r="K419" s="8">
        <v>108115</v>
      </c>
      <c r="M419" s="8">
        <v>758307</v>
      </c>
      <c r="O419" s="8">
        <v>952975</v>
      </c>
      <c r="Q419" s="8">
        <v>2451186</v>
      </c>
      <c r="S419" s="8">
        <v>125543</v>
      </c>
      <c r="U419" s="8">
        <v>1830378</v>
      </c>
      <c r="W419" s="8">
        <v>947270</v>
      </c>
      <c r="Y419" s="8">
        <v>278348</v>
      </c>
      <c r="AA419" s="8">
        <v>4459596</v>
      </c>
      <c r="AC419" s="8">
        <v>1272936</v>
      </c>
      <c r="AE419" s="8">
        <v>50928</v>
      </c>
      <c r="AG419" s="8">
        <v>0</v>
      </c>
      <c r="AI419" s="8">
        <f>88499+235352</f>
        <v>323851</v>
      </c>
      <c r="AJ419" s="13" t="s">
        <v>213</v>
      </c>
      <c r="AK419" s="13"/>
      <c r="AL419" s="13" t="s">
        <v>41</v>
      </c>
      <c r="AN419" s="8">
        <v>899944</v>
      </c>
      <c r="AP419" s="8">
        <v>12895</v>
      </c>
      <c r="AT419" s="8">
        <v>0</v>
      </c>
      <c r="AV419" s="8">
        <v>0</v>
      </c>
      <c r="AZ419" s="8">
        <f t="shared" si="31"/>
        <v>26838622</v>
      </c>
      <c r="BB419" s="8">
        <v>2598697</v>
      </c>
      <c r="BH419" s="8">
        <v>0</v>
      </c>
      <c r="BJ419" s="8">
        <f t="shared" si="35"/>
        <v>29437319</v>
      </c>
      <c r="BL419" s="8">
        <f>+GenRev!AM419-GenExp!BJ419</f>
        <v>1090486</v>
      </c>
      <c r="BN419" s="8">
        <v>12332398</v>
      </c>
      <c r="BP419" s="8">
        <v>0</v>
      </c>
      <c r="BQ419" s="8">
        <v>0</v>
      </c>
      <c r="BS419" s="8">
        <f t="shared" si="34"/>
        <v>13422884</v>
      </c>
      <c r="BU419" s="9">
        <f>+BS419-'Gen Fd BS'!AA419+BQ419</f>
        <v>0</v>
      </c>
    </row>
    <row r="420" spans="1:73">
      <c r="A420" s="13" t="s">
        <v>213</v>
      </c>
      <c r="B420" s="13"/>
      <c r="C420" s="13" t="s">
        <v>62</v>
      </c>
      <c r="D420" s="13"/>
      <c r="E420" s="32">
        <v>49924</v>
      </c>
      <c r="G420" s="8">
        <v>17427344</v>
      </c>
      <c r="I420" s="8">
        <v>3568038</v>
      </c>
      <c r="K420" s="8">
        <v>2172278</v>
      </c>
      <c r="M420" s="8">
        <v>411988</v>
      </c>
      <c r="O420" s="8">
        <v>2415641</v>
      </c>
      <c r="Q420" s="8">
        <v>1038888</v>
      </c>
      <c r="S420" s="8">
        <v>97863</v>
      </c>
      <c r="U420" s="8">
        <v>2829286</v>
      </c>
      <c r="W420" s="8">
        <v>726782</v>
      </c>
      <c r="Y420" s="8">
        <v>129679</v>
      </c>
      <c r="AA420" s="8">
        <v>3876564</v>
      </c>
      <c r="AC420" s="8">
        <v>2222522</v>
      </c>
      <c r="AE420" s="8">
        <v>366073</v>
      </c>
      <c r="AG420" s="8">
        <v>0</v>
      </c>
      <c r="AI420" s="8">
        <v>23190</v>
      </c>
      <c r="AJ420" s="13" t="s">
        <v>213</v>
      </c>
      <c r="AK420" s="13"/>
      <c r="AL420" s="13" t="s">
        <v>62</v>
      </c>
      <c r="AN420" s="8">
        <v>767514</v>
      </c>
      <c r="AP420" s="8">
        <v>128673</v>
      </c>
      <c r="AT420" s="8">
        <v>105000</v>
      </c>
      <c r="AV420" s="8">
        <v>23734</v>
      </c>
      <c r="AX420" s="8">
        <v>0</v>
      </c>
      <c r="AZ420" s="8">
        <f t="shared" si="31"/>
        <v>38331057</v>
      </c>
      <c r="BB420" s="8">
        <v>0</v>
      </c>
      <c r="BH420" s="8">
        <v>0</v>
      </c>
      <c r="BJ420" s="8">
        <f t="shared" si="35"/>
        <v>38331057</v>
      </c>
      <c r="BL420" s="8">
        <f>+GenRev!AM420-GenExp!BJ420</f>
        <v>4279014</v>
      </c>
      <c r="BN420" s="8">
        <v>15102931</v>
      </c>
      <c r="BP420" s="8">
        <v>0</v>
      </c>
      <c r="BQ420" s="8">
        <v>0</v>
      </c>
      <c r="BS420" s="8">
        <f t="shared" si="34"/>
        <v>19381945</v>
      </c>
      <c r="BU420" s="9">
        <f>+BS420-'Gen Fd BS'!AA420+BQ420</f>
        <v>0</v>
      </c>
    </row>
    <row r="421" spans="1:73">
      <c r="A421" s="13" t="s">
        <v>744</v>
      </c>
      <c r="B421" s="13"/>
      <c r="C421" s="13" t="s">
        <v>72</v>
      </c>
      <c r="D421" s="13"/>
      <c r="E421" s="13">
        <v>45583</v>
      </c>
      <c r="G421" s="8">
        <v>21066661</v>
      </c>
      <c r="I421" s="8">
        <v>3297386</v>
      </c>
      <c r="K421" s="8">
        <v>0</v>
      </c>
      <c r="M421" s="8">
        <v>227207</v>
      </c>
      <c r="O421" s="8">
        <v>1874229</v>
      </c>
      <c r="Q421" s="8">
        <v>727657</v>
      </c>
      <c r="S421" s="8">
        <v>58021</v>
      </c>
      <c r="U421" s="8">
        <v>2441389</v>
      </c>
      <c r="W421" s="8">
        <v>845036</v>
      </c>
      <c r="Y421" s="8">
        <v>195267</v>
      </c>
      <c r="AA421" s="8">
        <v>4280379</v>
      </c>
      <c r="AC421" s="8">
        <v>1898790</v>
      </c>
      <c r="AE421" s="8">
        <v>515759</v>
      </c>
      <c r="AG421" s="8">
        <v>0</v>
      </c>
      <c r="AI421" s="8">
        <f>772832+60468</f>
        <v>833300</v>
      </c>
      <c r="AJ421" s="13" t="s">
        <v>744</v>
      </c>
      <c r="AK421" s="13"/>
      <c r="AL421" s="13" t="s">
        <v>72</v>
      </c>
      <c r="AN421" s="8">
        <v>0</v>
      </c>
      <c r="AP421" s="8">
        <v>143</v>
      </c>
      <c r="AT421" s="8">
        <v>125059</v>
      </c>
      <c r="AV421" s="8">
        <v>15581</v>
      </c>
      <c r="AX421" s="8">
        <v>0</v>
      </c>
      <c r="AZ421" s="8">
        <f>SUM(G421:AX421)</f>
        <v>38401864</v>
      </c>
      <c r="BB421" s="8">
        <v>0</v>
      </c>
      <c r="BH421" s="8">
        <v>0</v>
      </c>
      <c r="BJ421" s="8">
        <f t="shared" si="35"/>
        <v>38401864</v>
      </c>
      <c r="BL421" s="8">
        <f>+GenRev!AM421-GenExp!BJ421</f>
        <v>-972324</v>
      </c>
      <c r="BN421" s="8">
        <v>3613123</v>
      </c>
      <c r="BP421" s="8">
        <v>0</v>
      </c>
      <c r="BQ421" s="8">
        <v>0</v>
      </c>
      <c r="BS421" s="8">
        <f t="shared" si="34"/>
        <v>2640799</v>
      </c>
      <c r="BU421" s="9">
        <f>+BS421-'Gen Fd BS'!AA421+BQ421</f>
        <v>0</v>
      </c>
    </row>
    <row r="422" spans="1:73">
      <c r="A422" s="13" t="s">
        <v>375</v>
      </c>
      <c r="B422" s="13"/>
      <c r="C422" s="13" t="s">
        <v>28</v>
      </c>
      <c r="D422" s="13"/>
      <c r="E422" s="32">
        <v>47076</v>
      </c>
      <c r="G422" s="8">
        <v>2207117</v>
      </c>
      <c r="I422" s="8">
        <v>203354</v>
      </c>
      <c r="K422" s="8">
        <v>206781</v>
      </c>
      <c r="M422" s="8">
        <v>19809</v>
      </c>
      <c r="O422" s="8">
        <v>100393</v>
      </c>
      <c r="Q422" s="8">
        <v>134726</v>
      </c>
      <c r="S422" s="8">
        <v>17384</v>
      </c>
      <c r="U422" s="8">
        <v>442331</v>
      </c>
      <c r="W422" s="8">
        <v>170730</v>
      </c>
      <c r="Y422" s="8">
        <v>1043</v>
      </c>
      <c r="AA422" s="8">
        <v>411017</v>
      </c>
      <c r="AC422" s="8">
        <v>262442</v>
      </c>
      <c r="AE422" s="8">
        <v>51721</v>
      </c>
      <c r="AG422" s="8">
        <v>0</v>
      </c>
      <c r="AI422" s="8">
        <v>0</v>
      </c>
      <c r="AJ422" s="13" t="s">
        <v>375</v>
      </c>
      <c r="AK422" s="13"/>
      <c r="AL422" s="13" t="s">
        <v>28</v>
      </c>
      <c r="AN422" s="8">
        <v>201582</v>
      </c>
      <c r="AP422" s="8">
        <v>0</v>
      </c>
      <c r="AT422" s="8">
        <v>0</v>
      </c>
      <c r="AV422" s="8">
        <v>0</v>
      </c>
      <c r="AX422" s="8">
        <v>0</v>
      </c>
      <c r="AZ422" s="8">
        <f t="shared" si="31"/>
        <v>4430430</v>
      </c>
      <c r="BB422" s="8">
        <v>0</v>
      </c>
      <c r="BH422" s="8">
        <v>0</v>
      </c>
      <c r="BJ422" s="8">
        <f t="shared" si="35"/>
        <v>4430430</v>
      </c>
      <c r="BL422" s="8">
        <f>+GenRev!AM422-GenExp!BJ422</f>
        <v>63994</v>
      </c>
      <c r="BN422" s="8">
        <v>537576</v>
      </c>
      <c r="BP422" s="8">
        <v>0</v>
      </c>
      <c r="BQ422" s="8">
        <v>0</v>
      </c>
      <c r="BS422" s="8">
        <f t="shared" si="34"/>
        <v>601570</v>
      </c>
      <c r="BU422" s="9">
        <f>+BS422-'Gen Fd BS'!AA422+BQ422</f>
        <v>0</v>
      </c>
    </row>
    <row r="423" spans="1:73">
      <c r="A423" s="13" t="s">
        <v>353</v>
      </c>
      <c r="B423" s="13"/>
      <c r="C423" s="13" t="s">
        <v>25</v>
      </c>
      <c r="D423" s="13"/>
      <c r="E423" s="32">
        <v>46896</v>
      </c>
      <c r="G423" s="8">
        <v>43229275</v>
      </c>
      <c r="I423" s="8">
        <v>6718715</v>
      </c>
      <c r="K423" s="8">
        <v>1107400</v>
      </c>
      <c r="M423" s="8">
        <v>2400265</v>
      </c>
      <c r="O423" s="8">
        <v>3712034</v>
      </c>
      <c r="Q423" s="8">
        <v>5085099</v>
      </c>
      <c r="S423" s="8">
        <v>517491</v>
      </c>
      <c r="U423" s="8">
        <v>7408887</v>
      </c>
      <c r="W423" s="8">
        <v>1528686</v>
      </c>
      <c r="Y423" s="8">
        <v>85315</v>
      </c>
      <c r="AA423" s="8">
        <v>8300833</v>
      </c>
      <c r="AC423" s="8">
        <v>5506101</v>
      </c>
      <c r="AE423" s="8">
        <v>158715</v>
      </c>
      <c r="AG423" s="8">
        <v>0</v>
      </c>
      <c r="AI423" s="8">
        <v>0</v>
      </c>
      <c r="AJ423" s="13" t="s">
        <v>353</v>
      </c>
      <c r="AK423" s="13"/>
      <c r="AL423" s="13" t="s">
        <v>25</v>
      </c>
      <c r="AN423" s="8">
        <v>1476382</v>
      </c>
      <c r="AP423" s="8">
        <v>5365</v>
      </c>
      <c r="AT423" s="8">
        <v>0</v>
      </c>
      <c r="AV423" s="8">
        <v>0</v>
      </c>
      <c r="AX423" s="8">
        <v>0</v>
      </c>
      <c r="AZ423" s="8">
        <f t="shared" si="31"/>
        <v>87240563</v>
      </c>
      <c r="BB423" s="8">
        <v>0</v>
      </c>
      <c r="BH423" s="8">
        <v>0</v>
      </c>
      <c r="BJ423" s="8">
        <f t="shared" si="35"/>
        <v>87240563</v>
      </c>
      <c r="BL423" s="8">
        <f>+GenRev!AM423-GenExp!BJ423</f>
        <v>1424280</v>
      </c>
      <c r="BN423" s="8">
        <v>10200123</v>
      </c>
      <c r="BP423" s="8">
        <v>0</v>
      </c>
      <c r="BQ423" s="8">
        <v>0</v>
      </c>
      <c r="BS423" s="8">
        <f t="shared" si="34"/>
        <v>11624403</v>
      </c>
      <c r="BU423" s="9">
        <f>+BS423-'Gen Fd BS'!AA423+BQ423</f>
        <v>0</v>
      </c>
    </row>
    <row r="424" spans="1:73">
      <c r="A424" s="13" t="s">
        <v>376</v>
      </c>
      <c r="B424" s="13"/>
      <c r="C424" s="13" t="s">
        <v>28</v>
      </c>
      <c r="D424" s="13"/>
      <c r="E424" s="32">
        <v>47084</v>
      </c>
      <c r="G424" s="8">
        <v>6638671</v>
      </c>
      <c r="I424" s="8">
        <v>1037500</v>
      </c>
      <c r="K424" s="8">
        <v>118188</v>
      </c>
      <c r="M424" s="8">
        <v>0</v>
      </c>
      <c r="O424" s="8">
        <v>625468</v>
      </c>
      <c r="Q424" s="8">
        <v>683955</v>
      </c>
      <c r="S424" s="8">
        <v>29185</v>
      </c>
      <c r="U424" s="8">
        <v>978999</v>
      </c>
      <c r="W424" s="8">
        <v>381480</v>
      </c>
      <c r="Y424" s="8">
        <v>10726</v>
      </c>
      <c r="AA424" s="8">
        <v>1455524</v>
      </c>
      <c r="AC424" s="8">
        <v>1026396</v>
      </c>
      <c r="AE424" s="8">
        <v>70802</v>
      </c>
      <c r="AG424" s="8">
        <v>0</v>
      </c>
      <c r="AI424" s="8">
        <v>6298</v>
      </c>
      <c r="AJ424" s="13" t="s">
        <v>376</v>
      </c>
      <c r="AK424" s="13"/>
      <c r="AL424" s="13" t="s">
        <v>28</v>
      </c>
      <c r="AN424" s="8">
        <v>378556</v>
      </c>
      <c r="AP424" s="8">
        <v>0</v>
      </c>
      <c r="AT424" s="8">
        <v>0</v>
      </c>
      <c r="AV424" s="8">
        <v>0</v>
      </c>
      <c r="AX424" s="8">
        <v>0</v>
      </c>
      <c r="AZ424" s="8">
        <f t="shared" si="31"/>
        <v>13441748</v>
      </c>
      <c r="BB424" s="8">
        <v>13250</v>
      </c>
      <c r="BH424" s="8">
        <v>0</v>
      </c>
      <c r="BJ424" s="8">
        <f t="shared" si="35"/>
        <v>13454998</v>
      </c>
      <c r="BL424" s="8">
        <f>+GenRev!AM424-GenExp!BJ424</f>
        <v>1297371</v>
      </c>
      <c r="BN424" s="8">
        <v>2867476</v>
      </c>
      <c r="BP424" s="8">
        <v>0</v>
      </c>
      <c r="BQ424" s="8">
        <v>0</v>
      </c>
      <c r="BS424" s="8">
        <f t="shared" si="34"/>
        <v>4164847</v>
      </c>
      <c r="BU424" s="9">
        <f>+BS424-'Gen Fd BS'!AA424+BQ424</f>
        <v>0</v>
      </c>
    </row>
    <row r="425" spans="1:73">
      <c r="A425" s="13" t="s">
        <v>548</v>
      </c>
      <c r="B425" s="13"/>
      <c r="C425" s="13" t="s">
        <v>48</v>
      </c>
      <c r="D425" s="13"/>
      <c r="E425" s="32">
        <v>44644</v>
      </c>
      <c r="G425" s="8">
        <v>15705154</v>
      </c>
      <c r="I425" s="8">
        <v>0</v>
      </c>
      <c r="K425" s="8">
        <v>0</v>
      </c>
      <c r="M425" s="8">
        <v>0</v>
      </c>
      <c r="O425" s="8">
        <v>1459326</v>
      </c>
      <c r="Q425" s="8">
        <v>1928671</v>
      </c>
      <c r="S425" s="8">
        <v>20339</v>
      </c>
      <c r="U425" s="8">
        <v>2225680</v>
      </c>
      <c r="W425" s="8">
        <v>404047</v>
      </c>
      <c r="Y425" s="8">
        <v>54748</v>
      </c>
      <c r="AA425" s="8">
        <v>2813312</v>
      </c>
      <c r="AC425" s="8">
        <v>1365370</v>
      </c>
      <c r="AE425" s="8">
        <v>190672</v>
      </c>
      <c r="AG425" s="8">
        <v>0</v>
      </c>
      <c r="AI425" s="8">
        <v>0</v>
      </c>
      <c r="AJ425" s="13" t="s">
        <v>548</v>
      </c>
      <c r="AK425" s="13"/>
      <c r="AL425" s="13" t="s">
        <v>48</v>
      </c>
      <c r="AN425" s="8">
        <v>318807</v>
      </c>
      <c r="AP425" s="8">
        <v>0</v>
      </c>
      <c r="AT425" s="8">
        <v>117636</v>
      </c>
      <c r="AV425" s="8">
        <v>17155</v>
      </c>
      <c r="AX425" s="8">
        <v>0</v>
      </c>
      <c r="AZ425" s="8">
        <f t="shared" si="31"/>
        <v>26620917</v>
      </c>
      <c r="BB425" s="8">
        <v>0</v>
      </c>
      <c r="BH425" s="8">
        <v>0</v>
      </c>
      <c r="BJ425" s="8">
        <f t="shared" si="35"/>
        <v>26620917</v>
      </c>
      <c r="BL425" s="8">
        <f>+GenRev!AM425-GenExp!BJ425</f>
        <v>636583</v>
      </c>
      <c r="BN425" s="8">
        <v>1191559</v>
      </c>
      <c r="BP425" s="8">
        <v>-6715</v>
      </c>
      <c r="BQ425" s="8">
        <v>0</v>
      </c>
      <c r="BS425" s="8">
        <f t="shared" si="34"/>
        <v>1834857</v>
      </c>
      <c r="BU425" s="9">
        <f>+BS425-'Gen Fd BS'!AA425+BQ425</f>
        <v>0</v>
      </c>
    </row>
    <row r="426" spans="1:73" hidden="1">
      <c r="A426" s="13" t="s">
        <v>365</v>
      </c>
      <c r="B426" s="13"/>
      <c r="C426" s="13" t="s">
        <v>27</v>
      </c>
      <c r="D426" s="13"/>
      <c r="E426" s="32">
        <v>46995</v>
      </c>
      <c r="AJ426" s="13" t="s">
        <v>365</v>
      </c>
      <c r="AK426" s="13"/>
      <c r="AL426" s="13" t="s">
        <v>27</v>
      </c>
      <c r="AZ426" s="8">
        <f t="shared" si="31"/>
        <v>0</v>
      </c>
      <c r="BB426" s="8">
        <v>0</v>
      </c>
      <c r="BH426" s="8">
        <v>0</v>
      </c>
      <c r="BJ426" s="8">
        <f t="shared" si="35"/>
        <v>0</v>
      </c>
      <c r="BL426" s="8">
        <f>+GenRev!AM426-GenExp!BJ426</f>
        <v>0</v>
      </c>
      <c r="BQ426" s="8">
        <v>0</v>
      </c>
      <c r="BS426" s="8">
        <f t="shared" si="34"/>
        <v>0</v>
      </c>
      <c r="BU426" s="9">
        <f>+BS426-'Gen Fd BS'!AA426+BQ426</f>
        <v>0</v>
      </c>
    </row>
    <row r="427" spans="1:73">
      <c r="A427" s="13" t="s">
        <v>365</v>
      </c>
      <c r="B427" s="13"/>
      <c r="C427" s="13" t="s">
        <v>62</v>
      </c>
      <c r="D427" s="13"/>
      <c r="E427" s="32">
        <v>49932</v>
      </c>
      <c r="G427" s="8">
        <v>22456352</v>
      </c>
      <c r="I427" s="8">
        <v>3810801</v>
      </c>
      <c r="K427" s="8">
        <v>1836122</v>
      </c>
      <c r="M427" s="8">
        <f>56344+281742</f>
        <v>338086</v>
      </c>
      <c r="O427" s="8">
        <v>2700197</v>
      </c>
      <c r="Q427" s="8">
        <v>2515569</v>
      </c>
      <c r="S427" s="8">
        <v>92411</v>
      </c>
      <c r="U427" s="8">
        <v>3466468</v>
      </c>
      <c r="W427" s="8">
        <v>796278</v>
      </c>
      <c r="Y427" s="8">
        <v>155159</v>
      </c>
      <c r="AA427" s="8">
        <v>5150893</v>
      </c>
      <c r="AC427" s="8">
        <v>2263890</v>
      </c>
      <c r="AE427" s="8">
        <v>223084</v>
      </c>
      <c r="AG427" s="8">
        <v>0</v>
      </c>
      <c r="AI427" s="8">
        <v>0</v>
      </c>
      <c r="AJ427" s="13" t="s">
        <v>365</v>
      </c>
      <c r="AK427" s="13"/>
      <c r="AL427" s="13" t="s">
        <v>62</v>
      </c>
      <c r="AN427" s="8">
        <v>655374</v>
      </c>
      <c r="AP427" s="8">
        <v>0</v>
      </c>
      <c r="AT427" s="8">
        <v>0</v>
      </c>
      <c r="AV427" s="8">
        <v>0</v>
      </c>
      <c r="AX427" s="8">
        <v>0</v>
      </c>
      <c r="AZ427" s="8">
        <f t="shared" si="31"/>
        <v>46460684</v>
      </c>
      <c r="BB427" s="8">
        <v>0</v>
      </c>
      <c r="BH427" s="8">
        <v>0</v>
      </c>
      <c r="BJ427" s="8">
        <f t="shared" si="35"/>
        <v>46460684</v>
      </c>
      <c r="BL427" s="8">
        <f>+GenRev!AM429-GenExp!BJ427</f>
        <v>-1021786</v>
      </c>
      <c r="BN427" s="8">
        <v>8953236</v>
      </c>
      <c r="BP427" s="8">
        <v>-2359</v>
      </c>
      <c r="BQ427" s="8">
        <v>0</v>
      </c>
      <c r="BS427" s="8">
        <f t="shared" si="34"/>
        <v>7933809</v>
      </c>
      <c r="BU427" s="9">
        <f>+BS427-'Gen Fd BS'!AA427+BQ427</f>
        <v>0</v>
      </c>
    </row>
    <row r="428" spans="1:73">
      <c r="A428" s="13" t="s">
        <v>528</v>
      </c>
      <c r="B428" s="13"/>
      <c r="C428" s="13" t="s">
        <v>46</v>
      </c>
      <c r="D428" s="13"/>
      <c r="E428" s="32">
        <v>48421</v>
      </c>
      <c r="G428" s="8">
        <v>6597991</v>
      </c>
      <c r="I428" s="8">
        <v>694474</v>
      </c>
      <c r="K428" s="8">
        <v>74700</v>
      </c>
      <c r="M428" s="8">
        <v>10021</v>
      </c>
      <c r="O428" s="8">
        <v>229354</v>
      </c>
      <c r="Q428" s="8">
        <v>353821</v>
      </c>
      <c r="S428" s="8">
        <v>100740</v>
      </c>
      <c r="U428" s="8">
        <v>956061</v>
      </c>
      <c r="W428" s="8">
        <v>302856</v>
      </c>
      <c r="Y428" s="8">
        <v>0</v>
      </c>
      <c r="AA428" s="8">
        <v>983338</v>
      </c>
      <c r="AC428" s="8">
        <v>524476</v>
      </c>
      <c r="AE428" s="8">
        <v>0</v>
      </c>
      <c r="AG428" s="8">
        <v>0</v>
      </c>
      <c r="AI428" s="8">
        <v>0</v>
      </c>
      <c r="AJ428" s="13" t="s">
        <v>528</v>
      </c>
      <c r="AK428" s="13"/>
      <c r="AL428" s="13" t="s">
        <v>46</v>
      </c>
      <c r="AN428" s="8">
        <v>339301</v>
      </c>
      <c r="AP428" s="8">
        <v>1259</v>
      </c>
      <c r="AT428" s="8">
        <v>80488</v>
      </c>
      <c r="AV428" s="8">
        <v>14574</v>
      </c>
      <c r="AX428" s="8">
        <v>0</v>
      </c>
      <c r="AZ428" s="8">
        <f t="shared" ref="AZ428:AZ457" si="36">SUM(G428:AX428)</f>
        <v>11263454</v>
      </c>
      <c r="BB428" s="8">
        <v>78468</v>
      </c>
      <c r="BH428" s="8">
        <v>0</v>
      </c>
      <c r="BJ428" s="8">
        <f t="shared" si="35"/>
        <v>11341922</v>
      </c>
      <c r="BL428" s="8">
        <f>+GenRev!AM430-GenExp!BJ428</f>
        <v>-12825</v>
      </c>
      <c r="BN428" s="8">
        <v>3098306</v>
      </c>
      <c r="BP428" s="8">
        <v>0</v>
      </c>
      <c r="BQ428" s="8">
        <v>0</v>
      </c>
      <c r="BS428" s="8">
        <f t="shared" si="34"/>
        <v>3085481</v>
      </c>
      <c r="BU428" s="9">
        <f>+BS428-'Gen Fd BS'!AA430+BQ428</f>
        <v>0</v>
      </c>
    </row>
    <row r="429" spans="1:73" ht="12" customHeight="1">
      <c r="A429" s="13" t="s">
        <v>619</v>
      </c>
      <c r="B429" s="13"/>
      <c r="C429" s="13" t="s">
        <v>113</v>
      </c>
      <c r="D429" s="13"/>
      <c r="E429" s="32">
        <v>49460</v>
      </c>
      <c r="F429" s="11"/>
      <c r="G429" s="8">
        <v>3007159</v>
      </c>
      <c r="I429" s="8">
        <v>679689</v>
      </c>
      <c r="K429" s="8">
        <v>193419</v>
      </c>
      <c r="M429" s="8">
        <v>420955</v>
      </c>
      <c r="O429" s="8">
        <v>418252</v>
      </c>
      <c r="Q429" s="8">
        <v>239164</v>
      </c>
      <c r="S429" s="8">
        <v>19016</v>
      </c>
      <c r="U429" s="8">
        <v>758940</v>
      </c>
      <c r="W429" s="8">
        <v>252940</v>
      </c>
      <c r="Y429" s="8">
        <v>11451</v>
      </c>
      <c r="AA429" s="8">
        <v>873918</v>
      </c>
      <c r="AC429" s="8">
        <v>428045</v>
      </c>
      <c r="AE429" s="8">
        <v>43623</v>
      </c>
      <c r="AG429" s="8">
        <v>0</v>
      </c>
      <c r="AI429" s="8">
        <v>0</v>
      </c>
      <c r="AJ429" s="13" t="s">
        <v>619</v>
      </c>
      <c r="AK429" s="13"/>
      <c r="AL429" s="13" t="s">
        <v>113</v>
      </c>
      <c r="AN429" s="8">
        <v>212629</v>
      </c>
      <c r="AP429" s="8">
        <v>850000</v>
      </c>
      <c r="AT429" s="8">
        <v>35311</v>
      </c>
      <c r="AV429" s="8">
        <v>29246</v>
      </c>
      <c r="AX429" s="8">
        <v>0</v>
      </c>
      <c r="AZ429" s="8">
        <f t="shared" si="36"/>
        <v>8473757</v>
      </c>
      <c r="BB429" s="8">
        <v>162089</v>
      </c>
      <c r="BH429" s="8">
        <v>0</v>
      </c>
      <c r="BJ429" s="8">
        <f t="shared" si="35"/>
        <v>8635846</v>
      </c>
      <c r="BL429" s="8">
        <f>+GenRev!AM431-GenExp!BJ429</f>
        <v>-23415</v>
      </c>
      <c r="BN429" s="8">
        <v>2249616</v>
      </c>
      <c r="BP429" s="8">
        <v>0</v>
      </c>
      <c r="BQ429" s="8">
        <v>0</v>
      </c>
      <c r="BS429" s="8">
        <f t="shared" si="34"/>
        <v>2226201</v>
      </c>
      <c r="BU429" s="9">
        <f>+BS429-'Gen Fd BS'!AA431+BQ429</f>
        <v>0</v>
      </c>
    </row>
    <row r="430" spans="1:73" ht="12" customHeight="1">
      <c r="A430" s="13" t="s">
        <v>520</v>
      </c>
      <c r="B430" s="13"/>
      <c r="C430" s="13" t="s">
        <v>45</v>
      </c>
      <c r="D430" s="13"/>
      <c r="E430" s="32">
        <v>48348</v>
      </c>
      <c r="G430" s="8">
        <v>10588628</v>
      </c>
      <c r="I430" s="8">
        <v>915165</v>
      </c>
      <c r="K430" s="8">
        <v>221164</v>
      </c>
      <c r="M430" s="8">
        <v>290</v>
      </c>
      <c r="O430" s="8">
        <v>1350407</v>
      </c>
      <c r="Q430" s="8">
        <v>384554</v>
      </c>
      <c r="S430" s="8">
        <v>17482</v>
      </c>
      <c r="U430" s="8">
        <v>1282943</v>
      </c>
      <c r="W430" s="8">
        <v>500880</v>
      </c>
      <c r="Y430" s="8">
        <v>266</v>
      </c>
      <c r="AA430" s="8">
        <v>2181121</v>
      </c>
      <c r="AC430" s="8">
        <v>940893</v>
      </c>
      <c r="AE430" s="8">
        <v>3368</v>
      </c>
      <c r="AG430" s="8">
        <v>0</v>
      </c>
      <c r="AI430" s="8">
        <v>0</v>
      </c>
      <c r="AJ430" s="13" t="s">
        <v>520</v>
      </c>
      <c r="AK430" s="13"/>
      <c r="AL430" s="13" t="s">
        <v>45</v>
      </c>
      <c r="AN430" s="8">
        <v>366154</v>
      </c>
      <c r="AP430" s="8">
        <v>0</v>
      </c>
      <c r="AT430" s="8">
        <v>0</v>
      </c>
      <c r="AV430" s="8">
        <v>0</v>
      </c>
      <c r="AX430" s="8">
        <v>0</v>
      </c>
      <c r="AZ430" s="8">
        <f t="shared" si="36"/>
        <v>18753315</v>
      </c>
      <c r="BB430" s="8">
        <v>0</v>
      </c>
      <c r="BH430" s="8">
        <v>0</v>
      </c>
      <c r="BJ430" s="8">
        <f t="shared" si="35"/>
        <v>18753315</v>
      </c>
      <c r="BL430" s="8">
        <f>+GenRev!AM432-GenExp!BJ430</f>
        <v>40096</v>
      </c>
      <c r="BN430" s="8">
        <v>1336533</v>
      </c>
      <c r="BP430" s="8">
        <v>0</v>
      </c>
      <c r="BQ430" s="8">
        <v>0</v>
      </c>
      <c r="BS430" s="8">
        <f t="shared" si="34"/>
        <v>1376629</v>
      </c>
      <c r="BU430" s="9">
        <f>+BS430-'Gen Fd BS'!AA432+BQ430</f>
        <v>0</v>
      </c>
    </row>
    <row r="431" spans="1:73" ht="12" customHeight="1">
      <c r="A431" s="13" t="s">
        <v>582</v>
      </c>
      <c r="B431" s="13"/>
      <c r="C431" s="13" t="s">
        <v>53</v>
      </c>
      <c r="D431" s="13"/>
      <c r="E431" s="32">
        <v>44651</v>
      </c>
      <c r="G431" s="8">
        <v>7693988</v>
      </c>
      <c r="I431" s="8">
        <v>1312114</v>
      </c>
      <c r="K431" s="8">
        <v>133579</v>
      </c>
      <c r="M431" s="8">
        <v>1478414</v>
      </c>
      <c r="O431" s="8">
        <v>1453443</v>
      </c>
      <c r="Q431" s="8">
        <v>342594</v>
      </c>
      <c r="S431" s="8">
        <v>20551</v>
      </c>
      <c r="U431" s="8">
        <v>1275390</v>
      </c>
      <c r="W431" s="8">
        <v>623080</v>
      </c>
      <c r="Y431" s="8">
        <v>0</v>
      </c>
      <c r="AA431" s="8">
        <v>2188770</v>
      </c>
      <c r="AC431" s="8">
        <v>931931</v>
      </c>
      <c r="AE431" s="8">
        <v>87685</v>
      </c>
      <c r="AG431" s="8">
        <v>0</v>
      </c>
      <c r="AI431" s="8">
        <v>0</v>
      </c>
      <c r="AJ431" s="13" t="s">
        <v>582</v>
      </c>
      <c r="AK431" s="13"/>
      <c r="AL431" s="13" t="s">
        <v>53</v>
      </c>
      <c r="AN431" s="8">
        <v>357757</v>
      </c>
      <c r="AP431" s="8">
        <v>128365</v>
      </c>
      <c r="AT431" s="8">
        <v>0</v>
      </c>
      <c r="AV431" s="8">
        <v>0</v>
      </c>
      <c r="AX431" s="8">
        <v>0</v>
      </c>
      <c r="AZ431" s="8">
        <f t="shared" si="36"/>
        <v>18027661</v>
      </c>
      <c r="BB431" s="8">
        <v>535493</v>
      </c>
      <c r="BH431" s="8">
        <v>0</v>
      </c>
      <c r="BJ431" s="8">
        <f t="shared" si="35"/>
        <v>18563154</v>
      </c>
      <c r="BL431" s="8">
        <f>+GenRev!AM433-GenExp!BJ431</f>
        <v>1667790</v>
      </c>
      <c r="BN431" s="8">
        <v>4777377</v>
      </c>
      <c r="BP431" s="8">
        <v>0</v>
      </c>
      <c r="BQ431" s="8">
        <v>0</v>
      </c>
      <c r="BS431" s="8">
        <f t="shared" si="34"/>
        <v>6445167</v>
      </c>
      <c r="BU431" s="9">
        <f>+BS431-'Gen Fd BS'!AA433+BQ431</f>
        <v>0</v>
      </c>
    </row>
    <row r="432" spans="1:73" ht="12" customHeight="1">
      <c r="A432" s="13" t="s">
        <v>636</v>
      </c>
      <c r="B432" s="13"/>
      <c r="C432" s="13" t="s">
        <v>59</v>
      </c>
      <c r="D432" s="13"/>
      <c r="E432" s="32">
        <v>44669</v>
      </c>
      <c r="G432" s="8">
        <v>11909445</v>
      </c>
      <c r="I432" s="8">
        <v>2067203</v>
      </c>
      <c r="K432" s="8">
        <v>387742</v>
      </c>
      <c r="M432" s="8">
        <f>143814+43500</f>
        <v>187314</v>
      </c>
      <c r="O432" s="8">
        <v>993616</v>
      </c>
      <c r="Q432" s="8">
        <v>1103768</v>
      </c>
      <c r="S432" s="8">
        <v>22717</v>
      </c>
      <c r="U432" s="8">
        <v>1574089</v>
      </c>
      <c r="W432" s="8">
        <v>679663</v>
      </c>
      <c r="Y432" s="8">
        <v>61376</v>
      </c>
      <c r="AA432" s="8">
        <v>2488605</v>
      </c>
      <c r="AC432" s="8">
        <v>584863</v>
      </c>
      <c r="AE432" s="8">
        <v>67343</v>
      </c>
      <c r="AG432" s="8">
        <v>1770</v>
      </c>
      <c r="AI432" s="8">
        <v>107</v>
      </c>
      <c r="AJ432" s="13" t="s">
        <v>636</v>
      </c>
      <c r="AK432" s="13"/>
      <c r="AL432" s="13" t="s">
        <v>59</v>
      </c>
      <c r="AN432" s="8">
        <v>222519</v>
      </c>
      <c r="AP432" s="8">
        <v>0</v>
      </c>
      <c r="AT432" s="8">
        <v>2043</v>
      </c>
      <c r="AV432" s="8">
        <v>341</v>
      </c>
      <c r="AX432" s="8">
        <v>0</v>
      </c>
      <c r="AZ432" s="8">
        <f t="shared" si="36"/>
        <v>22354524</v>
      </c>
      <c r="BB432" s="8">
        <v>113451</v>
      </c>
      <c r="BH432" s="8">
        <v>0</v>
      </c>
      <c r="BJ432" s="8">
        <f t="shared" si="35"/>
        <v>22467975</v>
      </c>
      <c r="BL432" s="8">
        <f>+GenRev!AM434-GenExp!BJ432</f>
        <v>-972452</v>
      </c>
      <c r="BN432" s="8">
        <v>1502422</v>
      </c>
      <c r="BP432" s="8">
        <v>0</v>
      </c>
      <c r="BQ432" s="8">
        <v>0</v>
      </c>
      <c r="BS432" s="8">
        <f t="shared" si="34"/>
        <v>529970</v>
      </c>
      <c r="BU432" s="9">
        <f>+BS432-'Gen Fd BS'!AA434+BQ432</f>
        <v>0</v>
      </c>
    </row>
    <row r="433" spans="1:73" ht="12" hidden="1" customHeight="1">
      <c r="A433" s="13" t="s">
        <v>605</v>
      </c>
      <c r="B433" s="13"/>
      <c r="C433" s="13" t="s">
        <v>57</v>
      </c>
      <c r="D433" s="13"/>
      <c r="E433" s="32">
        <v>49288</v>
      </c>
      <c r="G433" s="8">
        <v>4852216</v>
      </c>
      <c r="I433" s="8">
        <v>1040850</v>
      </c>
      <c r="K433" s="8">
        <v>468804</v>
      </c>
      <c r="M433" s="8">
        <v>0</v>
      </c>
      <c r="O433" s="8">
        <v>580052</v>
      </c>
      <c r="Q433" s="8">
        <v>418605</v>
      </c>
      <c r="S433" s="8">
        <v>49006</v>
      </c>
      <c r="U433" s="8">
        <v>1082196</v>
      </c>
      <c r="W433" s="8">
        <v>380331</v>
      </c>
      <c r="Y433" s="8">
        <v>7845</v>
      </c>
      <c r="AA433" s="8">
        <v>1542054</v>
      </c>
      <c r="AC433" s="8">
        <v>1001827</v>
      </c>
      <c r="AE433" s="8">
        <v>280755</v>
      </c>
      <c r="AG433" s="8">
        <v>0</v>
      </c>
      <c r="AI433" s="8">
        <v>2375</v>
      </c>
      <c r="AJ433" s="13" t="s">
        <v>605</v>
      </c>
      <c r="AK433" s="13"/>
      <c r="AL433" s="13" t="s">
        <v>57</v>
      </c>
      <c r="AN433" s="8">
        <v>193430</v>
      </c>
      <c r="AP433" s="8">
        <v>7449</v>
      </c>
      <c r="AT433" s="8">
        <v>0</v>
      </c>
      <c r="AV433" s="8">
        <v>0</v>
      </c>
      <c r="AX433" s="8">
        <v>0</v>
      </c>
      <c r="AZ433" s="8">
        <f t="shared" si="36"/>
        <v>11907795</v>
      </c>
      <c r="BB433" s="8">
        <v>50311</v>
      </c>
      <c r="BH433" s="8">
        <v>981</v>
      </c>
      <c r="BJ433" s="8">
        <f t="shared" si="35"/>
        <v>11959087</v>
      </c>
      <c r="BL433" s="8">
        <f>+GenRev!AM435-GenExp!BJ433</f>
        <v>-11959087</v>
      </c>
      <c r="BN433" s="8">
        <v>2610854</v>
      </c>
      <c r="BP433" s="8">
        <v>0</v>
      </c>
      <c r="BQ433" s="8">
        <v>0</v>
      </c>
      <c r="BS433" s="8">
        <f t="shared" si="34"/>
        <v>-9348233</v>
      </c>
      <c r="BU433" s="9">
        <f>+BS433-'Gen Fd BS'!AA435+BQ433</f>
        <v>-9348233</v>
      </c>
    </row>
    <row r="434" spans="1:73" ht="12" customHeight="1">
      <c r="A434" s="13" t="s">
        <v>410</v>
      </c>
      <c r="B434" s="13"/>
      <c r="C434" s="13" t="s">
        <v>32</v>
      </c>
      <c r="D434" s="13"/>
      <c r="E434" s="32">
        <v>44677</v>
      </c>
      <c r="G434" s="8">
        <v>27127944</v>
      </c>
      <c r="I434" s="8">
        <v>6299513</v>
      </c>
      <c r="K434" s="8">
        <v>128333</v>
      </c>
      <c r="M434" s="8">
        <v>5615897</v>
      </c>
      <c r="O434" s="8">
        <v>3576312</v>
      </c>
      <c r="Q434" s="8">
        <v>4718830</v>
      </c>
      <c r="S434" s="8">
        <v>271234</v>
      </c>
      <c r="U434" s="8">
        <v>6012940</v>
      </c>
      <c r="W434" s="8">
        <v>2740657</v>
      </c>
      <c r="Y434" s="8">
        <v>528575</v>
      </c>
      <c r="AA434" s="8">
        <v>7950392</v>
      </c>
      <c r="AC434" s="8">
        <v>4465152</v>
      </c>
      <c r="AE434" s="8">
        <v>1511920</v>
      </c>
      <c r="AG434" s="8">
        <v>0</v>
      </c>
      <c r="AI434" s="8">
        <v>284242</v>
      </c>
      <c r="AJ434" s="13" t="s">
        <v>410</v>
      </c>
      <c r="AK434" s="13"/>
      <c r="AL434" s="13" t="s">
        <v>32</v>
      </c>
      <c r="AN434" s="8">
        <v>261862</v>
      </c>
      <c r="AP434" s="8">
        <v>11109</v>
      </c>
      <c r="AT434" s="8">
        <v>0</v>
      </c>
      <c r="AV434" s="8">
        <v>0</v>
      </c>
      <c r="AX434" s="8">
        <v>0</v>
      </c>
      <c r="AZ434" s="8">
        <f t="shared" si="36"/>
        <v>71504912</v>
      </c>
      <c r="BB434" s="8">
        <v>2080616</v>
      </c>
      <c r="BH434" s="8">
        <v>0</v>
      </c>
      <c r="BJ434" s="8">
        <f t="shared" si="35"/>
        <v>73585528</v>
      </c>
      <c r="BL434" s="8">
        <f>+GenRev!AM436-GenExp!BJ434</f>
        <v>-3938020</v>
      </c>
      <c r="BN434" s="8">
        <v>39740713</v>
      </c>
      <c r="BP434" s="8">
        <v>0</v>
      </c>
      <c r="BQ434" s="8">
        <v>0</v>
      </c>
      <c r="BS434" s="8">
        <f t="shared" si="34"/>
        <v>35802693</v>
      </c>
      <c r="BU434" s="9">
        <f>+BS434-'Gen Fd BS'!AA436+BQ434</f>
        <v>0</v>
      </c>
    </row>
    <row r="435" spans="1:73" ht="12" customHeight="1">
      <c r="A435" s="13" t="s">
        <v>224</v>
      </c>
      <c r="B435" s="13"/>
      <c r="C435" s="13" t="s">
        <v>12</v>
      </c>
      <c r="D435" s="13"/>
      <c r="E435" s="32">
        <v>45880</v>
      </c>
      <c r="G435" s="8">
        <v>4592621</v>
      </c>
      <c r="I435" s="8">
        <v>1080869</v>
      </c>
      <c r="K435" s="8">
        <v>206937</v>
      </c>
      <c r="M435" s="8">
        <v>529727</v>
      </c>
      <c r="O435" s="8">
        <v>549333</v>
      </c>
      <c r="Q435" s="8">
        <v>213564</v>
      </c>
      <c r="S435" s="8">
        <v>24196</v>
      </c>
      <c r="U435" s="8">
        <v>1098177</v>
      </c>
      <c r="W435" s="8">
        <v>265784</v>
      </c>
      <c r="Y435" s="8">
        <v>49902</v>
      </c>
      <c r="AA435" s="8">
        <v>1235522</v>
      </c>
      <c r="AC435" s="8">
        <v>990953</v>
      </c>
      <c r="AE435" s="8">
        <v>54696</v>
      </c>
      <c r="AG435" s="8">
        <v>0</v>
      </c>
      <c r="AI435" s="8">
        <v>21164</v>
      </c>
      <c r="AJ435" s="13" t="s">
        <v>224</v>
      </c>
      <c r="AK435" s="13"/>
      <c r="AL435" s="13" t="s">
        <v>12</v>
      </c>
      <c r="AN435" s="8">
        <v>332959</v>
      </c>
      <c r="AP435" s="8">
        <v>0</v>
      </c>
      <c r="AT435" s="8">
        <v>160661</v>
      </c>
      <c r="AV435" s="8">
        <v>0</v>
      </c>
      <c r="AX435" s="8">
        <v>0</v>
      </c>
      <c r="AZ435" s="8">
        <f t="shared" si="36"/>
        <v>11407065</v>
      </c>
      <c r="BB435" s="8">
        <v>86040</v>
      </c>
      <c r="BH435" s="8">
        <v>0</v>
      </c>
      <c r="BJ435" s="8">
        <f t="shared" si="35"/>
        <v>11493105</v>
      </c>
      <c r="BL435" s="8">
        <f>+GenRev!AM437-GenExp!BJ435</f>
        <v>-512081</v>
      </c>
      <c r="BN435" s="8">
        <v>1257790</v>
      </c>
      <c r="BP435" s="8">
        <v>0</v>
      </c>
      <c r="BQ435" s="8">
        <v>0</v>
      </c>
      <c r="BS435" s="8">
        <f t="shared" si="34"/>
        <v>745709</v>
      </c>
      <c r="BU435" s="9">
        <f>+BS435-'Gen Fd BS'!AA437+BQ435</f>
        <v>0</v>
      </c>
    </row>
    <row r="436" spans="1:73" ht="12" customHeight="1">
      <c r="A436" s="12" t="s">
        <v>903</v>
      </c>
      <c r="B436" s="12"/>
      <c r="C436" s="12" t="s">
        <v>56</v>
      </c>
      <c r="D436" s="12"/>
      <c r="E436" s="32"/>
      <c r="G436" s="8">
        <v>11590818</v>
      </c>
      <c r="I436" s="8">
        <v>3277487</v>
      </c>
      <c r="K436" s="8">
        <v>333078</v>
      </c>
      <c r="M436" s="8">
        <v>1181407</v>
      </c>
      <c r="O436" s="8">
        <v>1370691</v>
      </c>
      <c r="Q436" s="8">
        <v>648458</v>
      </c>
      <c r="S436" s="8">
        <v>36906</v>
      </c>
      <c r="U436" s="8">
        <v>2580024</v>
      </c>
      <c r="W436" s="8">
        <v>630669</v>
      </c>
      <c r="Y436" s="8">
        <v>151610</v>
      </c>
      <c r="AA436" s="8">
        <v>2589028</v>
      </c>
      <c r="AC436" s="8">
        <v>1290072</v>
      </c>
      <c r="AE436" s="8">
        <v>634163</v>
      </c>
      <c r="AG436" s="8">
        <v>0</v>
      </c>
      <c r="AI436" s="8">
        <v>0</v>
      </c>
      <c r="AJ436" s="13" t="s">
        <v>813</v>
      </c>
      <c r="AK436" s="13"/>
      <c r="AL436" s="13" t="s">
        <v>56</v>
      </c>
      <c r="AN436" s="8">
        <v>469127</v>
      </c>
      <c r="AP436" s="8">
        <v>29286</v>
      </c>
      <c r="AT436" s="8">
        <v>0</v>
      </c>
      <c r="AV436" s="8">
        <v>0</v>
      </c>
      <c r="AX436" s="8">
        <v>0</v>
      </c>
      <c r="AZ436" s="8">
        <f t="shared" si="36"/>
        <v>26812824</v>
      </c>
      <c r="BB436" s="8">
        <v>175000</v>
      </c>
      <c r="BH436" s="8">
        <v>0</v>
      </c>
      <c r="BJ436" s="8">
        <f t="shared" si="35"/>
        <v>26987824</v>
      </c>
      <c r="BL436" s="8">
        <f>+GenRev!AM438-GenExp!BJ436</f>
        <v>253011</v>
      </c>
      <c r="BN436" s="8">
        <v>37941</v>
      </c>
      <c r="BP436" s="8">
        <v>0</v>
      </c>
      <c r="BQ436" s="8">
        <v>0</v>
      </c>
      <c r="BS436" s="8">
        <f t="shared" si="34"/>
        <v>290952</v>
      </c>
      <c r="BU436" s="9">
        <f>+BS436-'Gen Fd BS'!AA438+BQ436</f>
        <v>0</v>
      </c>
    </row>
    <row r="437" spans="1:73" ht="12" customHeight="1">
      <c r="A437" s="13" t="s">
        <v>411</v>
      </c>
      <c r="B437" s="13"/>
      <c r="C437" s="13" t="s">
        <v>32</v>
      </c>
      <c r="D437" s="13"/>
      <c r="E437" s="13">
        <v>44693</v>
      </c>
      <c r="F437" s="11"/>
      <c r="G437" s="8">
        <v>6355540</v>
      </c>
      <c r="I437" s="8">
        <v>1702901</v>
      </c>
      <c r="K437" s="8">
        <v>89469</v>
      </c>
      <c r="M437" s="8">
        <v>313411</v>
      </c>
      <c r="O437" s="8">
        <v>836881</v>
      </c>
      <c r="Q437" s="8">
        <v>387042</v>
      </c>
      <c r="S437" s="8">
        <v>47281</v>
      </c>
      <c r="U437" s="8">
        <v>1247050</v>
      </c>
      <c r="W437" s="8">
        <v>424097</v>
      </c>
      <c r="Y437" s="8">
        <v>26889</v>
      </c>
      <c r="AA437" s="8">
        <v>956741</v>
      </c>
      <c r="AC437" s="8">
        <v>252642</v>
      </c>
      <c r="AE437" s="8">
        <v>294942</v>
      </c>
      <c r="AG437" s="8">
        <v>0</v>
      </c>
      <c r="AI437" s="8">
        <v>8588</v>
      </c>
      <c r="AJ437" s="13" t="s">
        <v>411</v>
      </c>
      <c r="AK437" s="13"/>
      <c r="AL437" s="13" t="s">
        <v>32</v>
      </c>
      <c r="AN437" s="8">
        <v>484484</v>
      </c>
      <c r="AP437" s="8">
        <v>0</v>
      </c>
      <c r="AT437" s="8">
        <v>53873</v>
      </c>
      <c r="AV437" s="8">
        <v>20959</v>
      </c>
      <c r="AX437" s="8">
        <v>0</v>
      </c>
      <c r="AZ437" s="8">
        <f t="shared" si="36"/>
        <v>13502790</v>
      </c>
      <c r="BB437" s="8">
        <v>59766</v>
      </c>
      <c r="BH437" s="8">
        <v>0</v>
      </c>
      <c r="BJ437" s="8">
        <f t="shared" si="35"/>
        <v>13562556</v>
      </c>
      <c r="BL437" s="8">
        <f>+GenRev!AM439-GenExp!BJ437</f>
        <v>-584523</v>
      </c>
      <c r="BN437" s="8">
        <v>3160108</v>
      </c>
      <c r="BP437" s="8">
        <v>0</v>
      </c>
      <c r="BQ437" s="8">
        <v>0</v>
      </c>
      <c r="BS437" s="8">
        <f t="shared" si="34"/>
        <v>2575585</v>
      </c>
      <c r="BU437" s="9">
        <f>+BS437-'Gen Fd BS'!AA439+BQ437</f>
        <v>0</v>
      </c>
    </row>
    <row r="438" spans="1:73" s="35" customFormat="1" ht="12" customHeight="1">
      <c r="A438" s="34"/>
      <c r="B438" s="34"/>
      <c r="C438" s="34"/>
      <c r="D438" s="34"/>
      <c r="E438" s="34"/>
      <c r="F438" s="48"/>
      <c r="AJ438" s="34"/>
      <c r="AK438" s="34"/>
      <c r="AL438" s="34"/>
      <c r="BU438" s="44"/>
    </row>
    <row r="439" spans="1:73" s="35" customFormat="1" ht="12" customHeight="1">
      <c r="A439" s="34"/>
      <c r="B439" s="34"/>
      <c r="C439" s="34"/>
      <c r="D439" s="34"/>
      <c r="E439" s="34"/>
      <c r="F439" s="48"/>
      <c r="AI439" s="35" t="s">
        <v>819</v>
      </c>
      <c r="AJ439" s="34"/>
      <c r="AK439" s="34"/>
      <c r="AL439" s="34"/>
      <c r="BS439" s="8" t="s">
        <v>819</v>
      </c>
      <c r="BU439" s="44"/>
    </row>
    <row r="440" spans="1:73" s="35" customFormat="1" ht="12" customHeight="1">
      <c r="A440" s="34" t="s">
        <v>675</v>
      </c>
      <c r="B440" s="34"/>
      <c r="C440" s="34" t="s">
        <v>63</v>
      </c>
      <c r="D440" s="34"/>
      <c r="E440" s="34">
        <v>50054</v>
      </c>
      <c r="G440" s="35">
        <v>13247072</v>
      </c>
      <c r="I440" s="35">
        <v>2364226</v>
      </c>
      <c r="K440" s="35">
        <v>431749</v>
      </c>
      <c r="M440" s="35">
        <v>443542</v>
      </c>
      <c r="O440" s="35">
        <v>1379040</v>
      </c>
      <c r="Q440" s="35">
        <v>677727</v>
      </c>
      <c r="S440" s="35">
        <v>371562</v>
      </c>
      <c r="U440" s="35">
        <v>2211393</v>
      </c>
      <c r="W440" s="35">
        <v>863627</v>
      </c>
      <c r="Y440" s="35">
        <v>74119</v>
      </c>
      <c r="AA440" s="35">
        <v>3329171</v>
      </c>
      <c r="AC440" s="35">
        <v>2064359</v>
      </c>
      <c r="AE440" s="35">
        <v>232133</v>
      </c>
      <c r="AG440" s="35">
        <v>0</v>
      </c>
      <c r="AI440" s="35">
        <v>0</v>
      </c>
      <c r="AJ440" s="34" t="s">
        <v>675</v>
      </c>
      <c r="AK440" s="34"/>
      <c r="AL440" s="34" t="s">
        <v>63</v>
      </c>
      <c r="AN440" s="35">
        <v>742382</v>
      </c>
      <c r="AP440" s="35">
        <v>10260</v>
      </c>
      <c r="AT440" s="35">
        <v>0</v>
      </c>
      <c r="AV440" s="35">
        <v>0</v>
      </c>
      <c r="AX440" s="35">
        <v>0</v>
      </c>
      <c r="AZ440" s="35">
        <f t="shared" si="36"/>
        <v>28442362</v>
      </c>
      <c r="BB440" s="35">
        <v>60000</v>
      </c>
      <c r="BH440" s="35">
        <v>0</v>
      </c>
      <c r="BJ440" s="35">
        <f t="shared" si="35"/>
        <v>28502362</v>
      </c>
      <c r="BL440" s="35">
        <f>+GenRev!AM440-GenExp!BJ440</f>
        <v>814747</v>
      </c>
      <c r="BN440" s="35">
        <v>12311362</v>
      </c>
      <c r="BP440" s="35">
        <v>0</v>
      </c>
      <c r="BQ440" s="35">
        <v>0</v>
      </c>
      <c r="BS440" s="35">
        <f t="shared" si="34"/>
        <v>13126109</v>
      </c>
      <c r="BU440" s="44">
        <f>+BS440-'Gen Fd BS'!AA440+BQ440</f>
        <v>0</v>
      </c>
    </row>
    <row r="441" spans="1:73" ht="12" customHeight="1">
      <c r="A441" s="13" t="s">
        <v>366</v>
      </c>
      <c r="B441" s="13"/>
      <c r="C441" s="13" t="s">
        <v>27</v>
      </c>
      <c r="D441" s="13"/>
      <c r="E441" s="32">
        <v>47001</v>
      </c>
      <c r="G441" s="8">
        <v>26915742</v>
      </c>
      <c r="I441" s="8">
        <v>2390665</v>
      </c>
      <c r="K441" s="8">
        <v>78130</v>
      </c>
      <c r="M441" s="8">
        <v>67158</v>
      </c>
      <c r="O441" s="8">
        <v>9407234</v>
      </c>
      <c r="Q441" s="8">
        <v>1540431</v>
      </c>
      <c r="S441" s="8">
        <v>50299</v>
      </c>
      <c r="U441" s="8">
        <v>5666415</v>
      </c>
      <c r="W441" s="8">
        <v>1182922</v>
      </c>
      <c r="Y441" s="8">
        <v>323557</v>
      </c>
      <c r="AA441" s="8">
        <v>5322541</v>
      </c>
      <c r="AC441" s="8">
        <v>2988521</v>
      </c>
      <c r="AE441" s="8">
        <v>415727</v>
      </c>
      <c r="AG441" s="8">
        <v>0</v>
      </c>
      <c r="AI441" s="8">
        <v>0</v>
      </c>
      <c r="AJ441" s="13" t="s">
        <v>366</v>
      </c>
      <c r="AK441" s="13"/>
      <c r="AL441" s="13" t="s">
        <v>27</v>
      </c>
      <c r="AN441" s="8">
        <v>951294</v>
      </c>
      <c r="AP441" s="8">
        <v>122949</v>
      </c>
      <c r="AT441" s="8">
        <v>45130</v>
      </c>
      <c r="AV441" s="8">
        <v>11232</v>
      </c>
      <c r="AX441" s="8">
        <v>0</v>
      </c>
      <c r="AZ441" s="8">
        <f t="shared" si="36"/>
        <v>57479947</v>
      </c>
      <c r="BB441" s="8">
        <v>68924</v>
      </c>
      <c r="BH441" s="8">
        <v>0</v>
      </c>
      <c r="BJ441" s="8">
        <f t="shared" si="35"/>
        <v>57548871</v>
      </c>
      <c r="BL441" s="8">
        <f>+GenRev!AM441-GenExp!BJ441</f>
        <v>-4454371</v>
      </c>
      <c r="BN441" s="8">
        <v>10671475</v>
      </c>
      <c r="BP441" s="8">
        <v>-35251</v>
      </c>
      <c r="BQ441" s="8">
        <v>0</v>
      </c>
      <c r="BS441" s="8">
        <f t="shared" si="34"/>
        <v>6252355</v>
      </c>
      <c r="BU441" s="9">
        <f>+BS441-'Gen Fd BS'!AA441+BQ441</f>
        <v>0</v>
      </c>
    </row>
    <row r="442" spans="1:73" ht="12" hidden="1" customHeight="1">
      <c r="A442" s="13" t="s">
        <v>322</v>
      </c>
      <c r="B442" s="13"/>
      <c r="C442" s="13" t="s">
        <v>20</v>
      </c>
      <c r="D442" s="13"/>
      <c r="E442" s="32">
        <v>46599</v>
      </c>
      <c r="F442" s="11"/>
      <c r="AJ442" s="13" t="s">
        <v>322</v>
      </c>
      <c r="AK442" s="13"/>
      <c r="AL442" s="13" t="s">
        <v>20</v>
      </c>
      <c r="AZ442" s="8">
        <f t="shared" si="36"/>
        <v>0</v>
      </c>
      <c r="BB442" s="8">
        <v>0</v>
      </c>
      <c r="BH442" s="8">
        <v>0</v>
      </c>
      <c r="BJ442" s="8">
        <f t="shared" si="35"/>
        <v>0</v>
      </c>
      <c r="BL442" s="8">
        <f>+GenRev!AM442-GenExp!BJ442</f>
        <v>0</v>
      </c>
      <c r="BQ442" s="8">
        <v>0</v>
      </c>
      <c r="BS442" s="8">
        <f t="shared" si="34"/>
        <v>0</v>
      </c>
      <c r="BU442" s="9">
        <f>+BS442-'Gen Fd BS'!AA442+BQ442</f>
        <v>0</v>
      </c>
    </row>
    <row r="443" spans="1:73" ht="12" customHeight="1">
      <c r="A443" s="13" t="s">
        <v>529</v>
      </c>
      <c r="B443" s="13"/>
      <c r="C443" s="13" t="s">
        <v>46</v>
      </c>
      <c r="D443" s="13"/>
      <c r="E443" s="32">
        <v>48439</v>
      </c>
      <c r="G443" s="8">
        <v>2934877</v>
      </c>
      <c r="I443" s="8">
        <v>448133</v>
      </c>
      <c r="K443" s="8">
        <v>133420</v>
      </c>
      <c r="M443" s="8">
        <v>1171591</v>
      </c>
      <c r="O443" s="8">
        <v>150589</v>
      </c>
      <c r="Q443" s="8">
        <v>141328</v>
      </c>
      <c r="S443" s="8">
        <v>42551</v>
      </c>
      <c r="U443" s="8">
        <v>631976</v>
      </c>
      <c r="W443" s="8">
        <v>236040</v>
      </c>
      <c r="Y443" s="8">
        <v>0</v>
      </c>
      <c r="AA443" s="8">
        <v>657252</v>
      </c>
      <c r="AC443" s="8">
        <v>499893</v>
      </c>
      <c r="AE443" s="8">
        <v>21189</v>
      </c>
      <c r="AG443" s="8">
        <v>0</v>
      </c>
      <c r="AI443" s="8">
        <v>0</v>
      </c>
      <c r="AJ443" s="13" t="s">
        <v>529</v>
      </c>
      <c r="AK443" s="13"/>
      <c r="AL443" s="13" t="s">
        <v>46</v>
      </c>
      <c r="AN443" s="8">
        <v>133160</v>
      </c>
      <c r="AP443" s="8">
        <v>0</v>
      </c>
      <c r="AT443" s="8">
        <v>93213</v>
      </c>
      <c r="AV443" s="8">
        <v>16672</v>
      </c>
      <c r="AX443" s="8">
        <v>0</v>
      </c>
      <c r="AZ443" s="8">
        <f t="shared" si="36"/>
        <v>7311884</v>
      </c>
      <c r="BB443" s="8">
        <v>0</v>
      </c>
      <c r="BH443" s="8">
        <v>0</v>
      </c>
      <c r="BJ443" s="8">
        <f t="shared" si="35"/>
        <v>7311884</v>
      </c>
      <c r="BL443" s="8">
        <f>+GenRev!AM443-GenExp!BJ443</f>
        <v>607420</v>
      </c>
      <c r="BN443" s="8">
        <v>1447598</v>
      </c>
      <c r="BP443" s="8">
        <v>0</v>
      </c>
      <c r="BQ443" s="8">
        <v>0</v>
      </c>
      <c r="BS443" s="8">
        <f t="shared" si="34"/>
        <v>2055018</v>
      </c>
      <c r="BU443" s="9">
        <f>+BS443-'Gen Fd BS'!AA443+BQ443</f>
        <v>0</v>
      </c>
    </row>
    <row r="444" spans="1:73" ht="12" customHeight="1">
      <c r="A444" s="13" t="s">
        <v>429</v>
      </c>
      <c r="B444" s="13"/>
      <c r="C444" s="13" t="s">
        <v>426</v>
      </c>
      <c r="D444" s="13"/>
      <c r="E444" s="32">
        <v>47506</v>
      </c>
      <c r="G444" s="8">
        <v>2290372</v>
      </c>
      <c r="I444" s="8">
        <v>233152</v>
      </c>
      <c r="K444" s="8">
        <v>149393</v>
      </c>
      <c r="M444" s="8">
        <v>2916</v>
      </c>
      <c r="O444" s="8">
        <v>193071</v>
      </c>
      <c r="Q444" s="8">
        <v>218721</v>
      </c>
      <c r="S444" s="8">
        <v>28828</v>
      </c>
      <c r="U444" s="8">
        <v>563607</v>
      </c>
      <c r="W444" s="8">
        <v>197670</v>
      </c>
      <c r="Y444" s="8">
        <v>0</v>
      </c>
      <c r="AA444" s="8">
        <v>446512</v>
      </c>
      <c r="AC444" s="8">
        <v>307368</v>
      </c>
      <c r="AE444" s="8">
        <v>35808</v>
      </c>
      <c r="AG444" s="8">
        <v>0</v>
      </c>
      <c r="AI444" s="8">
        <v>126</v>
      </c>
      <c r="AJ444" s="13" t="s">
        <v>429</v>
      </c>
      <c r="AK444" s="13"/>
      <c r="AL444" s="13" t="s">
        <v>426</v>
      </c>
      <c r="AN444" s="8">
        <v>108910</v>
      </c>
      <c r="AP444" s="8">
        <v>15964</v>
      </c>
      <c r="AT444" s="8">
        <v>0</v>
      </c>
      <c r="AV444" s="8">
        <v>0</v>
      </c>
      <c r="AX444" s="8">
        <v>0</v>
      </c>
      <c r="AZ444" s="8">
        <f t="shared" si="36"/>
        <v>4792418</v>
      </c>
      <c r="BB444" s="8">
        <v>70000</v>
      </c>
      <c r="BH444" s="8">
        <v>0</v>
      </c>
      <c r="BJ444" s="8">
        <f t="shared" si="35"/>
        <v>4862418</v>
      </c>
      <c r="BL444" s="8">
        <f>+GenRev!AM444-GenExp!BJ444</f>
        <v>-123121</v>
      </c>
      <c r="BN444" s="8">
        <v>1237782</v>
      </c>
      <c r="BP444" s="8">
        <v>0</v>
      </c>
      <c r="BQ444" s="8">
        <v>0</v>
      </c>
      <c r="BS444" s="8">
        <f t="shared" si="34"/>
        <v>1114661</v>
      </c>
      <c r="BU444" s="9">
        <f>+BS444-'Gen Fd BS'!AA444+BQ444</f>
        <v>0</v>
      </c>
    </row>
    <row r="445" spans="1:73" ht="12" customHeight="1">
      <c r="A445" s="13" t="s">
        <v>292</v>
      </c>
      <c r="B445" s="13"/>
      <c r="C445" s="13" t="s">
        <v>19</v>
      </c>
      <c r="D445" s="13"/>
      <c r="E445" s="32">
        <v>46474</v>
      </c>
      <c r="G445" s="8">
        <v>5088002</v>
      </c>
      <c r="I445" s="8">
        <v>543820</v>
      </c>
      <c r="K445" s="8">
        <v>221102</v>
      </c>
      <c r="M445" s="8">
        <v>38266</v>
      </c>
      <c r="O445" s="8">
        <v>444936</v>
      </c>
      <c r="Q445" s="8">
        <v>345368</v>
      </c>
      <c r="S445" s="8">
        <v>19147</v>
      </c>
      <c r="U445" s="8">
        <v>719974</v>
      </c>
      <c r="W445" s="8">
        <v>310860</v>
      </c>
      <c r="Y445" s="8">
        <v>0</v>
      </c>
      <c r="AA445" s="8">
        <v>1033221</v>
      </c>
      <c r="AC445" s="8">
        <v>838023</v>
      </c>
      <c r="AE445" s="8">
        <v>2819</v>
      </c>
      <c r="AG445" s="8">
        <v>0</v>
      </c>
      <c r="AI445" s="8">
        <v>0</v>
      </c>
      <c r="AJ445" s="13" t="s">
        <v>292</v>
      </c>
      <c r="AK445" s="13"/>
      <c r="AL445" s="13" t="s">
        <v>19</v>
      </c>
      <c r="AN445" s="8">
        <v>193997</v>
      </c>
      <c r="AP445" s="8">
        <v>0</v>
      </c>
      <c r="AT445" s="8">
        <v>15560</v>
      </c>
      <c r="AV445" s="8">
        <v>10984</v>
      </c>
      <c r="AX445" s="8">
        <v>0</v>
      </c>
      <c r="AZ445" s="8">
        <f t="shared" si="36"/>
        <v>9826079</v>
      </c>
      <c r="BB445" s="8">
        <v>35000</v>
      </c>
      <c r="BH445" s="8">
        <v>0</v>
      </c>
      <c r="BJ445" s="8">
        <f t="shared" si="35"/>
        <v>9861079</v>
      </c>
      <c r="BL445" s="8">
        <f>+GenRev!AM445-GenExp!BJ445</f>
        <v>635814</v>
      </c>
      <c r="BN445" s="8">
        <v>2217904</v>
      </c>
      <c r="BP445" s="8">
        <v>0</v>
      </c>
      <c r="BQ445" s="8">
        <v>0</v>
      </c>
      <c r="BS445" s="8">
        <f t="shared" si="34"/>
        <v>2853718</v>
      </c>
      <c r="BU445" s="9">
        <f>+BS445-'Gen Fd BS'!AA445+BQ445</f>
        <v>0</v>
      </c>
    </row>
    <row r="446" spans="1:73" ht="12" customHeight="1">
      <c r="A446" s="13" t="s">
        <v>904</v>
      </c>
      <c r="B446" s="13"/>
      <c r="C446" s="13" t="s">
        <v>77</v>
      </c>
      <c r="D446" s="13"/>
      <c r="E446" s="32">
        <v>46078</v>
      </c>
      <c r="G446" s="8">
        <v>4510602</v>
      </c>
      <c r="I446" s="8">
        <v>850682</v>
      </c>
      <c r="K446" s="8">
        <v>487771</v>
      </c>
      <c r="M446" s="8">
        <v>35508</v>
      </c>
      <c r="O446" s="8">
        <v>305104</v>
      </c>
      <c r="Q446" s="8">
        <v>735560</v>
      </c>
      <c r="S446" s="8">
        <v>102734</v>
      </c>
      <c r="U446" s="8">
        <v>680204</v>
      </c>
      <c r="W446" s="8">
        <v>291976</v>
      </c>
      <c r="Y446" s="8">
        <v>0</v>
      </c>
      <c r="AA446" s="8">
        <v>1165819</v>
      </c>
      <c r="AC446" s="8">
        <v>682299</v>
      </c>
      <c r="AE446" s="8">
        <v>70164</v>
      </c>
      <c r="AG446" s="8">
        <v>0</v>
      </c>
      <c r="AI446" s="8">
        <v>628</v>
      </c>
      <c r="AJ446" s="13" t="s">
        <v>243</v>
      </c>
      <c r="AK446" s="13"/>
      <c r="AL446" s="13" t="s">
        <v>77</v>
      </c>
      <c r="AN446" s="8">
        <v>102669</v>
      </c>
      <c r="AP446" s="8">
        <v>0</v>
      </c>
      <c r="AT446" s="8">
        <v>25000</v>
      </c>
      <c r="AV446" s="8">
        <v>26919</v>
      </c>
      <c r="AX446" s="8">
        <v>0</v>
      </c>
      <c r="AZ446" s="8">
        <f t="shared" si="36"/>
        <v>10073639</v>
      </c>
      <c r="BB446" s="8">
        <v>0</v>
      </c>
      <c r="BH446" s="8">
        <v>0</v>
      </c>
      <c r="BJ446" s="8">
        <f t="shared" si="35"/>
        <v>10073639</v>
      </c>
      <c r="BL446" s="8">
        <f>+GenRev!AM446-GenExp!BJ446</f>
        <v>-315706</v>
      </c>
      <c r="BN446" s="8">
        <v>302275</v>
      </c>
      <c r="BP446" s="8">
        <v>0</v>
      </c>
      <c r="BQ446" s="8">
        <v>0</v>
      </c>
      <c r="BS446" s="8">
        <f t="shared" si="34"/>
        <v>-13431</v>
      </c>
      <c r="BU446" s="9">
        <f>+BS446-'Gen Fd BS'!AA446+BQ446</f>
        <v>0</v>
      </c>
    </row>
    <row r="447" spans="1:73" ht="12" customHeight="1">
      <c r="A447" s="13" t="s">
        <v>730</v>
      </c>
      <c r="B447" s="13"/>
      <c r="C447" s="13" t="s">
        <v>71</v>
      </c>
      <c r="D447" s="13"/>
      <c r="E447" s="32">
        <v>45591</v>
      </c>
      <c r="G447" s="8">
        <v>4118916</v>
      </c>
      <c r="I447" s="8">
        <v>649634</v>
      </c>
      <c r="K447" s="8">
        <v>77478</v>
      </c>
      <c r="M447" s="8">
        <v>75444</v>
      </c>
      <c r="O447" s="8">
        <v>239027</v>
      </c>
      <c r="Q447" s="8">
        <v>505002</v>
      </c>
      <c r="S447" s="8">
        <v>69254</v>
      </c>
      <c r="U447" s="8">
        <v>611964</v>
      </c>
      <c r="W447" s="8">
        <v>278814</v>
      </c>
      <c r="Y447" s="8">
        <v>0</v>
      </c>
      <c r="AA447" s="8">
        <v>911691</v>
      </c>
      <c r="AC447" s="8">
        <v>188627</v>
      </c>
      <c r="AE447" s="8">
        <v>0</v>
      </c>
      <c r="AG447" s="8">
        <v>0</v>
      </c>
      <c r="AI447" s="8">
        <v>0</v>
      </c>
      <c r="AJ447" s="13" t="s">
        <v>730</v>
      </c>
      <c r="AK447" s="13"/>
      <c r="AL447" s="13" t="s">
        <v>71</v>
      </c>
      <c r="AN447" s="8">
        <v>50540</v>
      </c>
      <c r="AP447" s="8">
        <v>0</v>
      </c>
      <c r="AT447" s="8">
        <v>0</v>
      </c>
      <c r="AV447" s="8">
        <v>0</v>
      </c>
      <c r="AX447" s="8">
        <v>0</v>
      </c>
      <c r="AZ447" s="8">
        <f t="shared" si="36"/>
        <v>7776391</v>
      </c>
      <c r="BB447" s="8">
        <v>46995</v>
      </c>
      <c r="BH447" s="8">
        <v>0</v>
      </c>
      <c r="BJ447" s="8">
        <f t="shared" si="35"/>
        <v>7823386</v>
      </c>
      <c r="BL447" s="8">
        <f>+GenRev!AM447-GenExp!BJ447</f>
        <v>578971</v>
      </c>
      <c r="BN447" s="8">
        <v>1184615</v>
      </c>
      <c r="BP447" s="8">
        <v>0</v>
      </c>
      <c r="BQ447" s="8">
        <v>0</v>
      </c>
      <c r="BS447" s="8">
        <f t="shared" si="34"/>
        <v>1763586</v>
      </c>
      <c r="BU447" s="9">
        <f>+BS447-'Gen Fd BS'!AA447+BQ447</f>
        <v>0</v>
      </c>
    </row>
    <row r="448" spans="1:73" ht="12" customHeight="1">
      <c r="A448" s="13" t="s">
        <v>530</v>
      </c>
      <c r="B448" s="13"/>
      <c r="C448" s="13" t="s">
        <v>46</v>
      </c>
      <c r="D448" s="13"/>
      <c r="E448" s="32">
        <v>48447</v>
      </c>
      <c r="G448" s="8">
        <v>9302870</v>
      </c>
      <c r="I448" s="8">
        <v>993649</v>
      </c>
      <c r="K448" s="8">
        <v>186872</v>
      </c>
      <c r="M448" s="8">
        <v>0</v>
      </c>
      <c r="O448" s="8">
        <v>392001</v>
      </c>
      <c r="Q448" s="8">
        <v>538839</v>
      </c>
      <c r="S448" s="8">
        <v>14481</v>
      </c>
      <c r="U448" s="8">
        <v>1230972</v>
      </c>
      <c r="W448" s="8">
        <v>450736</v>
      </c>
      <c r="Y448" s="8">
        <v>29940</v>
      </c>
      <c r="AA448" s="8">
        <v>1358651</v>
      </c>
      <c r="AC448" s="8">
        <v>886594</v>
      </c>
      <c r="AE448" s="8">
        <v>70475</v>
      </c>
      <c r="AG448" s="8">
        <v>0</v>
      </c>
      <c r="AI448" s="8">
        <v>0</v>
      </c>
      <c r="AJ448" s="13" t="s">
        <v>530</v>
      </c>
      <c r="AK448" s="13"/>
      <c r="AL448" s="13" t="s">
        <v>46</v>
      </c>
      <c r="AN448" s="8">
        <v>20046</v>
      </c>
      <c r="AP448" s="8">
        <v>0</v>
      </c>
      <c r="AT448" s="8">
        <v>23364</v>
      </c>
      <c r="AV448" s="8">
        <v>3264</v>
      </c>
      <c r="AX448" s="8">
        <v>0</v>
      </c>
      <c r="AZ448" s="8">
        <f t="shared" si="36"/>
        <v>15502754</v>
      </c>
      <c r="BB448" s="8">
        <v>78219</v>
      </c>
      <c r="BH448" s="8">
        <v>0</v>
      </c>
      <c r="BJ448" s="8">
        <f t="shared" si="35"/>
        <v>15580973</v>
      </c>
      <c r="BL448" s="8">
        <f>+GenRev!AM448-GenExp!BJ448</f>
        <v>-277492</v>
      </c>
      <c r="BN448" s="8">
        <v>2926257</v>
      </c>
      <c r="BP448" s="8">
        <v>0</v>
      </c>
      <c r="BQ448" s="8">
        <v>0</v>
      </c>
      <c r="BS448" s="8">
        <f t="shared" si="34"/>
        <v>2648765</v>
      </c>
      <c r="BU448" s="9">
        <f>+BS448-'Gen Fd BS'!AA448+BQ448</f>
        <v>0</v>
      </c>
    </row>
    <row r="449" spans="1:75" ht="12" customHeight="1">
      <c r="A449" s="13" t="s">
        <v>293</v>
      </c>
      <c r="B449" s="13"/>
      <c r="C449" s="13" t="s">
        <v>19</v>
      </c>
      <c r="D449" s="13"/>
      <c r="E449" s="32">
        <v>46482</v>
      </c>
      <c r="F449" s="11"/>
      <c r="G449" s="8">
        <v>8786825</v>
      </c>
      <c r="I449" s="8">
        <v>1638672</v>
      </c>
      <c r="K449" s="8">
        <v>358812</v>
      </c>
      <c r="M449" s="8">
        <v>0</v>
      </c>
      <c r="O449" s="8">
        <v>591887</v>
      </c>
      <c r="Q449" s="8">
        <v>488643</v>
      </c>
      <c r="S449" s="8">
        <v>47337</v>
      </c>
      <c r="U449" s="8">
        <v>1182373</v>
      </c>
      <c r="W449" s="8">
        <v>586004</v>
      </c>
      <c r="Y449" s="8">
        <v>0</v>
      </c>
      <c r="AA449" s="8">
        <v>1564746</v>
      </c>
      <c r="AC449" s="8">
        <v>1467963</v>
      </c>
      <c r="AE449" s="8">
        <v>224229</v>
      </c>
      <c r="AG449" s="8">
        <v>0</v>
      </c>
      <c r="AI449" s="8">
        <v>0</v>
      </c>
      <c r="AJ449" s="13" t="s">
        <v>293</v>
      </c>
      <c r="AK449" s="13"/>
      <c r="AL449" s="13" t="s">
        <v>19</v>
      </c>
      <c r="AN449" s="8">
        <v>270250</v>
      </c>
      <c r="AP449" s="8">
        <v>0</v>
      </c>
      <c r="AT449" s="8">
        <v>168378</v>
      </c>
      <c r="AV449" s="8">
        <v>82920</v>
      </c>
      <c r="AX449" s="8">
        <v>0</v>
      </c>
      <c r="AZ449" s="8">
        <f t="shared" si="36"/>
        <v>17459039</v>
      </c>
      <c r="BB449" s="8">
        <v>0</v>
      </c>
      <c r="BH449" s="8">
        <f>5385+16</f>
        <v>5401</v>
      </c>
      <c r="BJ449" s="8">
        <f t="shared" si="35"/>
        <v>17464440</v>
      </c>
      <c r="BL449" s="8">
        <f>+GenRev!AM449-GenExp!BJ449</f>
        <v>1499560</v>
      </c>
      <c r="BN449" s="8">
        <v>1618943</v>
      </c>
      <c r="BP449" s="8">
        <v>0</v>
      </c>
      <c r="BQ449" s="8">
        <v>0</v>
      </c>
      <c r="BS449" s="8">
        <f t="shared" si="34"/>
        <v>3118503</v>
      </c>
      <c r="BU449" s="9">
        <f>+BS449-'Gen Fd BS'!AA449+BQ449</f>
        <v>0</v>
      </c>
    </row>
    <row r="450" spans="1:75" s="35" customFormat="1">
      <c r="A450" s="34" t="s">
        <v>430</v>
      </c>
      <c r="B450" s="34"/>
      <c r="C450" s="34" t="s">
        <v>426</v>
      </c>
      <c r="D450" s="34"/>
      <c r="E450" s="32">
        <v>47514</v>
      </c>
      <c r="G450" s="8">
        <v>3968819</v>
      </c>
      <c r="H450" s="8"/>
      <c r="I450" s="8">
        <v>790499</v>
      </c>
      <c r="J450" s="8"/>
      <c r="K450" s="8">
        <v>257111</v>
      </c>
      <c r="L450" s="8"/>
      <c r="M450" s="8">
        <v>741928</v>
      </c>
      <c r="N450" s="8"/>
      <c r="O450" s="8">
        <v>229736</v>
      </c>
      <c r="P450" s="8"/>
      <c r="Q450" s="8">
        <v>439351</v>
      </c>
      <c r="R450" s="8"/>
      <c r="S450" s="8">
        <v>89887</v>
      </c>
      <c r="T450" s="8"/>
      <c r="U450" s="8">
        <v>745853</v>
      </c>
      <c r="V450" s="8"/>
      <c r="W450" s="8">
        <v>230340</v>
      </c>
      <c r="X450" s="8"/>
      <c r="Y450" s="8">
        <v>31641</v>
      </c>
      <c r="Z450" s="8"/>
      <c r="AA450" s="8">
        <v>1052343</v>
      </c>
      <c r="AB450" s="8"/>
      <c r="AC450" s="8">
        <v>840808</v>
      </c>
      <c r="AD450" s="8"/>
      <c r="AE450" s="8">
        <v>42432</v>
      </c>
      <c r="AF450" s="8"/>
      <c r="AG450" s="8">
        <v>0</v>
      </c>
      <c r="AH450" s="8"/>
      <c r="AI450" s="8">
        <v>0</v>
      </c>
      <c r="AJ450" s="13" t="s">
        <v>430</v>
      </c>
      <c r="AK450" s="13"/>
      <c r="AL450" s="13" t="s">
        <v>426</v>
      </c>
      <c r="AM450" s="8"/>
      <c r="AN450" s="8">
        <v>248376</v>
      </c>
      <c r="AO450" s="8"/>
      <c r="AP450" s="8">
        <v>0</v>
      </c>
      <c r="AQ450" s="8"/>
      <c r="AR450" s="8"/>
      <c r="AS450" s="8"/>
      <c r="AT450" s="8">
        <v>0</v>
      </c>
      <c r="AU450" s="8"/>
      <c r="AV450" s="8">
        <v>0</v>
      </c>
      <c r="AW450" s="8"/>
      <c r="AX450" s="8">
        <v>0</v>
      </c>
      <c r="AY450" s="8"/>
      <c r="AZ450" s="8">
        <f t="shared" si="36"/>
        <v>9709124</v>
      </c>
      <c r="BA450" s="8"/>
      <c r="BB450" s="8">
        <v>4513</v>
      </c>
      <c r="BC450" s="8"/>
      <c r="BD450" s="8"/>
      <c r="BE450" s="8"/>
      <c r="BF450" s="8"/>
      <c r="BG450" s="8"/>
      <c r="BH450" s="8">
        <v>0</v>
      </c>
      <c r="BI450" s="8"/>
      <c r="BJ450" s="8">
        <f t="shared" si="35"/>
        <v>9713637</v>
      </c>
      <c r="BK450" s="8"/>
      <c r="BL450" s="8">
        <f>+GenRev!AM450-GenExp!BJ450</f>
        <v>-437872</v>
      </c>
      <c r="BM450" s="8"/>
      <c r="BN450" s="8">
        <v>1693688</v>
      </c>
      <c r="BO450" s="8"/>
      <c r="BP450" s="8">
        <v>0</v>
      </c>
      <c r="BQ450" s="8">
        <v>0</v>
      </c>
      <c r="BR450" s="8"/>
      <c r="BS450" s="8">
        <f t="shared" si="34"/>
        <v>1255816</v>
      </c>
      <c r="BT450" s="8"/>
      <c r="BU450" s="9">
        <f>+BS450-'Gen Fd BS'!AA450+BQ450</f>
        <v>0</v>
      </c>
    </row>
    <row r="451" spans="1:75" s="35" customFormat="1">
      <c r="A451" s="34" t="s">
        <v>488</v>
      </c>
      <c r="B451" s="34"/>
      <c r="C451" s="34" t="s">
        <v>41</v>
      </c>
      <c r="D451" s="34"/>
      <c r="E451" s="32"/>
      <c r="G451" s="8">
        <v>18136751</v>
      </c>
      <c r="H451" s="8"/>
      <c r="I451" s="8">
        <v>2633358</v>
      </c>
      <c r="J451" s="8"/>
      <c r="K451" s="8">
        <v>0</v>
      </c>
      <c r="L451" s="8"/>
      <c r="M451" s="8">
        <v>640132</v>
      </c>
      <c r="N451" s="8"/>
      <c r="O451" s="8">
        <v>1457064</v>
      </c>
      <c r="P451" s="8"/>
      <c r="Q451" s="8">
        <v>1384460</v>
      </c>
      <c r="R451" s="8"/>
      <c r="S451" s="8">
        <v>18227</v>
      </c>
      <c r="T451" s="8"/>
      <c r="U451" s="8">
        <v>4498565</v>
      </c>
      <c r="V451" s="8"/>
      <c r="W451" s="8">
        <v>1021820</v>
      </c>
      <c r="X451" s="8"/>
      <c r="Y451" s="8">
        <v>101990</v>
      </c>
      <c r="Z451" s="8"/>
      <c r="AA451" s="8">
        <v>4852131</v>
      </c>
      <c r="AB451" s="8"/>
      <c r="AC451" s="8">
        <v>4795463</v>
      </c>
      <c r="AD451" s="8"/>
      <c r="AE451" s="8">
        <v>16098</v>
      </c>
      <c r="AF451" s="8"/>
      <c r="AG451" s="8">
        <v>28598</v>
      </c>
      <c r="AH451" s="8"/>
      <c r="AI451" s="8">
        <v>33583</v>
      </c>
      <c r="AJ451" s="13" t="s">
        <v>488</v>
      </c>
      <c r="AK451" s="13"/>
      <c r="AL451" s="13" t="s">
        <v>41</v>
      </c>
      <c r="AM451" s="8"/>
      <c r="AN451" s="8">
        <v>364874</v>
      </c>
      <c r="AO451" s="8"/>
      <c r="AP451" s="8">
        <v>0</v>
      </c>
      <c r="AQ451" s="8"/>
      <c r="AR451" s="8"/>
      <c r="AS451" s="8"/>
      <c r="AT451" s="8">
        <v>0</v>
      </c>
      <c r="AU451" s="8"/>
      <c r="AV451" s="8">
        <v>0</v>
      </c>
      <c r="AW451" s="8"/>
      <c r="AX451" s="8">
        <v>0</v>
      </c>
      <c r="AY451" s="8"/>
      <c r="AZ451" s="8">
        <f t="shared" si="36"/>
        <v>39983114</v>
      </c>
      <c r="BA451" s="8"/>
      <c r="BB451" s="8">
        <v>368115</v>
      </c>
      <c r="BC451" s="8"/>
      <c r="BD451" s="8"/>
      <c r="BE451" s="8"/>
      <c r="BF451" s="8"/>
      <c r="BG451" s="8"/>
      <c r="BH451" s="8">
        <v>0</v>
      </c>
      <c r="BI451" s="8"/>
      <c r="BJ451" s="8">
        <f t="shared" si="35"/>
        <v>40351229</v>
      </c>
      <c r="BK451" s="8"/>
      <c r="BL451" s="8">
        <f>+GenRev!AM451-GenExp!BJ451</f>
        <v>-559873</v>
      </c>
      <c r="BM451" s="8"/>
      <c r="BN451" s="8">
        <v>5879633</v>
      </c>
      <c r="BO451" s="8"/>
      <c r="BP451" s="8">
        <v>-29010</v>
      </c>
      <c r="BQ451" s="8">
        <v>0</v>
      </c>
      <c r="BR451" s="8"/>
      <c r="BS451" s="8">
        <f t="shared" si="34"/>
        <v>5348770</v>
      </c>
      <c r="BT451" s="8"/>
      <c r="BU451" s="9">
        <f>+BS451-'Gen Fd BS'!AA451+BQ451</f>
        <v>0</v>
      </c>
    </row>
    <row r="452" spans="1:75">
      <c r="A452" s="13" t="s">
        <v>488</v>
      </c>
      <c r="B452" s="13"/>
      <c r="C452" s="13" t="s">
        <v>43</v>
      </c>
      <c r="D452" s="13"/>
      <c r="E452" s="32">
        <v>48090</v>
      </c>
      <c r="G452" s="8">
        <v>3441464</v>
      </c>
      <c r="I452" s="8">
        <v>435138</v>
      </c>
      <c r="K452" s="8">
        <v>111726</v>
      </c>
      <c r="M452" s="8">
        <v>0</v>
      </c>
      <c r="O452" s="8">
        <v>184906</v>
      </c>
      <c r="Q452" s="8">
        <v>370120</v>
      </c>
      <c r="S452" s="8">
        <v>18421</v>
      </c>
      <c r="U452" s="8">
        <v>579528</v>
      </c>
      <c r="W452" s="8">
        <v>234828</v>
      </c>
      <c r="Y452" s="8">
        <v>0</v>
      </c>
      <c r="AA452" s="8">
        <v>628946</v>
      </c>
      <c r="AC452" s="8">
        <v>415567</v>
      </c>
      <c r="AE452" s="8">
        <v>37016</v>
      </c>
      <c r="AG452" s="8">
        <v>0</v>
      </c>
      <c r="AI452" s="8">
        <v>0</v>
      </c>
      <c r="AJ452" s="13" t="s">
        <v>488</v>
      </c>
      <c r="AK452" s="13"/>
      <c r="AL452" s="13" t="s">
        <v>43</v>
      </c>
      <c r="AN452" s="8">
        <v>202274</v>
      </c>
      <c r="AP452" s="8">
        <v>0</v>
      </c>
      <c r="AT452" s="8">
        <v>0</v>
      </c>
      <c r="AV452" s="8">
        <v>0</v>
      </c>
      <c r="AX452" s="8">
        <v>0</v>
      </c>
      <c r="AZ452" s="8">
        <f t="shared" si="36"/>
        <v>6659934</v>
      </c>
      <c r="BB452" s="8">
        <v>1000</v>
      </c>
      <c r="BH452" s="8">
        <v>0</v>
      </c>
      <c r="BJ452" s="8">
        <f t="shared" si="35"/>
        <v>6660934</v>
      </c>
      <c r="BL452" s="8">
        <f>+GenRev!AM452-GenExp!BJ452</f>
        <v>-481287</v>
      </c>
      <c r="BN452" s="8">
        <v>870504</v>
      </c>
      <c r="BP452" s="8">
        <v>0</v>
      </c>
      <c r="BQ452" s="8">
        <v>0</v>
      </c>
      <c r="BS452" s="8">
        <f t="shared" si="34"/>
        <v>389217</v>
      </c>
      <c r="BU452" s="9">
        <f>+BS452-'Gen Fd BS'!AA452+BQ452</f>
        <v>0</v>
      </c>
    </row>
    <row r="453" spans="1:75">
      <c r="A453" s="13" t="s">
        <v>475</v>
      </c>
      <c r="B453" s="13"/>
      <c r="C453" s="13" t="s">
        <v>471</v>
      </c>
      <c r="D453" s="13"/>
      <c r="E453" s="32">
        <v>47944</v>
      </c>
      <c r="G453" s="8">
        <v>5806940</v>
      </c>
      <c r="I453" s="8">
        <v>2327354</v>
      </c>
      <c r="K453" s="8">
        <v>231797</v>
      </c>
      <c r="M453" s="8">
        <v>0</v>
      </c>
      <c r="O453" s="8">
        <v>424038</v>
      </c>
      <c r="Q453" s="8">
        <v>359118</v>
      </c>
      <c r="S453" s="8">
        <v>269463</v>
      </c>
      <c r="U453" s="8">
        <v>1325515</v>
      </c>
      <c r="W453" s="8">
        <v>333112</v>
      </c>
      <c r="Y453" s="8">
        <v>0</v>
      </c>
      <c r="AA453" s="8">
        <v>2895952</v>
      </c>
      <c r="AC453" s="8">
        <v>1469231</v>
      </c>
      <c r="AE453" s="8">
        <v>53988</v>
      </c>
      <c r="AG453" s="8">
        <v>0</v>
      </c>
      <c r="AI453" s="8">
        <v>0</v>
      </c>
      <c r="AJ453" s="13" t="s">
        <v>475</v>
      </c>
      <c r="AK453" s="13"/>
      <c r="AL453" s="13" t="s">
        <v>471</v>
      </c>
      <c r="AN453" s="8">
        <v>235006</v>
      </c>
      <c r="AP453" s="8">
        <v>0</v>
      </c>
      <c r="AT453" s="8">
        <v>0</v>
      </c>
      <c r="AV453" s="8">
        <v>0</v>
      </c>
      <c r="AX453" s="8">
        <v>0</v>
      </c>
      <c r="AZ453" s="8">
        <f t="shared" si="36"/>
        <v>15731514</v>
      </c>
      <c r="BB453" s="8">
        <v>560762</v>
      </c>
      <c r="BH453" s="8">
        <v>0</v>
      </c>
      <c r="BJ453" s="8">
        <f t="shared" si="35"/>
        <v>16292276</v>
      </c>
      <c r="BL453" s="8">
        <f>+GenRev!AM453-GenExp!BJ453</f>
        <v>-1126768</v>
      </c>
      <c r="BN453" s="8">
        <v>3606109</v>
      </c>
      <c r="BP453" s="8">
        <v>0</v>
      </c>
      <c r="BQ453" s="8">
        <v>0</v>
      </c>
      <c r="BS453" s="8">
        <f t="shared" si="34"/>
        <v>2479341</v>
      </c>
      <c r="BU453" s="9">
        <f>+BS453-'Gen Fd BS'!AA453+BQ453</f>
        <v>0</v>
      </c>
    </row>
    <row r="454" spans="1:75" ht="12" customHeight="1">
      <c r="A454" s="13" t="s">
        <v>323</v>
      </c>
      <c r="B454" s="13"/>
      <c r="C454" s="13" t="s">
        <v>20</v>
      </c>
      <c r="D454" s="13"/>
      <c r="E454" s="32">
        <v>44701</v>
      </c>
      <c r="G454" s="8">
        <v>13170607</v>
      </c>
      <c r="I454" s="8">
        <v>3158345</v>
      </c>
      <c r="K454" s="8">
        <v>413149</v>
      </c>
      <c r="M454" s="8">
        <v>26948</v>
      </c>
      <c r="O454" s="8">
        <v>1682413</v>
      </c>
      <c r="Q454" s="8">
        <v>808276</v>
      </c>
      <c r="S454" s="8">
        <v>32437</v>
      </c>
      <c r="U454" s="8">
        <v>2050106</v>
      </c>
      <c r="W454" s="8">
        <v>667555</v>
      </c>
      <c r="Y454" s="8">
        <v>441682</v>
      </c>
      <c r="AA454" s="8">
        <v>3261429</v>
      </c>
      <c r="AC454" s="8">
        <v>1458082</v>
      </c>
      <c r="AE454" s="8">
        <v>651612</v>
      </c>
      <c r="AG454" s="8">
        <v>0</v>
      </c>
      <c r="AI454" s="8">
        <v>3210</v>
      </c>
      <c r="AJ454" s="13" t="s">
        <v>323</v>
      </c>
      <c r="AK454" s="13"/>
      <c r="AL454" s="13" t="s">
        <v>20</v>
      </c>
      <c r="AN454" s="8">
        <v>756563</v>
      </c>
      <c r="AP454" s="8">
        <v>0</v>
      </c>
      <c r="AT454" s="8">
        <v>47469</v>
      </c>
      <c r="AV454" s="8">
        <v>2840</v>
      </c>
      <c r="AX454" s="8">
        <v>0</v>
      </c>
      <c r="AZ454" s="8">
        <f t="shared" si="36"/>
        <v>28632723</v>
      </c>
      <c r="BB454" s="8">
        <v>0</v>
      </c>
      <c r="BH454" s="8">
        <v>0</v>
      </c>
      <c r="BJ454" s="8">
        <f t="shared" si="35"/>
        <v>28632723</v>
      </c>
      <c r="BL454" s="8">
        <f>+GenRev!AM454-GenExp!BJ454</f>
        <v>-1052019</v>
      </c>
      <c r="BN454" s="8">
        <v>-619132</v>
      </c>
      <c r="BP454" s="8">
        <v>0</v>
      </c>
      <c r="BQ454" s="8">
        <v>0</v>
      </c>
      <c r="BS454" s="8">
        <f t="shared" si="34"/>
        <v>-1671151</v>
      </c>
      <c r="BU454" s="9">
        <f>+BS454-'Gen Fd BS'!AA454+BQ454</f>
        <v>0</v>
      </c>
    </row>
    <row r="455" spans="1:75" ht="12" customHeight="1">
      <c r="A455" s="13" t="s">
        <v>395</v>
      </c>
      <c r="B455" s="13"/>
      <c r="C455" s="13" t="s">
        <v>31</v>
      </c>
      <c r="D455" s="13"/>
      <c r="E455" s="32">
        <v>47308</v>
      </c>
      <c r="G455" s="8">
        <v>7794707</v>
      </c>
      <c r="I455" s="8">
        <v>1458034</v>
      </c>
      <c r="K455" s="8">
        <v>322312</v>
      </c>
      <c r="M455" s="8">
        <v>0</v>
      </c>
      <c r="O455" s="8">
        <v>358710</v>
      </c>
      <c r="Q455" s="8">
        <v>517589</v>
      </c>
      <c r="S455" s="8">
        <v>28620</v>
      </c>
      <c r="U455" s="8">
        <v>1291274</v>
      </c>
      <c r="W455" s="8">
        <v>512167</v>
      </c>
      <c r="Y455" s="8">
        <v>0</v>
      </c>
      <c r="AA455" s="8">
        <v>1513764</v>
      </c>
      <c r="AC455" s="8">
        <v>767859</v>
      </c>
      <c r="AE455" s="8">
        <v>20434</v>
      </c>
      <c r="AG455" s="8">
        <v>13</v>
      </c>
      <c r="AI455" s="8">
        <v>211</v>
      </c>
      <c r="AJ455" s="13" t="s">
        <v>395</v>
      </c>
      <c r="AK455" s="13"/>
      <c r="AL455" s="13" t="s">
        <v>31</v>
      </c>
      <c r="AN455" s="8">
        <v>30433</v>
      </c>
      <c r="AP455" s="8">
        <v>57418</v>
      </c>
      <c r="AT455" s="8">
        <v>0</v>
      </c>
      <c r="AV455" s="8">
        <v>0</v>
      </c>
      <c r="AX455" s="8">
        <v>0</v>
      </c>
      <c r="AZ455" s="8">
        <f t="shared" si="36"/>
        <v>14673545</v>
      </c>
      <c r="BB455" s="8">
        <v>200000</v>
      </c>
      <c r="BH455" s="8">
        <v>0</v>
      </c>
      <c r="BJ455" s="8">
        <f t="shared" si="35"/>
        <v>14873545</v>
      </c>
      <c r="BL455" s="8">
        <f>+GenRev!AM455-GenExp!BJ455</f>
        <v>241604</v>
      </c>
      <c r="BN455" s="8">
        <v>906677</v>
      </c>
      <c r="BP455" s="8">
        <v>0</v>
      </c>
      <c r="BQ455" s="8">
        <v>0</v>
      </c>
      <c r="BS455" s="8">
        <f t="shared" si="34"/>
        <v>1148281</v>
      </c>
      <c r="BU455" s="9">
        <f>+BS455-'Gen Fd BS'!AA455+BQ455</f>
        <v>0</v>
      </c>
    </row>
    <row r="456" spans="1:75" ht="12" customHeight="1">
      <c r="A456" s="13" t="s">
        <v>600</v>
      </c>
      <c r="B456" s="13"/>
      <c r="C456" s="13" t="s">
        <v>56</v>
      </c>
      <c r="D456" s="13"/>
      <c r="E456" s="32">
        <v>49213</v>
      </c>
      <c r="G456" s="8">
        <v>4936451</v>
      </c>
      <c r="I456" s="8">
        <v>973859</v>
      </c>
      <c r="K456" s="8">
        <v>331355</v>
      </c>
      <c r="M456" s="8">
        <v>558119</v>
      </c>
      <c r="O456" s="8">
        <v>503942</v>
      </c>
      <c r="Q456" s="8">
        <v>361477</v>
      </c>
      <c r="S456" s="8">
        <v>25833</v>
      </c>
      <c r="U456" s="8">
        <v>737654</v>
      </c>
      <c r="W456" s="8">
        <v>345611</v>
      </c>
      <c r="Y456" s="8">
        <v>10854</v>
      </c>
      <c r="AA456" s="8">
        <v>1008416</v>
      </c>
      <c r="AC456" s="8">
        <v>619752</v>
      </c>
      <c r="AE456" s="8">
        <v>17363</v>
      </c>
      <c r="AG456" s="8">
        <v>0</v>
      </c>
      <c r="AI456" s="8">
        <v>0</v>
      </c>
      <c r="AJ456" s="13" t="s">
        <v>600</v>
      </c>
      <c r="AK456" s="13"/>
      <c r="AL456" s="13" t="s">
        <v>56</v>
      </c>
      <c r="AN456" s="8">
        <v>240161</v>
      </c>
      <c r="AP456" s="8">
        <v>0</v>
      </c>
      <c r="AT456" s="8">
        <v>0</v>
      </c>
      <c r="AV456" s="8">
        <v>0</v>
      </c>
      <c r="AX456" s="8">
        <v>0</v>
      </c>
      <c r="AZ456" s="8">
        <f t="shared" si="36"/>
        <v>10670847</v>
      </c>
      <c r="BB456" s="8">
        <v>0</v>
      </c>
      <c r="BH456" s="8">
        <v>0</v>
      </c>
      <c r="BJ456" s="8">
        <f t="shared" si="35"/>
        <v>10670847</v>
      </c>
      <c r="BL456" s="8">
        <f>+GenRev!AM456-GenExp!BJ456</f>
        <v>-351868</v>
      </c>
      <c r="BN456" s="8">
        <v>-495649</v>
      </c>
      <c r="BP456" s="8">
        <v>0</v>
      </c>
      <c r="BQ456" s="8">
        <v>0</v>
      </c>
      <c r="BS456" s="8">
        <f t="shared" si="34"/>
        <v>-847517</v>
      </c>
      <c r="BU456" s="9">
        <f>+BS456-'Gen Fd BS'!AA456+BQ456</f>
        <v>0</v>
      </c>
    </row>
    <row r="457" spans="1:75" ht="12" customHeight="1">
      <c r="A457" s="13" t="s">
        <v>254</v>
      </c>
      <c r="B457" s="13"/>
      <c r="C457" s="13" t="s">
        <v>246</v>
      </c>
      <c r="D457" s="13"/>
      <c r="E457" s="32">
        <v>46144</v>
      </c>
      <c r="G457" s="8">
        <v>10490052</v>
      </c>
      <c r="I457" s="8">
        <v>1621553</v>
      </c>
      <c r="K457" s="8">
        <v>0</v>
      </c>
      <c r="M457" s="8">
        <v>224071</v>
      </c>
      <c r="O457" s="8">
        <v>853409</v>
      </c>
      <c r="Q457" s="8">
        <v>1015897</v>
      </c>
      <c r="S457" s="8">
        <v>27103</v>
      </c>
      <c r="U457" s="8">
        <v>1825278</v>
      </c>
      <c r="W457" s="8">
        <v>629112</v>
      </c>
      <c r="Y457" s="8">
        <v>0</v>
      </c>
      <c r="AA457" s="8">
        <v>1931543</v>
      </c>
      <c r="AC457" s="8">
        <v>1808953</v>
      </c>
      <c r="AE457" s="8">
        <v>8014</v>
      </c>
      <c r="AG457" s="8">
        <v>0</v>
      </c>
      <c r="AI457" s="8">
        <v>0</v>
      </c>
      <c r="AJ457" s="13" t="s">
        <v>254</v>
      </c>
      <c r="AK457" s="13"/>
      <c r="AL457" s="13" t="s">
        <v>246</v>
      </c>
      <c r="AN457" s="8">
        <v>472311</v>
      </c>
      <c r="AP457" s="8">
        <v>890594</v>
      </c>
      <c r="AT457" s="8">
        <v>140492</v>
      </c>
      <c r="AV457" s="8">
        <v>51833</v>
      </c>
      <c r="AX457" s="8">
        <v>0</v>
      </c>
      <c r="AZ457" s="8">
        <f t="shared" si="36"/>
        <v>21990215</v>
      </c>
      <c r="BB457" s="8">
        <v>0</v>
      </c>
      <c r="BH457" s="8">
        <v>0</v>
      </c>
      <c r="BJ457" s="8">
        <f t="shared" si="35"/>
        <v>21990215</v>
      </c>
      <c r="BL457" s="8">
        <f>+GenRev!AM457-GenExp!BJ457</f>
        <v>166727</v>
      </c>
      <c r="BN457" s="8">
        <v>2288876</v>
      </c>
      <c r="BP457" s="8">
        <v>0</v>
      </c>
      <c r="BQ457" s="8">
        <v>0</v>
      </c>
      <c r="BS457" s="8">
        <f t="shared" si="34"/>
        <v>2455603</v>
      </c>
      <c r="BU457" s="9">
        <f>+BS457-'Gen Fd BS'!AA457+BQ457</f>
        <v>0</v>
      </c>
      <c r="BW457" s="45"/>
    </row>
    <row r="458" spans="1:75" ht="12" customHeight="1">
      <c r="A458" s="13" t="s">
        <v>745</v>
      </c>
      <c r="B458" s="13"/>
      <c r="C458" s="13" t="s">
        <v>72</v>
      </c>
      <c r="D458" s="13"/>
      <c r="E458" s="13">
        <v>45609</v>
      </c>
      <c r="F458" s="11"/>
      <c r="G458" s="8">
        <v>10334936</v>
      </c>
      <c r="I458" s="8">
        <v>1825159</v>
      </c>
      <c r="K458" s="8">
        <v>248650</v>
      </c>
      <c r="M458" s="8">
        <v>23675</v>
      </c>
      <c r="O458" s="8">
        <v>1652488</v>
      </c>
      <c r="Q458" s="8">
        <v>1084434</v>
      </c>
      <c r="S458" s="8">
        <v>57706</v>
      </c>
      <c r="U458" s="8">
        <v>1771827</v>
      </c>
      <c r="W458" s="8">
        <v>495152</v>
      </c>
      <c r="Y458" s="8">
        <v>114697</v>
      </c>
      <c r="AA458" s="8">
        <v>2834750</v>
      </c>
      <c r="AC458" s="8">
        <v>886686</v>
      </c>
      <c r="AE458" s="8">
        <v>459709</v>
      </c>
      <c r="AG458" s="8">
        <v>0</v>
      </c>
      <c r="AI458" s="8">
        <v>76271</v>
      </c>
      <c r="AJ458" s="13" t="s">
        <v>745</v>
      </c>
      <c r="AK458" s="13"/>
      <c r="AL458" s="13" t="s">
        <v>72</v>
      </c>
      <c r="AN458" s="8">
        <v>459147</v>
      </c>
      <c r="AP458" s="8">
        <v>5177</v>
      </c>
      <c r="AT458" s="8">
        <v>0</v>
      </c>
      <c r="AV458" s="8">
        <v>0</v>
      </c>
      <c r="AX458" s="8">
        <v>0</v>
      </c>
      <c r="AZ458" s="8">
        <f>SUM(G458:AX458)</f>
        <v>22330464</v>
      </c>
      <c r="BB458" s="8">
        <v>17375</v>
      </c>
      <c r="BH458" s="8">
        <v>0</v>
      </c>
      <c r="BJ458" s="8">
        <f>+AZ458+BB458+BD458+BH458</f>
        <v>22347839</v>
      </c>
      <c r="BL458" s="8">
        <f>+GenRev!AM458-GenExp!BJ458</f>
        <v>848057</v>
      </c>
      <c r="BN458" s="8">
        <v>8840930</v>
      </c>
      <c r="BP458" s="8">
        <v>0</v>
      </c>
      <c r="BQ458" s="8">
        <v>0</v>
      </c>
      <c r="BS458" s="8">
        <f>+BN458+BL458-BP458</f>
        <v>9688987</v>
      </c>
      <c r="BU458" s="9">
        <f>+BS458-'Gen Fd BS'!AA458+BQ458</f>
        <v>0</v>
      </c>
    </row>
    <row r="459" spans="1:75">
      <c r="A459" s="13" t="s">
        <v>651</v>
      </c>
      <c r="B459" s="13"/>
      <c r="C459" s="13" t="s">
        <v>61</v>
      </c>
      <c r="D459" s="13"/>
      <c r="E459" s="13">
        <v>49817</v>
      </c>
      <c r="G459" s="8">
        <v>1901221</v>
      </c>
      <c r="I459" s="8">
        <v>399798</v>
      </c>
      <c r="K459" s="8">
        <v>278</v>
      </c>
      <c r="M459" s="8">
        <v>9738</v>
      </c>
      <c r="O459" s="8">
        <v>86712</v>
      </c>
      <c r="Q459" s="8">
        <v>105556</v>
      </c>
      <c r="S459" s="8">
        <v>9672</v>
      </c>
      <c r="U459" s="8">
        <v>336070</v>
      </c>
      <c r="W459" s="8">
        <v>127335</v>
      </c>
      <c r="Y459" s="8">
        <v>935</v>
      </c>
      <c r="AA459" s="8">
        <v>397282</v>
      </c>
      <c r="AC459" s="8">
        <v>223245</v>
      </c>
      <c r="AE459" s="8">
        <v>101433</v>
      </c>
      <c r="AG459" s="8">
        <v>0</v>
      </c>
      <c r="AI459" s="8">
        <v>5456</v>
      </c>
      <c r="AJ459" s="13" t="s">
        <v>651</v>
      </c>
      <c r="AK459" s="13"/>
      <c r="AL459" s="13" t="s">
        <v>61</v>
      </c>
      <c r="AN459" s="8">
        <v>124268</v>
      </c>
      <c r="AP459" s="8">
        <v>0</v>
      </c>
      <c r="AT459" s="8">
        <v>0</v>
      </c>
      <c r="AV459" s="8">
        <v>0</v>
      </c>
      <c r="AX459" s="8">
        <v>0</v>
      </c>
      <c r="AZ459" s="8">
        <f>SUM(G459:AX459)</f>
        <v>3828999</v>
      </c>
      <c r="BB459" s="8">
        <v>10000</v>
      </c>
      <c r="BH459" s="8">
        <v>0</v>
      </c>
      <c r="BJ459" s="8">
        <f>+AZ459+BB459+BD459+BH459</f>
        <v>3838999</v>
      </c>
      <c r="BL459" s="8">
        <f>+GenRev!AM459-GenExp!BJ459</f>
        <v>7026</v>
      </c>
      <c r="BN459" s="8">
        <v>1007480</v>
      </c>
      <c r="BP459" s="8">
        <v>0</v>
      </c>
      <c r="BQ459" s="8">
        <v>0</v>
      </c>
      <c r="BS459" s="8">
        <f>+BN459+BL459-BP459</f>
        <v>1014506</v>
      </c>
      <c r="BU459" s="9">
        <f>+BS459-'Gen Fd BS'!AA459+BQ459</f>
        <v>0</v>
      </c>
    </row>
    <row r="460" spans="1:75">
      <c r="A460" s="12" t="s">
        <v>839</v>
      </c>
      <c r="B460" s="12"/>
      <c r="C460" s="12" t="s">
        <v>115</v>
      </c>
      <c r="D460" s="12"/>
      <c r="E460" s="32"/>
      <c r="G460" s="8">
        <v>7090323</v>
      </c>
      <c r="I460" s="8">
        <v>1682229</v>
      </c>
      <c r="K460" s="8">
        <v>500031</v>
      </c>
      <c r="M460" s="8">
        <v>1645625</v>
      </c>
      <c r="O460" s="8">
        <v>748217</v>
      </c>
      <c r="Q460" s="8">
        <v>521046</v>
      </c>
      <c r="S460" s="8">
        <v>20060</v>
      </c>
      <c r="U460" s="8">
        <v>1307334</v>
      </c>
      <c r="W460" s="8">
        <v>659876</v>
      </c>
      <c r="Y460" s="8">
        <v>11794</v>
      </c>
      <c r="AA460" s="8">
        <v>1806914</v>
      </c>
      <c r="AC460" s="8">
        <v>650721</v>
      </c>
      <c r="AE460" s="8">
        <v>191397</v>
      </c>
      <c r="AG460" s="8">
        <v>0</v>
      </c>
      <c r="AI460" s="8">
        <v>2008</v>
      </c>
      <c r="AJ460" s="13" t="s">
        <v>814</v>
      </c>
      <c r="AK460" s="13"/>
      <c r="AL460" s="13" t="s">
        <v>115</v>
      </c>
      <c r="AN460" s="8">
        <v>351713</v>
      </c>
      <c r="AP460" s="8">
        <v>0</v>
      </c>
      <c r="AT460" s="8">
        <v>433000</v>
      </c>
      <c r="AV460" s="8">
        <v>45838</v>
      </c>
      <c r="AX460" s="8">
        <v>0</v>
      </c>
      <c r="AZ460" s="8">
        <f t="shared" ref="AZ460:AZ476" si="37">SUM(G460:AX460)</f>
        <v>17668126</v>
      </c>
      <c r="BB460" s="8">
        <v>35986</v>
      </c>
      <c r="BH460" s="8">
        <v>0</v>
      </c>
      <c r="BJ460" s="8">
        <f t="shared" ref="BJ460:BJ508" si="38">+AZ460+BB460+BD460+BH460</f>
        <v>17704112</v>
      </c>
      <c r="BL460" s="8">
        <f>+GenRev!AM460-GenExp!BJ460</f>
        <v>1435951</v>
      </c>
      <c r="BN460" s="8">
        <v>-2070665</v>
      </c>
      <c r="BP460" s="8">
        <v>0</v>
      </c>
      <c r="BQ460" s="8">
        <v>0</v>
      </c>
      <c r="BS460" s="8">
        <f t="shared" ref="BS460:BS508" si="39">+BN460+BL460-BP460</f>
        <v>-634714</v>
      </c>
      <c r="BU460" s="9">
        <f>+BS460-'Gen Fd BS'!AA460+BQ460</f>
        <v>0</v>
      </c>
    </row>
    <row r="461" spans="1:75">
      <c r="A461" s="13" t="s">
        <v>345</v>
      </c>
      <c r="B461" s="13"/>
      <c r="C461" s="13" t="s">
        <v>24</v>
      </c>
      <c r="D461" s="13"/>
      <c r="E461" s="32">
        <v>44743</v>
      </c>
      <c r="G461" s="8">
        <v>14944938</v>
      </c>
      <c r="I461" s="8">
        <v>6669305</v>
      </c>
      <c r="K461" s="8">
        <v>1630137</v>
      </c>
      <c r="M461" s="8">
        <v>8070</v>
      </c>
      <c r="O461" s="8">
        <v>1913857</v>
      </c>
      <c r="Q461" s="8">
        <v>1224034</v>
      </c>
      <c r="S461" s="8">
        <v>225384</v>
      </c>
      <c r="U461" s="8">
        <v>3098892</v>
      </c>
      <c r="W461" s="8">
        <v>814535</v>
      </c>
      <c r="Y461" s="8">
        <v>170505</v>
      </c>
      <c r="AA461" s="8">
        <v>3781806</v>
      </c>
      <c r="AC461" s="8">
        <v>1502291</v>
      </c>
      <c r="AE461" s="8">
        <v>579684</v>
      </c>
      <c r="AG461" s="8">
        <v>0</v>
      </c>
      <c r="AI461" s="8">
        <v>0</v>
      </c>
      <c r="AJ461" s="13" t="s">
        <v>345</v>
      </c>
      <c r="AK461" s="13"/>
      <c r="AL461" s="13" t="s">
        <v>24</v>
      </c>
      <c r="AN461" s="8">
        <v>1011337</v>
      </c>
      <c r="AP461" s="8">
        <v>0</v>
      </c>
      <c r="AT461" s="8">
        <v>240629</v>
      </c>
      <c r="AV461" s="8">
        <v>35073</v>
      </c>
      <c r="AX461" s="8">
        <v>0</v>
      </c>
      <c r="AZ461" s="8">
        <f t="shared" si="37"/>
        <v>37850477</v>
      </c>
      <c r="BB461" s="8">
        <v>166354</v>
      </c>
      <c r="BH461" s="8">
        <v>0</v>
      </c>
      <c r="BJ461" s="8">
        <f t="shared" si="38"/>
        <v>38016831</v>
      </c>
      <c r="BL461" s="8">
        <f>+GenRev!AM461-GenExp!BJ461</f>
        <v>139525</v>
      </c>
      <c r="BN461" s="8">
        <v>1424956</v>
      </c>
      <c r="BP461" s="8">
        <v>2186</v>
      </c>
      <c r="BQ461" s="8">
        <v>0</v>
      </c>
      <c r="BS461" s="8">
        <f t="shared" si="39"/>
        <v>1562295</v>
      </c>
      <c r="BU461" s="9">
        <f>+BS461-'Gen Fd BS'!AA461+BQ461</f>
        <v>0</v>
      </c>
    </row>
    <row r="462" spans="1:75">
      <c r="A462" s="13" t="s">
        <v>665</v>
      </c>
      <c r="B462" s="13"/>
      <c r="C462" s="13" t="s">
        <v>62</v>
      </c>
      <c r="D462" s="13"/>
      <c r="E462" s="32">
        <v>49940</v>
      </c>
      <c r="G462" s="8">
        <v>5076660</v>
      </c>
      <c r="I462" s="8">
        <v>1704752</v>
      </c>
      <c r="K462" s="8">
        <v>331109</v>
      </c>
      <c r="M462" s="8">
        <v>252125</v>
      </c>
      <c r="O462" s="8">
        <v>1065972</v>
      </c>
      <c r="Q462" s="8">
        <v>141922</v>
      </c>
      <c r="S462" s="8">
        <v>11084</v>
      </c>
      <c r="U462" s="8">
        <v>1139376</v>
      </c>
      <c r="W462" s="8">
        <v>330863</v>
      </c>
      <c r="Y462" s="8">
        <v>48810</v>
      </c>
      <c r="AA462" s="8">
        <v>812885</v>
      </c>
      <c r="AC462" s="8">
        <v>905002</v>
      </c>
      <c r="AE462" s="8">
        <v>24590</v>
      </c>
      <c r="AG462" s="8">
        <v>0</v>
      </c>
      <c r="AI462" s="8">
        <v>0</v>
      </c>
      <c r="AJ462" s="13" t="s">
        <v>665</v>
      </c>
      <c r="AK462" s="13"/>
      <c r="AL462" s="13" t="s">
        <v>62</v>
      </c>
      <c r="AN462" s="8">
        <v>304396</v>
      </c>
      <c r="AP462" s="8">
        <v>0</v>
      </c>
      <c r="AT462" s="8">
        <v>0</v>
      </c>
      <c r="AV462" s="8">
        <v>0</v>
      </c>
      <c r="AX462" s="8">
        <v>0</v>
      </c>
      <c r="AZ462" s="8">
        <f t="shared" si="37"/>
        <v>12149546</v>
      </c>
      <c r="BB462" s="8">
        <v>0</v>
      </c>
      <c r="BH462" s="8">
        <v>0</v>
      </c>
      <c r="BJ462" s="8">
        <f t="shared" si="38"/>
        <v>12149546</v>
      </c>
      <c r="BL462" s="8">
        <f>+GenRev!AM462-GenExp!BJ462</f>
        <v>101711</v>
      </c>
      <c r="BN462" s="8">
        <v>730409</v>
      </c>
      <c r="BP462" s="8">
        <v>0</v>
      </c>
      <c r="BQ462" s="8">
        <v>0</v>
      </c>
      <c r="BS462" s="8">
        <f t="shared" si="39"/>
        <v>832120</v>
      </c>
      <c r="BU462" s="9">
        <f>+BS462-'Gen Fd BS'!AA462+BQ462</f>
        <v>0</v>
      </c>
    </row>
    <row r="463" spans="1:75">
      <c r="A463" s="13" t="s">
        <v>592</v>
      </c>
      <c r="B463" s="13"/>
      <c r="C463" s="13" t="s">
        <v>55</v>
      </c>
      <c r="D463" s="13"/>
      <c r="E463" s="32">
        <v>49130</v>
      </c>
      <c r="G463" s="8">
        <v>5084732</v>
      </c>
      <c r="I463" s="8">
        <v>1133598</v>
      </c>
      <c r="K463" s="8">
        <v>0</v>
      </c>
      <c r="M463" s="8">
        <v>8169</v>
      </c>
      <c r="O463" s="8">
        <v>241867</v>
      </c>
      <c r="Q463" s="8">
        <v>346444</v>
      </c>
      <c r="S463" s="8">
        <v>16983</v>
      </c>
      <c r="U463" s="8">
        <v>1946241</v>
      </c>
      <c r="W463" s="8">
        <v>298844</v>
      </c>
      <c r="Y463" s="8">
        <v>0</v>
      </c>
      <c r="AA463" s="8">
        <v>1835195</v>
      </c>
      <c r="AC463" s="8">
        <v>1463631</v>
      </c>
      <c r="AE463" s="8">
        <v>97502</v>
      </c>
      <c r="AG463" s="8">
        <v>0</v>
      </c>
      <c r="AI463" s="8">
        <v>0</v>
      </c>
      <c r="AJ463" s="13" t="s">
        <v>592</v>
      </c>
      <c r="AK463" s="13"/>
      <c r="AL463" s="13" t="s">
        <v>55</v>
      </c>
      <c r="AN463" s="8">
        <v>273620</v>
      </c>
      <c r="AP463" s="8">
        <v>0</v>
      </c>
      <c r="AT463" s="8">
        <v>0</v>
      </c>
      <c r="AV463" s="8">
        <v>0</v>
      </c>
      <c r="AX463" s="8">
        <v>0</v>
      </c>
      <c r="AZ463" s="8">
        <f t="shared" si="37"/>
        <v>12746826</v>
      </c>
      <c r="BB463" s="8">
        <v>74538</v>
      </c>
      <c r="BH463" s="8">
        <v>0</v>
      </c>
      <c r="BJ463" s="8">
        <f t="shared" si="38"/>
        <v>12821364</v>
      </c>
      <c r="BL463" s="8">
        <f>+GenRev!AM463-GenExp!BJ463</f>
        <v>315793</v>
      </c>
      <c r="BN463" s="8">
        <v>6297904</v>
      </c>
      <c r="BP463" s="8">
        <v>0</v>
      </c>
      <c r="BQ463" s="8">
        <v>0</v>
      </c>
      <c r="BS463" s="8">
        <f t="shared" si="39"/>
        <v>6613697</v>
      </c>
      <c r="BU463" s="9">
        <f>+BS463-'Gen Fd BS'!AA463+BQ463</f>
        <v>0</v>
      </c>
    </row>
    <row r="464" spans="1:75">
      <c r="A464" s="13" t="s">
        <v>521</v>
      </c>
      <c r="B464" s="13"/>
      <c r="C464" s="13" t="s">
        <v>45</v>
      </c>
      <c r="D464" s="13"/>
      <c r="E464" s="32">
        <v>48355</v>
      </c>
      <c r="G464" s="8">
        <v>2323004</v>
      </c>
      <c r="I464" s="8">
        <v>1287607</v>
      </c>
      <c r="K464" s="8">
        <v>0</v>
      </c>
      <c r="M464" s="8">
        <v>0</v>
      </c>
      <c r="O464" s="8">
        <v>152327</v>
      </c>
      <c r="Q464" s="8">
        <v>228132</v>
      </c>
      <c r="S464" s="8">
        <v>21276</v>
      </c>
      <c r="U464" s="8">
        <v>645365</v>
      </c>
      <c r="W464" s="8">
        <v>263896</v>
      </c>
      <c r="Y464" s="8">
        <v>0</v>
      </c>
      <c r="AA464" s="8">
        <v>693752</v>
      </c>
      <c r="AC464" s="8">
        <v>111161</v>
      </c>
      <c r="AE464" s="8">
        <v>1234</v>
      </c>
      <c r="AG464" s="8">
        <v>0</v>
      </c>
      <c r="AI464" s="8">
        <v>0</v>
      </c>
      <c r="AJ464" s="13" t="s">
        <v>521</v>
      </c>
      <c r="AK464" s="13"/>
      <c r="AL464" s="13" t="s">
        <v>45</v>
      </c>
      <c r="AN464" s="8">
        <v>131809</v>
      </c>
      <c r="AP464" s="8">
        <v>114491</v>
      </c>
      <c r="AT464" s="8">
        <v>0</v>
      </c>
      <c r="AV464" s="8">
        <v>0</v>
      </c>
      <c r="AX464" s="8">
        <v>0</v>
      </c>
      <c r="AZ464" s="8">
        <f t="shared" si="37"/>
        <v>5974054</v>
      </c>
      <c r="BB464" s="8">
        <v>0</v>
      </c>
      <c r="BH464" s="8">
        <v>0</v>
      </c>
      <c r="BJ464" s="8">
        <f>+AZ464+BB464+BD464+BH464</f>
        <v>5974054</v>
      </c>
      <c r="BL464" s="8">
        <f>+GenRev!AM464-GenExp!BJ464</f>
        <v>379094</v>
      </c>
      <c r="BN464" s="8">
        <v>235702</v>
      </c>
      <c r="BP464" s="8">
        <v>0</v>
      </c>
      <c r="BQ464" s="8">
        <v>0</v>
      </c>
      <c r="BS464" s="8">
        <f t="shared" si="39"/>
        <v>614796</v>
      </c>
      <c r="BU464" s="9">
        <f>+BS464-'Gen Fd BS'!AA464+BQ464</f>
        <v>0</v>
      </c>
    </row>
    <row r="465" spans="1:73">
      <c r="A465" s="13" t="s">
        <v>644</v>
      </c>
      <c r="B465" s="13"/>
      <c r="C465" s="13" t="s">
        <v>60</v>
      </c>
      <c r="D465" s="13"/>
      <c r="E465" s="32">
        <v>49684</v>
      </c>
      <c r="G465" s="8">
        <v>3881858</v>
      </c>
      <c r="I465" s="8">
        <v>724448</v>
      </c>
      <c r="K465" s="8">
        <v>148257</v>
      </c>
      <c r="M465" s="8">
        <v>0</v>
      </c>
      <c r="O465" s="8">
        <v>92894</v>
      </c>
      <c r="Q465" s="8">
        <v>259672</v>
      </c>
      <c r="S465" s="8">
        <v>20542</v>
      </c>
      <c r="U465" s="8">
        <v>561489</v>
      </c>
      <c r="W465" s="8">
        <v>256478</v>
      </c>
      <c r="Y465" s="8">
        <v>0</v>
      </c>
      <c r="AA465" s="8">
        <v>739545</v>
      </c>
      <c r="AC465" s="8">
        <v>595442</v>
      </c>
      <c r="AE465" s="8">
        <v>0</v>
      </c>
      <c r="AG465" s="8">
        <v>0</v>
      </c>
      <c r="AI465" s="8">
        <v>0</v>
      </c>
      <c r="AJ465" s="13" t="s">
        <v>644</v>
      </c>
      <c r="AK465" s="13"/>
      <c r="AL465" s="13" t="s">
        <v>60</v>
      </c>
      <c r="AN465" s="8">
        <v>180138</v>
      </c>
      <c r="AP465" s="8">
        <v>11359</v>
      </c>
      <c r="AT465" s="8">
        <v>18117</v>
      </c>
      <c r="AV465" s="8">
        <v>1495</v>
      </c>
      <c r="AX465" s="8">
        <v>0</v>
      </c>
      <c r="AZ465" s="8">
        <f t="shared" si="37"/>
        <v>7491734</v>
      </c>
      <c r="BB465" s="8">
        <v>121500</v>
      </c>
      <c r="BH465" s="8">
        <v>0</v>
      </c>
      <c r="BJ465" s="8">
        <f t="shared" si="38"/>
        <v>7613234</v>
      </c>
      <c r="BL465" s="8">
        <f>+GenRev!AM465-GenExp!BJ465</f>
        <v>91200</v>
      </c>
      <c r="BN465" s="8">
        <v>675700</v>
      </c>
      <c r="BP465" s="8">
        <v>0</v>
      </c>
      <c r="BQ465" s="8">
        <v>0</v>
      </c>
      <c r="BS465" s="8">
        <f>+BN465+BL465-BP465</f>
        <v>766900</v>
      </c>
      <c r="BU465" s="9">
        <f>+BS465-'Gen Fd BS'!AA465+BQ465</f>
        <v>0</v>
      </c>
    </row>
    <row r="466" spans="1:73">
      <c r="A466" s="13" t="s">
        <v>237</v>
      </c>
      <c r="B466" s="13"/>
      <c r="C466" s="13" t="s">
        <v>15</v>
      </c>
      <c r="D466" s="13"/>
      <c r="E466" s="32">
        <v>46003</v>
      </c>
      <c r="G466" s="8">
        <v>3186565</v>
      </c>
      <c r="I466" s="8">
        <v>442997</v>
      </c>
      <c r="K466" s="8">
        <v>17112</v>
      </c>
      <c r="M466" s="8">
        <v>0</v>
      </c>
      <c r="O466" s="8">
        <v>236296</v>
      </c>
      <c r="Q466" s="8">
        <v>123441</v>
      </c>
      <c r="S466" s="8">
        <v>19629</v>
      </c>
      <c r="U466" s="8">
        <v>618672</v>
      </c>
      <c r="W466" s="8">
        <v>248349</v>
      </c>
      <c r="Y466" s="8">
        <v>0</v>
      </c>
      <c r="AA466" s="8">
        <v>597531</v>
      </c>
      <c r="AC466" s="8">
        <v>170459</v>
      </c>
      <c r="AE466" s="8">
        <v>0</v>
      </c>
      <c r="AG466" s="8">
        <v>0</v>
      </c>
      <c r="AI466" s="8">
        <v>0</v>
      </c>
      <c r="AJ466" s="13" t="s">
        <v>237</v>
      </c>
      <c r="AK466" s="13"/>
      <c r="AL466" s="13" t="s">
        <v>15</v>
      </c>
      <c r="AN466" s="8">
        <v>75485</v>
      </c>
      <c r="AP466" s="8">
        <v>0</v>
      </c>
      <c r="AT466" s="8">
        <v>28866</v>
      </c>
      <c r="AV466" s="8">
        <v>3306</v>
      </c>
      <c r="AX466" s="8">
        <v>0</v>
      </c>
      <c r="AZ466" s="8">
        <f t="shared" si="37"/>
        <v>5768708</v>
      </c>
      <c r="BB466" s="8">
        <v>109211</v>
      </c>
      <c r="BH466" s="8">
        <v>0</v>
      </c>
      <c r="BJ466" s="8">
        <f t="shared" si="38"/>
        <v>5877919</v>
      </c>
      <c r="BL466" s="8">
        <f>+GenRev!AM466-GenExp!BJ466</f>
        <v>597486</v>
      </c>
      <c r="BN466" s="8">
        <v>153319</v>
      </c>
      <c r="BP466" s="8">
        <v>0</v>
      </c>
      <c r="BQ466" s="8">
        <v>0</v>
      </c>
      <c r="BS466" s="8">
        <f t="shared" si="39"/>
        <v>750805</v>
      </c>
      <c r="BU466" s="9">
        <f>+BS466-'Gen Fd BS'!AA466+BQ466</f>
        <v>0</v>
      </c>
    </row>
    <row r="467" spans="1:73">
      <c r="A467" s="13" t="s">
        <v>324</v>
      </c>
      <c r="B467" s="13"/>
      <c r="C467" s="13" t="s">
        <v>20</v>
      </c>
      <c r="D467" s="13"/>
      <c r="E467" s="32">
        <v>44750</v>
      </c>
      <c r="G467" s="8">
        <v>32722380</v>
      </c>
      <c r="I467" s="8">
        <v>10670896</v>
      </c>
      <c r="K467" s="8">
        <v>222870</v>
      </c>
      <c r="M467" s="8">
        <v>0</v>
      </c>
      <c r="O467" s="8">
        <v>5395873</v>
      </c>
      <c r="Q467" s="8">
        <v>4222436</v>
      </c>
      <c r="S467" s="8">
        <v>29232</v>
      </c>
      <c r="U467" s="8">
        <f>5901551-14375</f>
        <v>5887176</v>
      </c>
      <c r="W467" s="8">
        <f>1630945-91878</f>
        <v>1539067</v>
      </c>
      <c r="Y467" s="8">
        <f>906739-12881</f>
        <v>893858</v>
      </c>
      <c r="AA467" s="8">
        <f>12186506-27118</f>
        <v>12159388</v>
      </c>
      <c r="AC467" s="8">
        <v>4191485</v>
      </c>
      <c r="AE467" s="8">
        <v>1577097</v>
      </c>
      <c r="AG467" s="8">
        <v>0</v>
      </c>
      <c r="AI467" s="8">
        <v>50669</v>
      </c>
      <c r="AJ467" s="13" t="s">
        <v>324</v>
      </c>
      <c r="AK467" s="13"/>
      <c r="AL467" s="13" t="s">
        <v>20</v>
      </c>
      <c r="AN467" s="8">
        <f>1217636-224885</f>
        <v>992751</v>
      </c>
      <c r="AP467" s="8">
        <v>0</v>
      </c>
      <c r="AT467" s="8">
        <v>0</v>
      </c>
      <c r="AV467" s="8">
        <v>0</v>
      </c>
      <c r="AX467" s="8">
        <v>0</v>
      </c>
      <c r="AZ467" s="8">
        <f t="shared" si="37"/>
        <v>80555178</v>
      </c>
      <c r="BB467" s="8">
        <v>175000</v>
      </c>
      <c r="BH467" s="8">
        <v>0</v>
      </c>
      <c r="BJ467" s="8">
        <f t="shared" si="38"/>
        <v>80730178</v>
      </c>
      <c r="BL467" s="8">
        <f>+GenRev!AM467-GenExp!BJ467</f>
        <v>9171826</v>
      </c>
      <c r="BN467" s="8">
        <v>14776634</v>
      </c>
      <c r="BP467" s="8">
        <v>0</v>
      </c>
      <c r="BQ467" s="8">
        <v>0</v>
      </c>
      <c r="BS467" s="8">
        <f t="shared" si="39"/>
        <v>23948460</v>
      </c>
      <c r="BU467" s="9">
        <f>+BS467-'Gen Fd BS'!AA467+BQ467</f>
        <v>0</v>
      </c>
    </row>
    <row r="468" spans="1:73">
      <c r="A468" s="13" t="s">
        <v>500</v>
      </c>
      <c r="B468" s="13"/>
      <c r="C468" s="13" t="s">
        <v>44</v>
      </c>
      <c r="D468" s="13"/>
      <c r="E468" s="32">
        <v>44768</v>
      </c>
      <c r="G468" s="8">
        <v>7642023</v>
      </c>
      <c r="I468" s="8">
        <v>1692613</v>
      </c>
      <c r="K468" s="8">
        <v>194167</v>
      </c>
      <c r="M468" s="8">
        <v>168311</v>
      </c>
      <c r="O468" s="8">
        <v>887438</v>
      </c>
      <c r="Q468" s="8">
        <v>561935</v>
      </c>
      <c r="S468" s="8">
        <v>29979</v>
      </c>
      <c r="U468" s="8">
        <v>1298702</v>
      </c>
      <c r="W468" s="8">
        <v>498764</v>
      </c>
      <c r="Y468" s="8">
        <v>155208</v>
      </c>
      <c r="Z468" s="8" t="s">
        <v>771</v>
      </c>
      <c r="AA468" s="8">
        <v>1640038</v>
      </c>
      <c r="AC468" s="8">
        <v>823878</v>
      </c>
      <c r="AE468" s="8">
        <v>185534</v>
      </c>
      <c r="AG468" s="8">
        <v>0</v>
      </c>
      <c r="AI468" s="8">
        <v>0</v>
      </c>
      <c r="AJ468" s="13" t="s">
        <v>500</v>
      </c>
      <c r="AK468" s="13"/>
      <c r="AL468" s="13" t="s">
        <v>44</v>
      </c>
      <c r="AN468" s="8">
        <v>282365</v>
      </c>
      <c r="AP468" s="8">
        <v>0</v>
      </c>
      <c r="AT468" s="8">
        <v>0</v>
      </c>
      <c r="AV468" s="8">
        <v>0</v>
      </c>
      <c r="AX468" s="8">
        <v>0</v>
      </c>
      <c r="AZ468" s="8">
        <f t="shared" si="37"/>
        <v>16060955</v>
      </c>
      <c r="BB468" s="8">
        <v>1227973</v>
      </c>
      <c r="BH468" s="8">
        <v>0</v>
      </c>
      <c r="BJ468" s="8">
        <f t="shared" si="38"/>
        <v>17288928</v>
      </c>
      <c r="BL468" s="8">
        <f>+GenRev!AM468-GenExp!BJ468</f>
        <v>2009198</v>
      </c>
      <c r="BN468" s="8">
        <v>5114675</v>
      </c>
      <c r="BP468" s="8">
        <v>0</v>
      </c>
      <c r="BQ468" s="8">
        <v>0</v>
      </c>
      <c r="BS468" s="8">
        <f t="shared" si="39"/>
        <v>7123873</v>
      </c>
      <c r="BU468" s="9">
        <f>+BS468-'Gen Fd BS'!AA468+BQ468</f>
        <v>0</v>
      </c>
    </row>
    <row r="469" spans="1:73">
      <c r="A469" s="13" t="s">
        <v>620</v>
      </c>
      <c r="B469" s="13"/>
      <c r="C469" s="13" t="s">
        <v>113</v>
      </c>
      <c r="D469" s="13"/>
      <c r="E469" s="32">
        <v>44776</v>
      </c>
      <c r="F469" s="11"/>
      <c r="G469" s="8">
        <v>8203917</v>
      </c>
      <c r="I469" s="8">
        <v>1879285</v>
      </c>
      <c r="K469" s="8">
        <v>193123</v>
      </c>
      <c r="M469" s="8">
        <v>0</v>
      </c>
      <c r="O469" s="8">
        <v>809337</v>
      </c>
      <c r="Q469" s="8">
        <v>775528</v>
      </c>
      <c r="S469" s="8">
        <v>34691</v>
      </c>
      <c r="U469" s="8">
        <v>1309619</v>
      </c>
      <c r="W469" s="8">
        <v>714889</v>
      </c>
      <c r="Y469" s="8">
        <v>0</v>
      </c>
      <c r="AA469" s="8">
        <v>2290371</v>
      </c>
      <c r="AC469" s="8">
        <v>750684</v>
      </c>
      <c r="AE469" s="8">
        <v>45407</v>
      </c>
      <c r="AG469" s="8">
        <v>0</v>
      </c>
      <c r="AI469" s="8">
        <v>0</v>
      </c>
      <c r="AJ469" s="13" t="s">
        <v>620</v>
      </c>
      <c r="AK469" s="13"/>
      <c r="AL469" s="13" t="s">
        <v>113</v>
      </c>
      <c r="AN469" s="8">
        <v>413659</v>
      </c>
      <c r="AP469" s="8">
        <v>0</v>
      </c>
      <c r="AT469" s="8">
        <v>183594</v>
      </c>
      <c r="AV469" s="8">
        <v>63287</v>
      </c>
      <c r="AX469" s="8">
        <v>0</v>
      </c>
      <c r="AZ469" s="8">
        <f t="shared" si="37"/>
        <v>17667391</v>
      </c>
      <c r="BB469" s="8">
        <v>42356</v>
      </c>
      <c r="BH469" s="8">
        <v>0</v>
      </c>
      <c r="BJ469" s="8">
        <f t="shared" si="38"/>
        <v>17709747</v>
      </c>
      <c r="BL469" s="8">
        <f>+GenRev!AM469-GenExp!BJ469</f>
        <v>2654176</v>
      </c>
      <c r="BN469" s="8">
        <v>-210670</v>
      </c>
      <c r="BP469" s="8">
        <v>0</v>
      </c>
      <c r="BQ469" s="8">
        <v>0</v>
      </c>
      <c r="BS469" s="8">
        <f t="shared" si="39"/>
        <v>2443506</v>
      </c>
      <c r="BU469" s="9">
        <f>+BS469-'Gen Fd BS'!AA469+BQ469</f>
        <v>0</v>
      </c>
    </row>
    <row r="470" spans="1:73" hidden="1">
      <c r="A470" s="13" t="s">
        <v>652</v>
      </c>
      <c r="B470" s="13"/>
      <c r="C470" s="13" t="s">
        <v>61</v>
      </c>
      <c r="D470" s="13"/>
      <c r="E470" s="32">
        <v>44784</v>
      </c>
      <c r="AG470" s="8">
        <v>0</v>
      </c>
      <c r="AI470" s="8">
        <v>0</v>
      </c>
      <c r="AJ470" s="13" t="s">
        <v>652</v>
      </c>
      <c r="AK470" s="13"/>
      <c r="AL470" s="13" t="s">
        <v>61</v>
      </c>
      <c r="AP470" s="8">
        <v>0</v>
      </c>
      <c r="AT470" s="8">
        <v>0</v>
      </c>
      <c r="AV470" s="8">
        <v>0</v>
      </c>
      <c r="AX470" s="8">
        <v>0</v>
      </c>
      <c r="AZ470" s="8">
        <f t="shared" si="37"/>
        <v>0</v>
      </c>
      <c r="BH470" s="8">
        <v>0</v>
      </c>
      <c r="BJ470" s="8">
        <f t="shared" si="38"/>
        <v>0</v>
      </c>
      <c r="BL470" s="8">
        <f>+GenRev!AM470-GenExp!BJ470</f>
        <v>0</v>
      </c>
      <c r="BN470" s="8">
        <v>0</v>
      </c>
      <c r="BP470" s="8">
        <v>0</v>
      </c>
      <c r="BQ470" s="8">
        <v>0</v>
      </c>
      <c r="BS470" s="8">
        <f t="shared" si="39"/>
        <v>0</v>
      </c>
      <c r="BU470" s="9">
        <f>+BS470-'Gen Fd BS'!AA470+BQ470</f>
        <v>0</v>
      </c>
    </row>
    <row r="471" spans="1:73">
      <c r="A471" s="13" t="s">
        <v>325</v>
      </c>
      <c r="B471" s="13"/>
      <c r="C471" s="13" t="s">
        <v>20</v>
      </c>
      <c r="D471" s="13"/>
      <c r="E471" s="32">
        <v>46607</v>
      </c>
      <c r="F471" s="11"/>
      <c r="G471" s="8">
        <v>30600489</v>
      </c>
      <c r="I471" s="8">
        <v>6724908</v>
      </c>
      <c r="K471" s="8">
        <v>653556</v>
      </c>
      <c r="M471" s="8">
        <v>449742</v>
      </c>
      <c r="O471" s="8">
        <v>2929659</v>
      </c>
      <c r="Q471" s="8">
        <v>1568273</v>
      </c>
      <c r="S471" s="8">
        <v>35105</v>
      </c>
      <c r="U471" s="8">
        <v>3247860</v>
      </c>
      <c r="W471" s="8">
        <v>1369515</v>
      </c>
      <c r="Y471" s="8">
        <v>1003179</v>
      </c>
      <c r="AA471" s="8">
        <v>6746301</v>
      </c>
      <c r="AC471" s="8">
        <v>3367770</v>
      </c>
      <c r="AE471" s="8">
        <v>910233</v>
      </c>
      <c r="AG471" s="8">
        <v>0</v>
      </c>
      <c r="AI471" s="8">
        <v>0</v>
      </c>
      <c r="AJ471" s="13" t="s">
        <v>325</v>
      </c>
      <c r="AK471" s="13"/>
      <c r="AL471" s="13" t="s">
        <v>20</v>
      </c>
      <c r="AN471" s="8">
        <v>1065163</v>
      </c>
      <c r="AP471" s="8">
        <v>208463</v>
      </c>
      <c r="AT471" s="8">
        <v>0</v>
      </c>
      <c r="AV471" s="8">
        <v>0</v>
      </c>
      <c r="AX471" s="8">
        <v>0</v>
      </c>
      <c r="AZ471" s="8">
        <f t="shared" si="37"/>
        <v>60880216</v>
      </c>
      <c r="BB471" s="8">
        <v>116152</v>
      </c>
      <c r="BH471" s="8">
        <v>0</v>
      </c>
      <c r="BJ471" s="8">
        <f t="shared" si="38"/>
        <v>60996368</v>
      </c>
      <c r="BL471" s="8">
        <f>+GenRev!AM471-GenExp!BJ471</f>
        <v>4082303</v>
      </c>
      <c r="BN471" s="8">
        <v>6198348</v>
      </c>
      <c r="BP471" s="8">
        <v>0</v>
      </c>
      <c r="BQ471" s="8">
        <v>0</v>
      </c>
      <c r="BS471" s="8">
        <f t="shared" si="39"/>
        <v>10280651</v>
      </c>
      <c r="BU471" s="9">
        <f>+BS471-'Gen Fd BS'!AA471+BQ471</f>
        <v>0</v>
      </c>
    </row>
    <row r="472" spans="1:73">
      <c r="A472" s="13" t="s">
        <v>905</v>
      </c>
      <c r="B472" s="13"/>
      <c r="C472" s="13" t="s">
        <v>37</v>
      </c>
      <c r="D472" s="13"/>
      <c r="E472" s="32">
        <v>47738</v>
      </c>
      <c r="G472" s="8">
        <v>3861411</v>
      </c>
      <c r="I472" s="8">
        <v>218807</v>
      </c>
      <c r="K472" s="8">
        <v>174067</v>
      </c>
      <c r="M472" s="8">
        <v>630969</v>
      </c>
      <c r="O472" s="8">
        <v>80450</v>
      </c>
      <c r="Q472" s="8">
        <v>97872</v>
      </c>
      <c r="S472" s="8">
        <v>22514</v>
      </c>
      <c r="U472" s="8">
        <v>791743</v>
      </c>
      <c r="W472" s="8">
        <v>221065</v>
      </c>
      <c r="Y472" s="8">
        <v>0</v>
      </c>
      <c r="AA472" s="8">
        <v>775869</v>
      </c>
      <c r="AC472" s="8">
        <v>477769</v>
      </c>
      <c r="AE472" s="8">
        <v>192</v>
      </c>
      <c r="AG472" s="8">
        <v>0</v>
      </c>
      <c r="AI472" s="8">
        <v>0</v>
      </c>
      <c r="AJ472" s="13" t="s">
        <v>840</v>
      </c>
      <c r="AK472" s="13"/>
      <c r="AL472" s="13" t="s">
        <v>59</v>
      </c>
      <c r="AN472" s="8">
        <v>199200</v>
      </c>
      <c r="AP472" s="8">
        <v>0</v>
      </c>
      <c r="AT472" s="8">
        <v>0</v>
      </c>
      <c r="AV472" s="8">
        <v>0</v>
      </c>
      <c r="AX472" s="8">
        <v>0</v>
      </c>
      <c r="AZ472" s="8">
        <f t="shared" si="37"/>
        <v>7551928</v>
      </c>
      <c r="BB472" s="8">
        <v>364</v>
      </c>
      <c r="BH472" s="8">
        <v>0</v>
      </c>
      <c r="BJ472" s="8">
        <f t="shared" si="38"/>
        <v>7552292</v>
      </c>
      <c r="BL472" s="8">
        <f>+GenRev!AM472-GenExp!BJ472</f>
        <v>149818</v>
      </c>
      <c r="BN472" s="8">
        <v>4008563</v>
      </c>
      <c r="BP472" s="8">
        <v>0</v>
      </c>
      <c r="BQ472" s="8">
        <v>0</v>
      </c>
      <c r="BS472" s="8">
        <f t="shared" si="39"/>
        <v>4158381</v>
      </c>
      <c r="BU472" s="9">
        <f>+BS472-'Gen Fd BS'!AA472+BQ472</f>
        <v>0</v>
      </c>
    </row>
    <row r="473" spans="1:73">
      <c r="A473" s="13" t="s">
        <v>326</v>
      </c>
      <c r="B473" s="13"/>
      <c r="C473" s="13" t="s">
        <v>20</v>
      </c>
      <c r="D473" s="13"/>
      <c r="E473" s="32">
        <v>44792</v>
      </c>
      <c r="G473" s="8">
        <v>21871920</v>
      </c>
      <c r="I473" s="8">
        <v>6245148</v>
      </c>
      <c r="K473" s="8">
        <v>1505718</v>
      </c>
      <c r="M473" s="8">
        <v>1431278</v>
      </c>
      <c r="O473" s="8">
        <v>3250826</v>
      </c>
      <c r="Q473" s="8">
        <v>1208671</v>
      </c>
      <c r="S473" s="8">
        <v>192211</v>
      </c>
      <c r="U473" s="8">
        <v>3379919</v>
      </c>
      <c r="W473" s="8">
        <v>1564236</v>
      </c>
      <c r="Y473" s="8">
        <v>324339</v>
      </c>
      <c r="AA473" s="8">
        <v>7045306</v>
      </c>
      <c r="AC473" s="8">
        <v>3500790</v>
      </c>
      <c r="AE473" s="8">
        <v>1160250</v>
      </c>
      <c r="AG473" s="8">
        <v>0</v>
      </c>
      <c r="AI473" s="8">
        <v>17834</v>
      </c>
      <c r="AJ473" s="13" t="s">
        <v>326</v>
      </c>
      <c r="AK473" s="13"/>
      <c r="AL473" s="13" t="s">
        <v>20</v>
      </c>
      <c r="AN473" s="8">
        <v>834614</v>
      </c>
      <c r="AP473" s="8">
        <v>0</v>
      </c>
      <c r="AT473" s="8">
        <v>0</v>
      </c>
      <c r="AV473" s="8">
        <v>0</v>
      </c>
      <c r="AX473" s="8">
        <v>0</v>
      </c>
      <c r="AZ473" s="8">
        <f t="shared" si="37"/>
        <v>53533060</v>
      </c>
      <c r="BB473" s="8">
        <v>590000</v>
      </c>
      <c r="BH473" s="8">
        <v>10000</v>
      </c>
      <c r="BJ473" s="8">
        <f t="shared" si="38"/>
        <v>54133060</v>
      </c>
      <c r="BL473" s="8">
        <f>+GenRev!AM473-GenExp!BJ473</f>
        <v>7296606</v>
      </c>
      <c r="BN473" s="8">
        <v>2355336</v>
      </c>
      <c r="BP473" s="8">
        <v>0</v>
      </c>
      <c r="BQ473" s="8">
        <v>0</v>
      </c>
      <c r="BS473" s="8">
        <f t="shared" si="39"/>
        <v>9651942</v>
      </c>
      <c r="BU473" s="9">
        <f>+BS473-'Gen Fd BS'!AA473+BQ473</f>
        <v>0</v>
      </c>
    </row>
    <row r="474" spans="1:73" hidden="1">
      <c r="A474" s="13" t="s">
        <v>476</v>
      </c>
      <c r="B474" s="13"/>
      <c r="C474" s="13" t="s">
        <v>471</v>
      </c>
      <c r="D474" s="13"/>
      <c r="E474" s="32">
        <v>47951</v>
      </c>
      <c r="AG474" s="8">
        <v>0</v>
      </c>
      <c r="AI474" s="8">
        <v>0</v>
      </c>
      <c r="AJ474" s="13" t="s">
        <v>476</v>
      </c>
      <c r="AK474" s="13"/>
      <c r="AL474" s="13" t="s">
        <v>471</v>
      </c>
      <c r="AP474" s="8">
        <v>0</v>
      </c>
      <c r="AT474" s="8">
        <v>0</v>
      </c>
      <c r="AV474" s="8">
        <v>0</v>
      </c>
      <c r="AX474" s="8">
        <v>0</v>
      </c>
      <c r="AZ474" s="8">
        <f t="shared" si="37"/>
        <v>0</v>
      </c>
      <c r="BH474" s="8">
        <v>0</v>
      </c>
      <c r="BJ474" s="8">
        <f t="shared" si="38"/>
        <v>0</v>
      </c>
      <c r="BL474" s="8">
        <f>+GenRev!AM474-GenExp!BJ474</f>
        <v>0</v>
      </c>
      <c r="BN474" s="8">
        <v>0</v>
      </c>
      <c r="BP474" s="8">
        <v>0</v>
      </c>
      <c r="BQ474" s="8">
        <v>0</v>
      </c>
      <c r="BS474" s="8">
        <f t="shared" si="39"/>
        <v>0</v>
      </c>
      <c r="BU474" s="9">
        <f>+BS474-'Gen Fd BS'!AA474+BQ474</f>
        <v>0</v>
      </c>
    </row>
    <row r="475" spans="1:73">
      <c r="A475" s="13" t="s">
        <v>522</v>
      </c>
      <c r="B475" s="13"/>
      <c r="C475" s="13" t="s">
        <v>45</v>
      </c>
      <c r="D475" s="13"/>
      <c r="E475" s="32">
        <v>48363</v>
      </c>
      <c r="G475" s="8">
        <v>4971128</v>
      </c>
      <c r="I475" s="8">
        <v>1137783</v>
      </c>
      <c r="K475" s="8">
        <v>150547</v>
      </c>
      <c r="M475" s="8">
        <v>167520</v>
      </c>
      <c r="O475" s="8">
        <v>266535</v>
      </c>
      <c r="Q475" s="8">
        <v>532266</v>
      </c>
      <c r="S475" s="8">
        <v>49987</v>
      </c>
      <c r="U475" s="8">
        <v>872017</v>
      </c>
      <c r="W475" s="8">
        <v>317534</v>
      </c>
      <c r="Y475" s="8">
        <v>0</v>
      </c>
      <c r="AA475" s="8">
        <v>894384</v>
      </c>
      <c r="AC475" s="8">
        <v>817479</v>
      </c>
      <c r="AE475" s="8">
        <v>90764</v>
      </c>
      <c r="AG475" s="8">
        <v>0</v>
      </c>
      <c r="AI475" s="8">
        <v>0</v>
      </c>
      <c r="AJ475" s="13" t="s">
        <v>522</v>
      </c>
      <c r="AK475" s="13"/>
      <c r="AL475" s="13" t="s">
        <v>45</v>
      </c>
      <c r="AN475" s="8">
        <v>225406</v>
      </c>
      <c r="AP475" s="8">
        <v>81292</v>
      </c>
      <c r="AT475" s="8">
        <v>0</v>
      </c>
      <c r="AV475" s="8">
        <v>0</v>
      </c>
      <c r="AX475" s="8">
        <v>2051</v>
      </c>
      <c r="AZ475" s="8">
        <f t="shared" si="37"/>
        <v>10576693</v>
      </c>
      <c r="BB475" s="8">
        <v>11873</v>
      </c>
      <c r="BH475" s="8">
        <v>0</v>
      </c>
      <c r="BJ475" s="8">
        <f t="shared" si="38"/>
        <v>10588566</v>
      </c>
      <c r="BL475" s="8">
        <f>+GenRev!AM475-GenExp!BJ475</f>
        <v>654100</v>
      </c>
      <c r="BN475" s="8">
        <v>1263048</v>
      </c>
      <c r="BP475" s="8">
        <v>0</v>
      </c>
      <c r="BQ475" s="8">
        <v>0</v>
      </c>
      <c r="BS475" s="8">
        <f t="shared" si="39"/>
        <v>1917148</v>
      </c>
      <c r="BU475" s="9">
        <f>+BS475-'Gen Fd BS'!AA475+BQ475</f>
        <v>0</v>
      </c>
    </row>
    <row r="476" spans="1:73">
      <c r="A476" s="13" t="s">
        <v>601</v>
      </c>
      <c r="B476" s="13"/>
      <c r="C476" s="13" t="s">
        <v>56</v>
      </c>
      <c r="D476" s="13"/>
      <c r="E476" s="32">
        <v>49221</v>
      </c>
      <c r="G476" s="8">
        <v>5981685</v>
      </c>
      <c r="I476" s="8">
        <v>1002698</v>
      </c>
      <c r="K476" s="8">
        <v>112022</v>
      </c>
      <c r="M476" s="8">
        <v>933356</v>
      </c>
      <c r="O476" s="8">
        <v>1508392</v>
      </c>
      <c r="Q476" s="8">
        <v>400934</v>
      </c>
      <c r="S476" s="8">
        <v>30450</v>
      </c>
      <c r="U476" s="8">
        <v>1038769</v>
      </c>
      <c r="W476" s="8">
        <v>368801</v>
      </c>
      <c r="Y476" s="8">
        <v>100488</v>
      </c>
      <c r="AA476" s="8">
        <v>1263031</v>
      </c>
      <c r="AC476" s="8">
        <v>1248048</v>
      </c>
      <c r="AE476" s="8">
        <v>2349278</v>
      </c>
      <c r="AG476" s="8">
        <v>0</v>
      </c>
      <c r="AI476" s="8">
        <v>0</v>
      </c>
      <c r="AJ476" s="13" t="s">
        <v>601</v>
      </c>
      <c r="AK476" s="13"/>
      <c r="AL476" s="13" t="s">
        <v>56</v>
      </c>
      <c r="AN476" s="8">
        <v>380316</v>
      </c>
      <c r="AP476" s="8">
        <v>0</v>
      </c>
      <c r="AT476" s="8">
        <v>0</v>
      </c>
      <c r="AV476" s="8">
        <v>0</v>
      </c>
      <c r="AX476" s="8">
        <v>0</v>
      </c>
      <c r="AZ476" s="8">
        <f t="shared" si="37"/>
        <v>16718268</v>
      </c>
      <c r="BB476" s="8">
        <v>0</v>
      </c>
      <c r="BH476" s="8">
        <v>0</v>
      </c>
      <c r="BJ476" s="8">
        <f t="shared" si="38"/>
        <v>16718268</v>
      </c>
      <c r="BL476" s="8">
        <f>+GenRev!AM476-GenExp!BJ476</f>
        <v>1727774</v>
      </c>
      <c r="BN476" s="8">
        <v>-22974</v>
      </c>
      <c r="BP476" s="8">
        <v>0</v>
      </c>
      <c r="BQ476" s="8">
        <v>0</v>
      </c>
      <c r="BS476" s="8">
        <f t="shared" si="39"/>
        <v>1704800</v>
      </c>
      <c r="BU476" s="9">
        <f>+BS476-'Gen Fd BS'!AA476+BQ476</f>
        <v>0</v>
      </c>
    </row>
    <row r="477" spans="1:73">
      <c r="A477" s="13" t="s">
        <v>601</v>
      </c>
      <c r="B477" s="13"/>
      <c r="C477" s="13" t="s">
        <v>71</v>
      </c>
      <c r="D477" s="13"/>
      <c r="E477" s="32">
        <v>50583</v>
      </c>
      <c r="G477" s="8">
        <v>6298491</v>
      </c>
      <c r="I477" s="8">
        <v>1011644</v>
      </c>
      <c r="K477" s="8">
        <v>315446</v>
      </c>
      <c r="M477" s="8">
        <v>370738</v>
      </c>
      <c r="O477" s="8">
        <v>304753</v>
      </c>
      <c r="Q477" s="8">
        <v>336636</v>
      </c>
      <c r="S477" s="8">
        <v>40317</v>
      </c>
      <c r="U477" s="8">
        <v>1635274</v>
      </c>
      <c r="W477" s="8">
        <v>396754</v>
      </c>
      <c r="Y477" s="8">
        <v>0</v>
      </c>
      <c r="AA477" s="8">
        <v>1136844</v>
      </c>
      <c r="AC477" s="8">
        <v>955891</v>
      </c>
      <c r="AE477" s="8">
        <v>140635</v>
      </c>
      <c r="AG477" s="8">
        <v>0</v>
      </c>
      <c r="AI477" s="8">
        <v>0</v>
      </c>
      <c r="AJ477" s="13" t="s">
        <v>601</v>
      </c>
      <c r="AK477" s="13"/>
      <c r="AL477" s="13" t="s">
        <v>71</v>
      </c>
      <c r="AN477" s="8">
        <v>281753</v>
      </c>
      <c r="AP477" s="8">
        <v>139858</v>
      </c>
      <c r="AT477" s="8">
        <v>46699</v>
      </c>
      <c r="AV477" s="8">
        <v>14314</v>
      </c>
      <c r="AX477" s="8">
        <v>0</v>
      </c>
      <c r="AZ477" s="8">
        <f t="shared" ref="AZ477:AZ508" si="40">SUM(G477:AX477)</f>
        <v>13426047</v>
      </c>
      <c r="BB477" s="8">
        <v>0</v>
      </c>
      <c r="BH477" s="8">
        <v>0</v>
      </c>
      <c r="BJ477" s="8">
        <f t="shared" si="38"/>
        <v>13426047</v>
      </c>
      <c r="BL477" s="8">
        <f>+GenRev!AM477-GenExp!BJ477</f>
        <v>-542146</v>
      </c>
      <c r="BN477" s="8">
        <v>1645837</v>
      </c>
      <c r="BP477" s="8">
        <v>0</v>
      </c>
      <c r="BQ477" s="8">
        <v>0</v>
      </c>
      <c r="BS477" s="8">
        <f t="shared" si="39"/>
        <v>1103691</v>
      </c>
      <c r="BU477" s="9">
        <f>+BS477-'Gen Fd BS'!AA477+BQ477</f>
        <v>0</v>
      </c>
    </row>
    <row r="478" spans="1:73">
      <c r="A478" s="13" t="s">
        <v>268</v>
      </c>
      <c r="B478" s="13"/>
      <c r="C478" s="13" t="s">
        <v>17</v>
      </c>
      <c r="D478" s="13"/>
      <c r="E478" s="32">
        <v>46276</v>
      </c>
      <c r="F478" s="11"/>
      <c r="G478" s="8">
        <v>3076646</v>
      </c>
      <c r="I478" s="8">
        <v>627209</v>
      </c>
      <c r="K478" s="8">
        <v>216408</v>
      </c>
      <c r="M478" s="8">
        <v>12266</v>
      </c>
      <c r="O478" s="8">
        <v>424597</v>
      </c>
      <c r="Q478" s="8">
        <v>250040</v>
      </c>
      <c r="S478" s="8">
        <v>25279</v>
      </c>
      <c r="U478" s="8">
        <v>625996</v>
      </c>
      <c r="W478" s="8">
        <v>266670</v>
      </c>
      <c r="Y478" s="8">
        <v>0</v>
      </c>
      <c r="AA478" s="8">
        <v>498979</v>
      </c>
      <c r="AC478" s="8">
        <v>348132</v>
      </c>
      <c r="AE478" s="8">
        <v>14147</v>
      </c>
      <c r="AG478" s="8">
        <v>0</v>
      </c>
      <c r="AI478" s="8">
        <v>0</v>
      </c>
      <c r="AJ478" s="13" t="s">
        <v>268</v>
      </c>
      <c r="AK478" s="13"/>
      <c r="AL478" s="13" t="s">
        <v>17</v>
      </c>
      <c r="AN478" s="8">
        <v>200446</v>
      </c>
      <c r="AP478" s="8">
        <v>0</v>
      </c>
      <c r="AT478" s="8">
        <v>71493</v>
      </c>
      <c r="AV478" s="8">
        <v>1972</v>
      </c>
      <c r="AX478" s="8">
        <v>0</v>
      </c>
      <c r="AZ478" s="8">
        <f t="shared" si="40"/>
        <v>6660280</v>
      </c>
      <c r="BB478" s="8">
        <v>0</v>
      </c>
      <c r="BH478" s="8">
        <v>0</v>
      </c>
      <c r="BJ478" s="8">
        <f t="shared" si="38"/>
        <v>6660280</v>
      </c>
      <c r="BL478" s="8">
        <f>+GenRev!AM478-GenExp!BJ478</f>
        <v>503670</v>
      </c>
      <c r="BN478" s="8">
        <v>3526819</v>
      </c>
      <c r="BP478" s="8">
        <v>0</v>
      </c>
      <c r="BQ478" s="8">
        <v>0</v>
      </c>
      <c r="BS478" s="8">
        <f t="shared" si="39"/>
        <v>4030489</v>
      </c>
      <c r="BU478" s="9">
        <f>+BS478-'Gen Fd BS'!AA478+BQ478</f>
        <v>0</v>
      </c>
    </row>
    <row r="479" spans="1:73">
      <c r="A479" s="13" t="s">
        <v>268</v>
      </c>
      <c r="B479" s="13"/>
      <c r="C479" s="13" t="s">
        <v>58</v>
      </c>
      <c r="D479" s="13"/>
      <c r="E479" s="32">
        <v>49528</v>
      </c>
      <c r="G479" s="8">
        <v>4131618</v>
      </c>
      <c r="I479" s="8">
        <v>761828</v>
      </c>
      <c r="K479" s="8">
        <v>0</v>
      </c>
      <c r="M479" s="8">
        <v>0</v>
      </c>
      <c r="O479" s="8">
        <v>419375</v>
      </c>
      <c r="Q479" s="8">
        <v>128023</v>
      </c>
      <c r="S479" s="8">
        <v>16543</v>
      </c>
      <c r="U479" s="8">
        <v>511541</v>
      </c>
      <c r="W479" s="8">
        <v>162087</v>
      </c>
      <c r="Y479" s="8">
        <v>175203</v>
      </c>
      <c r="AA479" s="8">
        <v>1098262</v>
      </c>
      <c r="AC479" s="8">
        <v>826981</v>
      </c>
      <c r="AE479" s="8">
        <v>59525</v>
      </c>
      <c r="AG479" s="8">
        <v>0</v>
      </c>
      <c r="AI479" s="8">
        <v>0</v>
      </c>
      <c r="AJ479" s="13" t="s">
        <v>268</v>
      </c>
      <c r="AK479" s="13"/>
      <c r="AL479" s="13" t="s">
        <v>58</v>
      </c>
      <c r="AN479" s="8">
        <v>160437</v>
      </c>
      <c r="AP479" s="8">
        <v>0</v>
      </c>
      <c r="AT479" s="8">
        <v>32000</v>
      </c>
      <c r="AV479" s="8">
        <v>74706</v>
      </c>
      <c r="AX479" s="8">
        <v>0</v>
      </c>
      <c r="AZ479" s="8">
        <f t="shared" si="40"/>
        <v>8558129</v>
      </c>
      <c r="BB479" s="8">
        <v>44008</v>
      </c>
      <c r="BH479" s="8">
        <v>0</v>
      </c>
      <c r="BJ479" s="8">
        <f t="shared" si="38"/>
        <v>8602137</v>
      </c>
      <c r="BL479" s="8">
        <f>+GenRev!AM479-GenExp!BJ479</f>
        <v>1424588</v>
      </c>
      <c r="BN479" s="8">
        <v>2188038</v>
      </c>
      <c r="BP479" s="8">
        <v>0</v>
      </c>
      <c r="BQ479" s="8">
        <v>0</v>
      </c>
      <c r="BS479" s="8">
        <f t="shared" si="39"/>
        <v>3612626</v>
      </c>
      <c r="BU479" s="9">
        <f>+BS479-'Gen Fd BS'!AA479+BQ479</f>
        <v>0</v>
      </c>
    </row>
    <row r="480" spans="1:73">
      <c r="A480" s="13" t="s">
        <v>288</v>
      </c>
      <c r="B480" s="13"/>
      <c r="C480" s="13" t="s">
        <v>115</v>
      </c>
      <c r="D480" s="13"/>
      <c r="E480" s="32">
        <v>46441</v>
      </c>
      <c r="G480" s="8">
        <v>2992182</v>
      </c>
      <c r="I480" s="8">
        <v>732300</v>
      </c>
      <c r="K480" s="8">
        <v>230004</v>
      </c>
      <c r="M480" s="8">
        <v>18923</v>
      </c>
      <c r="O480" s="8">
        <v>309869</v>
      </c>
      <c r="Q480" s="8">
        <v>181950</v>
      </c>
      <c r="S480" s="8">
        <v>1292877</v>
      </c>
      <c r="U480" s="8">
        <v>687063</v>
      </c>
      <c r="W480" s="8">
        <v>215180</v>
      </c>
      <c r="Y480" s="8">
        <v>49058</v>
      </c>
      <c r="AA480" s="8">
        <v>852305</v>
      </c>
      <c r="AC480" s="8">
        <v>903170</v>
      </c>
      <c r="AE480" s="8">
        <v>0</v>
      </c>
      <c r="AG480" s="8">
        <v>0</v>
      </c>
      <c r="AI480" s="8">
        <v>0</v>
      </c>
      <c r="AJ480" s="13" t="s">
        <v>288</v>
      </c>
      <c r="AK480" s="13"/>
      <c r="AL480" s="13" t="s">
        <v>115</v>
      </c>
      <c r="AN480" s="8">
        <v>133201</v>
      </c>
      <c r="AP480" s="8">
        <v>0</v>
      </c>
      <c r="AT480" s="8">
        <v>9221</v>
      </c>
      <c r="AV480" s="8">
        <v>1484</v>
      </c>
      <c r="AX480" s="8">
        <v>0</v>
      </c>
      <c r="AZ480" s="8">
        <f>SUM(G480:AX480)</f>
        <v>8608787</v>
      </c>
      <c r="BB480" s="8">
        <v>175000</v>
      </c>
      <c r="BH480" s="8">
        <v>0</v>
      </c>
      <c r="BJ480" s="8">
        <f>+AZ480+BB480+BD480+BH480</f>
        <v>8783787</v>
      </c>
      <c r="BL480" s="8">
        <f>+GenRev!AM480-GenExp!BJ480</f>
        <v>-107602</v>
      </c>
      <c r="BN480" s="8">
        <v>567530</v>
      </c>
      <c r="BP480" s="8">
        <v>0</v>
      </c>
      <c r="BQ480" s="8">
        <v>0</v>
      </c>
      <c r="BS480" s="8">
        <f>+BN480+BL480-BP480</f>
        <v>459928</v>
      </c>
      <c r="BU480" s="9">
        <f>+BS480-'Gen Fd BS'!AA480+BQ480</f>
        <v>0</v>
      </c>
    </row>
    <row r="481" spans="1:73">
      <c r="A481" s="13" t="s">
        <v>288</v>
      </c>
      <c r="B481" s="13"/>
      <c r="C481" s="13" t="s">
        <v>537</v>
      </c>
      <c r="D481" s="13"/>
      <c r="E481" s="32">
        <v>46441</v>
      </c>
      <c r="G481" s="8">
        <v>2194009</v>
      </c>
      <c r="I481" s="8">
        <v>449254</v>
      </c>
      <c r="K481" s="8">
        <v>122270</v>
      </c>
      <c r="M481" s="8">
        <v>0</v>
      </c>
      <c r="O481" s="8">
        <v>176504</v>
      </c>
      <c r="Q481" s="8">
        <v>181789</v>
      </c>
      <c r="S481" s="8">
        <v>15846</v>
      </c>
      <c r="U481" s="8">
        <v>510135</v>
      </c>
      <c r="W481" s="8">
        <v>275618</v>
      </c>
      <c r="Y481" s="8">
        <v>0</v>
      </c>
      <c r="AA481" s="8">
        <v>476869</v>
      </c>
      <c r="AC481" s="8">
        <v>432763</v>
      </c>
      <c r="AE481" s="8">
        <v>41716</v>
      </c>
      <c r="AG481" s="8">
        <v>0</v>
      </c>
      <c r="AI481" s="8">
        <v>0</v>
      </c>
      <c r="AJ481" s="13" t="s">
        <v>288</v>
      </c>
      <c r="AK481" s="13"/>
      <c r="AL481" s="13" t="s">
        <v>115</v>
      </c>
      <c r="AN481" s="8">
        <v>82158</v>
      </c>
      <c r="AP481" s="8">
        <v>0</v>
      </c>
      <c r="AT481" s="8">
        <v>0</v>
      </c>
      <c r="AV481" s="8">
        <v>0</v>
      </c>
      <c r="AX481" s="8">
        <v>0</v>
      </c>
      <c r="AZ481" s="8">
        <f t="shared" si="40"/>
        <v>4958931</v>
      </c>
      <c r="BB481" s="8">
        <v>54303</v>
      </c>
      <c r="BH481" s="8">
        <v>0</v>
      </c>
      <c r="BJ481" s="8">
        <f t="shared" si="38"/>
        <v>5013234</v>
      </c>
      <c r="BL481" s="8">
        <f>+GenRev!AM481-GenExp!BJ481</f>
        <v>521029</v>
      </c>
      <c r="BN481" s="8">
        <v>175188</v>
      </c>
      <c r="BP481" s="8">
        <v>0</v>
      </c>
      <c r="BQ481" s="8">
        <v>0</v>
      </c>
      <c r="BS481" s="8">
        <f t="shared" si="39"/>
        <v>696217</v>
      </c>
      <c r="BU481" s="9">
        <f>+BS481-'Gen Fd BS'!AA481+BQ481</f>
        <v>0</v>
      </c>
    </row>
    <row r="482" spans="1:73">
      <c r="A482" s="13" t="s">
        <v>696</v>
      </c>
      <c r="B482" s="13"/>
      <c r="C482" s="13" t="s">
        <v>64</v>
      </c>
      <c r="D482" s="13"/>
      <c r="E482" s="32">
        <v>50237</v>
      </c>
      <c r="G482" s="8">
        <v>2578288</v>
      </c>
      <c r="I482" s="8">
        <v>267432</v>
      </c>
      <c r="K482" s="8">
        <v>0</v>
      </c>
      <c r="M482" s="8">
        <v>0</v>
      </c>
      <c r="O482" s="8">
        <v>511966</v>
      </c>
      <c r="Q482" s="8">
        <v>143674</v>
      </c>
      <c r="S482" s="8">
        <v>59287</v>
      </c>
      <c r="U482" s="8">
        <v>400825</v>
      </c>
      <c r="W482" s="8">
        <v>219006</v>
      </c>
      <c r="Y482" s="8">
        <v>31546</v>
      </c>
      <c r="AA482" s="8">
        <v>407523</v>
      </c>
      <c r="AC482" s="8">
        <v>377897</v>
      </c>
      <c r="AE482" s="8">
        <v>0</v>
      </c>
      <c r="AG482" s="8">
        <v>0</v>
      </c>
      <c r="AI482" s="8">
        <v>0</v>
      </c>
      <c r="AJ482" s="13" t="s">
        <v>696</v>
      </c>
      <c r="AK482" s="13"/>
      <c r="AL482" s="13" t="s">
        <v>64</v>
      </c>
      <c r="AN482" s="8">
        <v>117397</v>
      </c>
      <c r="AP482" s="8">
        <v>70242</v>
      </c>
      <c r="AT482" s="8">
        <v>0</v>
      </c>
      <c r="AV482" s="8">
        <v>0</v>
      </c>
      <c r="AX482" s="8">
        <v>0</v>
      </c>
      <c r="AZ482" s="8">
        <f t="shared" si="40"/>
        <v>5185083</v>
      </c>
      <c r="BB482" s="8">
        <v>12000</v>
      </c>
      <c r="BH482" s="8">
        <v>0</v>
      </c>
      <c r="BJ482" s="8">
        <f t="shared" si="38"/>
        <v>5197083</v>
      </c>
      <c r="BL482" s="8">
        <f>+GenRev!AM482-GenExp!BJ482</f>
        <v>62925</v>
      </c>
      <c r="BN482" s="8">
        <v>890034</v>
      </c>
      <c r="BP482" s="8">
        <v>0</v>
      </c>
      <c r="BQ482" s="8">
        <v>0</v>
      </c>
      <c r="BS482" s="8">
        <f t="shared" si="39"/>
        <v>952959</v>
      </c>
      <c r="BU482" s="9">
        <f>+BS482-'Gen Fd BS'!AA482+BQ482</f>
        <v>0</v>
      </c>
    </row>
    <row r="483" spans="1:73">
      <c r="A483" s="13" t="s">
        <v>487</v>
      </c>
      <c r="B483" s="13"/>
      <c r="C483" s="13" t="s">
        <v>42</v>
      </c>
      <c r="D483" s="13"/>
      <c r="E483" s="32">
        <v>48041</v>
      </c>
      <c r="F483" s="11"/>
      <c r="G483" s="8">
        <v>13181458</v>
      </c>
      <c r="I483" s="8">
        <v>2533796</v>
      </c>
      <c r="K483" s="8">
        <v>440108</v>
      </c>
      <c r="M483" s="8">
        <v>2291020</v>
      </c>
      <c r="O483" s="8">
        <v>1849783</v>
      </c>
      <c r="Q483" s="8">
        <v>1372684</v>
      </c>
      <c r="S483" s="8">
        <v>63441</v>
      </c>
      <c r="U483" s="8">
        <v>2786029</v>
      </c>
      <c r="W483" s="8">
        <v>858749</v>
      </c>
      <c r="Y483" s="8">
        <v>89528</v>
      </c>
      <c r="AA483" s="8">
        <v>2560478</v>
      </c>
      <c r="AC483" s="8">
        <v>2378598</v>
      </c>
      <c r="AE483" s="8">
        <v>540748</v>
      </c>
      <c r="AG483" s="8">
        <v>0</v>
      </c>
      <c r="AI483" s="8">
        <v>4297</v>
      </c>
      <c r="AJ483" s="13" t="s">
        <v>487</v>
      </c>
      <c r="AK483" s="13"/>
      <c r="AL483" s="13" t="s">
        <v>42</v>
      </c>
      <c r="AN483" s="8">
        <v>562519</v>
      </c>
      <c r="AP483" s="8">
        <v>24669</v>
      </c>
      <c r="AT483" s="8">
        <v>0</v>
      </c>
      <c r="AV483" s="8">
        <v>0</v>
      </c>
      <c r="AX483" s="8">
        <v>0</v>
      </c>
      <c r="AZ483" s="8">
        <f t="shared" si="40"/>
        <v>31537905</v>
      </c>
      <c r="BB483" s="8">
        <v>0</v>
      </c>
      <c r="BH483" s="8">
        <v>0</v>
      </c>
      <c r="BJ483" s="8">
        <f t="shared" si="38"/>
        <v>31537905</v>
      </c>
      <c r="BL483" s="8">
        <f>+GenRev!AM483-GenExp!BJ483</f>
        <v>931022</v>
      </c>
      <c r="BN483" s="8">
        <v>4792141</v>
      </c>
      <c r="BP483" s="8">
        <v>0</v>
      </c>
      <c r="BQ483" s="8">
        <v>0</v>
      </c>
      <c r="BS483" s="8">
        <f t="shared" si="39"/>
        <v>5723163</v>
      </c>
      <c r="BU483" s="9">
        <f>+BS483-'Gen Fd BS'!AA483+BQ483</f>
        <v>0</v>
      </c>
    </row>
    <row r="484" spans="1:73">
      <c r="A484" s="13" t="s">
        <v>412</v>
      </c>
      <c r="B484" s="13"/>
      <c r="C484" s="13" t="s">
        <v>32</v>
      </c>
      <c r="D484" s="13"/>
      <c r="E484" s="32">
        <v>47381</v>
      </c>
      <c r="G484" s="8">
        <v>15082299</v>
      </c>
      <c r="I484" s="8">
        <v>3182935</v>
      </c>
      <c r="K484" s="8">
        <v>238480</v>
      </c>
      <c r="M484" s="8">
        <v>599240</v>
      </c>
      <c r="O484" s="8">
        <v>1174903</v>
      </c>
      <c r="Q484" s="8">
        <v>1092471</v>
      </c>
      <c r="S484" s="8">
        <v>0</v>
      </c>
      <c r="U484" s="8">
        <f>50357+2946269</f>
        <v>2996626</v>
      </c>
      <c r="W484" s="8">
        <v>733455</v>
      </c>
      <c r="Y484" s="8">
        <v>0</v>
      </c>
      <c r="AA484" s="8">
        <v>3458236</v>
      </c>
      <c r="AC484" s="8">
        <v>1865202</v>
      </c>
      <c r="AE484" s="8">
        <v>26716</v>
      </c>
      <c r="AG484" s="8">
        <v>0</v>
      </c>
      <c r="AI484" s="8">
        <v>2161</v>
      </c>
      <c r="AJ484" s="13" t="s">
        <v>412</v>
      </c>
      <c r="AK484" s="13"/>
      <c r="AL484" s="13" t="s">
        <v>32</v>
      </c>
      <c r="AN484" s="8">
        <v>571737</v>
      </c>
      <c r="AP484" s="8">
        <v>0</v>
      </c>
      <c r="AT484" s="8">
        <v>150000</v>
      </c>
      <c r="AV484" s="8">
        <v>49840</v>
      </c>
      <c r="AX484" s="8">
        <v>0</v>
      </c>
      <c r="AZ484" s="8">
        <f t="shared" si="40"/>
        <v>31224301</v>
      </c>
      <c r="BB484" s="8">
        <v>0</v>
      </c>
      <c r="BH484" s="8">
        <v>0</v>
      </c>
      <c r="BJ484" s="8">
        <f t="shared" si="38"/>
        <v>31224301</v>
      </c>
      <c r="BL484" s="8">
        <f>+GenRev!AM484-GenExp!BJ484</f>
        <v>-572321</v>
      </c>
      <c r="BN484" s="8">
        <v>1202812</v>
      </c>
      <c r="BP484" s="8">
        <v>0</v>
      </c>
      <c r="BQ484" s="8">
        <v>0</v>
      </c>
      <c r="BS484" s="8">
        <f t="shared" si="39"/>
        <v>630491</v>
      </c>
      <c r="BU484" s="9">
        <f>+BS484-'Gen Fd BS'!AA484+BQ484</f>
        <v>0</v>
      </c>
    </row>
    <row r="485" spans="1:73">
      <c r="A485" s="13" t="s">
        <v>367</v>
      </c>
      <c r="B485" s="13"/>
      <c r="C485" s="13" t="s">
        <v>27</v>
      </c>
      <c r="D485" s="13"/>
      <c r="E485" s="32">
        <v>44800</v>
      </c>
      <c r="F485" s="11"/>
      <c r="G485" s="8">
        <v>85886117</v>
      </c>
      <c r="I485" s="8">
        <v>19326948</v>
      </c>
      <c r="K485" s="8">
        <v>4806322</v>
      </c>
      <c r="M485" s="8">
        <v>206884</v>
      </c>
      <c r="O485" s="8">
        <v>7042343</v>
      </c>
      <c r="Q485" s="8">
        <v>9378407</v>
      </c>
      <c r="S485" s="8">
        <v>59840</v>
      </c>
      <c r="U485" s="8">
        <v>14282372</v>
      </c>
      <c r="W485" s="8">
        <v>2886513</v>
      </c>
      <c r="Y485" s="8">
        <v>810591</v>
      </c>
      <c r="AA485" s="8">
        <v>15381901</v>
      </c>
      <c r="AC485" s="8">
        <v>9762210</v>
      </c>
      <c r="AE485" s="8">
        <v>2764716</v>
      </c>
      <c r="AG485" s="8">
        <v>0</v>
      </c>
      <c r="AI485" s="8">
        <v>0</v>
      </c>
      <c r="AJ485" s="13" t="s">
        <v>367</v>
      </c>
      <c r="AK485" s="13"/>
      <c r="AL485" s="13" t="s">
        <v>27</v>
      </c>
      <c r="AN485" s="8">
        <v>2516673</v>
      </c>
      <c r="AP485" s="8">
        <v>839043</v>
      </c>
      <c r="AT485" s="8">
        <v>0</v>
      </c>
      <c r="AV485" s="8">
        <v>211675</v>
      </c>
      <c r="AX485" s="8">
        <v>195006</v>
      </c>
      <c r="AZ485" s="8">
        <f t="shared" si="40"/>
        <v>176357561</v>
      </c>
      <c r="BB485" s="8">
        <v>866306</v>
      </c>
      <c r="BH485" s="8">
        <v>0</v>
      </c>
      <c r="BJ485" s="8">
        <f t="shared" si="38"/>
        <v>177223867</v>
      </c>
      <c r="BL485" s="8">
        <f>+GenRev!AM485-GenExp!BJ485</f>
        <v>1958368</v>
      </c>
      <c r="BN485" s="8">
        <v>22040903</v>
      </c>
      <c r="BP485" s="8">
        <v>0</v>
      </c>
      <c r="BQ485" s="8">
        <v>0</v>
      </c>
      <c r="BS485" s="8">
        <f t="shared" si="39"/>
        <v>23999271</v>
      </c>
      <c r="BU485" s="9">
        <f>+BS485-'Gen Fd BS'!AA485+BQ485</f>
        <v>0</v>
      </c>
    </row>
    <row r="486" spans="1:73" hidden="1">
      <c r="A486" s="13" t="s">
        <v>214</v>
      </c>
      <c r="B486" s="13"/>
      <c r="C486" s="13" t="s">
        <v>10</v>
      </c>
      <c r="D486" s="13"/>
      <c r="E486" s="32">
        <v>45807</v>
      </c>
      <c r="AG486" s="8">
        <v>0</v>
      </c>
      <c r="AI486" s="8">
        <v>0</v>
      </c>
      <c r="AJ486" s="13" t="s">
        <v>214</v>
      </c>
      <c r="AK486" s="13"/>
      <c r="AL486" s="13" t="s">
        <v>10</v>
      </c>
      <c r="AZ486" s="8">
        <f t="shared" si="40"/>
        <v>0</v>
      </c>
      <c r="BH486" s="8">
        <v>0</v>
      </c>
      <c r="BJ486" s="8">
        <f t="shared" si="38"/>
        <v>0</v>
      </c>
      <c r="BL486" s="8">
        <f>+GenRev!AM486-GenExp!BJ486</f>
        <v>0</v>
      </c>
      <c r="BN486" s="8">
        <v>0</v>
      </c>
      <c r="BP486" s="8">
        <v>0</v>
      </c>
      <c r="BQ486" s="8">
        <v>0</v>
      </c>
      <c r="BS486" s="8">
        <f t="shared" si="39"/>
        <v>0</v>
      </c>
      <c r="BU486" s="9">
        <f>+BS486-'Gen Fd BS'!AA486+BQ486</f>
        <v>0</v>
      </c>
    </row>
    <row r="487" spans="1:73">
      <c r="A487" s="13" t="s">
        <v>719</v>
      </c>
      <c r="B487" s="13"/>
      <c r="C487" s="13" t="s">
        <v>69</v>
      </c>
      <c r="D487" s="13"/>
      <c r="E487" s="32">
        <v>50427</v>
      </c>
      <c r="G487" s="8">
        <v>19343896</v>
      </c>
      <c r="I487" s="8">
        <v>2833668</v>
      </c>
      <c r="K487" s="8">
        <v>96299</v>
      </c>
      <c r="M487" s="8">
        <v>321652</v>
      </c>
      <c r="O487" s="8">
        <v>2959548</v>
      </c>
      <c r="Q487" s="8">
        <v>2807443</v>
      </c>
      <c r="S487" s="8">
        <v>154772</v>
      </c>
      <c r="U487" s="8">
        <v>2937334</v>
      </c>
      <c r="W487" s="8">
        <v>1044120</v>
      </c>
      <c r="Y487" s="8">
        <v>182097</v>
      </c>
      <c r="AA487" s="8">
        <v>4785773</v>
      </c>
      <c r="AC487" s="8">
        <v>2865504</v>
      </c>
      <c r="AE487" s="8">
        <v>206665</v>
      </c>
      <c r="AG487" s="8">
        <v>0</v>
      </c>
      <c r="AI487" s="8">
        <v>65764</v>
      </c>
      <c r="AJ487" s="13" t="s">
        <v>719</v>
      </c>
      <c r="AK487" s="13"/>
      <c r="AL487" s="13" t="s">
        <v>69</v>
      </c>
      <c r="AN487" s="8">
        <v>623829</v>
      </c>
      <c r="AP487" s="8">
        <v>20656</v>
      </c>
      <c r="AT487" s="8">
        <v>401240</v>
      </c>
      <c r="AV487" s="8">
        <v>310098</v>
      </c>
      <c r="AX487" s="8">
        <v>0</v>
      </c>
      <c r="AZ487" s="8">
        <f t="shared" si="40"/>
        <v>41960358</v>
      </c>
      <c r="BB487" s="8">
        <v>0</v>
      </c>
      <c r="BH487" s="8">
        <v>0</v>
      </c>
      <c r="BJ487" s="8">
        <f t="shared" si="38"/>
        <v>41960358</v>
      </c>
      <c r="BL487" s="8">
        <f>+GenRev!AM487-GenExp!BJ487</f>
        <v>-36296</v>
      </c>
      <c r="BN487" s="8">
        <v>-129531</v>
      </c>
      <c r="BP487" s="8">
        <v>0</v>
      </c>
      <c r="BQ487" s="8">
        <v>0</v>
      </c>
      <c r="BS487" s="8">
        <f t="shared" si="39"/>
        <v>-165827</v>
      </c>
      <c r="BU487" s="9">
        <f>+BS487-'Gen Fd BS'!AA487+BQ487</f>
        <v>0</v>
      </c>
    </row>
    <row r="488" spans="1:73">
      <c r="A488" s="12" t="s">
        <v>899</v>
      </c>
      <c r="B488" s="12"/>
      <c r="C488" s="12" t="s">
        <v>17</v>
      </c>
      <c r="D488" s="12"/>
      <c r="E488" s="32"/>
      <c r="G488" s="8">
        <v>33597204</v>
      </c>
      <c r="I488" s="8">
        <v>6547246</v>
      </c>
      <c r="K488" s="8">
        <v>410087</v>
      </c>
      <c r="M488" s="8">
        <v>0</v>
      </c>
      <c r="O488" s="8">
        <v>4120901</v>
      </c>
      <c r="Q488" s="8">
        <v>3099484</v>
      </c>
      <c r="S488" s="8">
        <v>205787</v>
      </c>
      <c r="U488" s="8">
        <v>5483243</v>
      </c>
      <c r="W488" s="8">
        <v>1377579</v>
      </c>
      <c r="Y488" s="8">
        <v>354993</v>
      </c>
      <c r="AA488" s="8">
        <v>6986845</v>
      </c>
      <c r="AC488" s="8">
        <v>1872394</v>
      </c>
      <c r="AE488" s="8">
        <v>512137</v>
      </c>
      <c r="AG488" s="8">
        <v>0</v>
      </c>
      <c r="AI488" s="8">
        <v>911</v>
      </c>
      <c r="AJ488" s="13" t="s">
        <v>815</v>
      </c>
      <c r="AK488" s="13"/>
      <c r="AL488" s="13" t="s">
        <v>17</v>
      </c>
      <c r="AN488" s="8">
        <v>448346</v>
      </c>
      <c r="AP488" s="8">
        <v>347340</v>
      </c>
      <c r="AT488" s="8">
        <v>44989</v>
      </c>
      <c r="AV488" s="8">
        <v>391190</v>
      </c>
      <c r="AX488" s="8">
        <v>0</v>
      </c>
      <c r="AZ488" s="8">
        <f t="shared" si="40"/>
        <v>65800676</v>
      </c>
      <c r="BB488" s="8">
        <v>0</v>
      </c>
      <c r="BH488" s="8">
        <v>0</v>
      </c>
      <c r="BJ488" s="8">
        <f t="shared" si="38"/>
        <v>65800676</v>
      </c>
      <c r="BL488" s="8">
        <f>+GenRev!AM488-GenExp!BJ488</f>
        <v>5701179</v>
      </c>
      <c r="BN488" s="8">
        <v>-1890770</v>
      </c>
      <c r="BP488" s="8">
        <v>0</v>
      </c>
      <c r="BQ488" s="8">
        <v>0</v>
      </c>
      <c r="BS488" s="8">
        <f t="shared" si="39"/>
        <v>3810409</v>
      </c>
      <c r="BU488" s="9">
        <f>+BS488-'Gen Fd BS'!AA488+BQ488</f>
        <v>0</v>
      </c>
    </row>
    <row r="489" spans="1:73">
      <c r="A489" s="13" t="s">
        <v>506</v>
      </c>
      <c r="B489" s="13"/>
      <c r="C489" s="13" t="s">
        <v>118</v>
      </c>
      <c r="D489" s="13"/>
      <c r="E489" s="32">
        <v>48223</v>
      </c>
      <c r="G489" s="8">
        <v>15427175</v>
      </c>
      <c r="I489" s="8">
        <v>3119614</v>
      </c>
      <c r="K489" s="8">
        <v>317538</v>
      </c>
      <c r="M489" s="8">
        <v>2140218</v>
      </c>
      <c r="O489" s="8">
        <v>1379421</v>
      </c>
      <c r="Q489" s="8">
        <v>542849</v>
      </c>
      <c r="S489" s="8">
        <v>53771</v>
      </c>
      <c r="U489" s="8">
        <v>2551170</v>
      </c>
      <c r="W489" s="8">
        <v>681034</v>
      </c>
      <c r="Y489" s="8">
        <v>0</v>
      </c>
      <c r="AA489" s="8">
        <v>3193697</v>
      </c>
      <c r="AC489" s="8">
        <v>1931200</v>
      </c>
      <c r="AE489" s="8">
        <v>94670</v>
      </c>
      <c r="AG489" s="8">
        <v>0</v>
      </c>
      <c r="AI489" s="8">
        <v>0</v>
      </c>
      <c r="AJ489" s="13" t="s">
        <v>506</v>
      </c>
      <c r="AK489" s="13"/>
      <c r="AL489" s="13" t="s">
        <v>118</v>
      </c>
      <c r="AN489" s="8">
        <v>683184</v>
      </c>
      <c r="AP489" s="8">
        <v>0</v>
      </c>
      <c r="AT489" s="8">
        <v>0</v>
      </c>
      <c r="AV489" s="8">
        <v>0</v>
      </c>
      <c r="AX489" s="8">
        <v>0</v>
      </c>
      <c r="AZ489" s="8">
        <f t="shared" si="40"/>
        <v>32115541</v>
      </c>
      <c r="BB489" s="8">
        <v>184074</v>
      </c>
      <c r="BH489" s="8">
        <v>0</v>
      </c>
      <c r="BJ489" s="8">
        <f t="shared" si="38"/>
        <v>32299615</v>
      </c>
      <c r="BL489" s="8">
        <f>+GenRev!AM489-GenExp!BJ489</f>
        <v>1525384</v>
      </c>
      <c r="BN489" s="8">
        <v>-3284923</v>
      </c>
      <c r="BP489" s="8">
        <v>0</v>
      </c>
      <c r="BQ489" s="8">
        <v>0</v>
      </c>
      <c r="BS489" s="8">
        <f t="shared" si="39"/>
        <v>-1759539</v>
      </c>
      <c r="BU489" s="9">
        <f>+BS489-'Gen Fd BS'!AA489+BQ489</f>
        <v>0</v>
      </c>
    </row>
    <row r="490" spans="1:73">
      <c r="A490" s="13" t="s">
        <v>506</v>
      </c>
      <c r="B490" s="13"/>
      <c r="C490" s="13" t="s">
        <v>45</v>
      </c>
      <c r="D490" s="13"/>
      <c r="E490" s="32">
        <v>48371</v>
      </c>
      <c r="G490" s="8">
        <v>4648201</v>
      </c>
      <c r="I490" s="8">
        <v>819902</v>
      </c>
      <c r="K490" s="8">
        <v>196723</v>
      </c>
      <c r="M490" s="8">
        <v>57118</v>
      </c>
      <c r="O490" s="8">
        <v>210598</v>
      </c>
      <c r="Q490" s="8">
        <v>453636</v>
      </c>
      <c r="S490" s="8">
        <v>18383</v>
      </c>
      <c r="U490" s="8">
        <v>1145266</v>
      </c>
      <c r="W490" s="8">
        <v>285698</v>
      </c>
      <c r="Y490" s="8">
        <v>4786</v>
      </c>
      <c r="AA490" s="8">
        <v>948286</v>
      </c>
      <c r="AC490" s="8">
        <v>601338</v>
      </c>
      <c r="AE490" s="8">
        <v>23981</v>
      </c>
      <c r="AG490" s="8">
        <v>0</v>
      </c>
      <c r="AI490" s="8">
        <v>0</v>
      </c>
      <c r="AJ490" s="13" t="s">
        <v>506</v>
      </c>
      <c r="AK490" s="13"/>
      <c r="AL490" s="13" t="s">
        <v>45</v>
      </c>
      <c r="AN490" s="8">
        <v>246105</v>
      </c>
      <c r="AP490" s="8">
        <v>0</v>
      </c>
      <c r="AT490" s="8">
        <v>2384</v>
      </c>
      <c r="AV490" s="8">
        <v>556</v>
      </c>
      <c r="AX490" s="8">
        <v>0</v>
      </c>
      <c r="AZ490" s="8">
        <f t="shared" si="40"/>
        <v>9662961</v>
      </c>
      <c r="BB490" s="8">
        <v>40000</v>
      </c>
      <c r="BH490" s="8">
        <v>0</v>
      </c>
      <c r="BJ490" s="8">
        <f t="shared" si="38"/>
        <v>9702961</v>
      </c>
      <c r="BL490" s="8">
        <f>+GenRev!AM490-GenExp!BJ490</f>
        <v>283895</v>
      </c>
      <c r="BN490" s="8">
        <v>1927268</v>
      </c>
      <c r="BP490" s="8">
        <v>0</v>
      </c>
      <c r="BQ490" s="8">
        <v>0</v>
      </c>
      <c r="BS490" s="8">
        <f t="shared" si="39"/>
        <v>2211163</v>
      </c>
      <c r="BU490" s="9">
        <f>+BS490-'Gen Fd BS'!AA490+BQ490</f>
        <v>0</v>
      </c>
    </row>
    <row r="491" spans="1:73">
      <c r="A491" s="13" t="s">
        <v>506</v>
      </c>
      <c r="B491" s="13"/>
      <c r="C491" s="13" t="s">
        <v>63</v>
      </c>
      <c r="D491" s="13"/>
      <c r="E491" s="32">
        <v>50062</v>
      </c>
      <c r="G491" s="8">
        <v>10822605</v>
      </c>
      <c r="I491" s="8">
        <v>2588735</v>
      </c>
      <c r="K491" s="8">
        <v>188617</v>
      </c>
      <c r="M491" s="8">
        <v>2297723</v>
      </c>
      <c r="O491" s="8">
        <v>1351702</v>
      </c>
      <c r="Q491" s="8">
        <v>822817</v>
      </c>
      <c r="S491" s="8">
        <v>38654</v>
      </c>
      <c r="U491" s="8">
        <v>1621234</v>
      </c>
      <c r="W491" s="8">
        <v>665954</v>
      </c>
      <c r="Y491" s="8">
        <v>121689</v>
      </c>
      <c r="AA491" s="8">
        <v>2227263</v>
      </c>
      <c r="AC491" s="8">
        <v>1426239</v>
      </c>
      <c r="AE491" s="8">
        <v>61008</v>
      </c>
      <c r="AG491" s="8">
        <v>0</v>
      </c>
      <c r="AI491" s="8">
        <v>0</v>
      </c>
      <c r="AJ491" s="13" t="s">
        <v>506</v>
      </c>
      <c r="AK491" s="13"/>
      <c r="AL491" s="13" t="s">
        <v>63</v>
      </c>
      <c r="AN491" s="8">
        <v>286143</v>
      </c>
      <c r="AP491" s="8">
        <v>1547</v>
      </c>
      <c r="AT491" s="8">
        <v>62381</v>
      </c>
      <c r="AV491" s="8">
        <v>5221</v>
      </c>
      <c r="AX491" s="8">
        <v>0</v>
      </c>
      <c r="AZ491" s="8">
        <f t="shared" si="40"/>
        <v>24589532</v>
      </c>
      <c r="BB491" s="8">
        <v>0</v>
      </c>
      <c r="BH491" s="8">
        <v>0</v>
      </c>
      <c r="BJ491" s="8">
        <f t="shared" si="38"/>
        <v>24589532</v>
      </c>
      <c r="BL491" s="8">
        <f>+GenRev!AM491-GenExp!BJ491</f>
        <v>-538102</v>
      </c>
      <c r="BN491" s="8">
        <v>-1323697</v>
      </c>
      <c r="BP491" s="8">
        <v>0</v>
      </c>
      <c r="BQ491" s="8">
        <v>0</v>
      </c>
      <c r="BS491" s="8">
        <f t="shared" si="39"/>
        <v>-1861799</v>
      </c>
      <c r="BU491" s="9">
        <f>+BS491-'Gen Fd BS'!AA491+BQ491</f>
        <v>0</v>
      </c>
    </row>
    <row r="492" spans="1:73">
      <c r="A492" s="13" t="s">
        <v>909</v>
      </c>
      <c r="B492" s="13"/>
      <c r="C492" s="13" t="s">
        <v>32</v>
      </c>
      <c r="D492" s="13"/>
      <c r="E492" s="32">
        <v>44719</v>
      </c>
      <c r="G492" s="8">
        <v>4967640</v>
      </c>
      <c r="I492" s="8">
        <v>1138589</v>
      </c>
      <c r="K492" s="8">
        <v>0</v>
      </c>
      <c r="M492" s="8">
        <v>0</v>
      </c>
      <c r="O492" s="8">
        <v>712634</v>
      </c>
      <c r="Q492" s="8">
        <v>675386</v>
      </c>
      <c r="S492" s="8">
        <v>0</v>
      </c>
      <c r="U492" s="8">
        <f>19929+878135</f>
        <v>898064</v>
      </c>
      <c r="W492" s="8">
        <v>322043</v>
      </c>
      <c r="Y492" s="8">
        <v>0</v>
      </c>
      <c r="AA492" s="8">
        <v>1207508</v>
      </c>
      <c r="AC492" s="8">
        <v>419493</v>
      </c>
      <c r="AE492" s="8">
        <v>147924</v>
      </c>
      <c r="AG492" s="8">
        <v>0</v>
      </c>
      <c r="AI492" s="8">
        <v>0</v>
      </c>
      <c r="AJ492" s="13" t="s">
        <v>413</v>
      </c>
      <c r="AK492" s="13"/>
      <c r="AL492" s="13" t="s">
        <v>32</v>
      </c>
      <c r="AN492" s="8">
        <v>132673</v>
      </c>
      <c r="AP492" s="8">
        <v>0</v>
      </c>
      <c r="AT492" s="8">
        <v>0</v>
      </c>
      <c r="AV492" s="8">
        <v>26988</v>
      </c>
      <c r="AX492" s="8">
        <v>0</v>
      </c>
      <c r="AZ492" s="8">
        <f t="shared" si="40"/>
        <v>10648942</v>
      </c>
      <c r="BB492" s="8">
        <v>615104</v>
      </c>
      <c r="BH492" s="8">
        <v>0</v>
      </c>
      <c r="BJ492" s="8">
        <f t="shared" si="38"/>
        <v>11264046</v>
      </c>
      <c r="BL492" s="8">
        <f>+GenRev!AM492-GenExp!BJ492</f>
        <v>610636</v>
      </c>
      <c r="BN492" s="8">
        <v>2810446</v>
      </c>
      <c r="BP492" s="8">
        <v>0</v>
      </c>
      <c r="BQ492" s="8">
        <v>0</v>
      </c>
      <c r="BS492" s="8">
        <f t="shared" si="39"/>
        <v>3421082</v>
      </c>
      <c r="BU492" s="9">
        <f>+BS492-'Gen Fd BS'!AA492+BQ492</f>
        <v>0</v>
      </c>
    </row>
    <row r="493" spans="1:73">
      <c r="A493" s="13" t="s">
        <v>908</v>
      </c>
      <c r="B493" s="13"/>
      <c r="C493" s="13" t="s">
        <v>15</v>
      </c>
      <c r="D493" s="13"/>
      <c r="E493" s="13">
        <v>45997</v>
      </c>
      <c r="G493" s="8">
        <v>6256258</v>
      </c>
      <c r="I493" s="8">
        <v>905068</v>
      </c>
      <c r="K493" s="8">
        <v>7718</v>
      </c>
      <c r="M493" s="8">
        <v>0</v>
      </c>
      <c r="O493" s="8">
        <v>592822</v>
      </c>
      <c r="Q493" s="8">
        <v>358681</v>
      </c>
      <c r="S493" s="8">
        <v>24831</v>
      </c>
      <c r="U493" s="8">
        <v>918761</v>
      </c>
      <c r="W493" s="8">
        <v>445344</v>
      </c>
      <c r="Y493" s="8">
        <v>0</v>
      </c>
      <c r="AA493" s="8">
        <v>1134214</v>
      </c>
      <c r="AC493" s="8">
        <v>813776</v>
      </c>
      <c r="AE493" s="8">
        <v>235866</v>
      </c>
      <c r="AG493" s="8">
        <v>0</v>
      </c>
      <c r="AI493" s="8">
        <v>0</v>
      </c>
      <c r="AJ493" s="13" t="s">
        <v>238</v>
      </c>
      <c r="AK493" s="13"/>
      <c r="AL493" s="13" t="s">
        <v>15</v>
      </c>
      <c r="AN493" s="8">
        <v>246479</v>
      </c>
      <c r="AP493" s="8">
        <v>0</v>
      </c>
      <c r="AT493" s="8">
        <v>18368</v>
      </c>
      <c r="AV493" s="8">
        <v>10965</v>
      </c>
      <c r="AX493" s="8">
        <v>0</v>
      </c>
      <c r="AZ493" s="8">
        <f t="shared" si="40"/>
        <v>11969151</v>
      </c>
      <c r="BB493" s="8">
        <v>410000</v>
      </c>
      <c r="BH493" s="8">
        <v>0</v>
      </c>
      <c r="BJ493" s="8">
        <f t="shared" si="38"/>
        <v>12379151</v>
      </c>
      <c r="BL493" s="8">
        <f>+GenRev!AM493-GenExp!BJ493</f>
        <v>418756</v>
      </c>
      <c r="BN493" s="8">
        <v>2213118</v>
      </c>
      <c r="BP493" s="8">
        <v>0</v>
      </c>
      <c r="BQ493" s="8">
        <v>0</v>
      </c>
      <c r="BS493" s="8">
        <f t="shared" si="39"/>
        <v>2631874</v>
      </c>
      <c r="BU493" s="9">
        <f>+BS493-'Gen Fd BS'!AA493+BQ493</f>
        <v>0</v>
      </c>
    </row>
    <row r="494" spans="1:73" hidden="1">
      <c r="A494" s="13" t="s">
        <v>542</v>
      </c>
      <c r="B494" s="13"/>
      <c r="C494" s="13" t="s">
        <v>540</v>
      </c>
      <c r="D494" s="13"/>
      <c r="E494" s="32">
        <v>48587</v>
      </c>
      <c r="AG494" s="8">
        <v>0</v>
      </c>
      <c r="AI494" s="8">
        <v>0</v>
      </c>
      <c r="AJ494" s="13" t="s">
        <v>542</v>
      </c>
      <c r="AK494" s="13"/>
      <c r="AL494" s="13" t="s">
        <v>540</v>
      </c>
      <c r="AX494" s="8">
        <v>0</v>
      </c>
      <c r="AZ494" s="8">
        <f t="shared" si="40"/>
        <v>0</v>
      </c>
      <c r="BH494" s="8">
        <v>0</v>
      </c>
      <c r="BJ494" s="8">
        <f t="shared" si="38"/>
        <v>0</v>
      </c>
      <c r="BL494" s="8">
        <f>+GenRev!AM494-GenExp!BJ494</f>
        <v>0</v>
      </c>
      <c r="BP494" s="8">
        <v>0</v>
      </c>
      <c r="BQ494" s="8">
        <v>0</v>
      </c>
      <c r="BS494" s="8">
        <f t="shared" si="39"/>
        <v>0</v>
      </c>
      <c r="BU494" s="9">
        <f>+BS494-'Gen Fd BS'!AA494+BQ494</f>
        <v>0</v>
      </c>
    </row>
    <row r="495" spans="1:73" hidden="1">
      <c r="A495" s="13" t="s">
        <v>232</v>
      </c>
      <c r="B495" s="13"/>
      <c r="C495" s="13" t="s">
        <v>14</v>
      </c>
      <c r="D495" s="13"/>
      <c r="E495" s="32">
        <v>44727</v>
      </c>
      <c r="AG495" s="8">
        <v>0</v>
      </c>
      <c r="AI495" s="8">
        <v>0</v>
      </c>
      <c r="AJ495" s="13" t="s">
        <v>232</v>
      </c>
      <c r="AK495" s="13"/>
      <c r="AL495" s="13" t="s">
        <v>14</v>
      </c>
      <c r="AX495" s="8">
        <v>0</v>
      </c>
      <c r="AZ495" s="8">
        <f t="shared" si="40"/>
        <v>0</v>
      </c>
      <c r="BH495" s="8">
        <v>0</v>
      </c>
      <c r="BJ495" s="8">
        <f t="shared" si="38"/>
        <v>0</v>
      </c>
      <c r="BL495" s="8">
        <f>+GenRev!AM495-GenExp!BJ495</f>
        <v>0</v>
      </c>
      <c r="BP495" s="8">
        <v>0</v>
      </c>
      <c r="BQ495" s="8">
        <v>0</v>
      </c>
      <c r="BS495" s="8">
        <f t="shared" si="39"/>
        <v>0</v>
      </c>
      <c r="BU495" s="9">
        <f>+BS495-'Gen Fd BS'!AA495+BQ495</f>
        <v>0</v>
      </c>
    </row>
    <row r="496" spans="1:73">
      <c r="A496" s="13" t="s">
        <v>457</v>
      </c>
      <c r="B496" s="13"/>
      <c r="C496" s="13" t="s">
        <v>39</v>
      </c>
      <c r="D496" s="13"/>
      <c r="E496" s="32">
        <v>44826</v>
      </c>
      <c r="G496" s="8">
        <v>6800313</v>
      </c>
      <c r="I496" s="8">
        <v>2436894</v>
      </c>
      <c r="K496" s="8">
        <v>997004</v>
      </c>
      <c r="M496" s="8">
        <v>0</v>
      </c>
      <c r="O496" s="8">
        <v>638114</v>
      </c>
      <c r="Q496" s="8">
        <v>195807</v>
      </c>
      <c r="S496" s="8">
        <v>35454</v>
      </c>
      <c r="U496" s="8">
        <v>1570817</v>
      </c>
      <c r="W496" s="8">
        <v>354254</v>
      </c>
      <c r="Y496" s="8">
        <v>159322</v>
      </c>
      <c r="AA496" s="8">
        <v>2165270</v>
      </c>
      <c r="AC496" s="8">
        <v>402182</v>
      </c>
      <c r="AE496" s="8">
        <v>8683</v>
      </c>
      <c r="AG496" s="8">
        <v>0</v>
      </c>
      <c r="AI496" s="8">
        <v>328</v>
      </c>
      <c r="AJ496" s="13" t="s">
        <v>457</v>
      </c>
      <c r="AK496" s="13"/>
      <c r="AL496" s="13" t="s">
        <v>39</v>
      </c>
      <c r="AN496" s="8">
        <v>248026</v>
      </c>
      <c r="AP496" s="8">
        <v>0</v>
      </c>
      <c r="AT496" s="8">
        <v>0</v>
      </c>
      <c r="AV496" s="8">
        <v>0</v>
      </c>
      <c r="AX496" s="8">
        <v>0</v>
      </c>
      <c r="AZ496" s="8">
        <f t="shared" si="40"/>
        <v>16012468</v>
      </c>
      <c r="BB496" s="8">
        <v>771932</v>
      </c>
      <c r="BH496" s="8">
        <v>0</v>
      </c>
      <c r="BJ496" s="8">
        <f t="shared" si="38"/>
        <v>16784400</v>
      </c>
      <c r="BL496" s="8">
        <f>+GenRev!AM496-GenExp!BJ496</f>
        <v>183952</v>
      </c>
      <c r="BN496" s="8">
        <v>2322953</v>
      </c>
      <c r="BP496" s="8">
        <v>0</v>
      </c>
      <c r="BQ496" s="8">
        <v>0</v>
      </c>
      <c r="BS496" s="8">
        <f t="shared" si="39"/>
        <v>2506905</v>
      </c>
      <c r="BU496" s="9">
        <f>+BS496-'Gen Fd BS'!AA496+BQ496</f>
        <v>0</v>
      </c>
    </row>
    <row r="497" spans="1:73">
      <c r="A497" s="13" t="s">
        <v>676</v>
      </c>
      <c r="B497" s="13"/>
      <c r="C497" s="13" t="s">
        <v>63</v>
      </c>
      <c r="D497" s="13"/>
      <c r="E497" s="32">
        <v>44834</v>
      </c>
      <c r="G497" s="8">
        <v>23224015</v>
      </c>
      <c r="I497" s="8">
        <v>4119235</v>
      </c>
      <c r="K497" s="8">
        <v>1705575</v>
      </c>
      <c r="M497" s="8">
        <f>14550+296984</f>
        <v>311534</v>
      </c>
      <c r="O497" s="8">
        <v>2629498</v>
      </c>
      <c r="Q497" s="8">
        <v>2429547</v>
      </c>
      <c r="S497" s="8">
        <v>457684</v>
      </c>
      <c r="U497" s="8">
        <v>2667881</v>
      </c>
      <c r="W497" s="8">
        <v>1128441</v>
      </c>
      <c r="Y497" s="8">
        <v>546628</v>
      </c>
      <c r="AA497" s="8">
        <v>4742633</v>
      </c>
      <c r="AC497" s="8">
        <v>3155065</v>
      </c>
      <c r="AE497" s="8">
        <v>825064</v>
      </c>
      <c r="AG497" s="8">
        <v>0</v>
      </c>
      <c r="AI497" s="8">
        <v>0</v>
      </c>
      <c r="AJ497" s="13" t="s">
        <v>676</v>
      </c>
      <c r="AK497" s="13"/>
      <c r="AL497" s="13" t="s">
        <v>63</v>
      </c>
      <c r="AN497" s="8">
        <v>797140</v>
      </c>
      <c r="AP497" s="8">
        <v>72330</v>
      </c>
      <c r="AT497" s="8">
        <v>84747</v>
      </c>
      <c r="AV497" s="8">
        <v>3449</v>
      </c>
      <c r="AX497" s="8">
        <v>0</v>
      </c>
      <c r="AZ497" s="8">
        <f t="shared" si="40"/>
        <v>48900466</v>
      </c>
      <c r="BB497" s="8">
        <v>52265</v>
      </c>
      <c r="BH497" s="8">
        <v>0</v>
      </c>
      <c r="BJ497" s="8">
        <f t="shared" si="38"/>
        <v>48952731</v>
      </c>
      <c r="BL497" s="8">
        <f>+GenRev!AM497-GenExp!BJ497</f>
        <v>1380100</v>
      </c>
      <c r="BN497" s="8">
        <v>4633210</v>
      </c>
      <c r="BP497" s="8">
        <v>0</v>
      </c>
      <c r="BQ497" s="8">
        <v>0</v>
      </c>
      <c r="BS497" s="8">
        <f t="shared" si="39"/>
        <v>6013310</v>
      </c>
      <c r="BU497" s="9">
        <f>+BS497-'Gen Fd BS'!AA497+BQ497</f>
        <v>0</v>
      </c>
    </row>
    <row r="498" spans="1:73" hidden="1">
      <c r="A498" s="13" t="s">
        <v>705</v>
      </c>
      <c r="B498" s="13"/>
      <c r="C498" s="13" t="s">
        <v>65</v>
      </c>
      <c r="D498" s="13"/>
      <c r="E498" s="32">
        <v>50294</v>
      </c>
      <c r="AG498" s="8">
        <v>0</v>
      </c>
      <c r="AI498" s="8">
        <v>0</v>
      </c>
      <c r="AJ498" s="13" t="s">
        <v>705</v>
      </c>
      <c r="AK498" s="13"/>
      <c r="AL498" s="13" t="s">
        <v>65</v>
      </c>
      <c r="AX498" s="8">
        <v>0</v>
      </c>
      <c r="AZ498" s="8">
        <f t="shared" si="40"/>
        <v>0</v>
      </c>
      <c r="BH498" s="8">
        <v>0</v>
      </c>
      <c r="BJ498" s="8">
        <f t="shared" si="38"/>
        <v>0</v>
      </c>
      <c r="BL498" s="8">
        <f>+GenRev!AM498-GenExp!BJ498</f>
        <v>0</v>
      </c>
      <c r="BP498" s="8">
        <v>0</v>
      </c>
      <c r="BQ498" s="8">
        <v>0</v>
      </c>
      <c r="BS498" s="8">
        <f t="shared" si="39"/>
        <v>0</v>
      </c>
      <c r="BU498" s="9">
        <f>+BS498-'Gen Fd BS'!AA498+BQ498</f>
        <v>0</v>
      </c>
    </row>
    <row r="499" spans="1:73">
      <c r="A499" s="13" t="s">
        <v>602</v>
      </c>
      <c r="B499" s="13"/>
      <c r="C499" s="13" t="s">
        <v>56</v>
      </c>
      <c r="D499" s="13"/>
      <c r="E499" s="32">
        <v>49239</v>
      </c>
      <c r="G499" s="8">
        <v>10105652</v>
      </c>
      <c r="I499" s="8">
        <v>1357105</v>
      </c>
      <c r="K499" s="8">
        <v>81773</v>
      </c>
      <c r="M499" s="8">
        <v>851385</v>
      </c>
      <c r="O499" s="8">
        <v>923940</v>
      </c>
      <c r="Q499" s="8">
        <v>1157256</v>
      </c>
      <c r="S499" s="8">
        <v>218647</v>
      </c>
      <c r="U499" s="8">
        <v>1526748</v>
      </c>
      <c r="W499" s="8">
        <v>662167</v>
      </c>
      <c r="Y499" s="8">
        <v>147361</v>
      </c>
      <c r="AA499" s="8">
        <v>1863102</v>
      </c>
      <c r="AC499" s="8">
        <v>1065189</v>
      </c>
      <c r="AE499" s="8">
        <v>139762</v>
      </c>
      <c r="AG499" s="8">
        <v>0</v>
      </c>
      <c r="AI499" s="8">
        <v>0</v>
      </c>
      <c r="AJ499" s="13" t="s">
        <v>602</v>
      </c>
      <c r="AK499" s="13"/>
      <c r="AL499" s="13" t="s">
        <v>56</v>
      </c>
      <c r="AN499" s="8">
        <v>370677</v>
      </c>
      <c r="AP499" s="8">
        <v>93865</v>
      </c>
      <c r="AT499" s="8">
        <v>0</v>
      </c>
      <c r="AV499" s="8">
        <v>0</v>
      </c>
      <c r="AX499" s="8">
        <v>0</v>
      </c>
      <c r="AZ499" s="8">
        <f t="shared" si="40"/>
        <v>20564629</v>
      </c>
      <c r="BB499" s="8">
        <v>0</v>
      </c>
      <c r="BH499" s="8">
        <v>0</v>
      </c>
      <c r="BJ499" s="8">
        <f t="shared" si="38"/>
        <v>20564629</v>
      </c>
      <c r="BL499" s="8">
        <f>+GenRev!AM499-GenExp!BJ499</f>
        <v>270834</v>
      </c>
      <c r="BN499" s="8">
        <v>-961439</v>
      </c>
      <c r="BP499" s="8">
        <v>0</v>
      </c>
      <c r="BQ499" s="8">
        <v>0</v>
      </c>
      <c r="BS499" s="8">
        <f t="shared" si="39"/>
        <v>-690605</v>
      </c>
      <c r="BU499" s="9">
        <f>+BS499-'Gen Fd BS'!AA499+BQ499</f>
        <v>0</v>
      </c>
    </row>
    <row r="500" spans="1:73">
      <c r="A500" s="13" t="s">
        <v>327</v>
      </c>
      <c r="B500" s="13"/>
      <c r="C500" s="13" t="s">
        <v>20</v>
      </c>
      <c r="D500" s="13"/>
      <c r="E500" s="32">
        <v>44842</v>
      </c>
      <c r="G500" s="8">
        <v>38516426</v>
      </c>
      <c r="I500" s="8">
        <v>4435199</v>
      </c>
      <c r="K500" s="8">
        <v>285899</v>
      </c>
      <c r="M500" s="8">
        <v>0</v>
      </c>
      <c r="O500" s="8">
        <v>2373163</v>
      </c>
      <c r="Q500" s="8">
        <v>2623299</v>
      </c>
      <c r="S500" s="8">
        <v>128027</v>
      </c>
      <c r="U500" s="8">
        <v>2661935</v>
      </c>
      <c r="W500" s="8">
        <v>5116855</v>
      </c>
      <c r="Y500" s="8">
        <v>460800</v>
      </c>
      <c r="AA500" s="8">
        <v>6566972</v>
      </c>
      <c r="AC500" s="8">
        <v>3324049</v>
      </c>
      <c r="AE500" s="8">
        <v>574587</v>
      </c>
      <c r="AG500" s="8">
        <v>0</v>
      </c>
      <c r="AI500" s="8">
        <v>26459</v>
      </c>
      <c r="AJ500" s="13" t="s">
        <v>327</v>
      </c>
      <c r="AK500" s="13"/>
      <c r="AL500" s="13" t="s">
        <v>20</v>
      </c>
      <c r="AN500" s="8">
        <v>233864</v>
      </c>
      <c r="AP500" s="8">
        <v>0</v>
      </c>
      <c r="AT500" s="8">
        <v>97360</v>
      </c>
      <c r="AV500" s="8">
        <v>240809</v>
      </c>
      <c r="AX500" s="8">
        <v>0</v>
      </c>
      <c r="AZ500" s="8">
        <f t="shared" si="40"/>
        <v>67665703</v>
      </c>
      <c r="BB500" s="8">
        <v>509880</v>
      </c>
      <c r="BH500" s="8">
        <v>0</v>
      </c>
      <c r="BJ500" s="8">
        <f t="shared" si="38"/>
        <v>68175583</v>
      </c>
      <c r="BL500" s="8">
        <f>+GenRev!AM500-GenExp!BJ500</f>
        <v>3668736</v>
      </c>
      <c r="BN500" s="8">
        <v>-4988006</v>
      </c>
      <c r="BP500" s="8">
        <v>0</v>
      </c>
      <c r="BQ500" s="8">
        <v>0</v>
      </c>
      <c r="BS500" s="8">
        <f t="shared" si="39"/>
        <v>-1319270</v>
      </c>
      <c r="BU500" s="9">
        <f>+BS500-'Gen Fd BS'!AA500+BQ500</f>
        <v>0</v>
      </c>
    </row>
    <row r="501" spans="1:73">
      <c r="A501" s="13" t="s">
        <v>523</v>
      </c>
      <c r="B501" s="13"/>
      <c r="C501" s="13" t="s">
        <v>45</v>
      </c>
      <c r="D501" s="13"/>
      <c r="E501" s="32">
        <v>44859</v>
      </c>
      <c r="F501" s="11"/>
      <c r="G501" s="8">
        <v>6970040</v>
      </c>
      <c r="I501" s="8">
        <v>800058</v>
      </c>
      <c r="K501" s="8">
        <v>493032</v>
      </c>
      <c r="M501" s="8">
        <f>1021741-61857</f>
        <v>959884</v>
      </c>
      <c r="O501" s="8">
        <f>596220-228</f>
        <v>595992</v>
      </c>
      <c r="Q501" s="8">
        <v>115772</v>
      </c>
      <c r="S501" s="8">
        <v>48381</v>
      </c>
      <c r="U501" s="8">
        <v>1029671</v>
      </c>
      <c r="W501" s="8">
        <v>401651</v>
      </c>
      <c r="Y501" s="8">
        <v>50108</v>
      </c>
      <c r="AA501" s="8">
        <v>1534730</v>
      </c>
      <c r="AC501" s="8">
        <v>282054</v>
      </c>
      <c r="AE501" s="8">
        <v>13519</v>
      </c>
      <c r="AG501" s="8">
        <v>0</v>
      </c>
      <c r="AI501" s="8">
        <v>6044</v>
      </c>
      <c r="AJ501" s="13" t="s">
        <v>523</v>
      </c>
      <c r="AK501" s="13"/>
      <c r="AL501" s="13" t="s">
        <v>45</v>
      </c>
      <c r="AN501" s="8">
        <v>200396</v>
      </c>
      <c r="AP501" s="8">
        <v>66809</v>
      </c>
      <c r="AT501" s="8">
        <v>57301</v>
      </c>
      <c r="AV501" s="8">
        <v>551</v>
      </c>
      <c r="AX501" s="8">
        <v>0</v>
      </c>
      <c r="AZ501" s="8">
        <f t="shared" si="40"/>
        <v>13625993</v>
      </c>
      <c r="BB501" s="8">
        <v>0</v>
      </c>
      <c r="BH501" s="8">
        <v>0</v>
      </c>
      <c r="BJ501" s="8">
        <f t="shared" si="38"/>
        <v>13625993</v>
      </c>
      <c r="BL501" s="8">
        <f>+GenRev!AM501-GenExp!BJ501</f>
        <v>1466728</v>
      </c>
      <c r="BN501" s="8">
        <v>-1730736</v>
      </c>
      <c r="BP501" s="8">
        <v>0</v>
      </c>
      <c r="BQ501" s="8">
        <v>0</v>
      </c>
      <c r="BS501" s="8">
        <f t="shared" si="39"/>
        <v>-264008</v>
      </c>
      <c r="BU501" s="9">
        <f>+BS501-'Gen Fd BS'!AA501+BQ501</f>
        <v>0</v>
      </c>
    </row>
    <row r="502" spans="1:73">
      <c r="A502" s="13" t="s">
        <v>738</v>
      </c>
      <c r="B502" s="13"/>
      <c r="C502" s="13" t="s">
        <v>733</v>
      </c>
      <c r="D502" s="13"/>
      <c r="E502" s="32">
        <v>50658</v>
      </c>
      <c r="G502" s="8">
        <v>1956197</v>
      </c>
      <c r="I502" s="8">
        <v>198015</v>
      </c>
      <c r="K502" s="8">
        <v>26524</v>
      </c>
      <c r="M502" s="8">
        <v>338935</v>
      </c>
      <c r="O502" s="8">
        <v>196413</v>
      </c>
      <c r="Q502" s="8">
        <v>221959</v>
      </c>
      <c r="S502" s="8">
        <v>23294</v>
      </c>
      <c r="U502" s="8">
        <v>345974</v>
      </c>
      <c r="W502" s="8">
        <v>203436</v>
      </c>
      <c r="Y502" s="8">
        <v>9970</v>
      </c>
      <c r="AA502" s="8">
        <v>291616</v>
      </c>
      <c r="AC502" s="8">
        <v>138918</v>
      </c>
      <c r="AE502" s="8">
        <v>18173</v>
      </c>
      <c r="AG502" s="8">
        <v>0</v>
      </c>
      <c r="AI502" s="8">
        <v>0</v>
      </c>
      <c r="AJ502" s="13" t="s">
        <v>738</v>
      </c>
      <c r="AK502" s="13"/>
      <c r="AL502" s="13" t="s">
        <v>733</v>
      </c>
      <c r="AN502" s="8">
        <v>112895</v>
      </c>
      <c r="AP502" s="8">
        <v>0</v>
      </c>
      <c r="AT502" s="8">
        <v>19983</v>
      </c>
      <c r="AV502" s="8">
        <v>2489</v>
      </c>
      <c r="AX502" s="8">
        <v>0</v>
      </c>
      <c r="AZ502" s="8">
        <f t="shared" si="40"/>
        <v>4104791</v>
      </c>
      <c r="BB502" s="8">
        <v>0</v>
      </c>
      <c r="BH502" s="8">
        <v>0</v>
      </c>
      <c r="BJ502" s="8">
        <f t="shared" si="38"/>
        <v>4104791</v>
      </c>
      <c r="BL502" s="8">
        <f>+GenRev!AM502-GenExp!BJ502</f>
        <v>166893</v>
      </c>
      <c r="BN502" s="8">
        <v>603316</v>
      </c>
      <c r="BP502" s="8">
        <v>0</v>
      </c>
      <c r="BQ502" s="8">
        <v>0</v>
      </c>
      <c r="BS502" s="8">
        <f t="shared" si="39"/>
        <v>770209</v>
      </c>
      <c r="BU502" s="9">
        <f>+BS502-'Gen Fd BS'!AA502+BQ502</f>
        <v>0</v>
      </c>
    </row>
    <row r="503" spans="1:73">
      <c r="A503" s="13" t="s">
        <v>391</v>
      </c>
      <c r="B503" s="13"/>
      <c r="C503" s="13" t="s">
        <v>117</v>
      </c>
      <c r="D503" s="13"/>
      <c r="E503" s="32">
        <v>47274</v>
      </c>
      <c r="G503" s="8">
        <v>10524894</v>
      </c>
      <c r="I503" s="8">
        <v>1463681</v>
      </c>
      <c r="K503" s="8">
        <v>0</v>
      </c>
      <c r="M503" s="8">
        <v>0</v>
      </c>
      <c r="O503" s="8">
        <v>2029733</v>
      </c>
      <c r="Q503" s="8">
        <v>974817</v>
      </c>
      <c r="S503" s="8">
        <v>44698</v>
      </c>
      <c r="U503" s="8">
        <v>1847149</v>
      </c>
      <c r="W503" s="8">
        <v>609674</v>
      </c>
      <c r="Y503" s="8">
        <v>118141</v>
      </c>
      <c r="AA503" s="8">
        <v>2415055</v>
      </c>
      <c r="AC503" s="8">
        <v>1559990</v>
      </c>
      <c r="AE503" s="8">
        <v>101812</v>
      </c>
      <c r="AG503" s="8">
        <v>0</v>
      </c>
      <c r="AI503" s="8">
        <v>3444</v>
      </c>
      <c r="AJ503" s="13" t="s">
        <v>391</v>
      </c>
      <c r="AK503" s="13"/>
      <c r="AL503" s="13" t="s">
        <v>117</v>
      </c>
      <c r="AN503" s="8">
        <v>566424</v>
      </c>
      <c r="AP503" s="8">
        <v>254992</v>
      </c>
      <c r="AT503" s="8">
        <v>0</v>
      </c>
      <c r="AV503" s="8">
        <v>0</v>
      </c>
      <c r="AX503" s="8">
        <v>0</v>
      </c>
      <c r="AZ503" s="8">
        <f t="shared" si="40"/>
        <v>22514504</v>
      </c>
      <c r="BB503" s="8">
        <v>11000</v>
      </c>
      <c r="BH503" s="8">
        <v>0</v>
      </c>
      <c r="BJ503" s="8">
        <f t="shared" si="38"/>
        <v>22525504</v>
      </c>
      <c r="BL503" s="8">
        <f>+GenRev!AM503-GenExp!BJ503</f>
        <v>69578</v>
      </c>
      <c r="BN503" s="8">
        <v>-2065424</v>
      </c>
      <c r="BP503" s="8">
        <v>0</v>
      </c>
      <c r="BQ503" s="8">
        <v>0</v>
      </c>
      <c r="BS503" s="8">
        <f t="shared" si="39"/>
        <v>-1995846</v>
      </c>
      <c r="BU503" s="9">
        <f>+BS503-'Gen Fd BS'!AA503+BQ503</f>
        <v>0</v>
      </c>
    </row>
    <row r="504" spans="1:73">
      <c r="A504" s="13" t="s">
        <v>377</v>
      </c>
      <c r="B504" s="13"/>
      <c r="C504" s="13" t="s">
        <v>28</v>
      </c>
      <c r="D504" s="13"/>
      <c r="E504" s="32">
        <v>47092</v>
      </c>
      <c r="G504" s="8">
        <v>5442637</v>
      </c>
      <c r="I504" s="8">
        <v>979069</v>
      </c>
      <c r="K504" s="8">
        <v>0</v>
      </c>
      <c r="M504" s="8">
        <v>0</v>
      </c>
      <c r="O504" s="8">
        <v>575685</v>
      </c>
      <c r="Q504" s="8">
        <v>761358</v>
      </c>
      <c r="S504" s="8">
        <v>7833</v>
      </c>
      <c r="U504" s="8">
        <v>1120635</v>
      </c>
      <c r="W504" s="8">
        <v>457821</v>
      </c>
      <c r="Y504" s="8">
        <v>2435</v>
      </c>
      <c r="AA504" s="8">
        <v>1140217</v>
      </c>
      <c r="AC504" s="8">
        <v>695673</v>
      </c>
      <c r="AE504" s="8">
        <v>54075</v>
      </c>
      <c r="AG504" s="8">
        <v>0</v>
      </c>
      <c r="AI504" s="8">
        <v>0</v>
      </c>
      <c r="AJ504" s="13" t="s">
        <v>377</v>
      </c>
      <c r="AK504" s="13"/>
      <c r="AL504" s="13" t="s">
        <v>28</v>
      </c>
      <c r="AN504" s="8">
        <v>283545</v>
      </c>
      <c r="AP504" s="8">
        <v>0</v>
      </c>
      <c r="AT504" s="8">
        <v>0</v>
      </c>
      <c r="AV504" s="8">
        <v>22242</v>
      </c>
      <c r="AX504" s="8">
        <v>0</v>
      </c>
      <c r="AZ504" s="8">
        <f t="shared" si="40"/>
        <v>11543225</v>
      </c>
      <c r="BB504" s="8">
        <v>406951</v>
      </c>
      <c r="BH504" s="8">
        <v>0</v>
      </c>
      <c r="BJ504" s="8">
        <f t="shared" si="38"/>
        <v>11950176</v>
      </c>
      <c r="BL504" s="8">
        <f>+GenRev!AM504-GenExp!BJ504</f>
        <v>3024629</v>
      </c>
      <c r="BN504" s="8">
        <v>5239838</v>
      </c>
      <c r="BP504" s="8">
        <v>0</v>
      </c>
      <c r="BQ504" s="8">
        <v>0</v>
      </c>
      <c r="BS504" s="8">
        <f t="shared" si="39"/>
        <v>8264467</v>
      </c>
      <c r="BU504" s="9">
        <f>+BS504-'Gen Fd BS'!AA504+BQ504</f>
        <v>0</v>
      </c>
    </row>
    <row r="505" spans="1:73">
      <c r="A505" s="13" t="s">
        <v>897</v>
      </c>
      <c r="B505" s="13"/>
      <c r="C505" s="13" t="s">
        <v>49</v>
      </c>
      <c r="D505" s="13"/>
      <c r="E505" s="32">
        <v>48652</v>
      </c>
      <c r="G505" s="8">
        <v>9444582</v>
      </c>
      <c r="I505" s="8">
        <v>1758931</v>
      </c>
      <c r="K505" s="8">
        <v>1898351</v>
      </c>
      <c r="M505" s="8">
        <v>0</v>
      </c>
      <c r="O505" s="8">
        <v>803545</v>
      </c>
      <c r="Q505" s="8">
        <v>486661</v>
      </c>
      <c r="S505" s="8">
        <v>23984</v>
      </c>
      <c r="U505" s="8">
        <v>1839620</v>
      </c>
      <c r="W505" s="8">
        <v>681750</v>
      </c>
      <c r="Y505" s="8">
        <v>0</v>
      </c>
      <c r="AA505" s="8">
        <v>2166648</v>
      </c>
      <c r="AC505" s="8">
        <v>2608173</v>
      </c>
      <c r="AE505" s="8">
        <v>0</v>
      </c>
      <c r="AG505" s="8">
        <v>0</v>
      </c>
      <c r="AI505" s="8">
        <v>0</v>
      </c>
      <c r="AJ505" s="13" t="s">
        <v>551</v>
      </c>
      <c r="AK505" s="13"/>
      <c r="AL505" s="13" t="s">
        <v>49</v>
      </c>
      <c r="AN505" s="8">
        <v>239940</v>
      </c>
      <c r="AP505" s="8">
        <v>0</v>
      </c>
      <c r="AT505" s="8">
        <v>0</v>
      </c>
      <c r="AV505" s="8">
        <v>0</v>
      </c>
      <c r="AX505" s="8">
        <v>0</v>
      </c>
      <c r="AZ505" s="8">
        <f t="shared" si="40"/>
        <v>21952185</v>
      </c>
      <c r="BB505" s="8">
        <v>74685</v>
      </c>
      <c r="BH505" s="8">
        <v>0</v>
      </c>
      <c r="BJ505" s="8">
        <f t="shared" si="38"/>
        <v>22026870</v>
      </c>
      <c r="BL505" s="8">
        <f>+GenRev!AM505-GenExp!BJ505</f>
        <v>-714309</v>
      </c>
      <c r="BN505" s="8">
        <v>-318583</v>
      </c>
      <c r="BP505" s="8">
        <v>0</v>
      </c>
      <c r="BQ505" s="8">
        <v>0</v>
      </c>
      <c r="BS505" s="8">
        <f t="shared" si="39"/>
        <v>-1032892</v>
      </c>
      <c r="BU505" s="9">
        <f>+BS505-'Gen Fd BS'!AA505+BQ505</f>
        <v>0</v>
      </c>
    </row>
    <row r="506" spans="1:73">
      <c r="A506" s="13" t="s">
        <v>414</v>
      </c>
      <c r="B506" s="13"/>
      <c r="C506" s="13" t="s">
        <v>32</v>
      </c>
      <c r="D506" s="13"/>
      <c r="E506" s="32">
        <v>44867</v>
      </c>
      <c r="G506" s="8">
        <v>31577652</v>
      </c>
      <c r="I506" s="8">
        <v>7673417</v>
      </c>
      <c r="K506" s="8">
        <v>2405</v>
      </c>
      <c r="M506" s="8">
        <v>284575</v>
      </c>
      <c r="O506" s="8">
        <v>4055054</v>
      </c>
      <c r="Q506" s="8">
        <v>4475781</v>
      </c>
      <c r="S506" s="8">
        <v>41267</v>
      </c>
      <c r="U506" s="8">
        <v>5116049</v>
      </c>
      <c r="W506" s="8">
        <v>1590540</v>
      </c>
      <c r="Y506" s="8">
        <v>82073</v>
      </c>
      <c r="AA506" s="8">
        <v>7387098</v>
      </c>
      <c r="AC506" s="8">
        <v>3984042</v>
      </c>
      <c r="AE506" s="8">
        <v>1620364</v>
      </c>
      <c r="AG506" s="8">
        <v>0</v>
      </c>
      <c r="AI506" s="8">
        <v>10711</v>
      </c>
      <c r="AJ506" s="13" t="s">
        <v>414</v>
      </c>
      <c r="AK506" s="13"/>
      <c r="AL506" s="13" t="s">
        <v>32</v>
      </c>
      <c r="AN506" s="8">
        <v>857887</v>
      </c>
      <c r="AP506" s="8">
        <v>18064</v>
      </c>
      <c r="AT506" s="8">
        <v>665000</v>
      </c>
      <c r="AV506" s="8">
        <v>613414</v>
      </c>
      <c r="AX506" s="8">
        <v>0</v>
      </c>
      <c r="AZ506" s="8">
        <f t="shared" si="40"/>
        <v>70055393</v>
      </c>
      <c r="BB506" s="8">
        <v>1444350</v>
      </c>
      <c r="BH506" s="8">
        <v>8206158</v>
      </c>
      <c r="BJ506" s="8">
        <f t="shared" si="38"/>
        <v>79705901</v>
      </c>
      <c r="BL506" s="8">
        <f>+GenRev!AM506-GenExp!BJ506</f>
        <v>720070</v>
      </c>
      <c r="BN506" s="8">
        <v>48549547</v>
      </c>
      <c r="BP506" s="8">
        <v>0</v>
      </c>
      <c r="BQ506" s="8">
        <v>0</v>
      </c>
      <c r="BS506" s="8">
        <f t="shared" si="39"/>
        <v>49269617</v>
      </c>
      <c r="BU506" s="9">
        <f>+BS506-'Gen Fd BS'!AA506+BQ506</f>
        <v>0</v>
      </c>
    </row>
    <row r="507" spans="1:73">
      <c r="A507" s="13" t="s">
        <v>507</v>
      </c>
      <c r="B507" s="13"/>
      <c r="C507" s="13" t="s">
        <v>118</v>
      </c>
      <c r="D507" s="13"/>
      <c r="E507" s="32">
        <v>44875</v>
      </c>
      <c r="F507" s="11"/>
      <c r="G507" s="8">
        <v>32493904</v>
      </c>
      <c r="I507" s="8">
        <v>6974156</v>
      </c>
      <c r="K507" s="8">
        <v>2194509</v>
      </c>
      <c r="M507" s="8">
        <v>1394321</v>
      </c>
      <c r="O507" s="8">
        <v>5432766</v>
      </c>
      <c r="Q507" s="8">
        <v>2497838</v>
      </c>
      <c r="S507" s="8">
        <v>17584</v>
      </c>
      <c r="U507" s="8">
        <v>7338637</v>
      </c>
      <c r="W507" s="8">
        <v>1544088</v>
      </c>
      <c r="Y507" s="8">
        <v>127710</v>
      </c>
      <c r="AA507" s="8">
        <v>8504021</v>
      </c>
      <c r="AC507" s="8">
        <v>5668823</v>
      </c>
      <c r="AE507" s="8">
        <v>980670</v>
      </c>
      <c r="AG507" s="8">
        <v>0</v>
      </c>
      <c r="AI507" s="8">
        <v>46982</v>
      </c>
      <c r="AJ507" s="13" t="s">
        <v>507</v>
      </c>
      <c r="AK507" s="13"/>
      <c r="AL507" s="13" t="s">
        <v>118</v>
      </c>
      <c r="AN507" s="8">
        <v>1394918</v>
      </c>
      <c r="AP507" s="8">
        <v>618564</v>
      </c>
      <c r="AT507" s="8">
        <v>134674</v>
      </c>
      <c r="AV507" s="8">
        <v>10296</v>
      </c>
      <c r="AX507" s="8">
        <v>0</v>
      </c>
      <c r="AZ507" s="8">
        <f t="shared" si="40"/>
        <v>77374461</v>
      </c>
      <c r="BB507" s="8">
        <v>263000</v>
      </c>
      <c r="BH507" s="8">
        <v>0</v>
      </c>
      <c r="BJ507" s="8">
        <f t="shared" si="38"/>
        <v>77637461</v>
      </c>
      <c r="BL507" s="8">
        <f>+GenRev!AM509-GenExp!BJ507</f>
        <v>706734</v>
      </c>
      <c r="BN507" s="8">
        <v>9703411</v>
      </c>
      <c r="BP507" s="8">
        <v>0</v>
      </c>
      <c r="BQ507" s="8">
        <v>0</v>
      </c>
      <c r="BS507" s="8">
        <f t="shared" si="39"/>
        <v>10410145</v>
      </c>
      <c r="BU507" s="9">
        <f>+BS507-'Gen Fd BS'!AA507+BQ507</f>
        <v>0</v>
      </c>
    </row>
    <row r="508" spans="1:73">
      <c r="A508" s="13" t="s">
        <v>477</v>
      </c>
      <c r="B508" s="13"/>
      <c r="C508" s="13" t="s">
        <v>471</v>
      </c>
      <c r="D508" s="13"/>
      <c r="E508" s="32">
        <v>47969</v>
      </c>
      <c r="G508" s="8">
        <v>3626447</v>
      </c>
      <c r="I508" s="8">
        <v>642683</v>
      </c>
      <c r="K508" s="8">
        <v>181565</v>
      </c>
      <c r="M508" s="8">
        <v>0</v>
      </c>
      <c r="O508" s="8">
        <v>228921</v>
      </c>
      <c r="Q508" s="8">
        <v>133110</v>
      </c>
      <c r="S508" s="8">
        <v>54282</v>
      </c>
      <c r="U508" s="8">
        <v>542249</v>
      </c>
      <c r="W508" s="8">
        <v>305414</v>
      </c>
      <c r="Y508" s="8">
        <v>0</v>
      </c>
      <c r="AA508" s="8">
        <v>942757</v>
      </c>
      <c r="AC508" s="8">
        <v>961701</v>
      </c>
      <c r="AE508" s="8">
        <v>60615</v>
      </c>
      <c r="AG508" s="8">
        <v>0</v>
      </c>
      <c r="AI508" s="8">
        <v>0</v>
      </c>
      <c r="AJ508" s="13" t="s">
        <v>477</v>
      </c>
      <c r="AK508" s="13"/>
      <c r="AL508" s="13" t="s">
        <v>471</v>
      </c>
      <c r="AN508" s="8">
        <v>190331</v>
      </c>
      <c r="AP508" s="8">
        <v>0</v>
      </c>
      <c r="AT508" s="8">
        <v>0</v>
      </c>
      <c r="AV508" s="8">
        <v>0</v>
      </c>
      <c r="AX508" s="8">
        <v>0</v>
      </c>
      <c r="AZ508" s="8">
        <f t="shared" si="40"/>
        <v>7870075</v>
      </c>
      <c r="BB508" s="8">
        <v>543933</v>
      </c>
      <c r="BH508" s="8">
        <v>0</v>
      </c>
      <c r="BJ508" s="8">
        <f t="shared" si="38"/>
        <v>8414008</v>
      </c>
      <c r="BL508" s="8">
        <f>+GenRev!AM510-GenExp!BJ508</f>
        <v>-1085943</v>
      </c>
      <c r="BN508" s="8">
        <v>5512780</v>
      </c>
      <c r="BP508" s="8">
        <v>0</v>
      </c>
      <c r="BQ508" s="8">
        <v>0</v>
      </c>
      <c r="BS508" s="8">
        <f t="shared" si="39"/>
        <v>4426837</v>
      </c>
      <c r="BU508" s="9">
        <f>+BS508-'Gen Fd BS'!AA510+BQ508</f>
        <v>0</v>
      </c>
    </row>
    <row r="509" spans="1:73">
      <c r="A509" s="13" t="s">
        <v>255</v>
      </c>
      <c r="B509" s="13"/>
      <c r="C509" s="13" t="s">
        <v>246</v>
      </c>
      <c r="D509" s="13"/>
      <c r="E509" s="32">
        <v>46151</v>
      </c>
      <c r="F509" s="11"/>
      <c r="G509" s="8">
        <v>12784907</v>
      </c>
      <c r="I509" s="8">
        <v>2224036</v>
      </c>
      <c r="K509" s="8">
        <v>0</v>
      </c>
      <c r="M509" s="8">
        <v>1231981</v>
      </c>
      <c r="O509" s="8">
        <v>1146378</v>
      </c>
      <c r="Q509" s="8">
        <v>1814043</v>
      </c>
      <c r="S509" s="8">
        <v>59448</v>
      </c>
      <c r="U509" s="8">
        <v>1888831</v>
      </c>
      <c r="W509" s="8">
        <v>1116199</v>
      </c>
      <c r="Y509" s="8">
        <v>7691</v>
      </c>
      <c r="AA509" s="8">
        <v>3084668</v>
      </c>
      <c r="AC509" s="8">
        <v>2553000</v>
      </c>
      <c r="AE509" s="8">
        <v>103191</v>
      </c>
      <c r="AG509" s="8">
        <v>0</v>
      </c>
      <c r="AI509" s="8">
        <v>0</v>
      </c>
      <c r="AJ509" s="13" t="s">
        <v>255</v>
      </c>
      <c r="AK509" s="13"/>
      <c r="AL509" s="13" t="s">
        <v>246</v>
      </c>
      <c r="AN509" s="8">
        <f>588086</f>
        <v>588086</v>
      </c>
      <c r="AP509" s="8">
        <v>22140</v>
      </c>
      <c r="AT509" s="8">
        <v>0</v>
      </c>
      <c r="AV509" s="8">
        <v>0</v>
      </c>
      <c r="AX509" s="8">
        <v>0</v>
      </c>
      <c r="AZ509" s="8">
        <f t="shared" ref="AZ509:AZ544" si="41">SUM(G509:AX509)</f>
        <v>28624599</v>
      </c>
      <c r="BB509" s="8">
        <v>0</v>
      </c>
      <c r="BH509" s="8">
        <v>0</v>
      </c>
      <c r="BJ509" s="8">
        <f t="shared" ref="BJ509:BJ525" si="42">+AZ509+BB509+BD509+BH509</f>
        <v>28624599</v>
      </c>
      <c r="BL509" s="8">
        <f>+GenRev!AM511-GenExp!BJ509</f>
        <v>1840154</v>
      </c>
      <c r="BN509" s="8">
        <v>8928253</v>
      </c>
      <c r="BP509" s="8">
        <v>0</v>
      </c>
      <c r="BQ509" s="8">
        <v>0</v>
      </c>
      <c r="BS509" s="8">
        <f t="shared" ref="BS509:BS526" si="43">+BN509+BL509-BP509</f>
        <v>10768407</v>
      </c>
      <c r="BU509" s="9">
        <f>+BS509-'Gen Fd BS'!AA511+BQ509</f>
        <v>0</v>
      </c>
    </row>
    <row r="510" spans="1:73">
      <c r="A510" s="13" t="s">
        <v>677</v>
      </c>
      <c r="B510" s="13"/>
      <c r="C510" s="13" t="s">
        <v>63</v>
      </c>
      <c r="D510" s="13"/>
      <c r="E510" s="32">
        <v>44883</v>
      </c>
      <c r="G510" s="8">
        <v>13050382</v>
      </c>
      <c r="I510" s="8">
        <v>2437679</v>
      </c>
      <c r="K510" s="8">
        <v>907360</v>
      </c>
      <c r="M510" s="8">
        <v>67047</v>
      </c>
      <c r="O510" s="8">
        <v>1313339</v>
      </c>
      <c r="Q510" s="8">
        <v>590366</v>
      </c>
      <c r="S510" s="8">
        <v>32954</v>
      </c>
      <c r="U510" s="8">
        <v>1940427</v>
      </c>
      <c r="W510" s="8">
        <v>669205</v>
      </c>
      <c r="Y510" s="8">
        <v>126816</v>
      </c>
      <c r="AA510" s="8">
        <v>1834332</v>
      </c>
      <c r="AC510" s="8">
        <v>1331069</v>
      </c>
      <c r="AE510" s="8">
        <v>269813</v>
      </c>
      <c r="AG510" s="8">
        <v>0</v>
      </c>
      <c r="AI510" s="8">
        <v>0</v>
      </c>
      <c r="AJ510" s="13" t="s">
        <v>677</v>
      </c>
      <c r="AK510" s="13"/>
      <c r="AL510" s="13" t="s">
        <v>63</v>
      </c>
      <c r="AN510" s="8">
        <v>780030</v>
      </c>
      <c r="AP510" s="8">
        <v>0</v>
      </c>
      <c r="AT510" s="8">
        <v>0</v>
      </c>
      <c r="AV510" s="8">
        <v>0</v>
      </c>
      <c r="AX510" s="8">
        <v>0</v>
      </c>
      <c r="AZ510" s="8">
        <f t="shared" si="41"/>
        <v>25350819</v>
      </c>
      <c r="BB510" s="8">
        <v>0</v>
      </c>
      <c r="BH510" s="8">
        <v>0</v>
      </c>
      <c r="BJ510" s="8">
        <f t="shared" si="42"/>
        <v>25350819</v>
      </c>
      <c r="BL510" s="8">
        <f>+GenRev!AM512-GenExp!BJ510</f>
        <v>-2033621</v>
      </c>
      <c r="BN510" s="8">
        <v>4353322</v>
      </c>
      <c r="BP510" s="8">
        <v>0</v>
      </c>
      <c r="BQ510" s="8">
        <v>0</v>
      </c>
      <c r="BS510" s="8">
        <f t="shared" si="43"/>
        <v>2319701</v>
      </c>
      <c r="BU510" s="9">
        <f>+BS510-'Gen Fd BS'!AA512+BQ510</f>
        <v>0</v>
      </c>
    </row>
    <row r="511" spans="1:73">
      <c r="A511" s="13" t="s">
        <v>590</v>
      </c>
      <c r="B511" s="13"/>
      <c r="C511" s="13" t="s">
        <v>54</v>
      </c>
      <c r="D511" s="13"/>
      <c r="E511" s="32">
        <v>49098</v>
      </c>
      <c r="G511" s="8">
        <v>13288479</v>
      </c>
      <c r="I511" s="8">
        <v>2430596</v>
      </c>
      <c r="K511" s="8">
        <v>862254</v>
      </c>
      <c r="M511" s="8">
        <f>181+144555</f>
        <v>144736</v>
      </c>
      <c r="O511" s="8">
        <v>987312</v>
      </c>
      <c r="Q511" s="8">
        <v>1155280</v>
      </c>
      <c r="S511" s="8">
        <v>104600</v>
      </c>
      <c r="U511" s="8">
        <v>2541759</v>
      </c>
      <c r="W511" s="8">
        <v>655079</v>
      </c>
      <c r="Y511" s="8">
        <v>23397</v>
      </c>
      <c r="AA511" s="8">
        <v>2344418</v>
      </c>
      <c r="AC511" s="8">
        <v>1769342</v>
      </c>
      <c r="AE511" s="8">
        <v>103314</v>
      </c>
      <c r="AG511" s="8">
        <v>0</v>
      </c>
      <c r="AI511" s="8">
        <v>11063</v>
      </c>
      <c r="AJ511" s="13" t="s">
        <v>590</v>
      </c>
      <c r="AK511" s="13"/>
      <c r="AL511" s="13" t="s">
        <v>54</v>
      </c>
      <c r="AN511" s="8">
        <v>476624</v>
      </c>
      <c r="AP511" s="8">
        <v>0</v>
      </c>
      <c r="AT511" s="8">
        <v>154503</v>
      </c>
      <c r="AV511" s="8">
        <v>30756</v>
      </c>
      <c r="AX511" s="8">
        <v>0</v>
      </c>
      <c r="AZ511" s="8">
        <f t="shared" si="41"/>
        <v>27083512</v>
      </c>
      <c r="BB511" s="8">
        <v>82306</v>
      </c>
      <c r="BH511" s="8">
        <v>0</v>
      </c>
      <c r="BJ511" s="8">
        <f t="shared" si="42"/>
        <v>27165818</v>
      </c>
      <c r="BL511" s="8">
        <f>+GenRev!AM513-GenExp!BJ511</f>
        <v>225573</v>
      </c>
      <c r="BN511" s="8">
        <v>5438688</v>
      </c>
      <c r="BP511" s="8">
        <v>0</v>
      </c>
      <c r="BQ511" s="8">
        <v>0</v>
      </c>
      <c r="BS511" s="8">
        <f t="shared" si="43"/>
        <v>5664261</v>
      </c>
      <c r="BU511" s="9">
        <f>+BS511-'Gen Fd BS'!AA513+BQ511</f>
        <v>0</v>
      </c>
    </row>
    <row r="512" spans="1:73" ht="12.75" customHeight="1">
      <c r="A512" s="13" t="s">
        <v>269</v>
      </c>
      <c r="B512" s="13"/>
      <c r="C512" s="13" t="s">
        <v>17</v>
      </c>
      <c r="D512" s="13"/>
      <c r="E512" s="32">
        <v>46243</v>
      </c>
      <c r="G512" s="8">
        <v>12041365</v>
      </c>
      <c r="I512" s="8">
        <v>2580486</v>
      </c>
      <c r="K512" s="8">
        <v>522131</v>
      </c>
      <c r="M512" s="8">
        <v>717749</v>
      </c>
      <c r="O512" s="8">
        <v>1445023</v>
      </c>
      <c r="Q512" s="8">
        <v>1085670</v>
      </c>
      <c r="S512" s="8">
        <v>100981</v>
      </c>
      <c r="U512" s="8">
        <v>2466134</v>
      </c>
      <c r="W512" s="8">
        <v>536218</v>
      </c>
      <c r="Y512" s="8">
        <v>90168</v>
      </c>
      <c r="AA512" s="8">
        <v>3349725</v>
      </c>
      <c r="AC512" s="8">
        <v>1283458</v>
      </c>
      <c r="AE512" s="8">
        <v>129668</v>
      </c>
      <c r="AG512" s="8">
        <v>0</v>
      </c>
      <c r="AI512" s="8">
        <v>133</v>
      </c>
      <c r="AJ512" s="13" t="s">
        <v>269</v>
      </c>
      <c r="AK512" s="13"/>
      <c r="AL512" s="13" t="s">
        <v>17</v>
      </c>
      <c r="AN512" s="8">
        <v>360685</v>
      </c>
      <c r="AP512" s="8">
        <v>7088</v>
      </c>
      <c r="AT512" s="8">
        <v>0</v>
      </c>
      <c r="AV512" s="8">
        <v>0</v>
      </c>
      <c r="AX512" s="8">
        <v>0</v>
      </c>
      <c r="AZ512" s="8">
        <f t="shared" si="41"/>
        <v>26716682</v>
      </c>
      <c r="BB512" s="8">
        <v>0</v>
      </c>
      <c r="BH512" s="8">
        <v>0</v>
      </c>
      <c r="BJ512" s="8">
        <f t="shared" si="42"/>
        <v>26716682</v>
      </c>
      <c r="BL512" s="8">
        <f>+GenRev!AM514-GenExp!BJ512</f>
        <v>-427528</v>
      </c>
      <c r="BN512" s="8">
        <v>2271776</v>
      </c>
      <c r="BP512" s="8">
        <v>0</v>
      </c>
      <c r="BQ512" s="8">
        <v>0</v>
      </c>
      <c r="BS512" s="8">
        <f t="shared" si="43"/>
        <v>1844248</v>
      </c>
      <c r="BU512" s="9">
        <f>+BS512-'Gen Fd BS'!AA514+BQ512</f>
        <v>0</v>
      </c>
    </row>
    <row r="513" spans="1:73">
      <c r="A513" s="13" t="s">
        <v>415</v>
      </c>
      <c r="B513" s="13"/>
      <c r="C513" s="13" t="s">
        <v>32</v>
      </c>
      <c r="D513" s="13"/>
      <c r="E513" s="32">
        <v>47399</v>
      </c>
      <c r="G513" s="8">
        <v>8970021</v>
      </c>
      <c r="I513" s="8">
        <v>1154017</v>
      </c>
      <c r="K513" s="8">
        <v>0</v>
      </c>
      <c r="M513" s="8">
        <v>9633</v>
      </c>
      <c r="O513" s="8">
        <v>948311</v>
      </c>
      <c r="Q513" s="8">
        <v>1262515</v>
      </c>
      <c r="S513" s="8">
        <v>20297</v>
      </c>
      <c r="U513" s="8">
        <v>1355072</v>
      </c>
      <c r="W513" s="8">
        <v>718008</v>
      </c>
      <c r="Y513" s="8">
        <v>16069</v>
      </c>
      <c r="AA513" s="8">
        <v>1253980</v>
      </c>
      <c r="AC513" s="8">
        <v>1151436</v>
      </c>
      <c r="AE513" s="8">
        <v>372264</v>
      </c>
      <c r="AG513" s="8">
        <v>0</v>
      </c>
      <c r="AI513" s="8">
        <v>41150</v>
      </c>
      <c r="AJ513" s="13" t="s">
        <v>415</v>
      </c>
      <c r="AK513" s="13"/>
      <c r="AL513" s="13" t="s">
        <v>32</v>
      </c>
      <c r="AN513" s="8">
        <v>218413</v>
      </c>
      <c r="AP513" s="8">
        <v>457841</v>
      </c>
      <c r="AT513" s="8">
        <v>0</v>
      </c>
      <c r="AV513" s="8">
        <v>0</v>
      </c>
      <c r="AX513" s="8">
        <v>0</v>
      </c>
      <c r="AZ513" s="8">
        <f t="shared" si="41"/>
        <v>17949027</v>
      </c>
      <c r="BB513" s="8">
        <v>117170</v>
      </c>
      <c r="BH513" s="8">
        <v>0</v>
      </c>
      <c r="BJ513" s="8">
        <f t="shared" si="42"/>
        <v>18066197</v>
      </c>
      <c r="BL513" s="8">
        <f>+GenRev!AM515-GenExp!BJ513</f>
        <v>838194</v>
      </c>
      <c r="BN513" s="8">
        <v>7407499</v>
      </c>
      <c r="BP513" s="8">
        <v>0</v>
      </c>
      <c r="BQ513" s="8">
        <v>0</v>
      </c>
      <c r="BS513" s="8">
        <f t="shared" si="43"/>
        <v>8245693</v>
      </c>
      <c r="BU513" s="9">
        <f>+BS513-'Gen Fd BS'!AA515+BQ513</f>
        <v>0</v>
      </c>
    </row>
    <row r="514" spans="1:73" hidden="1">
      <c r="A514" s="13" t="s">
        <v>645</v>
      </c>
      <c r="B514" s="13"/>
      <c r="C514" s="13" t="s">
        <v>60</v>
      </c>
      <c r="D514" s="13"/>
      <c r="E514" s="32">
        <v>44891</v>
      </c>
      <c r="AG514" s="8">
        <v>0</v>
      </c>
      <c r="AJ514" s="13" t="s">
        <v>645</v>
      </c>
      <c r="AK514" s="13"/>
      <c r="AL514" s="13" t="s">
        <v>60</v>
      </c>
      <c r="AX514" s="8">
        <v>0</v>
      </c>
      <c r="AZ514" s="8">
        <f t="shared" si="41"/>
        <v>0</v>
      </c>
      <c r="BH514" s="8">
        <v>0</v>
      </c>
      <c r="BJ514" s="8">
        <f t="shared" si="42"/>
        <v>0</v>
      </c>
      <c r="BL514" s="8">
        <f>+GenRev!AM516-GenExp!BJ514</f>
        <v>0</v>
      </c>
      <c r="BP514" s="8">
        <v>0</v>
      </c>
      <c r="BQ514" s="8">
        <v>0</v>
      </c>
      <c r="BS514" s="8">
        <f t="shared" si="43"/>
        <v>0</v>
      </c>
      <c r="BU514" s="9">
        <f>+BS514-'Gen Fd BS'!AA516+BQ514</f>
        <v>0</v>
      </c>
    </row>
    <row r="515" spans="1:73">
      <c r="A515" s="13" t="s">
        <v>645</v>
      </c>
      <c r="B515" s="13"/>
      <c r="C515" s="13" t="s">
        <v>60</v>
      </c>
      <c r="D515" s="13"/>
      <c r="E515" s="32"/>
      <c r="G515" s="8">
        <v>9518455</v>
      </c>
      <c r="I515" s="8">
        <v>2593720</v>
      </c>
      <c r="K515" s="8">
        <v>205739</v>
      </c>
      <c r="M515" s="8">
        <v>1801541</v>
      </c>
      <c r="O515" s="8">
        <v>823590</v>
      </c>
      <c r="Q515" s="8">
        <v>863926</v>
      </c>
      <c r="S515" s="8">
        <v>40644</v>
      </c>
      <c r="U515" s="8">
        <v>1821138</v>
      </c>
      <c r="W515" s="8">
        <v>716575</v>
      </c>
      <c r="Y515" s="8">
        <v>350</v>
      </c>
      <c r="AA515" s="8">
        <v>2268497</v>
      </c>
      <c r="AC515" s="8">
        <v>687818</v>
      </c>
      <c r="AE515" s="8">
        <v>38905</v>
      </c>
      <c r="AG515" s="8">
        <v>0</v>
      </c>
      <c r="AI515" s="8">
        <v>0</v>
      </c>
      <c r="AJ515" s="13" t="s">
        <v>645</v>
      </c>
      <c r="AK515" s="13"/>
      <c r="AL515" s="13" t="s">
        <v>60</v>
      </c>
      <c r="AN515" s="8">
        <v>373978</v>
      </c>
      <c r="AP515" s="8">
        <v>0</v>
      </c>
      <c r="AT515" s="8">
        <v>88682</v>
      </c>
      <c r="AV515" s="8">
        <v>36636</v>
      </c>
      <c r="AX515" s="8">
        <v>0</v>
      </c>
      <c r="AZ515" s="8">
        <f t="shared" si="41"/>
        <v>21880194</v>
      </c>
      <c r="BB515" s="8">
        <v>6964</v>
      </c>
      <c r="BH515" s="8">
        <v>0</v>
      </c>
      <c r="BJ515" s="8">
        <f t="shared" si="42"/>
        <v>21887158</v>
      </c>
      <c r="BL515" s="8">
        <f>+GenRev!AM517-GenExp!BJ515</f>
        <v>1757904</v>
      </c>
      <c r="BN515" s="8">
        <v>1283365</v>
      </c>
      <c r="BP515" s="8">
        <v>0</v>
      </c>
      <c r="BQ515" s="8">
        <v>0</v>
      </c>
      <c r="BS515" s="8">
        <f>+BN515+BL515-BP515</f>
        <v>3041269</v>
      </c>
      <c r="BU515" s="9">
        <f>+BS515-'Gen Fd BS'!AA517+BQ515</f>
        <v>0</v>
      </c>
    </row>
    <row r="516" spans="1:73">
      <c r="A516" s="13" t="s">
        <v>549</v>
      </c>
      <c r="B516" s="13"/>
      <c r="C516" s="13" t="s">
        <v>48</v>
      </c>
      <c r="D516" s="13"/>
      <c r="E516" s="32">
        <v>45617</v>
      </c>
      <c r="G516" s="8">
        <v>9847071</v>
      </c>
      <c r="I516" s="8">
        <v>0</v>
      </c>
      <c r="K516" s="8">
        <v>0</v>
      </c>
      <c r="M516" s="8">
        <v>0</v>
      </c>
      <c r="O516" s="8">
        <v>636148</v>
      </c>
      <c r="Q516" s="8">
        <v>1112423</v>
      </c>
      <c r="S516" s="8">
        <v>37727</v>
      </c>
      <c r="U516" s="8">
        <v>1415397</v>
      </c>
      <c r="W516" s="8">
        <v>521082</v>
      </c>
      <c r="Y516" s="8">
        <v>0</v>
      </c>
      <c r="AA516" s="8">
        <v>1949943</v>
      </c>
      <c r="AC516" s="8">
        <v>905317</v>
      </c>
      <c r="AE516" s="8">
        <v>388648</v>
      </c>
      <c r="AG516" s="8">
        <v>0</v>
      </c>
      <c r="AI516" s="8">
        <v>0</v>
      </c>
      <c r="AJ516" s="13" t="s">
        <v>549</v>
      </c>
      <c r="AK516" s="13"/>
      <c r="AL516" s="13" t="s">
        <v>48</v>
      </c>
      <c r="AN516" s="8">
        <f>7068+411745</f>
        <v>418813</v>
      </c>
      <c r="AP516" s="8">
        <v>0</v>
      </c>
      <c r="AT516" s="8">
        <v>26507</v>
      </c>
      <c r="AV516" s="8">
        <v>11520</v>
      </c>
      <c r="AX516" s="8">
        <v>0</v>
      </c>
      <c r="AZ516" s="8">
        <f t="shared" si="41"/>
        <v>17270596</v>
      </c>
      <c r="BB516" s="8">
        <v>0</v>
      </c>
      <c r="BH516" s="8">
        <v>0</v>
      </c>
      <c r="BJ516" s="8">
        <f t="shared" si="42"/>
        <v>17270596</v>
      </c>
      <c r="BL516" s="8">
        <f>+GenRev!AM518-GenExp!BJ516</f>
        <v>603542</v>
      </c>
      <c r="BN516" s="8">
        <v>-893409</v>
      </c>
      <c r="BP516" s="8">
        <v>0</v>
      </c>
      <c r="BQ516" s="8">
        <v>0</v>
      </c>
      <c r="BS516" s="8">
        <f t="shared" si="43"/>
        <v>-289867</v>
      </c>
      <c r="BU516" s="9">
        <f>+BS516-'Gen Fd BS'!AA518+BQ516</f>
        <v>0</v>
      </c>
    </row>
    <row r="517" spans="1:73">
      <c r="A517" s="13" t="s">
        <v>508</v>
      </c>
      <c r="B517" s="13"/>
      <c r="C517" s="13" t="s">
        <v>118</v>
      </c>
      <c r="D517" s="13"/>
      <c r="E517" s="32">
        <v>44909</v>
      </c>
      <c r="G517" s="8">
        <v>181997316</v>
      </c>
      <c r="I517" s="8">
        <v>0</v>
      </c>
      <c r="K517" s="8">
        <v>0</v>
      </c>
      <c r="M517" s="8">
        <v>0</v>
      </c>
      <c r="O517" s="8">
        <v>98424240</v>
      </c>
      <c r="Q517" s="8">
        <v>0</v>
      </c>
      <c r="S517" s="8">
        <v>0</v>
      </c>
      <c r="U517" s="8">
        <v>0</v>
      </c>
      <c r="W517" s="8">
        <v>0</v>
      </c>
      <c r="Y517" s="8">
        <v>0</v>
      </c>
      <c r="AA517" s="8">
        <v>0</v>
      </c>
      <c r="AC517" s="8">
        <v>0</v>
      </c>
      <c r="AE517" s="8">
        <v>0</v>
      </c>
      <c r="AG517" s="8">
        <v>0</v>
      </c>
      <c r="AI517" s="8">
        <v>9021184</v>
      </c>
      <c r="AJ517" s="13" t="s">
        <v>508</v>
      </c>
      <c r="AK517" s="13"/>
      <c r="AL517" s="13" t="s">
        <v>118</v>
      </c>
      <c r="AN517" s="8">
        <v>3460442</v>
      </c>
      <c r="AP517" s="8">
        <v>297226</v>
      </c>
      <c r="AT517" s="8">
        <v>0</v>
      </c>
      <c r="AV517" s="8">
        <v>0</v>
      </c>
      <c r="AX517" s="8">
        <v>0</v>
      </c>
      <c r="AZ517" s="8">
        <f t="shared" si="41"/>
        <v>293200408</v>
      </c>
      <c r="BB517" s="8">
        <v>2503618</v>
      </c>
      <c r="BH517" s="8">
        <v>0</v>
      </c>
      <c r="BJ517" s="8">
        <f t="shared" si="42"/>
        <v>295704026</v>
      </c>
      <c r="BL517" s="8">
        <f>+GenRev!AM519-GenExp!BJ517</f>
        <v>8298454</v>
      </c>
      <c r="BN517" s="8">
        <v>5710937</v>
      </c>
      <c r="BP517" s="8">
        <v>0</v>
      </c>
      <c r="BQ517" s="8">
        <v>0</v>
      </c>
      <c r="BS517" s="8">
        <f t="shared" si="43"/>
        <v>14009391</v>
      </c>
      <c r="BU517" s="9">
        <f>+BS517-'Gen Fd BS'!AA519+BQ517</f>
        <v>0</v>
      </c>
    </row>
    <row r="518" spans="1:73">
      <c r="A518" s="13" t="s">
        <v>458</v>
      </c>
      <c r="B518" s="13"/>
      <c r="C518" s="13" t="s">
        <v>39</v>
      </c>
      <c r="D518" s="13"/>
      <c r="E518" s="32">
        <v>44917</v>
      </c>
      <c r="G518" s="8">
        <v>2414457</v>
      </c>
      <c r="I518" s="8">
        <v>488986</v>
      </c>
      <c r="K518" s="8">
        <v>105494</v>
      </c>
      <c r="M518" s="8">
        <v>48667</v>
      </c>
      <c r="O518" s="8">
        <v>229149</v>
      </c>
      <c r="Q518" s="8">
        <v>203408</v>
      </c>
      <c r="S518" s="8">
        <v>9748</v>
      </c>
      <c r="U518" s="8">
        <v>800187</v>
      </c>
      <c r="W518" s="8">
        <v>313683</v>
      </c>
      <c r="Y518" s="8">
        <v>0</v>
      </c>
      <c r="AA518" s="8">
        <v>855466</v>
      </c>
      <c r="AC518" s="8">
        <v>149459</v>
      </c>
      <c r="AE518" s="8">
        <v>0</v>
      </c>
      <c r="AG518" s="8">
        <v>0</v>
      </c>
      <c r="AI518" s="8">
        <v>0</v>
      </c>
      <c r="AJ518" s="13" t="s">
        <v>458</v>
      </c>
      <c r="AK518" s="13"/>
      <c r="AL518" s="13" t="s">
        <v>39</v>
      </c>
      <c r="AN518" s="8">
        <v>146498</v>
      </c>
      <c r="AP518" s="8">
        <v>0</v>
      </c>
      <c r="AT518" s="8">
        <v>0</v>
      </c>
      <c r="AV518" s="8">
        <v>0</v>
      </c>
      <c r="AX518" s="8">
        <v>0</v>
      </c>
      <c r="AZ518" s="8">
        <f t="shared" si="41"/>
        <v>5765202</v>
      </c>
      <c r="BB518" s="8">
        <v>65300</v>
      </c>
      <c r="BH518" s="8">
        <v>0</v>
      </c>
      <c r="BJ518" s="8">
        <f t="shared" si="42"/>
        <v>5830502</v>
      </c>
      <c r="BL518" s="8">
        <f>+GenRev!AM520-GenExp!BJ518</f>
        <v>248502</v>
      </c>
      <c r="BN518" s="8">
        <v>2630518</v>
      </c>
      <c r="BP518" s="8">
        <v>0</v>
      </c>
      <c r="BQ518" s="8">
        <v>0</v>
      </c>
      <c r="BS518" s="8">
        <f t="shared" si="43"/>
        <v>2879020</v>
      </c>
      <c r="BU518" s="9">
        <f>+BS518-'Gen Fd BS'!AA520+BQ518</f>
        <v>0</v>
      </c>
    </row>
    <row r="519" spans="1:73">
      <c r="A519" s="13" t="s">
        <v>261</v>
      </c>
      <c r="B519" s="13"/>
      <c r="C519" s="13" t="s">
        <v>259</v>
      </c>
      <c r="D519" s="13"/>
      <c r="E519" s="32">
        <v>46201</v>
      </c>
      <c r="G519" s="8">
        <v>4140181</v>
      </c>
      <c r="I519" s="8">
        <v>871482</v>
      </c>
      <c r="K519" s="8">
        <v>203767</v>
      </c>
      <c r="M519" s="8">
        <v>0</v>
      </c>
      <c r="O519" s="8">
        <v>377773</v>
      </c>
      <c r="Q519" s="8">
        <v>206063</v>
      </c>
      <c r="S519" s="8">
        <v>67326</v>
      </c>
      <c r="U519" s="8">
        <v>763626</v>
      </c>
      <c r="W519" s="8">
        <v>267585</v>
      </c>
      <c r="Y519" s="8">
        <v>1072</v>
      </c>
      <c r="AA519" s="8">
        <v>1045233</v>
      </c>
      <c r="AC519" s="8">
        <v>641909</v>
      </c>
      <c r="AE519" s="8">
        <v>220651</v>
      </c>
      <c r="AG519" s="8">
        <v>0</v>
      </c>
      <c r="AI519" s="8">
        <v>0</v>
      </c>
      <c r="AJ519" s="13" t="s">
        <v>261</v>
      </c>
      <c r="AK519" s="13"/>
      <c r="AL519" s="13" t="s">
        <v>259</v>
      </c>
      <c r="AN519" s="8">
        <v>252331</v>
      </c>
      <c r="AP519" s="8">
        <v>8325</v>
      </c>
      <c r="AT519" s="8">
        <v>0</v>
      </c>
      <c r="AV519" s="8">
        <v>0</v>
      </c>
      <c r="AX519" s="8">
        <v>0</v>
      </c>
      <c r="AZ519" s="8">
        <f t="shared" si="41"/>
        <v>9067324</v>
      </c>
      <c r="BB519" s="8">
        <v>164638</v>
      </c>
      <c r="BH519" s="8">
        <v>0</v>
      </c>
      <c r="BJ519" s="8">
        <f t="shared" si="42"/>
        <v>9231962</v>
      </c>
      <c r="BL519" s="8">
        <f>+GenRev!AM521-GenExp!BJ519</f>
        <v>453238</v>
      </c>
      <c r="BN519" s="8">
        <v>1283694</v>
      </c>
      <c r="BP519" s="8">
        <v>0</v>
      </c>
      <c r="BQ519" s="8">
        <v>0</v>
      </c>
      <c r="BS519" s="8">
        <f t="shared" si="43"/>
        <v>1736932</v>
      </c>
      <c r="BU519" s="9">
        <f>+BS519-'Gen Fd BS'!AA521+BQ519</f>
        <v>0</v>
      </c>
    </row>
    <row r="520" spans="1:73">
      <c r="A520" s="13" t="s">
        <v>606</v>
      </c>
      <c r="B520" s="13"/>
      <c r="C520" s="13" t="s">
        <v>57</v>
      </c>
      <c r="D520" s="13"/>
      <c r="E520" s="13">
        <v>91397</v>
      </c>
      <c r="F520" s="11"/>
      <c r="G520" s="8">
        <v>4522002</v>
      </c>
      <c r="I520" s="8">
        <v>611153</v>
      </c>
      <c r="K520" s="8">
        <v>176605</v>
      </c>
      <c r="M520" s="8">
        <v>0</v>
      </c>
      <c r="O520" s="8">
        <v>378738</v>
      </c>
      <c r="Q520" s="8">
        <v>437205</v>
      </c>
      <c r="S520" s="8">
        <v>18139</v>
      </c>
      <c r="U520" s="8">
        <v>1038679</v>
      </c>
      <c r="W520" s="8">
        <v>186802</v>
      </c>
      <c r="Y520" s="8">
        <v>0</v>
      </c>
      <c r="AA520" s="8">
        <v>786435</v>
      </c>
      <c r="AC520" s="8">
        <v>563967</v>
      </c>
      <c r="AE520" s="8">
        <v>18755</v>
      </c>
      <c r="AG520" s="8">
        <v>0</v>
      </c>
      <c r="AI520" s="8">
        <v>0</v>
      </c>
      <c r="AJ520" s="13" t="s">
        <v>606</v>
      </c>
      <c r="AK520" s="13"/>
      <c r="AL520" s="13" t="s">
        <v>57</v>
      </c>
      <c r="AN520" s="8">
        <v>224737</v>
      </c>
      <c r="AP520" s="8">
        <v>71493</v>
      </c>
      <c r="AT520" s="8">
        <v>0</v>
      </c>
      <c r="AV520" s="8">
        <v>0</v>
      </c>
      <c r="AX520" s="8">
        <v>0</v>
      </c>
      <c r="AZ520" s="8">
        <f t="shared" si="41"/>
        <v>9034710</v>
      </c>
      <c r="BB520" s="8">
        <v>0</v>
      </c>
      <c r="BH520" s="8">
        <v>0</v>
      </c>
      <c r="BJ520" s="8">
        <f t="shared" si="42"/>
        <v>9034710</v>
      </c>
      <c r="BL520" s="8">
        <f>+GenRev!AM522-GenExp!BJ520</f>
        <v>-427335</v>
      </c>
      <c r="BN520" s="8">
        <v>4470080</v>
      </c>
      <c r="BP520" s="8">
        <v>0</v>
      </c>
      <c r="BQ520" s="8">
        <v>0</v>
      </c>
      <c r="BS520" s="8">
        <f t="shared" si="43"/>
        <v>4042745</v>
      </c>
      <c r="BU520" s="9">
        <f>+BS520-'Gen Fd BS'!AA522+BQ520</f>
        <v>0</v>
      </c>
    </row>
    <row r="521" spans="1:73">
      <c r="A521" s="13"/>
      <c r="B521" s="13"/>
      <c r="C521" s="13"/>
      <c r="D521" s="13"/>
      <c r="E521" s="13"/>
      <c r="F521" s="11"/>
      <c r="AJ521" s="13"/>
      <c r="AK521" s="13"/>
      <c r="AL521" s="13"/>
    </row>
    <row r="522" spans="1:73">
      <c r="A522" s="13"/>
      <c r="B522" s="13"/>
      <c r="C522" s="13"/>
      <c r="D522" s="13"/>
      <c r="E522" s="13"/>
      <c r="F522" s="11"/>
      <c r="AI522" s="8" t="s">
        <v>819</v>
      </c>
      <c r="AJ522" s="13"/>
      <c r="AK522" s="13"/>
      <c r="AL522" s="13"/>
      <c r="BS522" s="8" t="s">
        <v>819</v>
      </c>
    </row>
    <row r="523" spans="1:73" s="35" customFormat="1">
      <c r="A523" s="34" t="s">
        <v>228</v>
      </c>
      <c r="B523" s="34"/>
      <c r="C523" s="34" t="s">
        <v>13</v>
      </c>
      <c r="D523" s="34"/>
      <c r="E523" s="34">
        <v>45922</v>
      </c>
      <c r="G523" s="35">
        <v>3057635</v>
      </c>
      <c r="I523" s="35">
        <v>910033</v>
      </c>
      <c r="K523" s="35">
        <v>63643</v>
      </c>
      <c r="M523" s="35">
        <v>547938</v>
      </c>
      <c r="O523" s="35">
        <v>77122</v>
      </c>
      <c r="Q523" s="35">
        <v>45386</v>
      </c>
      <c r="S523" s="35">
        <v>107878</v>
      </c>
      <c r="U523" s="35">
        <v>714172</v>
      </c>
      <c r="W523" s="35">
        <v>157126</v>
      </c>
      <c r="Y523" s="35">
        <v>0</v>
      </c>
      <c r="AA523" s="35">
        <v>811623</v>
      </c>
      <c r="AC523" s="35">
        <v>638976</v>
      </c>
      <c r="AE523" s="35">
        <v>3000</v>
      </c>
      <c r="AG523" s="35">
        <v>0</v>
      </c>
      <c r="AI523" s="35">
        <v>0</v>
      </c>
      <c r="AJ523" s="34" t="s">
        <v>228</v>
      </c>
      <c r="AK523" s="34"/>
      <c r="AL523" s="34" t="s">
        <v>13</v>
      </c>
      <c r="AN523" s="35">
        <v>81893</v>
      </c>
      <c r="AP523" s="35">
        <v>0</v>
      </c>
      <c r="AT523" s="35">
        <v>29930</v>
      </c>
      <c r="AV523" s="35">
        <v>2745</v>
      </c>
      <c r="AX523" s="35">
        <v>0</v>
      </c>
      <c r="AZ523" s="35">
        <f t="shared" si="41"/>
        <v>7249100</v>
      </c>
      <c r="BB523" s="35">
        <v>13800</v>
      </c>
      <c r="BH523" s="35">
        <v>0</v>
      </c>
      <c r="BJ523" s="35">
        <f t="shared" si="42"/>
        <v>7262900</v>
      </c>
      <c r="BL523" s="35">
        <f>+GenRev!AM523-GenExp!BJ523</f>
        <v>154412</v>
      </c>
      <c r="BN523" s="35">
        <v>-646799</v>
      </c>
      <c r="BP523" s="35">
        <v>0</v>
      </c>
      <c r="BQ523" s="35">
        <v>0</v>
      </c>
      <c r="BS523" s="35">
        <f t="shared" si="43"/>
        <v>-492387</v>
      </c>
      <c r="BU523" s="44">
        <f>+BS523-'Gen Fd BS'!AA523+BQ523</f>
        <v>0</v>
      </c>
    </row>
    <row r="524" spans="1:73">
      <c r="A524" s="13" t="s">
        <v>574</v>
      </c>
      <c r="B524" s="13"/>
      <c r="C524" s="13" t="s">
        <v>51</v>
      </c>
      <c r="D524" s="13"/>
      <c r="E524" s="32">
        <v>48876</v>
      </c>
      <c r="F524" s="11"/>
      <c r="G524" s="8">
        <v>11454512</v>
      </c>
      <c r="I524" s="8">
        <v>3088124</v>
      </c>
      <c r="K524" s="8">
        <v>421013</v>
      </c>
      <c r="M524" s="8">
        <v>0</v>
      </c>
      <c r="O524" s="8">
        <v>535562</v>
      </c>
      <c r="Q524" s="8">
        <v>1185400</v>
      </c>
      <c r="S524" s="8">
        <v>747777</v>
      </c>
      <c r="U524" s="8">
        <v>2254411</v>
      </c>
      <c r="W524" s="8">
        <v>484853</v>
      </c>
      <c r="Y524" s="8">
        <v>0</v>
      </c>
      <c r="AA524" s="8">
        <v>2148639</v>
      </c>
      <c r="AC524" s="8">
        <v>1975156</v>
      </c>
      <c r="AE524" s="8">
        <v>337483</v>
      </c>
      <c r="AG524" s="8">
        <v>0</v>
      </c>
      <c r="AI524" s="8">
        <v>0</v>
      </c>
      <c r="AJ524" s="13" t="s">
        <v>574</v>
      </c>
      <c r="AK524" s="13"/>
      <c r="AL524" s="13" t="s">
        <v>51</v>
      </c>
      <c r="AN524" s="8">
        <v>9080</v>
      </c>
      <c r="AP524" s="8">
        <v>167272</v>
      </c>
      <c r="AT524" s="8">
        <v>18844</v>
      </c>
      <c r="AV524" s="8">
        <v>5420</v>
      </c>
      <c r="AX524" s="8">
        <v>0</v>
      </c>
      <c r="AZ524" s="8">
        <f t="shared" si="41"/>
        <v>24833546</v>
      </c>
      <c r="BB524" s="8">
        <v>0</v>
      </c>
      <c r="BH524" s="8">
        <v>0</v>
      </c>
      <c r="BJ524" s="8">
        <f t="shared" si="42"/>
        <v>24833546</v>
      </c>
      <c r="BL524" s="8">
        <f>+GenRev!AM524-GenExp!BJ524</f>
        <v>-3748192</v>
      </c>
      <c r="BN524" s="8">
        <v>2114501</v>
      </c>
      <c r="BP524" s="8">
        <v>0</v>
      </c>
      <c r="BQ524" s="8">
        <v>0</v>
      </c>
      <c r="BS524" s="8">
        <f t="shared" si="43"/>
        <v>-1633691</v>
      </c>
      <c r="BU524" s="9">
        <f>+BS524-'Gen Fd BS'!AA524+BQ524</f>
        <v>0</v>
      </c>
    </row>
    <row r="525" spans="1:73" hidden="1">
      <c r="A525" s="13" t="s">
        <v>333</v>
      </c>
      <c r="B525" s="13"/>
      <c r="C525" s="13" t="s">
        <v>21</v>
      </c>
      <c r="D525" s="13"/>
      <c r="E525" s="32">
        <v>46680</v>
      </c>
      <c r="AG525" s="8">
        <v>0</v>
      </c>
      <c r="AI525" s="8">
        <v>0</v>
      </c>
      <c r="AJ525" s="13" t="s">
        <v>333</v>
      </c>
      <c r="AK525" s="13"/>
      <c r="AL525" s="13" t="s">
        <v>21</v>
      </c>
      <c r="AX525" s="8">
        <v>0</v>
      </c>
      <c r="AZ525" s="8">
        <f t="shared" si="41"/>
        <v>0</v>
      </c>
      <c r="BH525" s="8">
        <v>0</v>
      </c>
      <c r="BJ525" s="8">
        <f t="shared" si="42"/>
        <v>0</v>
      </c>
      <c r="BL525" s="8">
        <f>+GenRev!AM525-GenExp!BJ525</f>
        <v>0</v>
      </c>
      <c r="BP525" s="8">
        <v>0</v>
      </c>
      <c r="BQ525" s="8">
        <v>0</v>
      </c>
      <c r="BS525" s="8">
        <f t="shared" si="43"/>
        <v>0</v>
      </c>
      <c r="BU525" s="9">
        <f>+BS525-'Gen Fd BS'!AA525+BQ525</f>
        <v>0</v>
      </c>
    </row>
    <row r="526" spans="1:73">
      <c r="A526" s="13" t="s">
        <v>731</v>
      </c>
      <c r="B526" s="13"/>
      <c r="C526" s="13" t="s">
        <v>71</v>
      </c>
      <c r="D526" s="13"/>
      <c r="E526" s="32">
        <v>50591</v>
      </c>
      <c r="G526" s="8">
        <v>8425312</v>
      </c>
      <c r="I526" s="8">
        <v>1422492</v>
      </c>
      <c r="K526" s="8">
        <v>468664</v>
      </c>
      <c r="M526" s="8">
        <v>107207</v>
      </c>
      <c r="O526" s="8">
        <v>536719</v>
      </c>
      <c r="Q526" s="8">
        <v>299845</v>
      </c>
      <c r="S526" s="8">
        <v>49159</v>
      </c>
      <c r="U526" s="8">
        <v>1282238</v>
      </c>
      <c r="W526" s="8">
        <v>355368</v>
      </c>
      <c r="Y526" s="8">
        <v>24298</v>
      </c>
      <c r="AA526" s="8">
        <v>1420248</v>
      </c>
      <c r="AC526" s="8">
        <v>1081505</v>
      </c>
      <c r="AE526" s="8">
        <v>467248</v>
      </c>
      <c r="AG526" s="8">
        <v>0</v>
      </c>
      <c r="AI526" s="8">
        <v>0</v>
      </c>
      <c r="AJ526" s="13" t="s">
        <v>731</v>
      </c>
      <c r="AK526" s="13"/>
      <c r="AL526" s="13" t="s">
        <v>71</v>
      </c>
      <c r="AN526" s="8">
        <v>416832</v>
      </c>
      <c r="AP526" s="8">
        <v>0</v>
      </c>
      <c r="AT526" s="8">
        <v>0</v>
      </c>
      <c r="AV526" s="8">
        <v>0</v>
      </c>
      <c r="AX526" s="8">
        <v>0</v>
      </c>
      <c r="AZ526" s="8">
        <f t="shared" si="41"/>
        <v>16357135</v>
      </c>
      <c r="BB526" s="8">
        <v>58288</v>
      </c>
      <c r="BH526" s="8">
        <v>0</v>
      </c>
      <c r="BJ526" s="8">
        <f t="shared" ref="BJ526:BJ543" si="44">+AZ526+BB526+BD526+BH526</f>
        <v>16415423</v>
      </c>
      <c r="BL526" s="8">
        <f>+GenRev!AM526-GenExp!BJ526</f>
        <v>-14648</v>
      </c>
      <c r="BN526" s="8">
        <v>1036241</v>
      </c>
      <c r="BP526" s="8">
        <v>-667</v>
      </c>
      <c r="BQ526" s="8">
        <v>0</v>
      </c>
      <c r="BS526" s="8">
        <f t="shared" si="43"/>
        <v>1022260</v>
      </c>
      <c r="BU526" s="9">
        <f>+BS526-'Gen Fd BS'!AA526+BQ526</f>
        <v>0</v>
      </c>
    </row>
    <row r="527" spans="1:73">
      <c r="A527" s="13" t="s">
        <v>563</v>
      </c>
      <c r="B527" s="13"/>
      <c r="C527" s="13" t="s">
        <v>50</v>
      </c>
      <c r="D527" s="13"/>
      <c r="E527" s="32">
        <v>48694</v>
      </c>
      <c r="G527" s="8">
        <v>15040899</v>
      </c>
      <c r="I527" s="8">
        <v>4553233</v>
      </c>
      <c r="K527" s="8">
        <v>0</v>
      </c>
      <c r="M527" s="8">
        <v>31107</v>
      </c>
      <c r="O527" s="8">
        <v>1202268</v>
      </c>
      <c r="Q527" s="8">
        <v>1292767</v>
      </c>
      <c r="S527" s="8">
        <v>54335</v>
      </c>
      <c r="U527" s="8">
        <v>2264945</v>
      </c>
      <c r="W527" s="8">
        <v>1434391</v>
      </c>
      <c r="Y527" s="8">
        <v>261524</v>
      </c>
      <c r="AA527" s="8">
        <v>2969437</v>
      </c>
      <c r="AC527" s="8">
        <v>1579059</v>
      </c>
      <c r="AE527" s="8">
        <v>851962</v>
      </c>
      <c r="AG527" s="8">
        <v>0</v>
      </c>
      <c r="AI527" s="8">
        <v>14225</v>
      </c>
      <c r="AJ527" s="13" t="s">
        <v>563</v>
      </c>
      <c r="AK527" s="13"/>
      <c r="AL527" s="13" t="s">
        <v>50</v>
      </c>
      <c r="AN527" s="8">
        <v>560333</v>
      </c>
      <c r="AP527" s="8">
        <v>86944</v>
      </c>
      <c r="AT527" s="8">
        <v>3875</v>
      </c>
      <c r="AV527" s="8">
        <v>0</v>
      </c>
      <c r="AX527" s="8">
        <v>0</v>
      </c>
      <c r="AZ527" s="8">
        <f t="shared" si="41"/>
        <v>32201304</v>
      </c>
      <c r="BB527" s="8">
        <v>1601275</v>
      </c>
      <c r="BH527" s="8">
        <v>0</v>
      </c>
      <c r="BJ527" s="8">
        <f t="shared" si="44"/>
        <v>33802579</v>
      </c>
      <c r="BL527" s="8">
        <f>+GenRev!AM527-GenExp!BJ527</f>
        <v>-264977</v>
      </c>
      <c r="BN527" s="8">
        <v>5519142</v>
      </c>
      <c r="BP527" s="8">
        <v>0</v>
      </c>
      <c r="BQ527" s="8">
        <v>0</v>
      </c>
      <c r="BS527" s="8">
        <f t="shared" ref="BS527:BS547" si="45">+BN527+BL527-BP527</f>
        <v>5254165</v>
      </c>
      <c r="BU527" s="9">
        <f>+BS527-'Gen Fd BS'!AA527+BQ527</f>
        <v>0</v>
      </c>
    </row>
    <row r="528" spans="1:73">
      <c r="A528" s="13" t="s">
        <v>550</v>
      </c>
      <c r="B528" s="13"/>
      <c r="C528" s="13" t="s">
        <v>48</v>
      </c>
      <c r="D528" s="13"/>
      <c r="E528" s="13">
        <v>44925</v>
      </c>
      <c r="F528" s="11"/>
      <c r="G528" s="8">
        <v>19504748</v>
      </c>
      <c r="I528" s="8">
        <v>4247058</v>
      </c>
      <c r="K528" s="8">
        <v>124926</v>
      </c>
      <c r="M528" s="8">
        <v>2050758</v>
      </c>
      <c r="O528" s="8">
        <v>1886861</v>
      </c>
      <c r="Q528" s="8">
        <v>1045602</v>
      </c>
      <c r="S528" s="8">
        <v>805988</v>
      </c>
      <c r="U528" s="8">
        <v>2867028</v>
      </c>
      <c r="W528" s="8">
        <v>487473</v>
      </c>
      <c r="Y528" s="8">
        <v>625311</v>
      </c>
      <c r="AA528" s="8">
        <v>3579128</v>
      </c>
      <c r="AC528" s="8">
        <v>1588132</v>
      </c>
      <c r="AE528" s="8">
        <v>66715</v>
      </c>
      <c r="AG528" s="8">
        <v>0</v>
      </c>
      <c r="AI528" s="8">
        <v>500</v>
      </c>
      <c r="AJ528" s="13" t="s">
        <v>550</v>
      </c>
      <c r="AK528" s="13"/>
      <c r="AL528" s="13" t="s">
        <v>48</v>
      </c>
      <c r="AN528" s="8">
        <v>0</v>
      </c>
      <c r="AP528" s="8">
        <v>1027632</v>
      </c>
      <c r="AT528" s="8">
        <v>118205</v>
      </c>
      <c r="AV528" s="8">
        <v>13945</v>
      </c>
      <c r="AX528" s="8">
        <v>0</v>
      </c>
      <c r="AZ528" s="8">
        <f t="shared" si="41"/>
        <v>40040010</v>
      </c>
      <c r="BB528" s="8">
        <v>882078</v>
      </c>
      <c r="BH528" s="8">
        <v>0</v>
      </c>
      <c r="BJ528" s="8">
        <f t="shared" si="44"/>
        <v>40922088</v>
      </c>
      <c r="BL528" s="8">
        <f>+GenRev!AM528-GenExp!BJ528</f>
        <v>3307786</v>
      </c>
      <c r="BN528" s="8">
        <v>7228147</v>
      </c>
      <c r="BP528" s="8">
        <v>0</v>
      </c>
      <c r="BQ528" s="8">
        <v>0</v>
      </c>
      <c r="BS528" s="8">
        <f t="shared" si="45"/>
        <v>10535933</v>
      </c>
      <c r="BU528" s="9">
        <f>+BS528-'Gen Fd BS'!AA528+BQ528</f>
        <v>0</v>
      </c>
    </row>
    <row r="529" spans="1:73">
      <c r="A529" s="13" t="s">
        <v>706</v>
      </c>
      <c r="B529" s="13"/>
      <c r="C529" s="13" t="s">
        <v>65</v>
      </c>
      <c r="D529" s="13"/>
      <c r="E529" s="32">
        <v>50302</v>
      </c>
      <c r="G529" s="8">
        <v>5368793</v>
      </c>
      <c r="I529" s="8">
        <v>601691</v>
      </c>
      <c r="K529" s="8">
        <v>69267</v>
      </c>
      <c r="M529" s="8">
        <v>1010490</v>
      </c>
      <c r="O529" s="8">
        <v>467876</v>
      </c>
      <c r="Q529" s="8">
        <v>584260</v>
      </c>
      <c r="S529" s="8">
        <v>30744</v>
      </c>
      <c r="U529" s="8">
        <v>909903</v>
      </c>
      <c r="W529" s="8">
        <v>335409</v>
      </c>
      <c r="Y529" s="8">
        <v>0</v>
      </c>
      <c r="AA529" s="8">
        <v>1062203</v>
      </c>
      <c r="AC529" s="8">
        <v>1013633</v>
      </c>
      <c r="AE529" s="8">
        <v>33283</v>
      </c>
      <c r="AG529" s="8">
        <v>0</v>
      </c>
      <c r="AI529" s="8">
        <v>0</v>
      </c>
      <c r="AJ529" s="13" t="s">
        <v>706</v>
      </c>
      <c r="AK529" s="13"/>
      <c r="AL529" s="13" t="s">
        <v>65</v>
      </c>
      <c r="AN529" s="8">
        <v>267300</v>
      </c>
      <c r="AP529" s="8">
        <v>20794</v>
      </c>
      <c r="AT529" s="8">
        <v>62815</v>
      </c>
      <c r="AV529" s="8">
        <v>9429</v>
      </c>
      <c r="AX529" s="8">
        <v>0</v>
      </c>
      <c r="AZ529" s="8">
        <f t="shared" si="41"/>
        <v>11847890</v>
      </c>
      <c r="BB529" s="8">
        <v>17156</v>
      </c>
      <c r="BH529" s="8">
        <v>0</v>
      </c>
      <c r="BJ529" s="8">
        <f t="shared" si="44"/>
        <v>11865046</v>
      </c>
      <c r="BL529" s="8">
        <f>+GenRev!AM529-GenExp!BJ529</f>
        <v>-499708</v>
      </c>
      <c r="BN529" s="8">
        <v>1769695</v>
      </c>
      <c r="BP529" s="8">
        <v>10871</v>
      </c>
      <c r="BQ529" s="8">
        <v>0</v>
      </c>
      <c r="BS529" s="8">
        <f t="shared" si="45"/>
        <v>1259116</v>
      </c>
      <c r="BU529" s="9">
        <f>+BS529-'Gen Fd BS'!AA529+BQ529</f>
        <v>0</v>
      </c>
    </row>
    <row r="530" spans="1:73">
      <c r="A530" s="13" t="s">
        <v>666</v>
      </c>
      <c r="B530" s="13"/>
      <c r="C530" s="13" t="s">
        <v>62</v>
      </c>
      <c r="D530" s="13"/>
      <c r="E530" s="32">
        <v>49957</v>
      </c>
      <c r="G530" s="8">
        <v>5137083</v>
      </c>
      <c r="I530" s="8">
        <v>1198390</v>
      </c>
      <c r="K530" s="8">
        <v>177199</v>
      </c>
      <c r="M530" s="8">
        <v>291</v>
      </c>
      <c r="O530" s="8">
        <v>566475</v>
      </c>
      <c r="Q530" s="8">
        <v>316186</v>
      </c>
      <c r="S530" s="8">
        <v>16778</v>
      </c>
      <c r="U530" s="8">
        <v>1005873</v>
      </c>
      <c r="W530" s="8">
        <v>302732</v>
      </c>
      <c r="Y530" s="8">
        <v>52399</v>
      </c>
      <c r="AA530" s="8">
        <v>1147244</v>
      </c>
      <c r="AC530" s="8">
        <v>949321</v>
      </c>
      <c r="AE530" s="8">
        <v>45957</v>
      </c>
      <c r="AG530" s="8">
        <v>0</v>
      </c>
      <c r="AI530" s="8">
        <v>27000</v>
      </c>
      <c r="AJ530" s="13" t="s">
        <v>666</v>
      </c>
      <c r="AK530" s="13"/>
      <c r="AL530" s="13" t="s">
        <v>62</v>
      </c>
      <c r="AN530" s="8">
        <v>372621</v>
      </c>
      <c r="AP530" s="8">
        <v>0</v>
      </c>
      <c r="AT530" s="8">
        <v>13954</v>
      </c>
      <c r="AV530" s="8">
        <v>3241</v>
      </c>
      <c r="AX530" s="8">
        <v>0</v>
      </c>
      <c r="AZ530" s="8">
        <f t="shared" si="41"/>
        <v>11332744</v>
      </c>
      <c r="BB530" s="8">
        <v>0</v>
      </c>
      <c r="BH530" s="8">
        <v>0</v>
      </c>
      <c r="BJ530" s="8">
        <f t="shared" si="44"/>
        <v>11332744</v>
      </c>
      <c r="BL530" s="8">
        <f>+GenRev!AM530-GenExp!BJ530</f>
        <v>-398157</v>
      </c>
      <c r="BN530" s="8">
        <v>395583</v>
      </c>
      <c r="BP530" s="8">
        <v>0</v>
      </c>
      <c r="BQ530" s="8">
        <v>0</v>
      </c>
      <c r="BS530" s="8">
        <f t="shared" si="45"/>
        <v>-2574</v>
      </c>
      <c r="BU530" s="9">
        <f>+BS530-'Gen Fd BS'!AA530+BQ530</f>
        <v>0</v>
      </c>
    </row>
    <row r="531" spans="1:73" hidden="1">
      <c r="A531" s="13" t="s">
        <v>607</v>
      </c>
      <c r="B531" s="13"/>
      <c r="C531" s="13" t="s">
        <v>57</v>
      </c>
      <c r="D531" s="13"/>
      <c r="E531" s="32">
        <v>49296</v>
      </c>
      <c r="AG531" s="8">
        <v>0</v>
      </c>
      <c r="AI531" s="8">
        <v>0</v>
      </c>
      <c r="AJ531" s="13" t="s">
        <v>607</v>
      </c>
      <c r="AK531" s="13"/>
      <c r="AL531" s="13" t="s">
        <v>57</v>
      </c>
      <c r="AN531" s="8">
        <v>0</v>
      </c>
      <c r="AP531" s="8">
        <v>0</v>
      </c>
      <c r="AT531" s="8">
        <v>0</v>
      </c>
      <c r="AV531" s="8">
        <v>0</v>
      </c>
      <c r="AX531" s="8">
        <v>0</v>
      </c>
      <c r="AZ531" s="8">
        <f t="shared" si="41"/>
        <v>0</v>
      </c>
      <c r="BB531" s="8">
        <v>0</v>
      </c>
      <c r="BH531" s="8">
        <v>0</v>
      </c>
      <c r="BJ531" s="8">
        <f t="shared" si="44"/>
        <v>0</v>
      </c>
      <c r="BL531" s="8">
        <f>+GenRev!AM531-GenExp!BJ531</f>
        <v>0</v>
      </c>
      <c r="BP531" s="8">
        <v>0</v>
      </c>
      <c r="BQ531" s="8">
        <v>0</v>
      </c>
      <c r="BS531" s="8">
        <f t="shared" si="45"/>
        <v>0</v>
      </c>
      <c r="BU531" s="9">
        <f>+BS531-'Gen Fd BS'!AA531+BQ531</f>
        <v>0</v>
      </c>
    </row>
    <row r="532" spans="1:73">
      <c r="A532" s="13" t="s">
        <v>678</v>
      </c>
      <c r="B532" s="13"/>
      <c r="C532" s="13" t="s">
        <v>63</v>
      </c>
      <c r="D532" s="13"/>
      <c r="E532" s="32">
        <v>50070</v>
      </c>
      <c r="G532" s="8">
        <v>17969085</v>
      </c>
      <c r="I532" s="8">
        <v>2627040</v>
      </c>
      <c r="K532" s="8">
        <v>289376</v>
      </c>
      <c r="M532" s="8">
        <v>960</v>
      </c>
      <c r="O532" s="8">
        <v>2718491</v>
      </c>
      <c r="Q532" s="8">
        <v>654182</v>
      </c>
      <c r="S532" s="8">
        <v>211097</v>
      </c>
      <c r="U532" s="8">
        <v>2810386</v>
      </c>
      <c r="W532" s="8">
        <v>888916</v>
      </c>
      <c r="Y532" s="8">
        <v>113089</v>
      </c>
      <c r="AA532" s="8">
        <v>3794815</v>
      </c>
      <c r="AC532" s="8">
        <v>2443990</v>
      </c>
      <c r="AE532" s="8">
        <v>639396</v>
      </c>
      <c r="AG532" s="8">
        <v>0</v>
      </c>
      <c r="AI532" s="8">
        <v>0</v>
      </c>
      <c r="AJ532" s="13" t="s">
        <v>678</v>
      </c>
      <c r="AK532" s="13"/>
      <c r="AL532" s="13" t="s">
        <v>63</v>
      </c>
      <c r="AN532" s="8">
        <v>780221</v>
      </c>
      <c r="AP532" s="8">
        <v>0</v>
      </c>
      <c r="AT532" s="8">
        <v>119660</v>
      </c>
      <c r="AV532" s="8">
        <v>47145</v>
      </c>
      <c r="AX532" s="8">
        <v>0</v>
      </c>
      <c r="AZ532" s="8">
        <f t="shared" si="41"/>
        <v>36107849</v>
      </c>
      <c r="BB532" s="8">
        <v>1007</v>
      </c>
      <c r="BH532" s="8">
        <v>0</v>
      </c>
      <c r="BJ532" s="8">
        <f t="shared" si="44"/>
        <v>36108856</v>
      </c>
      <c r="BL532" s="8">
        <f>+GenRev!AM532-GenExp!BJ532</f>
        <v>4180222</v>
      </c>
      <c r="BN532" s="8">
        <v>15810439</v>
      </c>
      <c r="BP532" s="8">
        <v>0</v>
      </c>
      <c r="BQ532" s="8">
        <v>0</v>
      </c>
      <c r="BS532" s="8">
        <f t="shared" si="45"/>
        <v>19990661</v>
      </c>
      <c r="BU532" s="9">
        <f>+BS532-'Gen Fd BS'!AA532+BQ532</f>
        <v>0</v>
      </c>
    </row>
    <row r="533" spans="1:73">
      <c r="A533" s="13" t="s">
        <v>239</v>
      </c>
      <c r="B533" s="13"/>
      <c r="C533" s="13" t="s">
        <v>15</v>
      </c>
      <c r="D533" s="13"/>
      <c r="E533" s="32">
        <v>46011</v>
      </c>
      <c r="G533" s="8">
        <v>5743019</v>
      </c>
      <c r="I533" s="8">
        <v>1372766</v>
      </c>
      <c r="K533" s="8">
        <v>273257</v>
      </c>
      <c r="M533" s="8">
        <v>173309</v>
      </c>
      <c r="O533" s="8">
        <v>410932</v>
      </c>
      <c r="Q533" s="8">
        <v>501121</v>
      </c>
      <c r="S533" s="8">
        <v>114517</v>
      </c>
      <c r="U533" s="8">
        <v>812062</v>
      </c>
      <c r="W533" s="8">
        <v>284453</v>
      </c>
      <c r="Y533" s="8">
        <v>0</v>
      </c>
      <c r="AA533" s="8">
        <v>1162102</v>
      </c>
      <c r="AC533" s="8">
        <v>740831</v>
      </c>
      <c r="AE533" s="8">
        <v>14921</v>
      </c>
      <c r="AG533" s="8">
        <v>8104</v>
      </c>
      <c r="AI533" s="8">
        <v>0</v>
      </c>
      <c r="AJ533" s="13" t="s">
        <v>239</v>
      </c>
      <c r="AK533" s="13"/>
      <c r="AL533" s="13" t="s">
        <v>15</v>
      </c>
      <c r="AN533" s="8">
        <v>181728</v>
      </c>
      <c r="AP533" s="8">
        <v>44975</v>
      </c>
      <c r="AT533" s="8">
        <v>11557</v>
      </c>
      <c r="AV533" s="8">
        <v>4251</v>
      </c>
      <c r="AX533" s="8">
        <v>0</v>
      </c>
      <c r="AZ533" s="8">
        <f t="shared" si="41"/>
        <v>11853905</v>
      </c>
      <c r="BB533" s="8">
        <v>74800</v>
      </c>
      <c r="BH533" s="8">
        <v>0</v>
      </c>
      <c r="BJ533" s="8">
        <f t="shared" si="44"/>
        <v>11928705</v>
      </c>
      <c r="BL533" s="8">
        <f>+GenRev!AM533-GenExp!BJ533</f>
        <v>-460810</v>
      </c>
      <c r="BN533" s="8">
        <v>-84824</v>
      </c>
      <c r="BP533" s="8">
        <v>0</v>
      </c>
      <c r="BQ533" s="8">
        <v>0</v>
      </c>
      <c r="BS533" s="8">
        <f t="shared" si="45"/>
        <v>-545634</v>
      </c>
      <c r="BU533" s="9">
        <f>+BS533-'Gen Fd BS'!AA533+BQ533</f>
        <v>0</v>
      </c>
    </row>
    <row r="534" spans="1:73">
      <c r="A534" s="13" t="s">
        <v>625</v>
      </c>
      <c r="B534" s="13"/>
      <c r="C534" s="13" t="s">
        <v>58</v>
      </c>
      <c r="D534" s="13"/>
      <c r="E534" s="32">
        <v>49536</v>
      </c>
      <c r="G534" s="8">
        <v>6344595</v>
      </c>
      <c r="I534" s="8">
        <v>617776</v>
      </c>
      <c r="K534" s="8">
        <v>1806</v>
      </c>
      <c r="M534" s="8">
        <v>0</v>
      </c>
      <c r="O534" s="8">
        <v>433676</v>
      </c>
      <c r="Q534" s="8">
        <v>771745</v>
      </c>
      <c r="S534" s="8">
        <v>1271989</v>
      </c>
      <c r="U534" s="8">
        <v>1088950</v>
      </c>
      <c r="W534" s="8">
        <v>384265</v>
      </c>
      <c r="Y534" s="8">
        <v>34704</v>
      </c>
      <c r="AA534" s="8">
        <v>1513393</v>
      </c>
      <c r="AC534" s="8">
        <v>921200</v>
      </c>
      <c r="AE534" s="8">
        <v>0</v>
      </c>
      <c r="AG534" s="8">
        <v>0</v>
      </c>
      <c r="AI534" s="8">
        <v>0</v>
      </c>
      <c r="AJ534" s="13" t="s">
        <v>625</v>
      </c>
      <c r="AK534" s="13"/>
      <c r="AL534" s="13" t="s">
        <v>58</v>
      </c>
      <c r="AN534" s="8">
        <v>109746</v>
      </c>
      <c r="AP534" s="8">
        <v>90600</v>
      </c>
      <c r="AT534" s="8">
        <v>34605</v>
      </c>
      <c r="AV534" s="8">
        <v>13052</v>
      </c>
      <c r="AX534" s="8">
        <v>0</v>
      </c>
      <c r="AZ534" s="8">
        <f t="shared" si="41"/>
        <v>13632102</v>
      </c>
      <c r="BB534" s="8">
        <v>36407</v>
      </c>
      <c r="BH534" s="8">
        <v>0</v>
      </c>
      <c r="BJ534" s="8">
        <f t="shared" si="44"/>
        <v>13668509</v>
      </c>
      <c r="BL534" s="8">
        <f>+GenRev!AM534-GenExp!BJ534</f>
        <v>1535393</v>
      </c>
      <c r="BN534" s="8">
        <v>4585468</v>
      </c>
      <c r="BP534" s="8">
        <v>0</v>
      </c>
      <c r="BQ534" s="8">
        <v>0</v>
      </c>
      <c r="BS534" s="8">
        <f t="shared" si="45"/>
        <v>6120861</v>
      </c>
      <c r="BU534" s="9">
        <f>+BS534-'Gen Fd BS'!AA534+BQ534</f>
        <v>0</v>
      </c>
    </row>
    <row r="535" spans="1:73" hidden="1">
      <c r="A535" s="13" t="s">
        <v>289</v>
      </c>
      <c r="B535" s="13"/>
      <c r="C535" s="13" t="s">
        <v>115</v>
      </c>
      <c r="D535" s="13"/>
      <c r="E535" s="32">
        <v>46458</v>
      </c>
      <c r="M535" s="8">
        <v>0</v>
      </c>
      <c r="AG535" s="8">
        <v>0</v>
      </c>
      <c r="AI535" s="8">
        <v>0</v>
      </c>
      <c r="AJ535" s="13" t="s">
        <v>289</v>
      </c>
      <c r="AK535" s="13"/>
      <c r="AL535" s="13" t="s">
        <v>115</v>
      </c>
      <c r="AN535" s="8">
        <v>0</v>
      </c>
      <c r="AP535" s="8">
        <v>0</v>
      </c>
      <c r="AT535" s="8">
        <v>0</v>
      </c>
      <c r="AV535" s="8">
        <v>0</v>
      </c>
      <c r="AX535" s="8">
        <v>0</v>
      </c>
      <c r="AZ535" s="8">
        <f t="shared" si="41"/>
        <v>0</v>
      </c>
      <c r="BB535" s="8">
        <v>0</v>
      </c>
      <c r="BH535" s="8">
        <v>0</v>
      </c>
      <c r="BJ535" s="8">
        <f t="shared" si="44"/>
        <v>0</v>
      </c>
      <c r="BL535" s="8">
        <f>+GenRev!AM535-GenExp!BJ535</f>
        <v>0</v>
      </c>
      <c r="BP535" s="8">
        <v>0</v>
      </c>
      <c r="BQ535" s="8">
        <v>0</v>
      </c>
      <c r="BS535" s="8">
        <f t="shared" si="45"/>
        <v>0</v>
      </c>
      <c r="BU535" s="9">
        <f>+BS535-'Gen Fd BS'!AA535+BQ535</f>
        <v>0</v>
      </c>
    </row>
    <row r="536" spans="1:73">
      <c r="A536" s="13" t="s">
        <v>368</v>
      </c>
      <c r="B536" s="13"/>
      <c r="C536" s="13" t="s">
        <v>27</v>
      </c>
      <c r="D536" s="13"/>
      <c r="E536" s="32">
        <v>44933</v>
      </c>
      <c r="G536" s="8">
        <v>36035750</v>
      </c>
      <c r="I536" s="8">
        <v>7269630</v>
      </c>
      <c r="K536" s="8">
        <v>147154</v>
      </c>
      <c r="M536" s="8">
        <v>0</v>
      </c>
      <c r="O536" s="8">
        <v>3925874</v>
      </c>
      <c r="Q536" s="8">
        <v>4440559</v>
      </c>
      <c r="S536" s="8">
        <v>48876</v>
      </c>
      <c r="U536" s="8">
        <v>4128752</v>
      </c>
      <c r="W536" s="8">
        <v>1470769</v>
      </c>
      <c r="Y536" s="8">
        <v>672611</v>
      </c>
      <c r="AA536" s="8">
        <v>6161538</v>
      </c>
      <c r="AC536" s="8">
        <v>1788532</v>
      </c>
      <c r="AE536" s="8">
        <v>1669490</v>
      </c>
      <c r="AG536" s="8">
        <v>0</v>
      </c>
      <c r="AI536" s="8">
        <v>0</v>
      </c>
      <c r="AJ536" s="13" t="s">
        <v>368</v>
      </c>
      <c r="AK536" s="13"/>
      <c r="AL536" s="13" t="s">
        <v>27</v>
      </c>
      <c r="AN536" s="8">
        <v>1013164</v>
      </c>
      <c r="AP536" s="8">
        <v>0</v>
      </c>
      <c r="AT536" s="8">
        <v>329842</v>
      </c>
      <c r="AV536" s="8">
        <v>19872</v>
      </c>
      <c r="AX536" s="8">
        <v>0</v>
      </c>
      <c r="AZ536" s="8">
        <f t="shared" si="41"/>
        <v>69122413</v>
      </c>
      <c r="BB536" s="8">
        <v>859403</v>
      </c>
      <c r="BH536" s="8">
        <v>0</v>
      </c>
      <c r="BJ536" s="8">
        <f t="shared" si="44"/>
        <v>69981816</v>
      </c>
      <c r="BL536" s="8">
        <f>+GenRev!AM536-GenExp!BJ536</f>
        <v>4087867</v>
      </c>
      <c r="BN536" s="8">
        <v>34118790</v>
      </c>
      <c r="BP536" s="8">
        <v>0</v>
      </c>
      <c r="BQ536" s="8">
        <v>0</v>
      </c>
      <c r="BS536" s="8">
        <f t="shared" si="45"/>
        <v>38206657</v>
      </c>
      <c r="BU536" s="9">
        <f>+BS536-'Gen Fd BS'!AA536+BQ536</f>
        <v>0</v>
      </c>
    </row>
    <row r="537" spans="1:73" hidden="1">
      <c r="A537" s="13" t="s">
        <v>749</v>
      </c>
      <c r="B537" s="13"/>
      <c r="C537" s="13" t="s">
        <v>747</v>
      </c>
      <c r="D537" s="13"/>
      <c r="E537" s="32">
        <v>45625</v>
      </c>
      <c r="M537" s="8">
        <v>0</v>
      </c>
      <c r="AC537" s="8">
        <v>0</v>
      </c>
      <c r="AE537" s="8">
        <v>0</v>
      </c>
      <c r="AG537" s="8">
        <v>0</v>
      </c>
      <c r="AI537" s="8">
        <v>0</v>
      </c>
      <c r="AJ537" s="13" t="s">
        <v>749</v>
      </c>
      <c r="AK537" s="13"/>
      <c r="AL537" s="13" t="s">
        <v>747</v>
      </c>
      <c r="AN537" s="8">
        <v>0</v>
      </c>
      <c r="AP537" s="8">
        <v>0</v>
      </c>
      <c r="AV537" s="8">
        <v>0</v>
      </c>
      <c r="AX537" s="8">
        <v>0</v>
      </c>
      <c r="AZ537" s="8">
        <f t="shared" si="41"/>
        <v>0</v>
      </c>
      <c r="BB537" s="8">
        <v>0</v>
      </c>
      <c r="BH537" s="8">
        <v>0</v>
      </c>
      <c r="BJ537" s="8">
        <f t="shared" si="44"/>
        <v>0</v>
      </c>
      <c r="BL537" s="8">
        <f>+GenRev!AM537-GenExp!BJ537</f>
        <v>0</v>
      </c>
      <c r="BP537" s="8">
        <v>0</v>
      </c>
      <c r="BQ537" s="8">
        <v>0</v>
      </c>
      <c r="BS537" s="8">
        <f t="shared" si="45"/>
        <v>0</v>
      </c>
      <c r="BU537" s="9">
        <f>+BS537-'Gen Fd BS'!AA537+BQ537</f>
        <v>0</v>
      </c>
    </row>
    <row r="538" spans="1:73" hidden="1">
      <c r="A538" s="13" t="s">
        <v>431</v>
      </c>
      <c r="B538" s="13"/>
      <c r="C538" s="13" t="s">
        <v>426</v>
      </c>
      <c r="D538" s="13"/>
      <c r="E538" s="32">
        <v>47522</v>
      </c>
      <c r="M538" s="8">
        <v>0</v>
      </c>
      <c r="AC538" s="8">
        <v>0</v>
      </c>
      <c r="AE538" s="8">
        <v>0</v>
      </c>
      <c r="AG538" s="8">
        <v>0</v>
      </c>
      <c r="AI538" s="8">
        <v>0</v>
      </c>
      <c r="AJ538" s="13" t="s">
        <v>431</v>
      </c>
      <c r="AK538" s="13"/>
      <c r="AL538" s="13" t="s">
        <v>426</v>
      </c>
      <c r="AN538" s="8">
        <v>0</v>
      </c>
      <c r="AP538" s="8">
        <v>0</v>
      </c>
      <c r="AV538" s="8">
        <v>0</v>
      </c>
      <c r="AX538" s="8">
        <v>0</v>
      </c>
      <c r="AZ538" s="8">
        <f t="shared" si="41"/>
        <v>0</v>
      </c>
      <c r="BB538" s="8">
        <v>0</v>
      </c>
      <c r="BH538" s="8">
        <v>0</v>
      </c>
      <c r="BJ538" s="8">
        <f t="shared" si="44"/>
        <v>0</v>
      </c>
      <c r="BL538" s="8">
        <f>+GenRev!AM538-GenExp!BJ538</f>
        <v>0</v>
      </c>
      <c r="BP538" s="8">
        <v>0</v>
      </c>
      <c r="BQ538" s="8">
        <v>0</v>
      </c>
      <c r="BS538" s="8">
        <f t="shared" si="45"/>
        <v>0</v>
      </c>
      <c r="BU538" s="9">
        <f>+BS538-'Gen Fd BS'!AA538+BQ538</f>
        <v>0</v>
      </c>
    </row>
    <row r="539" spans="1:73">
      <c r="A539" s="13" t="s">
        <v>262</v>
      </c>
      <c r="B539" s="13"/>
      <c r="C539" s="13" t="s">
        <v>259</v>
      </c>
      <c r="D539" s="13"/>
      <c r="E539" s="32">
        <v>44941</v>
      </c>
      <c r="G539" s="8">
        <v>10281320</v>
      </c>
      <c r="I539" s="8">
        <v>2837710</v>
      </c>
      <c r="K539" s="8">
        <v>227272</v>
      </c>
      <c r="M539" s="8">
        <v>25845</v>
      </c>
      <c r="O539" s="8">
        <v>1106953</v>
      </c>
      <c r="Q539" s="8">
        <v>525776</v>
      </c>
      <c r="S539" s="8">
        <v>25650</v>
      </c>
      <c r="U539" s="8">
        <v>1757115</v>
      </c>
      <c r="W539" s="8">
        <v>237933</v>
      </c>
      <c r="Y539" s="8">
        <v>191093</v>
      </c>
      <c r="AA539" s="8">
        <v>1521606</v>
      </c>
      <c r="AC539" s="8">
        <v>693969</v>
      </c>
      <c r="AE539" s="8">
        <v>175168</v>
      </c>
      <c r="AG539" s="8">
        <v>0</v>
      </c>
      <c r="AI539" s="8">
        <v>60777</v>
      </c>
      <c r="AJ539" s="13" t="s">
        <v>262</v>
      </c>
      <c r="AK539" s="13"/>
      <c r="AL539" s="13" t="s">
        <v>259</v>
      </c>
      <c r="AN539" s="8">
        <v>448893</v>
      </c>
      <c r="AP539" s="8">
        <v>0</v>
      </c>
      <c r="AT539" s="8">
        <v>11600</v>
      </c>
      <c r="AV539" s="8">
        <v>16522</v>
      </c>
      <c r="AX539" s="8">
        <v>0</v>
      </c>
      <c r="AZ539" s="8">
        <f t="shared" si="41"/>
        <v>20145202</v>
      </c>
      <c r="BB539" s="8">
        <v>81000</v>
      </c>
      <c r="BH539" s="8">
        <v>0</v>
      </c>
      <c r="BJ539" s="8">
        <f t="shared" si="44"/>
        <v>20226202</v>
      </c>
      <c r="BL539" s="8">
        <f>+GenRev!AM539-GenExp!BJ539</f>
        <v>-548590</v>
      </c>
      <c r="BN539" s="8">
        <v>3026537</v>
      </c>
      <c r="BP539" s="8">
        <v>0</v>
      </c>
      <c r="BQ539" s="8">
        <v>0</v>
      </c>
      <c r="BS539" s="8">
        <f t="shared" si="45"/>
        <v>2477947</v>
      </c>
      <c r="BU539" s="9">
        <f>+BS539-'Gen Fd BS'!AA539+BQ539</f>
        <v>0</v>
      </c>
    </row>
    <row r="540" spans="1:73" hidden="1">
      <c r="A540" s="13" t="s">
        <v>637</v>
      </c>
      <c r="B540" s="13"/>
      <c r="C540" s="13" t="s">
        <v>59</v>
      </c>
      <c r="D540" s="13"/>
      <c r="E540" s="32">
        <v>49643</v>
      </c>
      <c r="M540" s="8">
        <v>0</v>
      </c>
      <c r="AG540" s="8">
        <v>0</v>
      </c>
      <c r="AI540" s="8">
        <v>0</v>
      </c>
      <c r="AJ540" s="13" t="s">
        <v>637</v>
      </c>
      <c r="AK540" s="13"/>
      <c r="AL540" s="13" t="s">
        <v>59</v>
      </c>
      <c r="AN540" s="8">
        <v>0</v>
      </c>
      <c r="AP540" s="8">
        <v>0</v>
      </c>
      <c r="AT540" s="8">
        <v>0</v>
      </c>
      <c r="AV540" s="8">
        <v>0</v>
      </c>
      <c r="AX540" s="8">
        <v>0</v>
      </c>
      <c r="AZ540" s="8">
        <f t="shared" si="41"/>
        <v>0</v>
      </c>
      <c r="BB540" s="8">
        <v>0</v>
      </c>
      <c r="BH540" s="8">
        <v>0</v>
      </c>
      <c r="BJ540" s="8">
        <f t="shared" si="44"/>
        <v>0</v>
      </c>
      <c r="BL540" s="8">
        <f>+GenRev!AM540-GenExp!BJ540</f>
        <v>0</v>
      </c>
      <c r="BP540" s="8">
        <v>0</v>
      </c>
      <c r="BQ540" s="8">
        <v>0</v>
      </c>
      <c r="BS540" s="8">
        <f t="shared" si="45"/>
        <v>0</v>
      </c>
      <c r="BU540" s="9">
        <f>+BS540-'Gen Fd BS'!AA540+BQ540</f>
        <v>0</v>
      </c>
    </row>
    <row r="541" spans="1:73" s="35" customFormat="1">
      <c r="A541" s="34" t="s">
        <v>564</v>
      </c>
      <c r="B541" s="34"/>
      <c r="C541" s="34" t="s">
        <v>50</v>
      </c>
      <c r="D541" s="34"/>
      <c r="E541" s="32">
        <v>48744</v>
      </c>
      <c r="G541" s="8">
        <v>7865512</v>
      </c>
      <c r="H541" s="8"/>
      <c r="I541" s="8">
        <v>882153</v>
      </c>
      <c r="J541" s="8"/>
      <c r="K541" s="8">
        <v>356065</v>
      </c>
      <c r="L541" s="8"/>
      <c r="M541" s="8">
        <v>376659</v>
      </c>
      <c r="N541" s="8"/>
      <c r="O541" s="8">
        <v>894205</v>
      </c>
      <c r="P541" s="8"/>
      <c r="Q541" s="8">
        <v>1187849</v>
      </c>
      <c r="R541" s="8"/>
      <c r="S541" s="8">
        <v>23613</v>
      </c>
      <c r="T541" s="8"/>
      <c r="U541" s="8">
        <v>1329458</v>
      </c>
      <c r="V541" s="8"/>
      <c r="W541" s="8">
        <v>292479</v>
      </c>
      <c r="X541" s="8"/>
      <c r="Y541" s="8">
        <v>16179</v>
      </c>
      <c r="Z541" s="8"/>
      <c r="AA541" s="8">
        <v>1583196</v>
      </c>
      <c r="AB541" s="8"/>
      <c r="AC541" s="8">
        <v>922616</v>
      </c>
      <c r="AD541" s="8"/>
      <c r="AE541" s="8">
        <v>358685</v>
      </c>
      <c r="AF541" s="8"/>
      <c r="AG541" s="8">
        <v>0</v>
      </c>
      <c r="AH541" s="8"/>
      <c r="AI541" s="8">
        <v>0</v>
      </c>
      <c r="AJ541" s="13" t="s">
        <v>564</v>
      </c>
      <c r="AK541" s="13"/>
      <c r="AL541" s="13" t="s">
        <v>50</v>
      </c>
      <c r="AM541" s="8"/>
      <c r="AN541" s="8">
        <v>421109</v>
      </c>
      <c r="AO541" s="8"/>
      <c r="AP541" s="8">
        <f>26263+323849</f>
        <v>350112</v>
      </c>
      <c r="AQ541" s="8"/>
      <c r="AR541" s="8"/>
      <c r="AS541" s="8"/>
      <c r="AT541" s="8">
        <v>97223</v>
      </c>
      <c r="AU541" s="8"/>
      <c r="AV541" s="8">
        <v>55744</v>
      </c>
      <c r="AW541" s="8"/>
      <c r="AX541" s="8">
        <v>0</v>
      </c>
      <c r="AY541" s="8"/>
      <c r="AZ541" s="8">
        <f t="shared" si="41"/>
        <v>17012857</v>
      </c>
      <c r="BA541" s="8"/>
      <c r="BB541" s="8">
        <v>45000</v>
      </c>
      <c r="BC541" s="8"/>
      <c r="BD541" s="8"/>
      <c r="BE541" s="8"/>
      <c r="BF541" s="8"/>
      <c r="BG541" s="8"/>
      <c r="BH541" s="8">
        <v>0</v>
      </c>
      <c r="BI541" s="8"/>
      <c r="BJ541" s="8">
        <f t="shared" si="44"/>
        <v>17057857</v>
      </c>
      <c r="BK541" s="8"/>
      <c r="BL541" s="8">
        <f>+GenRev!AM541-GenExp!BJ541</f>
        <v>1127876</v>
      </c>
      <c r="BM541" s="8"/>
      <c r="BN541" s="8">
        <v>5470969</v>
      </c>
      <c r="BO541" s="8"/>
      <c r="BP541" s="8">
        <v>0</v>
      </c>
      <c r="BQ541" s="8">
        <v>0</v>
      </c>
      <c r="BR541" s="8"/>
      <c r="BS541" s="8">
        <f t="shared" si="45"/>
        <v>6598845</v>
      </c>
      <c r="BT541" s="8"/>
      <c r="BU541" s="9">
        <f>+BS541-'Gen Fd BS'!AA541+BQ541</f>
        <v>0</v>
      </c>
    </row>
    <row r="542" spans="1:73">
      <c r="A542" s="13" t="s">
        <v>424</v>
      </c>
      <c r="B542" s="13"/>
      <c r="C542" s="13" t="s">
        <v>33</v>
      </c>
      <c r="D542" s="13"/>
      <c r="E542" s="32">
        <v>47464</v>
      </c>
      <c r="G542" s="8">
        <v>4272239</v>
      </c>
      <c r="I542" s="8">
        <v>645830</v>
      </c>
      <c r="K542" s="8">
        <v>165846</v>
      </c>
      <c r="M542" s="8">
        <v>0</v>
      </c>
      <c r="O542" s="8">
        <v>145547</v>
      </c>
      <c r="Q542" s="8">
        <v>292502</v>
      </c>
      <c r="S542" s="8">
        <v>79888</v>
      </c>
      <c r="U542" s="8">
        <v>707327</v>
      </c>
      <c r="W542" s="8">
        <v>353074</v>
      </c>
      <c r="Y542" s="8">
        <v>0</v>
      </c>
      <c r="AA542" s="8">
        <v>1037277</v>
      </c>
      <c r="AC542" s="8">
        <v>460298</v>
      </c>
      <c r="AE542" s="8">
        <v>11222</v>
      </c>
      <c r="AG542" s="8">
        <v>0</v>
      </c>
      <c r="AI542" s="8">
        <v>0</v>
      </c>
      <c r="AJ542" s="13" t="s">
        <v>424</v>
      </c>
      <c r="AK542" s="13"/>
      <c r="AL542" s="13" t="s">
        <v>33</v>
      </c>
      <c r="AN542" s="8">
        <v>243833</v>
      </c>
      <c r="AP542" s="8">
        <v>0</v>
      </c>
      <c r="AT542" s="8">
        <v>0</v>
      </c>
      <c r="AV542" s="8">
        <v>0</v>
      </c>
      <c r="AX542" s="8">
        <v>0</v>
      </c>
      <c r="AZ542" s="8">
        <f t="shared" si="41"/>
        <v>8414883</v>
      </c>
      <c r="BB542" s="8">
        <v>60658</v>
      </c>
      <c r="BH542" s="8">
        <v>0</v>
      </c>
      <c r="BJ542" s="8">
        <f t="shared" si="44"/>
        <v>8475541</v>
      </c>
      <c r="BL542" s="8">
        <f>+GenRev!AM542-GenExp!BJ542</f>
        <v>1398665</v>
      </c>
      <c r="BN542" s="8">
        <v>3401978</v>
      </c>
      <c r="BP542" s="8">
        <v>0</v>
      </c>
      <c r="BQ542" s="8">
        <v>0</v>
      </c>
      <c r="BS542" s="8">
        <f t="shared" si="45"/>
        <v>4800643</v>
      </c>
      <c r="BU542" s="9">
        <f>+BS542-'Gen Fd BS'!AA542+BQ542</f>
        <v>0</v>
      </c>
    </row>
    <row r="543" spans="1:73">
      <c r="A543" s="13" t="s">
        <v>711</v>
      </c>
      <c r="B543" s="13"/>
      <c r="C543" s="13" t="s">
        <v>67</v>
      </c>
      <c r="D543" s="13"/>
      <c r="E543" s="32">
        <v>44966</v>
      </c>
      <c r="G543" s="8">
        <v>10339361</v>
      </c>
      <c r="I543" s="8">
        <v>1842052</v>
      </c>
      <c r="K543" s="8">
        <v>128847</v>
      </c>
      <c r="M543" s="8">
        <v>0</v>
      </c>
      <c r="O543" s="8">
        <v>723518</v>
      </c>
      <c r="Q543" s="8">
        <v>838076</v>
      </c>
      <c r="S543" s="8">
        <v>48349</v>
      </c>
      <c r="U543" s="8">
        <v>1569407</v>
      </c>
      <c r="W543" s="8">
        <v>575686</v>
      </c>
      <c r="Y543" s="8">
        <v>0</v>
      </c>
      <c r="AA543" s="8">
        <v>1700864</v>
      </c>
      <c r="AC543" s="8">
        <v>532449</v>
      </c>
      <c r="AE543" s="8">
        <v>195298</v>
      </c>
      <c r="AG543" s="8">
        <v>0</v>
      </c>
      <c r="AI543" s="8">
        <v>858</v>
      </c>
      <c r="AJ543" s="13" t="s">
        <v>711</v>
      </c>
      <c r="AK543" s="13"/>
      <c r="AL543" s="13" t="s">
        <v>67</v>
      </c>
      <c r="AN543" s="8">
        <v>286120</v>
      </c>
      <c r="AP543" s="8">
        <v>16553</v>
      </c>
      <c r="AT543" s="8">
        <v>0</v>
      </c>
      <c r="AV543" s="8">
        <v>0</v>
      </c>
      <c r="AX543" s="8">
        <v>0</v>
      </c>
      <c r="AZ543" s="8">
        <f t="shared" si="41"/>
        <v>18797438</v>
      </c>
      <c r="BB543" s="8">
        <v>0</v>
      </c>
      <c r="BH543" s="8">
        <v>0</v>
      </c>
      <c r="BJ543" s="8">
        <f t="shared" si="44"/>
        <v>18797438</v>
      </c>
      <c r="BL543" s="8">
        <f>+GenRev!AM543-GenExp!BJ543</f>
        <v>129252</v>
      </c>
      <c r="BN543" s="8">
        <v>5217372</v>
      </c>
      <c r="BP543" s="8">
        <v>0</v>
      </c>
      <c r="BQ543" s="8">
        <v>0</v>
      </c>
      <c r="BS543" s="8">
        <f t="shared" si="45"/>
        <v>5346624</v>
      </c>
      <c r="BU543" s="9">
        <f>+BS543-'Gen Fd BS'!AA543+BQ543</f>
        <v>0</v>
      </c>
    </row>
    <row r="544" spans="1:73">
      <c r="A544" s="13" t="s">
        <v>565</v>
      </c>
      <c r="B544" s="13"/>
      <c r="C544" s="13" t="s">
        <v>50</v>
      </c>
      <c r="D544" s="13"/>
      <c r="E544" s="32">
        <v>44958</v>
      </c>
      <c r="G544" s="8">
        <v>16717623</v>
      </c>
      <c r="I544" s="8">
        <v>2737995</v>
      </c>
      <c r="K544" s="8">
        <v>333872</v>
      </c>
      <c r="M544" s="8">
        <v>1767624</v>
      </c>
      <c r="O544" s="8">
        <v>1558980</v>
      </c>
      <c r="Q544" s="8">
        <v>1351909</v>
      </c>
      <c r="S544" s="8">
        <v>33985</v>
      </c>
      <c r="U544" s="8">
        <v>2069925</v>
      </c>
      <c r="W544" s="8">
        <v>968032</v>
      </c>
      <c r="Y544" s="8">
        <v>0</v>
      </c>
      <c r="AA544" s="8">
        <v>3422629</v>
      </c>
      <c r="AC544" s="8">
        <v>1585204</v>
      </c>
      <c r="AE544" s="8">
        <v>461465</v>
      </c>
      <c r="AG544" s="8">
        <v>0</v>
      </c>
      <c r="AI544" s="8">
        <v>0</v>
      </c>
      <c r="AJ544" s="13" t="s">
        <v>565</v>
      </c>
      <c r="AK544" s="13"/>
      <c r="AL544" s="13" t="s">
        <v>50</v>
      </c>
      <c r="AN544" s="8">
        <v>264044</v>
      </c>
      <c r="AP544" s="8">
        <v>0</v>
      </c>
      <c r="AT544" s="8">
        <v>34275</v>
      </c>
      <c r="AV544" s="8">
        <v>3152</v>
      </c>
      <c r="AX544" s="8">
        <v>0</v>
      </c>
      <c r="AZ544" s="8">
        <f t="shared" si="41"/>
        <v>33310714</v>
      </c>
      <c r="BB544" s="8">
        <v>0</v>
      </c>
      <c r="BH544" s="8">
        <v>0</v>
      </c>
      <c r="BJ544" s="8">
        <f>+AZ544+BB544+BD544+BH544</f>
        <v>33310714</v>
      </c>
      <c r="BL544" s="8">
        <f>+GenRev!AM544-GenExp!BJ544</f>
        <v>2201848</v>
      </c>
      <c r="BN544" s="8">
        <v>10597107</v>
      </c>
      <c r="BP544" s="8">
        <v>0</v>
      </c>
      <c r="BQ544" s="8">
        <v>0</v>
      </c>
      <c r="BS544" s="8">
        <f t="shared" si="45"/>
        <v>12798955</v>
      </c>
      <c r="BU544" s="9">
        <f>+BS544-'Gen Fd BS'!AA544+BQ544</f>
        <v>0</v>
      </c>
    </row>
    <row r="545" spans="1:73" hidden="1">
      <c r="A545" s="13" t="s">
        <v>425</v>
      </c>
      <c r="B545" s="13"/>
      <c r="C545" s="13" t="s">
        <v>33</v>
      </c>
      <c r="D545" s="13"/>
      <c r="E545" s="32">
        <v>47472</v>
      </c>
      <c r="AG545" s="8">
        <v>0</v>
      </c>
      <c r="AI545" s="8">
        <v>0</v>
      </c>
      <c r="AJ545" s="13" t="s">
        <v>425</v>
      </c>
      <c r="AK545" s="13"/>
      <c r="AL545" s="13" t="s">
        <v>33</v>
      </c>
      <c r="AN545" s="8">
        <v>0</v>
      </c>
      <c r="AP545" s="8">
        <v>0</v>
      </c>
      <c r="AT545" s="8">
        <v>0</v>
      </c>
      <c r="AV545" s="8">
        <v>0</v>
      </c>
      <c r="AX545" s="8">
        <v>0</v>
      </c>
      <c r="AZ545" s="8">
        <f>SUM(G545:AX545)</f>
        <v>0</v>
      </c>
      <c r="BB545" s="8">
        <v>0</v>
      </c>
      <c r="BH545" s="8">
        <v>0</v>
      </c>
      <c r="BJ545" s="8">
        <f>+AZ545+BB545+BD545+BH545</f>
        <v>0</v>
      </c>
      <c r="BL545" s="8">
        <f>+GenRev!AM545-GenExp!BJ545</f>
        <v>0</v>
      </c>
      <c r="BQ545" s="8">
        <v>0</v>
      </c>
      <c r="BS545" s="8">
        <f t="shared" si="45"/>
        <v>0</v>
      </c>
      <c r="BU545" s="9">
        <f>+BS545-'Gen Fd BS'!AA545+BQ545</f>
        <v>0</v>
      </c>
    </row>
    <row r="546" spans="1:73">
      <c r="A546" s="13" t="s">
        <v>346</v>
      </c>
      <c r="B546" s="13"/>
      <c r="C546" s="13" t="s">
        <v>24</v>
      </c>
      <c r="D546" s="13"/>
      <c r="E546" s="32">
        <v>46821</v>
      </c>
      <c r="G546" s="8">
        <v>8861162</v>
      </c>
      <c r="I546" s="8">
        <v>1955491</v>
      </c>
      <c r="K546" s="8">
        <v>216204</v>
      </c>
      <c r="M546" s="8">
        <v>986814</v>
      </c>
      <c r="O546" s="8">
        <v>1041549</v>
      </c>
      <c r="Q546" s="8">
        <v>2523597</v>
      </c>
      <c r="S546" s="8">
        <v>218242</v>
      </c>
      <c r="U546" s="8">
        <v>1448233</v>
      </c>
      <c r="W546" s="8">
        <v>537699</v>
      </c>
      <c r="Y546" s="8">
        <v>158094</v>
      </c>
      <c r="AA546" s="8">
        <v>4468226</v>
      </c>
      <c r="AC546" s="8">
        <v>1338576</v>
      </c>
      <c r="AE546" s="8">
        <v>51858</v>
      </c>
      <c r="AG546" s="8">
        <v>0</v>
      </c>
      <c r="AI546" s="8">
        <v>0</v>
      </c>
      <c r="AJ546" s="13" t="s">
        <v>346</v>
      </c>
      <c r="AK546" s="13"/>
      <c r="AL546" s="13" t="s">
        <v>24</v>
      </c>
      <c r="AN546" s="8">
        <v>582090</v>
      </c>
      <c r="AP546" s="8">
        <v>0</v>
      </c>
      <c r="AT546" s="8">
        <v>370663</v>
      </c>
      <c r="AV546" s="8">
        <v>157867</v>
      </c>
      <c r="AX546" s="8">
        <v>0</v>
      </c>
      <c r="AZ546" s="8">
        <f>SUM(G546:AX546)</f>
        <v>24916365</v>
      </c>
      <c r="BB546" s="8">
        <v>0</v>
      </c>
      <c r="BH546" s="8">
        <v>0</v>
      </c>
      <c r="BJ546" s="8">
        <f>+AZ546+BB546+BD546+BH546</f>
        <v>24916365</v>
      </c>
      <c r="BL546" s="8">
        <f>+GenRev!AM546-GenExp!BJ546</f>
        <v>7959343</v>
      </c>
      <c r="BN546" s="8">
        <v>7567025</v>
      </c>
      <c r="BP546" s="8">
        <v>12070</v>
      </c>
      <c r="BQ546" s="8">
        <v>0</v>
      </c>
      <c r="BS546" s="8">
        <f t="shared" si="45"/>
        <v>15514298</v>
      </c>
      <c r="BU546" s="9">
        <f>+BS546-'Gen Fd BS'!AA546+BQ546</f>
        <v>0</v>
      </c>
    </row>
    <row r="547" spans="1:73">
      <c r="A547" s="13" t="s">
        <v>712</v>
      </c>
      <c r="B547" s="13"/>
      <c r="C547" s="13" t="s">
        <v>68</v>
      </c>
      <c r="D547" s="13"/>
      <c r="E547" s="32">
        <v>50393</v>
      </c>
      <c r="G547" s="8">
        <v>7097175</v>
      </c>
      <c r="I547" s="8">
        <v>1756698</v>
      </c>
      <c r="K547" s="8">
        <v>263466</v>
      </c>
      <c r="M547" s="8">
        <v>948948</v>
      </c>
      <c r="O547" s="8">
        <v>1203298</v>
      </c>
      <c r="Q547" s="8">
        <v>932874</v>
      </c>
      <c r="S547" s="8">
        <v>275635</v>
      </c>
      <c r="U547" s="8">
        <v>2203881</v>
      </c>
      <c r="W547" s="8">
        <v>319397</v>
      </c>
      <c r="Y547" s="8">
        <v>0</v>
      </c>
      <c r="AA547" s="8">
        <v>2173292</v>
      </c>
      <c r="AC547" s="8">
        <v>1785155</v>
      </c>
      <c r="AE547" s="8">
        <v>838004</v>
      </c>
      <c r="AG547" s="8">
        <v>0</v>
      </c>
      <c r="AI547" s="8">
        <v>102615</v>
      </c>
      <c r="AJ547" s="13" t="s">
        <v>712</v>
      </c>
      <c r="AK547" s="13"/>
      <c r="AL547" s="13" t="s">
        <v>68</v>
      </c>
      <c r="AN547" s="8">
        <v>164670</v>
      </c>
      <c r="AP547" s="8">
        <v>890157</v>
      </c>
      <c r="AT547" s="8">
        <v>52824</v>
      </c>
      <c r="AV547" s="8">
        <v>22829</v>
      </c>
      <c r="AX547" s="8">
        <v>0</v>
      </c>
      <c r="AZ547" s="8">
        <f>SUM(G547:AX547)</f>
        <v>21030918</v>
      </c>
      <c r="BB547" s="8">
        <v>0</v>
      </c>
      <c r="BH547" s="8">
        <v>0</v>
      </c>
      <c r="BJ547" s="8">
        <f>+AZ547+BB547+BD547+BH547</f>
        <v>21030918</v>
      </c>
      <c r="BL547" s="8">
        <f>+GenRev!AM547-GenExp!BJ547</f>
        <v>78077</v>
      </c>
      <c r="BN547" s="8">
        <v>10667290</v>
      </c>
      <c r="BP547" s="8">
        <v>0</v>
      </c>
      <c r="BQ547" s="8">
        <v>0</v>
      </c>
      <c r="BS547" s="8">
        <f t="shared" si="45"/>
        <v>10745367</v>
      </c>
      <c r="BU547" s="9">
        <f>+BS547-'Gen Fd BS'!AA547+BQ547</f>
        <v>0</v>
      </c>
    </row>
    <row r="548" spans="1:73">
      <c r="A548" s="13" t="s">
        <v>536</v>
      </c>
      <c r="B548" s="13"/>
      <c r="C548" s="13" t="s">
        <v>47</v>
      </c>
      <c r="D548" s="13"/>
      <c r="E548" s="32">
        <v>44974</v>
      </c>
      <c r="G548" s="8">
        <v>16490143</v>
      </c>
      <c r="I548" s="8">
        <v>2113119</v>
      </c>
      <c r="K548" s="8">
        <v>1650295</v>
      </c>
      <c r="M548" s="8">
        <v>960594</v>
      </c>
      <c r="O548" s="8">
        <v>2028046</v>
      </c>
      <c r="Q548" s="8">
        <v>941783</v>
      </c>
      <c r="S548" s="8">
        <v>155700</v>
      </c>
      <c r="U548" s="8">
        <v>2938488</v>
      </c>
      <c r="W548" s="8">
        <v>692849</v>
      </c>
      <c r="Y548" s="8">
        <v>0</v>
      </c>
      <c r="AA548" s="8">
        <v>4613203</v>
      </c>
      <c r="AC548" s="8">
        <v>1619418</v>
      </c>
      <c r="AE548" s="8">
        <v>955857</v>
      </c>
      <c r="AG548" s="8">
        <v>0</v>
      </c>
      <c r="AI548" s="8">
        <v>0</v>
      </c>
      <c r="AJ548" s="13" t="s">
        <v>536</v>
      </c>
      <c r="AK548" s="13"/>
      <c r="AL548" s="13" t="s">
        <v>47</v>
      </c>
      <c r="AN548" s="8">
        <f>660905+750318</f>
        <v>1411223</v>
      </c>
      <c r="AP548" s="8">
        <v>0</v>
      </c>
      <c r="AT548" s="8">
        <v>0</v>
      </c>
      <c r="AV548" s="8">
        <v>0</v>
      </c>
      <c r="AX548" s="8">
        <v>0</v>
      </c>
      <c r="AZ548" s="8">
        <f t="shared" ref="AZ548:AZ565" si="46">SUM(G548:AX548)</f>
        <v>36570718</v>
      </c>
      <c r="BB548" s="8">
        <v>5000</v>
      </c>
      <c r="BH548" s="8">
        <v>0</v>
      </c>
      <c r="BJ548" s="8">
        <f t="shared" ref="BJ548:BJ597" si="47">+AZ548+BB548+BD548+BH548</f>
        <v>36575718</v>
      </c>
      <c r="BL548" s="8">
        <f>+GenRev!AM548-GenExp!BJ548</f>
        <v>-1373196</v>
      </c>
      <c r="BN548" s="8">
        <v>8902807</v>
      </c>
      <c r="BP548" s="8">
        <v>0</v>
      </c>
      <c r="BQ548" s="8">
        <v>0</v>
      </c>
      <c r="BS548" s="8">
        <f t="shared" ref="BS548:BS597" si="48">+BN548+BL548-BP548</f>
        <v>7529611</v>
      </c>
      <c r="BU548" s="9">
        <f>+BS548-'Gen Fd BS'!AA548+BQ548</f>
        <v>0</v>
      </c>
    </row>
    <row r="549" spans="1:73" ht="11.4" customHeight="1">
      <c r="A549" s="13" t="s">
        <v>697</v>
      </c>
      <c r="B549" s="13"/>
      <c r="C549" s="13" t="s">
        <v>64</v>
      </c>
      <c r="D549" s="13"/>
      <c r="E549" s="32">
        <v>44990</v>
      </c>
      <c r="G549" s="8">
        <v>24118255</v>
      </c>
      <c r="I549" s="8">
        <v>6358117</v>
      </c>
      <c r="K549" s="8">
        <v>545338</v>
      </c>
      <c r="M549" s="8">
        <v>2303978</v>
      </c>
      <c r="O549" s="8">
        <v>2828749</v>
      </c>
      <c r="Q549" s="8">
        <v>2640330</v>
      </c>
      <c r="S549" s="8">
        <v>40390</v>
      </c>
      <c r="U549" s="8">
        <v>4132729</v>
      </c>
      <c r="W549" s="8">
        <v>932625</v>
      </c>
      <c r="Y549" s="8">
        <v>731721</v>
      </c>
      <c r="AA549" s="8">
        <v>7090146</v>
      </c>
      <c r="AC549" s="8">
        <v>2633763</v>
      </c>
      <c r="AE549" s="8">
        <v>1374779</v>
      </c>
      <c r="AG549" s="8">
        <v>0</v>
      </c>
      <c r="AI549" s="8">
        <v>0</v>
      </c>
      <c r="AJ549" s="13" t="s">
        <v>697</v>
      </c>
      <c r="AK549" s="13"/>
      <c r="AL549" s="13" t="s">
        <v>64</v>
      </c>
      <c r="AN549" s="8">
        <v>688342</v>
      </c>
      <c r="AP549" s="8">
        <v>0</v>
      </c>
      <c r="AT549" s="8">
        <v>0</v>
      </c>
      <c r="AV549" s="8">
        <v>0</v>
      </c>
      <c r="AX549" s="8">
        <v>0</v>
      </c>
      <c r="AZ549" s="8">
        <f t="shared" si="46"/>
        <v>56419262</v>
      </c>
      <c r="BB549" s="8">
        <v>623182</v>
      </c>
      <c r="BH549" s="8">
        <v>0</v>
      </c>
      <c r="BJ549" s="8">
        <f t="shared" si="47"/>
        <v>57042444</v>
      </c>
      <c r="BL549" s="8">
        <f>+GenRev!AM549-GenExp!BJ549</f>
        <v>-442311</v>
      </c>
      <c r="BN549" s="8">
        <v>12357501</v>
      </c>
      <c r="BP549" s="8">
        <v>0</v>
      </c>
      <c r="BQ549" s="8">
        <v>0</v>
      </c>
      <c r="BS549" s="8">
        <f t="shared" si="48"/>
        <v>11915190</v>
      </c>
      <c r="BU549" s="9">
        <f>+BS549-'Gen Fd BS'!AA549+BQ549</f>
        <v>0</v>
      </c>
    </row>
    <row r="550" spans="1:73">
      <c r="A550" s="13" t="s">
        <v>725</v>
      </c>
      <c r="B550" s="13"/>
      <c r="C550" s="13" t="s">
        <v>70</v>
      </c>
      <c r="D550" s="13"/>
      <c r="E550" s="32">
        <v>50500</v>
      </c>
      <c r="G550" s="8">
        <v>1134475</v>
      </c>
      <c r="I550" s="8">
        <v>1615210</v>
      </c>
      <c r="K550" s="8">
        <v>109000</v>
      </c>
      <c r="M550" s="8">
        <v>53783</v>
      </c>
      <c r="O550" s="8">
        <v>611188</v>
      </c>
      <c r="Q550" s="8">
        <v>671338</v>
      </c>
      <c r="S550" s="8">
        <v>41490</v>
      </c>
      <c r="U550" s="8">
        <v>1598157</v>
      </c>
      <c r="W550" s="8">
        <v>629417</v>
      </c>
      <c r="Y550" s="8">
        <v>5049</v>
      </c>
      <c r="AA550" s="8">
        <v>1894170</v>
      </c>
      <c r="AC550" s="8">
        <v>1608255</v>
      </c>
      <c r="AE550" s="8">
        <v>8752</v>
      </c>
      <c r="AG550" s="8">
        <v>0</v>
      </c>
      <c r="AI550" s="8">
        <v>0</v>
      </c>
      <c r="AJ550" s="13" t="s">
        <v>725</v>
      </c>
      <c r="AK550" s="13"/>
      <c r="AL550" s="13" t="s">
        <v>70</v>
      </c>
      <c r="AN550" s="8">
        <v>368424</v>
      </c>
      <c r="AP550" s="8">
        <v>0</v>
      </c>
      <c r="AT550" s="8">
        <v>0</v>
      </c>
      <c r="AV550" s="8">
        <v>0</v>
      </c>
      <c r="AX550" s="8">
        <v>0</v>
      </c>
      <c r="AZ550" s="8">
        <f t="shared" si="46"/>
        <v>10348708</v>
      </c>
      <c r="BB550" s="8">
        <v>9495</v>
      </c>
      <c r="BH550" s="8">
        <v>0</v>
      </c>
      <c r="BJ550" s="8">
        <f t="shared" si="47"/>
        <v>10358203</v>
      </c>
      <c r="BL550" s="8">
        <f>+GenRev!AM550-GenExp!BJ550</f>
        <v>10382529</v>
      </c>
      <c r="BN550" s="8">
        <v>-796749</v>
      </c>
      <c r="BP550" s="8">
        <v>0</v>
      </c>
      <c r="BQ550" s="8">
        <v>0</v>
      </c>
      <c r="BS550" s="8">
        <f t="shared" si="48"/>
        <v>9585780</v>
      </c>
      <c r="BU550" s="9">
        <v>0</v>
      </c>
    </row>
    <row r="551" spans="1:73">
      <c r="A551" s="13" t="s">
        <v>328</v>
      </c>
      <c r="B551" s="13"/>
      <c r="C551" s="13" t="s">
        <v>20</v>
      </c>
      <c r="D551" s="13"/>
      <c r="E551" s="13">
        <v>45005</v>
      </c>
      <c r="F551" s="11"/>
      <c r="G551" s="8">
        <v>14800499</v>
      </c>
      <c r="I551" s="8">
        <v>2845122</v>
      </c>
      <c r="K551" s="8">
        <v>232622</v>
      </c>
      <c r="M551" s="8">
        <v>0</v>
      </c>
      <c r="O551" s="8">
        <v>1245337</v>
      </c>
      <c r="Q551" s="8">
        <v>1295930</v>
      </c>
      <c r="S551" s="8">
        <v>88717</v>
      </c>
      <c r="U551" s="8">
        <v>4118805</v>
      </c>
      <c r="W551" s="8">
        <v>956231</v>
      </c>
      <c r="Y551" s="8">
        <v>1159372</v>
      </c>
      <c r="AA551" s="8">
        <v>3415780</v>
      </c>
      <c r="AC551" s="8">
        <v>1183562</v>
      </c>
      <c r="AE551" s="8">
        <v>245899</v>
      </c>
      <c r="AG551" s="8">
        <v>0</v>
      </c>
      <c r="AI551" s="8">
        <v>10059</v>
      </c>
      <c r="AJ551" s="13" t="s">
        <v>328</v>
      </c>
      <c r="AK551" s="13"/>
      <c r="AL551" s="13" t="s">
        <v>20</v>
      </c>
      <c r="AN551" s="8">
        <v>236083</v>
      </c>
      <c r="AP551" s="8">
        <v>0</v>
      </c>
      <c r="AT551" s="8">
        <v>50212</v>
      </c>
      <c r="AV551" s="8">
        <v>15587</v>
      </c>
      <c r="AX551" s="8">
        <v>0</v>
      </c>
      <c r="AZ551" s="8">
        <f>SUM(G551:AX551)</f>
        <v>31899817</v>
      </c>
      <c r="BB551" s="8">
        <v>1084556</v>
      </c>
      <c r="BH551" s="8">
        <v>275000</v>
      </c>
      <c r="BJ551" s="8">
        <f>+AZ551+BB551+BD551+BH551</f>
        <v>33259373</v>
      </c>
      <c r="BL551" s="8">
        <f>+GenRev!AM551-GenExp!BJ551</f>
        <v>290980</v>
      </c>
      <c r="BN551" s="8">
        <v>2502634</v>
      </c>
      <c r="BP551" s="8">
        <v>0</v>
      </c>
      <c r="BQ551" s="8">
        <v>0</v>
      </c>
      <c r="BS551" s="8">
        <f>+BN551+BL551-BP551</f>
        <v>2793614</v>
      </c>
      <c r="BU551" s="9">
        <f>+BS551-'Gen Fd BS'!AA551+BQ551</f>
        <v>0</v>
      </c>
    </row>
    <row r="552" spans="1:73">
      <c r="A552" s="13" t="s">
        <v>355</v>
      </c>
      <c r="B552" s="13"/>
      <c r="C552" s="13" t="s">
        <v>26</v>
      </c>
      <c r="D552" s="13"/>
      <c r="E552" s="32">
        <v>45013</v>
      </c>
      <c r="G552" s="8">
        <v>9340925</v>
      </c>
      <c r="I552" s="8">
        <v>1681866</v>
      </c>
      <c r="K552" s="8">
        <v>85016</v>
      </c>
      <c r="M552" s="8">
        <v>0</v>
      </c>
      <c r="O552" s="8">
        <v>683316</v>
      </c>
      <c r="Q552" s="8">
        <v>711700</v>
      </c>
      <c r="S552" s="8">
        <v>21855</v>
      </c>
      <c r="U552" s="8">
        <v>1590186</v>
      </c>
      <c r="W552" s="8">
        <v>491003</v>
      </c>
      <c r="Y552" s="8">
        <v>0</v>
      </c>
      <c r="AA552" s="8">
        <v>1640728</v>
      </c>
      <c r="AC552" s="8">
        <v>638304</v>
      </c>
      <c r="AE552" s="8">
        <v>70020</v>
      </c>
      <c r="AG552" s="8">
        <v>242</v>
      </c>
      <c r="AI552" s="8">
        <v>0</v>
      </c>
      <c r="AJ552" s="13" t="s">
        <v>355</v>
      </c>
      <c r="AK552" s="13"/>
      <c r="AL552" s="13" t="s">
        <v>26</v>
      </c>
      <c r="AN552" s="8">
        <v>307799</v>
      </c>
      <c r="AP552" s="8">
        <v>33338</v>
      </c>
      <c r="AT552" s="8">
        <v>44785</v>
      </c>
      <c r="AV552" s="8">
        <v>7854</v>
      </c>
      <c r="AX552" s="8">
        <v>0</v>
      </c>
      <c r="AZ552" s="8">
        <f t="shared" si="46"/>
        <v>17348937</v>
      </c>
      <c r="BB552" s="8">
        <v>341000</v>
      </c>
      <c r="BH552" s="8">
        <v>0</v>
      </c>
      <c r="BJ552" s="8">
        <f t="shared" si="47"/>
        <v>17689937</v>
      </c>
      <c r="BL552" s="8">
        <f>+GenRev!AM552-GenExp!BJ552</f>
        <v>-789618</v>
      </c>
      <c r="BN552" s="8">
        <v>367444</v>
      </c>
      <c r="BP552" s="8">
        <v>0</v>
      </c>
      <c r="BQ552" s="8">
        <v>0</v>
      </c>
      <c r="BS552" s="8">
        <f t="shared" si="48"/>
        <v>-422174</v>
      </c>
      <c r="BU552" s="9">
        <f>+BS552-'Gen Fd BS'!AA552+BQ552</f>
        <v>0</v>
      </c>
    </row>
    <row r="553" spans="1:73">
      <c r="A553" s="13" t="s">
        <v>509</v>
      </c>
      <c r="B553" s="13"/>
      <c r="C553" s="13" t="s">
        <v>118</v>
      </c>
      <c r="D553" s="13"/>
      <c r="E553" s="32">
        <v>48231</v>
      </c>
      <c r="G553" s="8">
        <v>27361402</v>
      </c>
      <c r="I553" s="8">
        <v>6107189</v>
      </c>
      <c r="K553" s="8">
        <v>2401538</v>
      </c>
      <c r="M553" s="8">
        <f>9340+2569357</f>
        <v>2578697</v>
      </c>
      <c r="O553" s="8">
        <v>3355611</v>
      </c>
      <c r="Q553" s="8">
        <v>3510313</v>
      </c>
      <c r="S553" s="8">
        <v>90164</v>
      </c>
      <c r="U553" s="8">
        <v>4587266</v>
      </c>
      <c r="W553" s="8">
        <v>1383696</v>
      </c>
      <c r="Y553" s="8">
        <v>599110</v>
      </c>
      <c r="AA553" s="8">
        <v>9414286</v>
      </c>
      <c r="AC553" s="8">
        <v>3575798</v>
      </c>
      <c r="AE553" s="8">
        <v>1701166</v>
      </c>
      <c r="AG553" s="8">
        <v>0</v>
      </c>
      <c r="AI553" s="8">
        <v>34255</v>
      </c>
      <c r="AJ553" s="13" t="s">
        <v>509</v>
      </c>
      <c r="AK553" s="13"/>
      <c r="AL553" s="13" t="s">
        <v>118</v>
      </c>
      <c r="AN553" s="8">
        <v>768584</v>
      </c>
      <c r="AP553" s="8">
        <v>130740</v>
      </c>
      <c r="AT553" s="8">
        <v>0</v>
      </c>
      <c r="AV553" s="8">
        <v>0</v>
      </c>
      <c r="AX553" s="8">
        <v>0</v>
      </c>
      <c r="AZ553" s="8">
        <f t="shared" si="46"/>
        <v>67599815</v>
      </c>
      <c r="BB553" s="8">
        <v>218891</v>
      </c>
      <c r="BH553" s="8">
        <v>0</v>
      </c>
      <c r="BJ553" s="8">
        <f t="shared" si="47"/>
        <v>67818706</v>
      </c>
      <c r="BL553" s="8">
        <f>+GenRev!AM553-GenExp!BJ553</f>
        <v>221563</v>
      </c>
      <c r="BN553" s="8">
        <v>27458482</v>
      </c>
      <c r="BP553" s="8">
        <v>0</v>
      </c>
      <c r="BQ553" s="8">
        <v>0</v>
      </c>
      <c r="BS553" s="8">
        <f t="shared" si="48"/>
        <v>27680045</v>
      </c>
      <c r="BU553" s="9">
        <f>+BS553-'Gen Fd BS'!AA553+BQ553</f>
        <v>0</v>
      </c>
    </row>
    <row r="554" spans="1:73">
      <c r="A554" s="13" t="s">
        <v>638</v>
      </c>
      <c r="B554" s="13"/>
      <c r="C554" s="13" t="s">
        <v>59</v>
      </c>
      <c r="D554" s="13"/>
      <c r="E554" s="32">
        <v>49650</v>
      </c>
      <c r="F554" s="11"/>
      <c r="G554" s="8">
        <v>5492752</v>
      </c>
      <c r="I554" s="8">
        <v>879346</v>
      </c>
      <c r="K554" s="8">
        <v>114310</v>
      </c>
      <c r="M554" s="8">
        <v>38772</v>
      </c>
      <c r="O554" s="8">
        <v>677459</v>
      </c>
      <c r="Q554" s="8">
        <v>528243</v>
      </c>
      <c r="S554" s="8">
        <v>91870</v>
      </c>
      <c r="U554" s="8">
        <v>977340</v>
      </c>
      <c r="W554" s="8">
        <v>281122</v>
      </c>
      <c r="Y554" s="8">
        <v>0</v>
      </c>
      <c r="AA554" s="8">
        <v>1632756</v>
      </c>
      <c r="AC554" s="8">
        <v>773134</v>
      </c>
      <c r="AE554" s="8">
        <v>0</v>
      </c>
      <c r="AG554" s="8">
        <v>6581</v>
      </c>
      <c r="AI554" s="8">
        <v>0</v>
      </c>
      <c r="AJ554" s="13" t="s">
        <v>638</v>
      </c>
      <c r="AK554" s="13"/>
      <c r="AL554" s="13" t="s">
        <v>59</v>
      </c>
      <c r="AN554" s="8">
        <v>111439</v>
      </c>
      <c r="AP554" s="8">
        <v>218441</v>
      </c>
      <c r="AT554" s="8">
        <v>0</v>
      </c>
      <c r="AV554" s="8">
        <v>0</v>
      </c>
      <c r="AX554" s="8">
        <v>0</v>
      </c>
      <c r="AZ554" s="8">
        <f t="shared" si="46"/>
        <v>11823565</v>
      </c>
      <c r="BB554" s="8">
        <v>230459</v>
      </c>
      <c r="BH554" s="8">
        <v>0</v>
      </c>
      <c r="BJ554" s="8">
        <f t="shared" si="47"/>
        <v>12054024</v>
      </c>
      <c r="BL554" s="8">
        <f>+GenRev!AM554-GenExp!BJ554</f>
        <v>-127391</v>
      </c>
      <c r="BN554" s="8">
        <v>2715234</v>
      </c>
      <c r="BP554" s="8">
        <v>0</v>
      </c>
      <c r="BQ554" s="8">
        <v>0</v>
      </c>
      <c r="BS554" s="8">
        <f t="shared" si="48"/>
        <v>2587843</v>
      </c>
      <c r="BU554" s="9">
        <f>+BS554-'Gen Fd BS'!AA554+BQ554</f>
        <v>0</v>
      </c>
    </row>
    <row r="555" spans="1:73">
      <c r="A555" s="13" t="s">
        <v>603</v>
      </c>
      <c r="B555" s="13"/>
      <c r="C555" s="13" t="s">
        <v>56</v>
      </c>
      <c r="D555" s="13"/>
      <c r="E555" s="32">
        <v>49247</v>
      </c>
      <c r="G555" s="8">
        <v>5102337</v>
      </c>
      <c r="I555" s="8">
        <v>1153525</v>
      </c>
      <c r="K555" s="8">
        <v>47026</v>
      </c>
      <c r="M555" s="8">
        <v>30765</v>
      </c>
      <c r="O555" s="8">
        <v>242053</v>
      </c>
      <c r="Q555" s="8">
        <v>406956</v>
      </c>
      <c r="S555" s="8">
        <v>29211</v>
      </c>
      <c r="U555" s="8">
        <v>758080</v>
      </c>
      <c r="W555" s="8">
        <v>308366</v>
      </c>
      <c r="Y555" s="8">
        <v>23661</v>
      </c>
      <c r="AA555" s="8">
        <v>1040846</v>
      </c>
      <c r="AC555" s="8">
        <v>949863</v>
      </c>
      <c r="AE555" s="8">
        <v>11628</v>
      </c>
      <c r="AG555" s="8">
        <v>0</v>
      </c>
      <c r="AI555" s="8">
        <v>0</v>
      </c>
      <c r="AJ555" s="13" t="s">
        <v>603</v>
      </c>
      <c r="AK555" s="13"/>
      <c r="AL555" s="13" t="s">
        <v>56</v>
      </c>
      <c r="AN555" s="8">
        <v>218101</v>
      </c>
      <c r="AP555" s="8">
        <v>0</v>
      </c>
      <c r="AT555" s="8">
        <v>19555</v>
      </c>
      <c r="AV555" s="8">
        <v>3676</v>
      </c>
      <c r="AX555" s="8">
        <v>0</v>
      </c>
      <c r="AZ555" s="8">
        <f t="shared" si="46"/>
        <v>10345649</v>
      </c>
      <c r="BB555" s="8">
        <v>0</v>
      </c>
      <c r="BH555" s="8">
        <v>0</v>
      </c>
      <c r="BJ555" s="8">
        <f t="shared" si="47"/>
        <v>10345649</v>
      </c>
      <c r="BL555" s="8">
        <f>+GenRev!AM555-GenExp!BJ555</f>
        <v>-39741</v>
      </c>
      <c r="BN555" s="8">
        <v>1204464</v>
      </c>
      <c r="BP555" s="8">
        <v>14218</v>
      </c>
      <c r="BQ555" s="8">
        <v>0</v>
      </c>
      <c r="BS555" s="8">
        <f t="shared" si="48"/>
        <v>1150505</v>
      </c>
      <c r="BU555" s="9">
        <f>+BS555-'Gen Fd BS'!AA555+BQ555</f>
        <v>0</v>
      </c>
    </row>
    <row r="556" spans="1:73">
      <c r="A556" s="13" t="s">
        <v>378</v>
      </c>
      <c r="B556" s="13"/>
      <c r="C556" s="13" t="s">
        <v>28</v>
      </c>
      <c r="D556" s="13"/>
      <c r="E556" s="32">
        <v>45641</v>
      </c>
      <c r="G556" s="8">
        <v>7577285</v>
      </c>
      <c r="I556" s="8">
        <v>1481038</v>
      </c>
      <c r="K556" s="8">
        <v>277247</v>
      </c>
      <c r="M556" s="8">
        <v>640123</v>
      </c>
      <c r="O556" s="8">
        <v>492870</v>
      </c>
      <c r="Q556" s="8">
        <v>652474</v>
      </c>
      <c r="S556" s="8">
        <v>37337</v>
      </c>
      <c r="U556" s="8">
        <v>1252740</v>
      </c>
      <c r="W556" s="8">
        <v>349174</v>
      </c>
      <c r="Y556" s="8">
        <v>68353</v>
      </c>
      <c r="AA556" s="8">
        <v>1395781</v>
      </c>
      <c r="AC556" s="8">
        <v>693027</v>
      </c>
      <c r="AE556" s="8">
        <v>79118</v>
      </c>
      <c r="AG556" s="8">
        <v>0</v>
      </c>
      <c r="AI556" s="8">
        <v>0</v>
      </c>
      <c r="AJ556" s="13" t="s">
        <v>378</v>
      </c>
      <c r="AK556" s="13"/>
      <c r="AL556" s="13" t="s">
        <v>28</v>
      </c>
      <c r="AN556" s="8">
        <v>459137</v>
      </c>
      <c r="AP556" s="8">
        <v>0</v>
      </c>
      <c r="AT556" s="8">
        <v>0</v>
      </c>
      <c r="AV556" s="8">
        <v>0</v>
      </c>
      <c r="AX556" s="8">
        <v>0</v>
      </c>
      <c r="AZ556" s="8">
        <f t="shared" si="46"/>
        <v>15455704</v>
      </c>
      <c r="BB556" s="8">
        <v>24419</v>
      </c>
      <c r="BH556" s="8">
        <v>0</v>
      </c>
      <c r="BJ556" s="8">
        <f t="shared" si="47"/>
        <v>15480123</v>
      </c>
      <c r="BL556" s="8">
        <f>+GenRev!AM556-GenExp!BJ556</f>
        <v>-816951</v>
      </c>
      <c r="BN556" s="8">
        <v>4327936</v>
      </c>
      <c r="BP556" s="8">
        <v>0</v>
      </c>
      <c r="BQ556" s="8">
        <v>0</v>
      </c>
      <c r="BS556" s="8">
        <f t="shared" si="48"/>
        <v>3510985</v>
      </c>
      <c r="BU556" s="9">
        <f>+BS556-'Gen Fd BS'!AA556+BQ556</f>
        <v>0</v>
      </c>
    </row>
    <row r="557" spans="1:73">
      <c r="A557" s="13" t="s">
        <v>593</v>
      </c>
      <c r="B557" s="13"/>
      <c r="C557" s="13" t="s">
        <v>55</v>
      </c>
      <c r="D557" s="13"/>
      <c r="E557" s="32">
        <v>49148</v>
      </c>
      <c r="G557" s="8">
        <v>7014153</v>
      </c>
      <c r="I557" s="8">
        <v>1136531</v>
      </c>
      <c r="K557" s="8">
        <v>173393</v>
      </c>
      <c r="M557" s="8">
        <v>0</v>
      </c>
      <c r="O557" s="8">
        <v>871287</v>
      </c>
      <c r="Q557" s="8">
        <v>584688</v>
      </c>
      <c r="S557" s="8">
        <v>50312</v>
      </c>
      <c r="U557" s="8">
        <v>930042</v>
      </c>
      <c r="W557" s="8">
        <v>455624</v>
      </c>
      <c r="Y557" s="8">
        <v>0</v>
      </c>
      <c r="AA557" s="8">
        <v>1780335</v>
      </c>
      <c r="AC557" s="8">
        <v>1091221</v>
      </c>
      <c r="AE557" s="8">
        <v>3899</v>
      </c>
      <c r="AG557" s="8">
        <v>0</v>
      </c>
      <c r="AI557" s="8">
        <v>5023</v>
      </c>
      <c r="AJ557" s="13" t="s">
        <v>593</v>
      </c>
      <c r="AK557" s="13"/>
      <c r="AL557" s="13" t="s">
        <v>55</v>
      </c>
      <c r="AN557" s="8">
        <v>257115</v>
      </c>
      <c r="AP557" s="8">
        <v>1477</v>
      </c>
      <c r="AT557" s="8">
        <v>56772</v>
      </c>
      <c r="AV557" s="8">
        <v>74250</v>
      </c>
      <c r="AX557" s="8">
        <v>0</v>
      </c>
      <c r="AZ557" s="8">
        <f t="shared" si="46"/>
        <v>14486122</v>
      </c>
      <c r="BB557" s="8">
        <v>131996</v>
      </c>
      <c r="BH557" s="8">
        <v>0</v>
      </c>
      <c r="BJ557" s="8">
        <f t="shared" si="47"/>
        <v>14618118</v>
      </c>
      <c r="BL557" s="8">
        <f>+GenRev!AM557-GenExp!BJ557</f>
        <v>-472539</v>
      </c>
      <c r="BN557" s="8">
        <v>2553332</v>
      </c>
      <c r="BP557" s="8">
        <v>0</v>
      </c>
      <c r="BQ557" s="8">
        <v>0</v>
      </c>
      <c r="BS557" s="8">
        <f t="shared" si="48"/>
        <v>2080793</v>
      </c>
      <c r="BU557" s="9">
        <f>+BS557-'Gen Fd BS'!AA557+BQ557</f>
        <v>0</v>
      </c>
    </row>
    <row r="558" spans="1:73" hidden="1">
      <c r="A558" s="13" t="s">
        <v>720</v>
      </c>
      <c r="B558" s="13"/>
      <c r="C558" s="13" t="s">
        <v>69</v>
      </c>
      <c r="D558" s="13"/>
      <c r="E558" s="32">
        <v>50468</v>
      </c>
      <c r="F558" s="11"/>
      <c r="K558" s="8">
        <v>0</v>
      </c>
      <c r="AG558" s="8">
        <v>0</v>
      </c>
      <c r="AI558" s="8">
        <v>0</v>
      </c>
      <c r="AJ558" s="13" t="s">
        <v>720</v>
      </c>
      <c r="AK558" s="13"/>
      <c r="AL558" s="13" t="s">
        <v>69</v>
      </c>
      <c r="AN558" s="8">
        <v>0</v>
      </c>
      <c r="AP558" s="8">
        <v>0</v>
      </c>
      <c r="AT558" s="8">
        <v>0</v>
      </c>
      <c r="AV558" s="8">
        <v>0</v>
      </c>
      <c r="AX558" s="8">
        <v>0</v>
      </c>
      <c r="AZ558" s="8">
        <f t="shared" si="46"/>
        <v>0</v>
      </c>
      <c r="BB558" s="8">
        <v>0</v>
      </c>
      <c r="BH558" s="8">
        <v>0</v>
      </c>
      <c r="BJ558" s="8">
        <f t="shared" si="47"/>
        <v>0</v>
      </c>
      <c r="BL558" s="8">
        <f>+GenRev!AM558-GenExp!BJ558</f>
        <v>0</v>
      </c>
      <c r="BP558" s="8">
        <v>0</v>
      </c>
      <c r="BQ558" s="8">
        <v>0</v>
      </c>
      <c r="BS558" s="8">
        <f t="shared" si="48"/>
        <v>0</v>
      </c>
      <c r="BU558" s="9">
        <f>+BS558-'Gen Fd BS'!AA558+BQ558</f>
        <v>0</v>
      </c>
    </row>
    <row r="559" spans="1:73" hidden="1">
      <c r="A559" s="13" t="s">
        <v>585</v>
      </c>
      <c r="B559" s="13"/>
      <c r="C559" s="13" t="s">
        <v>583</v>
      </c>
      <c r="D559" s="13"/>
      <c r="E559" s="32">
        <v>49031</v>
      </c>
      <c r="K559" s="8">
        <v>0</v>
      </c>
      <c r="AG559" s="8">
        <v>0</v>
      </c>
      <c r="AI559" s="8">
        <v>0</v>
      </c>
      <c r="AJ559" s="13" t="s">
        <v>585</v>
      </c>
      <c r="AK559" s="13"/>
      <c r="AL559" s="13" t="s">
        <v>583</v>
      </c>
      <c r="AN559" s="8">
        <v>0</v>
      </c>
      <c r="AP559" s="8">
        <v>0</v>
      </c>
      <c r="AT559" s="8">
        <v>0</v>
      </c>
      <c r="AV559" s="8">
        <v>0</v>
      </c>
      <c r="AX559" s="8">
        <v>0</v>
      </c>
      <c r="AZ559" s="8">
        <f t="shared" si="46"/>
        <v>0</v>
      </c>
      <c r="BB559" s="8">
        <v>0</v>
      </c>
      <c r="BH559" s="8">
        <v>0</v>
      </c>
      <c r="BJ559" s="8">
        <f t="shared" si="47"/>
        <v>0</v>
      </c>
      <c r="BL559" s="8">
        <f>+GenRev!AM559-GenExp!BJ559</f>
        <v>0</v>
      </c>
      <c r="BP559" s="8">
        <v>0</v>
      </c>
      <c r="BQ559" s="8">
        <v>0</v>
      </c>
      <c r="BS559" s="8">
        <f t="shared" si="48"/>
        <v>0</v>
      </c>
      <c r="BU559" s="9">
        <f>+BS559-'Gen Fd BS'!AA559+BQ559</f>
        <v>0</v>
      </c>
    </row>
    <row r="560" spans="1:73" hidden="1">
      <c r="A560" s="13" t="s">
        <v>233</v>
      </c>
      <c r="B560" s="13"/>
      <c r="C560" s="13" t="s">
        <v>14</v>
      </c>
      <c r="D560" s="13"/>
      <c r="E560" s="32">
        <v>45971</v>
      </c>
      <c r="G560" s="8">
        <v>0</v>
      </c>
      <c r="I560" s="8">
        <v>0</v>
      </c>
      <c r="K560" s="8">
        <v>0</v>
      </c>
      <c r="M560" s="8">
        <v>0</v>
      </c>
      <c r="O560" s="8">
        <v>0</v>
      </c>
      <c r="Q560" s="8">
        <v>0</v>
      </c>
      <c r="S560" s="8">
        <v>0</v>
      </c>
      <c r="U560" s="8">
        <v>0</v>
      </c>
      <c r="W560" s="8">
        <v>0</v>
      </c>
      <c r="Y560" s="8">
        <v>0</v>
      </c>
      <c r="AA560" s="8">
        <v>0</v>
      </c>
      <c r="AC560" s="8">
        <v>0</v>
      </c>
      <c r="AE560" s="8">
        <v>0</v>
      </c>
      <c r="AG560" s="8">
        <v>0</v>
      </c>
      <c r="AI560" s="8">
        <v>0</v>
      </c>
      <c r="AJ560" s="13" t="s">
        <v>233</v>
      </c>
      <c r="AK560" s="13"/>
      <c r="AL560" s="13" t="s">
        <v>14</v>
      </c>
      <c r="AN560" s="8">
        <v>0</v>
      </c>
      <c r="AP560" s="8">
        <v>0</v>
      </c>
      <c r="AT560" s="8">
        <v>0</v>
      </c>
      <c r="AV560" s="8">
        <v>0</v>
      </c>
      <c r="AX560" s="8">
        <v>0</v>
      </c>
      <c r="AZ560" s="8">
        <f t="shared" si="46"/>
        <v>0</v>
      </c>
      <c r="BB560" s="8">
        <v>0</v>
      </c>
      <c r="BH560" s="8">
        <v>0</v>
      </c>
      <c r="BJ560" s="8">
        <f t="shared" si="47"/>
        <v>0</v>
      </c>
      <c r="BL560" s="8">
        <f>+GenRev!AM560-GenExp!BJ560</f>
        <v>0</v>
      </c>
      <c r="BP560" s="8">
        <v>0</v>
      </c>
      <c r="BQ560" s="8">
        <v>0</v>
      </c>
      <c r="BS560" s="8">
        <f t="shared" si="48"/>
        <v>0</v>
      </c>
      <c r="BU560" s="9">
        <f>+BS560-'Gen Fd BS'!AA560+BQ560</f>
        <v>0</v>
      </c>
    </row>
    <row r="561" spans="1:73">
      <c r="A561" s="13" t="s">
        <v>698</v>
      </c>
      <c r="B561" s="13"/>
      <c r="C561" s="13" t="s">
        <v>64</v>
      </c>
      <c r="D561" s="13"/>
      <c r="E561" s="32">
        <v>50252</v>
      </c>
      <c r="G561" s="8">
        <v>4153023</v>
      </c>
      <c r="I561" s="8">
        <v>614743</v>
      </c>
      <c r="K561" s="8">
        <v>0</v>
      </c>
      <c r="M561" s="8">
        <v>390412</v>
      </c>
      <c r="O561" s="8">
        <v>380902</v>
      </c>
      <c r="Q561" s="8">
        <v>198175</v>
      </c>
      <c r="S561" s="8">
        <v>20256</v>
      </c>
      <c r="U561" s="8">
        <v>767277</v>
      </c>
      <c r="W561" s="8">
        <v>300171</v>
      </c>
      <c r="Y561" s="8">
        <v>10675</v>
      </c>
      <c r="AA561" s="8">
        <v>1327590</v>
      </c>
      <c r="AC561" s="8">
        <v>473324</v>
      </c>
      <c r="AE561" s="8">
        <v>0</v>
      </c>
      <c r="AG561" s="8">
        <v>0</v>
      </c>
      <c r="AI561" s="8">
        <v>359</v>
      </c>
      <c r="AJ561" s="13" t="s">
        <v>698</v>
      </c>
      <c r="AK561" s="13"/>
      <c r="AL561" s="13" t="s">
        <v>64</v>
      </c>
      <c r="AN561" s="8">
        <v>226787</v>
      </c>
      <c r="AP561" s="8">
        <v>0</v>
      </c>
      <c r="AT561" s="8">
        <v>61000</v>
      </c>
      <c r="AV561" s="8">
        <v>40793</v>
      </c>
      <c r="AX561" s="8">
        <v>0</v>
      </c>
      <c r="AZ561" s="8">
        <f t="shared" si="46"/>
        <v>8965487</v>
      </c>
      <c r="BB561" s="8">
        <v>65090</v>
      </c>
      <c r="BH561" s="8">
        <v>0</v>
      </c>
      <c r="BJ561" s="8">
        <f t="shared" si="47"/>
        <v>9030577</v>
      </c>
      <c r="BL561" s="8">
        <f>+GenRev!AM561-GenExp!BJ561</f>
        <v>-529646</v>
      </c>
      <c r="BN561" s="8">
        <v>1838174</v>
      </c>
      <c r="BP561" s="8">
        <v>0</v>
      </c>
      <c r="BQ561" s="8">
        <v>0</v>
      </c>
      <c r="BS561" s="8">
        <f t="shared" si="48"/>
        <v>1308528</v>
      </c>
      <c r="BU561" s="9">
        <f>+BS561-'Gen Fd BS'!AA561+BQ561</f>
        <v>0</v>
      </c>
    </row>
    <row r="562" spans="1:73">
      <c r="A562" s="13" t="s">
        <v>501</v>
      </c>
      <c r="B562" s="13"/>
      <c r="C562" s="13" t="s">
        <v>44</v>
      </c>
      <c r="D562" s="13"/>
      <c r="E562" s="32">
        <v>45658</v>
      </c>
      <c r="G562" s="8">
        <v>6191508</v>
      </c>
      <c r="I562" s="8">
        <v>1010422</v>
      </c>
      <c r="K562" s="8">
        <v>87295</v>
      </c>
      <c r="M562" s="8">
        <v>0</v>
      </c>
      <c r="O562" s="8">
        <v>440363</v>
      </c>
      <c r="Q562" s="8">
        <v>485547</v>
      </c>
      <c r="S562" s="8">
        <v>37176</v>
      </c>
      <c r="U562" s="8">
        <v>1075324</v>
      </c>
      <c r="W562" s="8">
        <v>416967</v>
      </c>
      <c r="Y562" s="8">
        <v>0</v>
      </c>
      <c r="AA562" s="8">
        <v>1100435</v>
      </c>
      <c r="AC562" s="8">
        <v>694247</v>
      </c>
      <c r="AE562" s="8">
        <v>132231</v>
      </c>
      <c r="AG562" s="8">
        <v>0</v>
      </c>
      <c r="AI562" s="8">
        <v>608</v>
      </c>
      <c r="AJ562" s="13" t="s">
        <v>501</v>
      </c>
      <c r="AK562" s="13"/>
      <c r="AL562" s="13" t="s">
        <v>44</v>
      </c>
      <c r="AN562" s="8">
        <v>238619</v>
      </c>
      <c r="AP562" s="8">
        <v>0</v>
      </c>
      <c r="AT562" s="8">
        <v>0</v>
      </c>
      <c r="AV562" s="8">
        <v>0</v>
      </c>
      <c r="AX562" s="8">
        <v>0</v>
      </c>
      <c r="AZ562" s="8">
        <f t="shared" si="46"/>
        <v>11910742</v>
      </c>
      <c r="BB562" s="8">
        <v>0</v>
      </c>
      <c r="BH562" s="8">
        <v>0</v>
      </c>
      <c r="BJ562" s="8">
        <f t="shared" si="47"/>
        <v>11910742</v>
      </c>
      <c r="BL562" s="8">
        <f>+GenRev!AM562-GenExp!BJ562</f>
        <v>793288</v>
      </c>
      <c r="BN562" s="8">
        <v>2952838</v>
      </c>
      <c r="BP562" s="8">
        <v>0</v>
      </c>
      <c r="BQ562" s="8">
        <v>0</v>
      </c>
      <c r="BS562" s="8">
        <f t="shared" si="48"/>
        <v>3746126</v>
      </c>
      <c r="BU562" s="9">
        <f>+BS562-'Gen Fd BS'!AA562+BQ562</f>
        <v>0</v>
      </c>
    </row>
    <row r="563" spans="1:73">
      <c r="A563" s="13" t="s">
        <v>454</v>
      </c>
      <c r="B563" s="13"/>
      <c r="C563" s="13" t="s">
        <v>38</v>
      </c>
      <c r="D563" s="13"/>
      <c r="E563" s="32">
        <v>45021</v>
      </c>
      <c r="G563" s="8">
        <v>5934423</v>
      </c>
      <c r="I563" s="8">
        <v>1803830</v>
      </c>
      <c r="K563" s="8">
        <v>148951</v>
      </c>
      <c r="M563" s="8">
        <v>0</v>
      </c>
      <c r="O563" s="8">
        <v>640281</v>
      </c>
      <c r="Q563" s="8">
        <v>682302</v>
      </c>
      <c r="S563" s="8">
        <v>100791</v>
      </c>
      <c r="U563" s="8">
        <v>1073237</v>
      </c>
      <c r="W563" s="8">
        <v>512827</v>
      </c>
      <c r="Y563" s="8">
        <v>0</v>
      </c>
      <c r="AA563" s="8">
        <v>935391</v>
      </c>
      <c r="AC563" s="8">
        <v>895972</v>
      </c>
      <c r="AE563" s="8">
        <v>88301</v>
      </c>
      <c r="AG563" s="8">
        <v>0</v>
      </c>
      <c r="AI563" s="8">
        <v>95</v>
      </c>
      <c r="AJ563" s="13" t="s">
        <v>454</v>
      </c>
      <c r="AK563" s="13"/>
      <c r="AL563" s="13" t="s">
        <v>38</v>
      </c>
      <c r="AN563" s="8">
        <v>188833</v>
      </c>
      <c r="AP563" s="8">
        <v>0</v>
      </c>
      <c r="AT563" s="8">
        <v>0</v>
      </c>
      <c r="AV563" s="8">
        <v>0</v>
      </c>
      <c r="AX563" s="8">
        <v>0</v>
      </c>
      <c r="AZ563" s="8">
        <f t="shared" si="46"/>
        <v>13005234</v>
      </c>
      <c r="BB563" s="8">
        <v>0</v>
      </c>
      <c r="BH563" s="8">
        <v>0</v>
      </c>
      <c r="BJ563" s="8">
        <f t="shared" si="47"/>
        <v>13005234</v>
      </c>
      <c r="BL563" s="8">
        <f>+GenRev!AM563-GenExp!BJ563</f>
        <v>17323</v>
      </c>
      <c r="BN563" s="8">
        <v>5221174</v>
      </c>
      <c r="BP563" s="8">
        <v>0</v>
      </c>
      <c r="BQ563" s="8">
        <v>0</v>
      </c>
      <c r="BS563" s="8">
        <f t="shared" si="48"/>
        <v>5238497</v>
      </c>
      <c r="BU563" s="9">
        <f>+BS563-'Gen Fd BS'!AA563+BQ563</f>
        <v>0</v>
      </c>
    </row>
    <row r="564" spans="1:73">
      <c r="A564" s="13" t="s">
        <v>290</v>
      </c>
      <c r="B564" s="13"/>
      <c r="C564" s="13" t="s">
        <v>115</v>
      </c>
      <c r="D564" s="13"/>
      <c r="E564" s="32">
        <v>45039</v>
      </c>
      <c r="G564" s="8">
        <v>3098911</v>
      </c>
      <c r="I564" s="8">
        <v>649717</v>
      </c>
      <c r="K564" s="8">
        <v>146322</v>
      </c>
      <c r="M564" s="8">
        <v>0</v>
      </c>
      <c r="O564" s="8">
        <v>324662</v>
      </c>
      <c r="Q564" s="8">
        <v>167841</v>
      </c>
      <c r="S564" s="8">
        <v>7815</v>
      </c>
      <c r="U564" s="8">
        <v>601315</v>
      </c>
      <c r="W564" s="8">
        <v>228810</v>
      </c>
      <c r="Y564" s="8">
        <v>0</v>
      </c>
      <c r="AA564" s="8">
        <v>757920</v>
      </c>
      <c r="AC564" s="8">
        <v>134331</v>
      </c>
      <c r="AE564" s="8">
        <v>0</v>
      </c>
      <c r="AG564" s="8">
        <v>0</v>
      </c>
      <c r="AI564" s="8">
        <v>0</v>
      </c>
      <c r="AJ564" s="13" t="s">
        <v>290</v>
      </c>
      <c r="AK564" s="13"/>
      <c r="AL564" s="13" t="s">
        <v>115</v>
      </c>
      <c r="AN564" s="8">
        <v>140066</v>
      </c>
      <c r="AP564" s="8">
        <v>0</v>
      </c>
      <c r="AT564" s="8">
        <v>15619</v>
      </c>
      <c r="AV564" s="8">
        <v>0</v>
      </c>
      <c r="AX564" s="8">
        <v>0</v>
      </c>
      <c r="AZ564" s="8">
        <f t="shared" si="46"/>
        <v>6273329</v>
      </c>
      <c r="BB564" s="8">
        <v>0</v>
      </c>
      <c r="BH564" s="8">
        <v>0</v>
      </c>
      <c r="BJ564" s="8">
        <f t="shared" si="47"/>
        <v>6273329</v>
      </c>
      <c r="BL564" s="8">
        <f>+GenRev!AM564-GenExp!BJ564</f>
        <v>969062</v>
      </c>
      <c r="BN564" s="8">
        <v>-382421</v>
      </c>
      <c r="BP564" s="8">
        <v>0</v>
      </c>
      <c r="BQ564" s="8">
        <v>0</v>
      </c>
      <c r="BS564" s="8">
        <f t="shared" si="48"/>
        <v>586641</v>
      </c>
      <c r="BU564" s="9">
        <f>+BS564-'Gen Fd BS'!AA564+BQ564</f>
        <v>0</v>
      </c>
    </row>
    <row r="565" spans="1:73">
      <c r="A565" s="13" t="s">
        <v>524</v>
      </c>
      <c r="B565" s="13"/>
      <c r="C565" s="13" t="s">
        <v>45</v>
      </c>
      <c r="D565" s="13"/>
      <c r="E565" s="32">
        <v>48389</v>
      </c>
      <c r="G565" s="8">
        <v>8585394</v>
      </c>
      <c r="I565" s="8">
        <v>1445120</v>
      </c>
      <c r="K565" s="8">
        <v>384384</v>
      </c>
      <c r="M565" s="8">
        <v>93606</v>
      </c>
      <c r="O565" s="8">
        <v>894399</v>
      </c>
      <c r="Q565" s="8">
        <v>804517</v>
      </c>
      <c r="S565" s="8">
        <v>32908</v>
      </c>
      <c r="U565" s="8">
        <v>1447689</v>
      </c>
      <c r="W565" s="8">
        <v>426571</v>
      </c>
      <c r="Y565" s="8">
        <v>0</v>
      </c>
      <c r="AA565" s="8">
        <v>1837835</v>
      </c>
      <c r="AC565" s="8">
        <v>1672828</v>
      </c>
      <c r="AE565" s="8">
        <v>239523</v>
      </c>
      <c r="AG565" s="8">
        <v>0</v>
      </c>
      <c r="AI565" s="8">
        <v>43793</v>
      </c>
      <c r="AJ565" s="13" t="s">
        <v>524</v>
      </c>
      <c r="AK565" s="13"/>
      <c r="AL565" s="13" t="s">
        <v>45</v>
      </c>
      <c r="AN565" s="8">
        <v>359695</v>
      </c>
      <c r="AP565" s="8">
        <v>0</v>
      </c>
      <c r="AT565" s="8">
        <v>0</v>
      </c>
      <c r="AV565" s="8">
        <v>0</v>
      </c>
      <c r="AX565" s="8">
        <v>0</v>
      </c>
      <c r="AZ565" s="8">
        <f t="shared" si="46"/>
        <v>18268262</v>
      </c>
      <c r="BB565" s="8">
        <v>42100</v>
      </c>
      <c r="BH565" s="8">
        <v>0</v>
      </c>
      <c r="BJ565" s="8">
        <f t="shared" si="47"/>
        <v>18310362</v>
      </c>
      <c r="BL565" s="8">
        <f>+GenRev!AM565-GenExp!BJ565</f>
        <v>-130063</v>
      </c>
      <c r="BN565" s="8">
        <v>1293645</v>
      </c>
      <c r="BP565" s="8">
        <v>0</v>
      </c>
      <c r="BQ565" s="8">
        <v>0</v>
      </c>
      <c r="BS565" s="8">
        <f t="shared" si="48"/>
        <v>1163582</v>
      </c>
      <c r="BU565" s="9">
        <f>+BS565-'Gen Fd BS'!AA565+BQ565</f>
        <v>0</v>
      </c>
    </row>
    <row r="566" spans="1:73">
      <c r="A566" s="13" t="s">
        <v>276</v>
      </c>
      <c r="B566" s="13"/>
      <c r="C566" s="13" t="s">
        <v>116</v>
      </c>
      <c r="D566" s="13"/>
      <c r="E566" s="32">
        <v>46359</v>
      </c>
      <c r="G566" s="8">
        <v>34318912</v>
      </c>
      <c r="I566" s="8">
        <v>8821877</v>
      </c>
      <c r="K566" s="8">
        <v>131877</v>
      </c>
      <c r="M566" s="8">
        <v>0</v>
      </c>
      <c r="O566" s="8">
        <v>4276840</v>
      </c>
      <c r="Q566" s="8">
        <v>1511874</v>
      </c>
      <c r="S566" s="8">
        <v>0</v>
      </c>
      <c r="U566" s="8">
        <f>62285+5244152</f>
        <v>5306437</v>
      </c>
      <c r="W566" s="8">
        <v>1557994</v>
      </c>
      <c r="Y566" s="8">
        <v>48703</v>
      </c>
      <c r="AA566" s="8">
        <v>4911437</v>
      </c>
      <c r="AC566" s="8">
        <v>7126495</v>
      </c>
      <c r="AE566" s="8">
        <v>580165</v>
      </c>
      <c r="AG566" s="8">
        <v>0</v>
      </c>
      <c r="AI566" s="8">
        <v>0</v>
      </c>
      <c r="AJ566" s="13" t="s">
        <v>276</v>
      </c>
      <c r="AK566" s="13"/>
      <c r="AL566" s="13" t="s">
        <v>116</v>
      </c>
      <c r="AN566" s="8">
        <v>931183</v>
      </c>
      <c r="AP566" s="8">
        <v>0</v>
      </c>
      <c r="AT566" s="8">
        <v>0</v>
      </c>
      <c r="AV566" s="8">
        <v>0</v>
      </c>
      <c r="AX566" s="8">
        <v>0</v>
      </c>
      <c r="AZ566" s="8">
        <f t="shared" ref="AZ566:AZ597" si="49">SUM(G566:AX566)</f>
        <v>69523794</v>
      </c>
      <c r="BB566" s="8">
        <v>0</v>
      </c>
      <c r="BH566" s="8">
        <v>0</v>
      </c>
      <c r="BJ566" s="8">
        <f t="shared" si="47"/>
        <v>69523794</v>
      </c>
      <c r="BL566" s="8">
        <f>+GenRev!AM566-GenExp!BJ566</f>
        <v>-494145</v>
      </c>
      <c r="BN566" s="8">
        <v>929217</v>
      </c>
      <c r="BP566" s="8">
        <v>0</v>
      </c>
      <c r="BQ566" s="8">
        <v>0</v>
      </c>
      <c r="BS566" s="8">
        <f t="shared" si="48"/>
        <v>435072</v>
      </c>
      <c r="BU566" s="9">
        <f>+BS566-'Gen Fd BS'!AA566+BQ566</f>
        <v>0</v>
      </c>
    </row>
    <row r="567" spans="1:73">
      <c r="A567" s="13" t="s">
        <v>387</v>
      </c>
      <c r="B567" s="13"/>
      <c r="C567" s="13" t="s">
        <v>30</v>
      </c>
      <c r="D567" s="13"/>
      <c r="E567" s="32">
        <v>47225</v>
      </c>
      <c r="G567" s="8">
        <v>9858201</v>
      </c>
      <c r="I567" s="8">
        <v>2419459</v>
      </c>
      <c r="K567" s="8">
        <v>201165</v>
      </c>
      <c r="M567" s="8">
        <v>411484</v>
      </c>
      <c r="O567" s="8">
        <v>1636942</v>
      </c>
      <c r="Q567" s="8">
        <v>764143</v>
      </c>
      <c r="S567" s="8">
        <v>49921</v>
      </c>
      <c r="U567" s="8">
        <v>1691798</v>
      </c>
      <c r="W567" s="8">
        <v>589879</v>
      </c>
      <c r="Y567" s="8">
        <v>197643</v>
      </c>
      <c r="AA567" s="8">
        <v>2205531</v>
      </c>
      <c r="AC567" s="8">
        <v>1754442</v>
      </c>
      <c r="AE567" s="8">
        <v>64574</v>
      </c>
      <c r="AG567" s="8">
        <v>0</v>
      </c>
      <c r="AI567" s="8">
        <v>1681</v>
      </c>
      <c r="AJ567" s="13" t="s">
        <v>387</v>
      </c>
      <c r="AK567" s="13"/>
      <c r="AL567" s="13" t="s">
        <v>30</v>
      </c>
      <c r="AN567" s="8">
        <v>491723</v>
      </c>
      <c r="AP567" s="8">
        <v>500401</v>
      </c>
      <c r="AT567" s="8">
        <v>0</v>
      </c>
      <c r="AV567" s="8">
        <v>0</v>
      </c>
      <c r="AX567" s="8">
        <v>0</v>
      </c>
      <c r="AZ567" s="8">
        <f t="shared" si="49"/>
        <v>22838987</v>
      </c>
      <c r="BB567" s="8">
        <v>436774</v>
      </c>
      <c r="BH567" s="8">
        <v>0</v>
      </c>
      <c r="BJ567" s="8">
        <f t="shared" si="47"/>
        <v>23275761</v>
      </c>
      <c r="BL567" s="8">
        <f>+GenRev!AM567-GenExp!BJ567</f>
        <v>-116912</v>
      </c>
      <c r="BN567" s="8">
        <v>4900194</v>
      </c>
      <c r="BP567" s="8">
        <v>0</v>
      </c>
      <c r="BQ567" s="8">
        <v>0</v>
      </c>
      <c r="BS567" s="8">
        <f t="shared" si="48"/>
        <v>4783282</v>
      </c>
      <c r="BU567" s="9">
        <f>+BS567-'Gen Fd BS'!AA567+BQ567</f>
        <v>0</v>
      </c>
    </row>
    <row r="568" spans="1:73">
      <c r="A568" s="13" t="s">
        <v>447</v>
      </c>
      <c r="B568" s="13"/>
      <c r="C568" s="13" t="s">
        <v>36</v>
      </c>
      <c r="D568" s="13"/>
      <c r="E568" s="32">
        <v>47696</v>
      </c>
      <c r="F568" s="11"/>
      <c r="G568" s="8">
        <v>10347165</v>
      </c>
      <c r="I568" s="8">
        <v>1783665</v>
      </c>
      <c r="K568" s="8">
        <v>270895</v>
      </c>
      <c r="M568" s="8">
        <v>0</v>
      </c>
      <c r="O568" s="8">
        <v>695597</v>
      </c>
      <c r="Q568" s="8">
        <v>441573</v>
      </c>
      <c r="S568" s="8">
        <v>78180</v>
      </c>
      <c r="U568" s="8">
        <v>1772846</v>
      </c>
      <c r="W568" s="8">
        <v>490651</v>
      </c>
      <c r="Y568" s="8">
        <v>1440</v>
      </c>
      <c r="AA568" s="8">
        <v>1988401</v>
      </c>
      <c r="AC568" s="8">
        <v>1578029</v>
      </c>
      <c r="AE568" s="8">
        <v>63138</v>
      </c>
      <c r="AG568" s="8">
        <v>0</v>
      </c>
      <c r="AI568" s="8">
        <v>47905</v>
      </c>
      <c r="AJ568" s="13" t="s">
        <v>447</v>
      </c>
      <c r="AK568" s="13"/>
      <c r="AL568" s="13" t="s">
        <v>36</v>
      </c>
      <c r="AN568" s="8">
        <v>218970</v>
      </c>
      <c r="AP568" s="8">
        <v>0</v>
      </c>
      <c r="AT568" s="8">
        <v>43826</v>
      </c>
      <c r="AV568" s="8">
        <v>6497</v>
      </c>
      <c r="AX568" s="8">
        <v>0</v>
      </c>
      <c r="AZ568" s="8">
        <f t="shared" si="49"/>
        <v>19828778</v>
      </c>
      <c r="BB568" s="8">
        <v>25000</v>
      </c>
      <c r="BH568" s="8">
        <v>0</v>
      </c>
      <c r="BJ568" s="8">
        <f t="shared" si="47"/>
        <v>19853778</v>
      </c>
      <c r="BL568" s="8">
        <f>+GenRev!AM568-GenExp!BJ568</f>
        <v>-254632</v>
      </c>
      <c r="BN568" s="8">
        <v>6684108</v>
      </c>
      <c r="BP568" s="8">
        <v>0</v>
      </c>
      <c r="BQ568" s="8">
        <v>0</v>
      </c>
      <c r="BS568" s="8">
        <f t="shared" si="48"/>
        <v>6429476</v>
      </c>
      <c r="BU568" s="9">
        <f>+BS568-'Gen Fd BS'!AA568+BQ568</f>
        <v>0</v>
      </c>
    </row>
    <row r="569" spans="1:73">
      <c r="A569" s="13" t="s">
        <v>263</v>
      </c>
      <c r="B569" s="13"/>
      <c r="C569" s="13" t="s">
        <v>259</v>
      </c>
      <c r="D569" s="13"/>
      <c r="E569" s="32">
        <v>46219</v>
      </c>
      <c r="G569" s="8">
        <v>4544674</v>
      </c>
      <c r="I569" s="8">
        <v>1586478</v>
      </c>
      <c r="K569" s="8">
        <v>181501</v>
      </c>
      <c r="M569" s="8">
        <v>359686</v>
      </c>
      <c r="O569" s="8">
        <v>267417</v>
      </c>
      <c r="Q569" s="8">
        <v>715589</v>
      </c>
      <c r="S569" s="8">
        <v>38661</v>
      </c>
      <c r="U569" s="8">
        <v>652393</v>
      </c>
      <c r="W569" s="8">
        <v>336103</v>
      </c>
      <c r="Y569" s="8">
        <v>0</v>
      </c>
      <c r="AA569" s="8">
        <v>902160</v>
      </c>
      <c r="AC569" s="8">
        <v>713349</v>
      </c>
      <c r="AE569" s="8">
        <v>268397</v>
      </c>
      <c r="AG569" s="8">
        <v>0</v>
      </c>
      <c r="AI569" s="8">
        <v>0</v>
      </c>
      <c r="AJ569" s="13" t="s">
        <v>263</v>
      </c>
      <c r="AK569" s="13"/>
      <c r="AL569" s="13" t="s">
        <v>259</v>
      </c>
      <c r="AN569" s="8">
        <v>270641</v>
      </c>
      <c r="AP569" s="8">
        <v>92676</v>
      </c>
      <c r="AT569" s="8">
        <v>57442</v>
      </c>
      <c r="AV569" s="8">
        <v>14907</v>
      </c>
      <c r="AX569" s="8">
        <v>0</v>
      </c>
      <c r="AZ569" s="8">
        <f t="shared" si="49"/>
        <v>11002074</v>
      </c>
      <c r="BB569" s="8">
        <v>16000</v>
      </c>
      <c r="BH569" s="8">
        <v>0</v>
      </c>
      <c r="BJ569" s="8">
        <f t="shared" si="47"/>
        <v>11018074</v>
      </c>
      <c r="BL569" s="8">
        <f>+GenRev!AM569-GenExp!BJ569</f>
        <v>198473</v>
      </c>
      <c r="BN569" s="8">
        <v>1989882</v>
      </c>
      <c r="BP569" s="8">
        <v>0</v>
      </c>
      <c r="BQ569" s="8">
        <v>0</v>
      </c>
      <c r="BS569" s="8">
        <f t="shared" si="48"/>
        <v>2188355</v>
      </c>
      <c r="BU569" s="9">
        <f>+BS569-'Gen Fd BS'!AA569+BQ569</f>
        <v>0</v>
      </c>
    </row>
    <row r="570" spans="1:73">
      <c r="A570" s="13" t="s">
        <v>575</v>
      </c>
      <c r="B570" s="13"/>
      <c r="C570" s="13" t="s">
        <v>51</v>
      </c>
      <c r="D570" s="13"/>
      <c r="E570" s="32">
        <v>48884</v>
      </c>
      <c r="F570" s="11"/>
      <c r="G570" s="8">
        <v>6917886</v>
      </c>
      <c r="I570" s="8">
        <v>1412732</v>
      </c>
      <c r="K570" s="8">
        <v>262056</v>
      </c>
      <c r="M570" s="8">
        <v>0</v>
      </c>
      <c r="O570" s="8">
        <v>273111</v>
      </c>
      <c r="Q570" s="8">
        <v>675688</v>
      </c>
      <c r="S570" s="8">
        <v>18004</v>
      </c>
      <c r="U570" s="8">
        <v>1399928</v>
      </c>
      <c r="W570" s="8">
        <v>373766</v>
      </c>
      <c r="Y570" s="8">
        <v>0</v>
      </c>
      <c r="AA570" s="8">
        <v>1656695</v>
      </c>
      <c r="AC570" s="8">
        <v>1006985</v>
      </c>
      <c r="AE570" s="8">
        <v>68018</v>
      </c>
      <c r="AG570" s="8">
        <v>0</v>
      </c>
      <c r="AI570" s="8">
        <v>687</v>
      </c>
      <c r="AJ570" s="13" t="s">
        <v>575</v>
      </c>
      <c r="AK570" s="13"/>
      <c r="AL570" s="13" t="s">
        <v>51</v>
      </c>
      <c r="AN570" s="8">
        <v>164650</v>
      </c>
      <c r="AP570" s="8">
        <v>5202</v>
      </c>
      <c r="AT570" s="8">
        <v>73196</v>
      </c>
      <c r="AV570" s="8">
        <v>84628</v>
      </c>
      <c r="AX570" s="8">
        <v>0</v>
      </c>
      <c r="AZ570" s="8">
        <f t="shared" si="49"/>
        <v>14393232</v>
      </c>
      <c r="BB570" s="8">
        <v>72568</v>
      </c>
      <c r="BH570" s="8">
        <v>0</v>
      </c>
      <c r="BJ570" s="8">
        <f t="shared" si="47"/>
        <v>14465800</v>
      </c>
      <c r="BL570" s="8">
        <f>+GenRev!AM570-GenExp!BJ570</f>
        <v>-2496752</v>
      </c>
      <c r="BN570" s="8">
        <v>2438428</v>
      </c>
      <c r="BP570" s="8">
        <v>0</v>
      </c>
      <c r="BQ570" s="8">
        <v>0</v>
      </c>
      <c r="BS570" s="8">
        <f t="shared" si="48"/>
        <v>-58324</v>
      </c>
      <c r="BU570" s="9">
        <f>+BS570-'Gen Fd BS'!AA570+BQ570</f>
        <v>0</v>
      </c>
    </row>
    <row r="571" spans="1:73">
      <c r="A571" s="13" t="s">
        <v>244</v>
      </c>
      <c r="B571" s="13"/>
      <c r="C571" s="13" t="s">
        <v>77</v>
      </c>
      <c r="D571" s="13"/>
      <c r="E571" s="32">
        <v>46060</v>
      </c>
      <c r="G571" s="8">
        <v>12418278</v>
      </c>
      <c r="I571" s="8">
        <v>2387686</v>
      </c>
      <c r="K571" s="8">
        <v>268917</v>
      </c>
      <c r="M571" s="8">
        <v>176709</v>
      </c>
      <c r="O571" s="8">
        <v>668829</v>
      </c>
      <c r="Q571" s="8">
        <v>802931</v>
      </c>
      <c r="S571" s="8">
        <v>17970</v>
      </c>
      <c r="U571" s="8">
        <v>1670433</v>
      </c>
      <c r="W571" s="8">
        <v>527042</v>
      </c>
      <c r="Y571" s="8">
        <v>0</v>
      </c>
      <c r="AA571" s="8">
        <v>2841690</v>
      </c>
      <c r="AC571" s="8">
        <v>2097419</v>
      </c>
      <c r="AE571" s="8">
        <v>268721</v>
      </c>
      <c r="AG571" s="8">
        <v>0</v>
      </c>
      <c r="AI571" s="8">
        <v>369</v>
      </c>
      <c r="AJ571" s="13" t="s">
        <v>244</v>
      </c>
      <c r="AK571" s="13"/>
      <c r="AL571" s="13" t="s">
        <v>77</v>
      </c>
      <c r="AN571" s="8">
        <v>431033</v>
      </c>
      <c r="AP571" s="8">
        <v>8950</v>
      </c>
      <c r="AT571" s="8">
        <v>32000</v>
      </c>
      <c r="AV571" s="8">
        <v>19235</v>
      </c>
      <c r="AX571" s="8">
        <v>0</v>
      </c>
      <c r="AZ571" s="8">
        <f t="shared" si="49"/>
        <v>24638212</v>
      </c>
      <c r="BB571" s="8">
        <v>78</v>
      </c>
      <c r="BH571" s="8">
        <v>0</v>
      </c>
      <c r="BJ571" s="8">
        <f t="shared" si="47"/>
        <v>24638290</v>
      </c>
      <c r="BL571" s="8">
        <f>+GenRev!AM571-GenExp!BJ571</f>
        <v>182522</v>
      </c>
      <c r="BN571" s="8">
        <v>785118</v>
      </c>
      <c r="BP571" s="8">
        <v>0</v>
      </c>
      <c r="BQ571" s="8">
        <v>0</v>
      </c>
      <c r="BS571" s="8">
        <f t="shared" si="48"/>
        <v>967640</v>
      </c>
      <c r="BU571" s="9">
        <f>+BS571-'Gen Fd BS'!AA571+BQ571</f>
        <v>0</v>
      </c>
    </row>
    <row r="572" spans="1:73">
      <c r="A572" s="13" t="s">
        <v>594</v>
      </c>
      <c r="B572" s="13"/>
      <c r="C572" s="13" t="s">
        <v>55</v>
      </c>
      <c r="D572" s="13"/>
      <c r="E572" s="32">
        <v>49155</v>
      </c>
      <c r="G572" s="8">
        <v>2486114</v>
      </c>
      <c r="I572" s="8">
        <v>724662</v>
      </c>
      <c r="K572" s="8">
        <v>0</v>
      </c>
      <c r="M572" s="8">
        <v>498259</v>
      </c>
      <c r="O572" s="8">
        <v>298455</v>
      </c>
      <c r="Q572" s="8">
        <v>248150</v>
      </c>
      <c r="S572" s="8">
        <v>17246</v>
      </c>
      <c r="U572" s="8">
        <v>696082</v>
      </c>
      <c r="W572" s="8">
        <v>263761</v>
      </c>
      <c r="Y572" s="8">
        <v>0</v>
      </c>
      <c r="AA572" s="8">
        <v>1000775</v>
      </c>
      <c r="AC572" s="8">
        <v>762557</v>
      </c>
      <c r="AE572" s="8">
        <v>2166</v>
      </c>
      <c r="AG572" s="8">
        <v>0</v>
      </c>
      <c r="AI572" s="8">
        <v>342</v>
      </c>
      <c r="AJ572" s="13" t="s">
        <v>594</v>
      </c>
      <c r="AK572" s="13"/>
      <c r="AL572" s="13" t="s">
        <v>55</v>
      </c>
      <c r="AN572" s="8">
        <v>144250</v>
      </c>
      <c r="AP572" s="8">
        <v>30092</v>
      </c>
      <c r="AT572" s="8">
        <v>0</v>
      </c>
      <c r="AV572" s="8">
        <v>0</v>
      </c>
      <c r="AX572" s="8">
        <v>0</v>
      </c>
      <c r="AZ572" s="8">
        <f t="shared" si="49"/>
        <v>7172911</v>
      </c>
      <c r="BB572" s="8">
        <v>88000</v>
      </c>
      <c r="BH572" s="8">
        <v>0</v>
      </c>
      <c r="BJ572" s="8">
        <f t="shared" si="47"/>
        <v>7260911</v>
      </c>
      <c r="BL572" s="8">
        <f>+GenRev!AM572-GenExp!BJ572</f>
        <v>-474284</v>
      </c>
      <c r="BN572" s="8">
        <v>5317764</v>
      </c>
      <c r="BP572" s="8">
        <v>0</v>
      </c>
      <c r="BQ572" s="8">
        <v>0</v>
      </c>
      <c r="BS572" s="8">
        <f t="shared" si="48"/>
        <v>4843480</v>
      </c>
      <c r="BU572" s="9">
        <f>+BS572-'Gen Fd BS'!AA572+BQ572</f>
        <v>0</v>
      </c>
    </row>
    <row r="573" spans="1:73">
      <c r="A573" s="13" t="s">
        <v>452</v>
      </c>
      <c r="B573" s="13"/>
      <c r="C573" s="13" t="s">
        <v>37</v>
      </c>
      <c r="D573" s="13"/>
      <c r="E573" s="32">
        <v>47746</v>
      </c>
      <c r="G573" s="8">
        <v>4890880</v>
      </c>
      <c r="I573" s="8">
        <v>1221955</v>
      </c>
      <c r="K573" s="8">
        <v>148072</v>
      </c>
      <c r="M573" s="8">
        <v>170788</v>
      </c>
      <c r="O573" s="8">
        <v>193839</v>
      </c>
      <c r="Q573" s="8">
        <v>611261</v>
      </c>
      <c r="S573" s="8">
        <v>111661</v>
      </c>
      <c r="U573" s="8">
        <v>731610</v>
      </c>
      <c r="W573" s="8">
        <v>466943</v>
      </c>
      <c r="Y573" s="8">
        <v>837</v>
      </c>
      <c r="AA573" s="8">
        <v>938791</v>
      </c>
      <c r="AC573" s="8">
        <v>669755</v>
      </c>
      <c r="AE573" s="8">
        <v>23252</v>
      </c>
      <c r="AG573" s="8">
        <v>0</v>
      </c>
      <c r="AI573" s="8">
        <v>138476</v>
      </c>
      <c r="AJ573" s="13" t="s">
        <v>452</v>
      </c>
      <c r="AK573" s="13"/>
      <c r="AL573" s="13" t="s">
        <v>37</v>
      </c>
      <c r="AN573" s="8">
        <v>226550</v>
      </c>
      <c r="AP573" s="8">
        <v>8815</v>
      </c>
      <c r="AT573" s="8">
        <v>23566</v>
      </c>
      <c r="AV573" s="8">
        <v>8426</v>
      </c>
      <c r="AX573" s="8">
        <v>0</v>
      </c>
      <c r="AZ573" s="8">
        <f t="shared" si="49"/>
        <v>10585477</v>
      </c>
      <c r="BB573" s="8">
        <v>0</v>
      </c>
      <c r="BH573" s="8">
        <v>0</v>
      </c>
      <c r="BJ573" s="8">
        <f t="shared" si="47"/>
        <v>10585477</v>
      </c>
      <c r="BL573" s="8">
        <f>+GenRev!AM573-GenExp!BJ573</f>
        <v>575965</v>
      </c>
      <c r="BN573" s="8">
        <v>-117178</v>
      </c>
      <c r="BP573" s="8">
        <v>0</v>
      </c>
      <c r="BQ573" s="8">
        <v>0</v>
      </c>
      <c r="BS573" s="8">
        <f t="shared" si="48"/>
        <v>458787</v>
      </c>
      <c r="BU573" s="9">
        <f>+BS573-'Gen Fd BS'!AA573+BQ573</f>
        <v>0</v>
      </c>
    </row>
    <row r="574" spans="1:73">
      <c r="A574" s="13" t="s">
        <v>452</v>
      </c>
      <c r="B574" s="13"/>
      <c r="C574" s="13" t="s">
        <v>45</v>
      </c>
      <c r="D574" s="13"/>
      <c r="E574" s="32">
        <v>48397</v>
      </c>
      <c r="G574" s="8">
        <v>2933403</v>
      </c>
      <c r="I574" s="8">
        <v>499866</v>
      </c>
      <c r="K574" s="8">
        <v>111854</v>
      </c>
      <c r="M574" s="8">
        <v>0</v>
      </c>
      <c r="O574" s="8">
        <v>305227</v>
      </c>
      <c r="Q574" s="8">
        <v>282239</v>
      </c>
      <c r="S574" s="8">
        <v>27127</v>
      </c>
      <c r="U574" s="8">
        <v>588094</v>
      </c>
      <c r="W574" s="8">
        <v>259575</v>
      </c>
      <c r="Y574" s="8">
        <v>0</v>
      </c>
      <c r="AA574" s="8">
        <v>506816</v>
      </c>
      <c r="AC574" s="8">
        <v>357256</v>
      </c>
      <c r="AE574" s="8">
        <v>19780</v>
      </c>
      <c r="AG574" s="8">
        <v>0</v>
      </c>
      <c r="AI574" s="8">
        <v>0</v>
      </c>
      <c r="AJ574" s="13" t="s">
        <v>452</v>
      </c>
      <c r="AK574" s="13"/>
      <c r="AL574" s="13" t="s">
        <v>45</v>
      </c>
      <c r="AN574" s="8">
        <v>233946</v>
      </c>
      <c r="AP574" s="8">
        <v>262073</v>
      </c>
      <c r="AT574" s="8">
        <v>0</v>
      </c>
      <c r="AV574" s="8">
        <v>0</v>
      </c>
      <c r="AX574" s="8">
        <v>0</v>
      </c>
      <c r="AZ574" s="8">
        <f t="shared" si="49"/>
        <v>6387256</v>
      </c>
      <c r="BB574" s="8">
        <v>21433</v>
      </c>
      <c r="BH574" s="8">
        <v>0</v>
      </c>
      <c r="BJ574" s="8">
        <f t="shared" si="47"/>
        <v>6408689</v>
      </c>
      <c r="BL574" s="8">
        <f>+GenRev!AM574-GenExp!BJ574</f>
        <v>-114314</v>
      </c>
      <c r="BN574" s="8">
        <v>1274838</v>
      </c>
      <c r="BP574" s="8">
        <v>0</v>
      </c>
      <c r="BQ574" s="8">
        <v>0</v>
      </c>
      <c r="BS574" s="8">
        <f t="shared" si="48"/>
        <v>1160524</v>
      </c>
      <c r="BU574" s="9">
        <f>+BS574-'Gen Fd BS'!AA574+BQ574</f>
        <v>0</v>
      </c>
    </row>
    <row r="575" spans="1:73">
      <c r="A575" s="13" t="s">
        <v>369</v>
      </c>
      <c r="B575" s="13"/>
      <c r="C575" s="13" t="s">
        <v>27</v>
      </c>
      <c r="D575" s="13"/>
      <c r="E575" s="32">
        <v>45047</v>
      </c>
      <c r="G575" s="8">
        <v>58468322</v>
      </c>
      <c r="I575" s="8">
        <v>16655453</v>
      </c>
      <c r="K575" s="8">
        <v>566755</v>
      </c>
      <c r="M575" s="8">
        <v>2899793</v>
      </c>
      <c r="O575" s="8">
        <v>9234575</v>
      </c>
      <c r="Q575" s="8">
        <v>4154214</v>
      </c>
      <c r="S575" s="8">
        <v>9296606</v>
      </c>
      <c r="U575" s="8">
        <v>1536818</v>
      </c>
      <c r="W575" s="8">
        <v>2241603</v>
      </c>
      <c r="Y575" s="8">
        <v>969204</v>
      </c>
      <c r="AA575" s="8">
        <v>13737638</v>
      </c>
      <c r="AC575" s="8">
        <v>6959247</v>
      </c>
      <c r="AE575" s="8">
        <v>2175697</v>
      </c>
      <c r="AG575" s="8">
        <v>23650</v>
      </c>
      <c r="AI575" s="8">
        <v>0</v>
      </c>
      <c r="AJ575" s="13" t="s">
        <v>369</v>
      </c>
      <c r="AK575" s="13"/>
      <c r="AL575" s="13" t="s">
        <v>27</v>
      </c>
      <c r="AN575" s="8">
        <v>1800404</v>
      </c>
      <c r="AP575" s="8">
        <v>0</v>
      </c>
      <c r="AT575" s="8">
        <v>0</v>
      </c>
      <c r="AV575" s="8">
        <v>0</v>
      </c>
      <c r="AX575" s="8">
        <v>15989</v>
      </c>
      <c r="AZ575" s="8">
        <f t="shared" si="49"/>
        <v>130735968</v>
      </c>
      <c r="BB575" s="8">
        <v>0</v>
      </c>
      <c r="BH575" s="8">
        <v>0</v>
      </c>
      <c r="BJ575" s="8">
        <f t="shared" si="47"/>
        <v>130735968</v>
      </c>
      <c r="BL575" s="8">
        <f>+GenRev!AM575-GenExp!BJ575</f>
        <v>-2824691</v>
      </c>
      <c r="BN575" s="8">
        <v>17979303</v>
      </c>
      <c r="BP575" s="8">
        <v>0</v>
      </c>
      <c r="BQ575" s="8">
        <v>0</v>
      </c>
      <c r="BS575" s="8">
        <f t="shared" si="48"/>
        <v>15154612</v>
      </c>
      <c r="BU575" s="9">
        <f>+BS575-'Gen Fd BS'!AA575+BQ575</f>
        <v>0</v>
      </c>
    </row>
    <row r="576" spans="1:73">
      <c r="A576" s="13" t="s">
        <v>591</v>
      </c>
      <c r="B576" s="13"/>
      <c r="C576" s="13" t="s">
        <v>54</v>
      </c>
      <c r="D576" s="13"/>
      <c r="E576" s="32">
        <v>49106</v>
      </c>
      <c r="G576" s="8">
        <v>6597647</v>
      </c>
      <c r="I576" s="8">
        <v>896099</v>
      </c>
      <c r="K576" s="8">
        <v>32249</v>
      </c>
      <c r="M576" s="8">
        <v>499</v>
      </c>
      <c r="O576" s="8">
        <v>340345</v>
      </c>
      <c r="Q576" s="8">
        <v>983683</v>
      </c>
      <c r="S576" s="8">
        <v>221746</v>
      </c>
      <c r="U576" s="8">
        <v>1330124</v>
      </c>
      <c r="W576" s="8">
        <v>402293</v>
      </c>
      <c r="Y576" s="8">
        <v>74827</v>
      </c>
      <c r="AA576" s="8">
        <v>1064093</v>
      </c>
      <c r="AC576" s="8">
        <v>1021729</v>
      </c>
      <c r="AE576" s="8">
        <v>30646</v>
      </c>
      <c r="AG576" s="8">
        <v>0</v>
      </c>
      <c r="AI576" s="8">
        <v>0</v>
      </c>
      <c r="AJ576" s="13" t="s">
        <v>591</v>
      </c>
      <c r="AK576" s="13"/>
      <c r="AL576" s="13" t="s">
        <v>54</v>
      </c>
      <c r="AN576" s="8">
        <v>206968</v>
      </c>
      <c r="AP576" s="8">
        <v>0</v>
      </c>
      <c r="AT576" s="8">
        <v>48379</v>
      </c>
      <c r="AV576" s="8">
        <v>28387</v>
      </c>
      <c r="AX576" s="8">
        <v>0</v>
      </c>
      <c r="AZ576" s="8">
        <f t="shared" si="49"/>
        <v>13279714</v>
      </c>
      <c r="BB576" s="8">
        <v>109250</v>
      </c>
      <c r="BH576" s="8">
        <v>0</v>
      </c>
      <c r="BJ576" s="8">
        <f t="shared" si="47"/>
        <v>13388964</v>
      </c>
      <c r="BL576" s="8">
        <f>+GenRev!AM576-GenExp!BJ576</f>
        <v>-1427255</v>
      </c>
      <c r="BN576" s="8">
        <v>898315</v>
      </c>
      <c r="BP576" s="8">
        <v>0</v>
      </c>
      <c r="BQ576" s="8">
        <v>0</v>
      </c>
      <c r="BS576" s="8">
        <f t="shared" si="48"/>
        <v>-528940</v>
      </c>
      <c r="BU576" s="9">
        <f>+BS576-'Gen Fd BS'!AA576+BQ576</f>
        <v>0</v>
      </c>
    </row>
    <row r="577" spans="1:73">
      <c r="A577" s="13" t="s">
        <v>329</v>
      </c>
      <c r="B577" s="13"/>
      <c r="C577" s="13" t="s">
        <v>20</v>
      </c>
      <c r="D577" s="13"/>
      <c r="E577" s="32">
        <v>45062</v>
      </c>
      <c r="G577" s="8">
        <v>20291834</v>
      </c>
      <c r="I577" s="8">
        <v>3400882</v>
      </c>
      <c r="K577" s="8">
        <v>419596</v>
      </c>
      <c r="M577" s="8">
        <v>1204857</v>
      </c>
      <c r="O577" s="8">
        <v>3004126</v>
      </c>
      <c r="Q577" s="8">
        <v>2710206</v>
      </c>
      <c r="S577" s="8">
        <v>26886</v>
      </c>
      <c r="U577" s="8">
        <v>2656912</v>
      </c>
      <c r="W577" s="8">
        <v>1147376</v>
      </c>
      <c r="Y577" s="8">
        <v>435762</v>
      </c>
      <c r="AA577" s="8">
        <v>4163862</v>
      </c>
      <c r="AC577" s="8">
        <v>3890867</v>
      </c>
      <c r="AE577" s="8">
        <v>73836</v>
      </c>
      <c r="AG577" s="8">
        <v>0</v>
      </c>
      <c r="AI577" s="8">
        <v>0</v>
      </c>
      <c r="AJ577" s="13" t="s">
        <v>329</v>
      </c>
      <c r="AK577" s="13"/>
      <c r="AL577" s="13" t="s">
        <v>20</v>
      </c>
      <c r="AN577" s="8">
        <v>804241</v>
      </c>
      <c r="AP577" s="8">
        <v>795312</v>
      </c>
      <c r="AT577" s="8">
        <v>9658</v>
      </c>
      <c r="AV577" s="8">
        <v>1726</v>
      </c>
      <c r="AX577" s="8">
        <v>0</v>
      </c>
      <c r="AZ577" s="8">
        <f t="shared" si="49"/>
        <v>45037939</v>
      </c>
      <c r="BB577" s="8">
        <v>10000</v>
      </c>
      <c r="BH577" s="8">
        <v>0</v>
      </c>
      <c r="BJ577" s="8">
        <f t="shared" si="47"/>
        <v>45047939</v>
      </c>
      <c r="BL577" s="8">
        <f>+GenRev!AM577-GenExp!BJ577</f>
        <v>7578017</v>
      </c>
      <c r="BN577" s="8">
        <v>6610765</v>
      </c>
      <c r="BP577" s="8">
        <v>0</v>
      </c>
      <c r="BQ577" s="8">
        <v>0</v>
      </c>
      <c r="BS577" s="8">
        <f t="shared" si="48"/>
        <v>14188782</v>
      </c>
      <c r="BU577" s="9">
        <f>+BS577-'Gen Fd BS'!AA577+BQ577</f>
        <v>0</v>
      </c>
    </row>
    <row r="578" spans="1:73">
      <c r="A578" s="13" t="s">
        <v>639</v>
      </c>
      <c r="B578" s="13"/>
      <c r="C578" s="13" t="s">
        <v>59</v>
      </c>
      <c r="D578" s="13"/>
      <c r="E578" s="32">
        <v>49668</v>
      </c>
      <c r="G578" s="8">
        <v>5757078</v>
      </c>
      <c r="I578" s="8">
        <v>611270</v>
      </c>
      <c r="K578" s="8">
        <v>10000</v>
      </c>
      <c r="M578" s="8">
        <v>3803</v>
      </c>
      <c r="O578" s="8">
        <v>425493</v>
      </c>
      <c r="Q578" s="8">
        <v>514730</v>
      </c>
      <c r="S578" s="8">
        <v>64329</v>
      </c>
      <c r="U578" s="8">
        <v>840006</v>
      </c>
      <c r="W578" s="8">
        <v>339429</v>
      </c>
      <c r="Y578" s="8">
        <v>0</v>
      </c>
      <c r="AA578" s="8">
        <v>947266</v>
      </c>
      <c r="AC578" s="8">
        <v>444060</v>
      </c>
      <c r="AE578" s="8">
        <v>109051</v>
      </c>
      <c r="AG578" s="8">
        <v>0</v>
      </c>
      <c r="AI578" s="8">
        <v>0</v>
      </c>
      <c r="AJ578" s="13" t="s">
        <v>639</v>
      </c>
      <c r="AK578" s="13"/>
      <c r="AL578" s="13" t="s">
        <v>59</v>
      </c>
      <c r="AN578" s="8">
        <v>187252</v>
      </c>
      <c r="AP578" s="8">
        <v>196907</v>
      </c>
      <c r="AT578" s="8">
        <v>0</v>
      </c>
      <c r="AV578" s="8">
        <v>0</v>
      </c>
      <c r="AX578" s="8">
        <v>43500</v>
      </c>
      <c r="AZ578" s="8">
        <f t="shared" si="49"/>
        <v>10494174</v>
      </c>
      <c r="BB578" s="8">
        <v>10659</v>
      </c>
      <c r="BH578" s="8">
        <v>0</v>
      </c>
      <c r="BJ578" s="8">
        <f t="shared" si="47"/>
        <v>10504833</v>
      </c>
      <c r="BL578" s="8">
        <f>+GenRev!AM578-GenExp!BJ578</f>
        <v>217821</v>
      </c>
      <c r="BN578" s="8">
        <v>946217</v>
      </c>
      <c r="BP578" s="8">
        <v>0</v>
      </c>
      <c r="BQ578" s="8">
        <v>0</v>
      </c>
      <c r="BS578" s="8">
        <f t="shared" si="48"/>
        <v>1164038</v>
      </c>
      <c r="BU578" s="9">
        <f>+BS578-'Gen Fd BS'!AA578+BQ578</f>
        <v>0</v>
      </c>
    </row>
    <row r="579" spans="1:73">
      <c r="A579" s="13" t="s">
        <v>370</v>
      </c>
      <c r="B579" s="13"/>
      <c r="C579" s="13" t="s">
        <v>27</v>
      </c>
      <c r="D579" s="13"/>
      <c r="E579" s="32">
        <v>45070</v>
      </c>
      <c r="G579" s="8">
        <v>11630484</v>
      </c>
      <c r="I579" s="8">
        <v>3403267</v>
      </c>
      <c r="K579" s="8">
        <v>720182</v>
      </c>
      <c r="M579" s="8">
        <v>0</v>
      </c>
      <c r="O579" s="8">
        <v>853039</v>
      </c>
      <c r="Q579" s="8">
        <v>795892</v>
      </c>
      <c r="S579" s="8">
        <v>107440</v>
      </c>
      <c r="U579" s="8">
        <v>2258619</v>
      </c>
      <c r="W579" s="8">
        <v>0</v>
      </c>
      <c r="Y579" s="8">
        <v>647460</v>
      </c>
      <c r="AA579" s="8">
        <v>2326957</v>
      </c>
      <c r="AC579" s="8">
        <v>1342704</v>
      </c>
      <c r="AE579" s="8">
        <v>470806</v>
      </c>
      <c r="AG579" s="8">
        <v>0</v>
      </c>
      <c r="AI579" s="8">
        <v>9588</v>
      </c>
      <c r="AJ579" s="13" t="s">
        <v>370</v>
      </c>
      <c r="AK579" s="13"/>
      <c r="AL579" s="13" t="s">
        <v>27</v>
      </c>
      <c r="AN579" s="8">
        <v>537895</v>
      </c>
      <c r="AP579" s="8">
        <v>265021</v>
      </c>
      <c r="AT579" s="8">
        <v>0</v>
      </c>
      <c r="AV579" s="8">
        <v>0</v>
      </c>
      <c r="AX579" s="8">
        <v>0</v>
      </c>
      <c r="AZ579" s="8">
        <f t="shared" si="49"/>
        <v>25369354</v>
      </c>
      <c r="BB579" s="8">
        <v>8401</v>
      </c>
      <c r="BH579" s="8">
        <v>0</v>
      </c>
      <c r="BJ579" s="8">
        <f t="shared" si="47"/>
        <v>25377755</v>
      </c>
      <c r="BL579" s="8">
        <f>+GenRev!AM579-GenExp!BJ579</f>
        <v>-1219971</v>
      </c>
      <c r="BN579" s="8">
        <v>14358758</v>
      </c>
      <c r="BP579" s="8">
        <v>0</v>
      </c>
      <c r="BQ579" s="8">
        <v>0</v>
      </c>
      <c r="BS579" s="8">
        <f t="shared" si="48"/>
        <v>13138787</v>
      </c>
      <c r="BU579" s="9">
        <f>+BS579-'Gen Fd BS'!AA579+BQ579</f>
        <v>0</v>
      </c>
    </row>
    <row r="580" spans="1:73" hidden="1">
      <c r="A580" s="13" t="s">
        <v>873</v>
      </c>
      <c r="B580" s="13"/>
      <c r="C580" s="13" t="s">
        <v>41</v>
      </c>
      <c r="D580" s="13"/>
      <c r="E580" s="32">
        <v>45088</v>
      </c>
      <c r="G580" s="8">
        <v>0</v>
      </c>
      <c r="I580" s="8">
        <v>0</v>
      </c>
      <c r="K580" s="8">
        <v>0</v>
      </c>
      <c r="M580" s="8">
        <v>0</v>
      </c>
      <c r="O580" s="8">
        <v>0</v>
      </c>
      <c r="Q580" s="8">
        <v>0</v>
      </c>
      <c r="S580" s="8">
        <v>0</v>
      </c>
      <c r="U580" s="8">
        <v>0</v>
      </c>
      <c r="W580" s="8">
        <v>0</v>
      </c>
      <c r="Y580" s="8">
        <v>0</v>
      </c>
      <c r="AA580" s="8">
        <v>0</v>
      </c>
      <c r="AC580" s="8">
        <v>0</v>
      </c>
      <c r="AE580" s="8">
        <v>0</v>
      </c>
      <c r="AG580" s="8">
        <v>0</v>
      </c>
      <c r="AI580" s="8">
        <v>0</v>
      </c>
      <c r="AJ580" s="13" t="s">
        <v>468</v>
      </c>
      <c r="AK580" s="13"/>
      <c r="AL580" s="13" t="s">
        <v>41</v>
      </c>
      <c r="AN580" s="8">
        <v>0</v>
      </c>
      <c r="AP580" s="8">
        <v>0</v>
      </c>
      <c r="AT580" s="8">
        <v>0</v>
      </c>
      <c r="AV580" s="8">
        <v>0</v>
      </c>
      <c r="AX580" s="8">
        <v>0</v>
      </c>
      <c r="AZ580" s="8">
        <f t="shared" si="49"/>
        <v>0</v>
      </c>
      <c r="BB580" s="8">
        <v>0</v>
      </c>
      <c r="BH580" s="8">
        <v>0</v>
      </c>
      <c r="BJ580" s="8">
        <f t="shared" si="47"/>
        <v>0</v>
      </c>
      <c r="BL580" s="8">
        <f>+GenRev!AM580-GenExp!BJ580</f>
        <v>0</v>
      </c>
      <c r="BN580" s="8">
        <v>0</v>
      </c>
      <c r="BP580" s="8">
        <v>0</v>
      </c>
      <c r="BQ580" s="8">
        <v>0</v>
      </c>
      <c r="BS580" s="8">
        <f t="shared" si="48"/>
        <v>0</v>
      </c>
      <c r="BU580" s="9">
        <f>+BS580-'Gen Fd BS'!AA580+BQ580</f>
        <v>0</v>
      </c>
    </row>
    <row r="581" spans="1:73">
      <c r="A581" s="13" t="s">
        <v>453</v>
      </c>
      <c r="B581" s="13"/>
      <c r="C581" s="13" t="s">
        <v>37</v>
      </c>
      <c r="D581" s="13"/>
      <c r="E581" s="32">
        <v>45096</v>
      </c>
      <c r="G581" s="8">
        <v>7375853</v>
      </c>
      <c r="I581" s="8">
        <v>756131</v>
      </c>
      <c r="K581" s="8">
        <v>241381</v>
      </c>
      <c r="M581" s="8">
        <v>1437837</v>
      </c>
      <c r="O581" s="8">
        <v>872522</v>
      </c>
      <c r="Q581" s="8">
        <v>607698</v>
      </c>
      <c r="S581" s="8">
        <v>359150</v>
      </c>
      <c r="U581" s="8">
        <v>1769288</v>
      </c>
      <c r="W581" s="8">
        <v>390579</v>
      </c>
      <c r="Y581" s="8">
        <v>45365</v>
      </c>
      <c r="AA581" s="8">
        <v>1211365</v>
      </c>
      <c r="AC581" s="8">
        <v>937410</v>
      </c>
      <c r="AE581" s="8">
        <v>5542</v>
      </c>
      <c r="AG581" s="8">
        <v>0</v>
      </c>
      <c r="AI581" s="8">
        <v>0</v>
      </c>
      <c r="AJ581" s="13" t="s">
        <v>453</v>
      </c>
      <c r="AK581" s="13"/>
      <c r="AL581" s="13" t="s">
        <v>37</v>
      </c>
      <c r="AN581" s="8">
        <v>328555</v>
      </c>
      <c r="AP581" s="8">
        <v>234471</v>
      </c>
      <c r="AT581" s="8">
        <v>37037</v>
      </c>
      <c r="AV581" s="8">
        <v>12514</v>
      </c>
      <c r="AX581" s="8">
        <v>0</v>
      </c>
      <c r="AZ581" s="8">
        <f t="shared" si="49"/>
        <v>16622698</v>
      </c>
      <c r="BB581" s="8">
        <v>149219</v>
      </c>
      <c r="BH581" s="8">
        <v>0</v>
      </c>
      <c r="BJ581" s="8">
        <f t="shared" si="47"/>
        <v>16771917</v>
      </c>
      <c r="BL581" s="8">
        <f>+GenRev!AM581-GenExp!BJ581</f>
        <v>530910</v>
      </c>
      <c r="BN581" s="8">
        <v>2377381</v>
      </c>
      <c r="BP581" s="8">
        <v>0</v>
      </c>
      <c r="BQ581" s="8">
        <v>0</v>
      </c>
      <c r="BS581" s="8">
        <f t="shared" si="48"/>
        <v>2908291</v>
      </c>
      <c r="BU581" s="9">
        <f>+BS581-'Gen Fd BS'!AA581+BQ581</f>
        <v>0</v>
      </c>
    </row>
    <row r="582" spans="1:73">
      <c r="A582" s="13" t="s">
        <v>277</v>
      </c>
      <c r="B582" s="13"/>
      <c r="C582" s="13" t="s">
        <v>116</v>
      </c>
      <c r="D582" s="13"/>
      <c r="E582" s="32">
        <v>46367</v>
      </c>
      <c r="G582" s="8">
        <v>4292453</v>
      </c>
      <c r="I582" s="8">
        <v>737121</v>
      </c>
      <c r="K582" s="8">
        <v>79067</v>
      </c>
      <c r="M582" s="8">
        <v>3499</v>
      </c>
      <c r="O582" s="8">
        <v>342598</v>
      </c>
      <c r="Q582" s="8">
        <v>385750</v>
      </c>
      <c r="S582" s="8">
        <v>27982</v>
      </c>
      <c r="U582" s="8">
        <v>702527</v>
      </c>
      <c r="W582" s="8">
        <v>294434</v>
      </c>
      <c r="Y582" s="8">
        <v>0</v>
      </c>
      <c r="AA582" s="8">
        <v>1641511</v>
      </c>
      <c r="AC582" s="8">
        <v>572708</v>
      </c>
      <c r="AE582" s="8">
        <v>8847</v>
      </c>
      <c r="AG582" s="8">
        <v>0</v>
      </c>
      <c r="AI582" s="8">
        <v>16022</v>
      </c>
      <c r="AJ582" s="13" t="s">
        <v>277</v>
      </c>
      <c r="AK582" s="13"/>
      <c r="AL582" s="13" t="s">
        <v>116</v>
      </c>
      <c r="AN582" s="8">
        <v>197127</v>
      </c>
      <c r="AP582" s="8">
        <v>0</v>
      </c>
      <c r="AT582" s="8">
        <v>39105</v>
      </c>
      <c r="AV582" s="8">
        <v>12135</v>
      </c>
      <c r="AX582" s="8">
        <v>0</v>
      </c>
      <c r="AZ582" s="8">
        <f t="shared" si="49"/>
        <v>9352886</v>
      </c>
      <c r="BB582" s="8">
        <v>0</v>
      </c>
      <c r="BH582" s="8">
        <v>0</v>
      </c>
      <c r="BJ582" s="8">
        <f t="shared" si="47"/>
        <v>9352886</v>
      </c>
      <c r="BL582" s="8">
        <f>+GenRev!AM582-GenExp!BJ582</f>
        <v>-779025</v>
      </c>
      <c r="BN582" s="8">
        <v>3690614</v>
      </c>
      <c r="BP582" s="8">
        <v>0</v>
      </c>
      <c r="BQ582" s="8">
        <v>0</v>
      </c>
      <c r="BS582" s="8">
        <f t="shared" si="48"/>
        <v>2911589</v>
      </c>
      <c r="BU582" s="9">
        <f>+BS582-'Gen Fd BS'!AA582+BQ582</f>
        <v>0</v>
      </c>
    </row>
    <row r="583" spans="1:73">
      <c r="A583" s="13" t="s">
        <v>469</v>
      </c>
      <c r="B583" s="13"/>
      <c r="C583" s="13" t="s">
        <v>41</v>
      </c>
      <c r="D583" s="13"/>
      <c r="E583" s="32">
        <v>45104</v>
      </c>
      <c r="G583" s="8">
        <v>36778070</v>
      </c>
      <c r="I583" s="8">
        <v>12872848</v>
      </c>
      <c r="K583" s="8">
        <v>1200106</v>
      </c>
      <c r="M583" s="8">
        <v>0</v>
      </c>
      <c r="O583" s="8">
        <v>4252656</v>
      </c>
      <c r="Q583" s="8">
        <v>3261120</v>
      </c>
      <c r="S583" s="8">
        <v>322899</v>
      </c>
      <c r="U583" s="8">
        <v>4849325</v>
      </c>
      <c r="W583" s="8">
        <v>1727626</v>
      </c>
      <c r="Y583" s="8">
        <v>427060</v>
      </c>
      <c r="AA583" s="8">
        <v>6864277</v>
      </c>
      <c r="AC583" s="8">
        <v>5715583</v>
      </c>
      <c r="AE583" s="8">
        <v>1234209</v>
      </c>
      <c r="AG583" s="8">
        <v>0</v>
      </c>
      <c r="AI583" s="8">
        <v>0</v>
      </c>
      <c r="AJ583" s="13" t="s">
        <v>469</v>
      </c>
      <c r="AK583" s="13"/>
      <c r="AL583" s="13" t="s">
        <v>41</v>
      </c>
      <c r="AN583" s="8">
        <v>966507</v>
      </c>
      <c r="AP583" s="8">
        <v>0</v>
      </c>
      <c r="AT583" s="8">
        <v>0</v>
      </c>
      <c r="AV583" s="8">
        <v>0</v>
      </c>
      <c r="AX583" s="8">
        <v>0</v>
      </c>
      <c r="AZ583" s="8">
        <f t="shared" si="49"/>
        <v>80472286</v>
      </c>
      <c r="BB583" s="8">
        <v>869825</v>
      </c>
      <c r="BH583" s="8">
        <v>0</v>
      </c>
      <c r="BJ583" s="8">
        <f t="shared" si="47"/>
        <v>81342111</v>
      </c>
      <c r="BL583" s="8">
        <f>+GenRev!AM583-GenExp!BJ583</f>
        <v>1220293</v>
      </c>
      <c r="BN583" s="8">
        <v>13485945</v>
      </c>
      <c r="BP583" s="8">
        <v>0</v>
      </c>
      <c r="BQ583" s="8">
        <v>0</v>
      </c>
      <c r="BS583" s="8">
        <f t="shared" si="48"/>
        <v>14706238</v>
      </c>
      <c r="BU583" s="9">
        <f>+BS583-'Gen Fd BS'!AA583+BQ583</f>
        <v>0</v>
      </c>
    </row>
    <row r="584" spans="1:73">
      <c r="A584" s="13" t="s">
        <v>281</v>
      </c>
      <c r="B584" s="13"/>
      <c r="C584" s="13" t="s">
        <v>18</v>
      </c>
      <c r="D584" s="13"/>
      <c r="E584" s="32">
        <v>45112</v>
      </c>
      <c r="G584" s="8">
        <v>11920629</v>
      </c>
      <c r="I584" s="8">
        <v>2082007</v>
      </c>
      <c r="K584" s="8">
        <v>226756</v>
      </c>
      <c r="M584" s="8">
        <v>975723</v>
      </c>
      <c r="O584" s="8">
        <v>1015022</v>
      </c>
      <c r="Q584" s="8">
        <v>1300802</v>
      </c>
      <c r="S584" s="8">
        <v>142280</v>
      </c>
      <c r="U584" s="8">
        <v>1672689</v>
      </c>
      <c r="W584" s="8">
        <v>698079</v>
      </c>
      <c r="Y584" s="8">
        <v>423090</v>
      </c>
      <c r="AA584" s="8">
        <v>2238454</v>
      </c>
      <c r="AC584" s="8">
        <v>1229679</v>
      </c>
      <c r="AE584" s="8">
        <v>221164</v>
      </c>
      <c r="AG584" s="8">
        <v>0</v>
      </c>
      <c r="AI584" s="8">
        <v>0</v>
      </c>
      <c r="AJ584" s="13" t="s">
        <v>281</v>
      </c>
      <c r="AK584" s="13"/>
      <c r="AL584" s="13" t="s">
        <v>18</v>
      </c>
      <c r="AN584" s="8">
        <v>454261</v>
      </c>
      <c r="AP584" s="8">
        <v>53385</v>
      </c>
      <c r="AT584" s="8">
        <v>67000</v>
      </c>
      <c r="AV584" s="8">
        <v>28482</v>
      </c>
      <c r="AX584" s="8">
        <v>0</v>
      </c>
      <c r="AZ584" s="8">
        <f t="shared" si="49"/>
        <v>24749502</v>
      </c>
      <c r="BB584" s="8">
        <v>0</v>
      </c>
      <c r="BH584" s="8">
        <v>0</v>
      </c>
      <c r="BJ584" s="8">
        <f t="shared" si="47"/>
        <v>24749502</v>
      </c>
      <c r="BL584" s="8">
        <f>+GenRev!AM584-GenExp!BJ584</f>
        <v>-267875</v>
      </c>
      <c r="BN584" s="8">
        <v>5296600</v>
      </c>
      <c r="BP584" s="8">
        <v>0</v>
      </c>
      <c r="BQ584" s="8">
        <v>0</v>
      </c>
      <c r="BS584" s="8">
        <f t="shared" si="48"/>
        <v>5028725</v>
      </c>
      <c r="BU584" s="9">
        <f>+BS584-'Gen Fd BS'!AA584+BQ584</f>
        <v>0</v>
      </c>
    </row>
    <row r="585" spans="1:73">
      <c r="A585" s="13" t="s">
        <v>604</v>
      </c>
      <c r="B585" s="13"/>
      <c r="C585" s="13" t="s">
        <v>56</v>
      </c>
      <c r="D585" s="13"/>
      <c r="E585" s="32">
        <v>45666</v>
      </c>
      <c r="G585" s="8">
        <v>3229007</v>
      </c>
      <c r="I585" s="8">
        <v>1068406</v>
      </c>
      <c r="K585" s="8">
        <v>171705</v>
      </c>
      <c r="M585" s="8">
        <v>37971</v>
      </c>
      <c r="O585" s="8">
        <v>461303</v>
      </c>
      <c r="Q585" s="8">
        <v>300865</v>
      </c>
      <c r="S585" s="8">
        <v>46807</v>
      </c>
      <c r="U585" s="8">
        <v>591122</v>
      </c>
      <c r="W585" s="8">
        <v>225537</v>
      </c>
      <c r="Y585" s="8">
        <v>8711</v>
      </c>
      <c r="AA585" s="8">
        <v>791168</v>
      </c>
      <c r="AC585" s="8">
        <v>345436</v>
      </c>
      <c r="AE585" s="8">
        <v>11997</v>
      </c>
      <c r="AG585" s="8">
        <v>0</v>
      </c>
      <c r="AI585" s="8">
        <v>0</v>
      </c>
      <c r="AJ585" s="13" t="s">
        <v>604</v>
      </c>
      <c r="AK585" s="13"/>
      <c r="AL585" s="13" t="s">
        <v>56</v>
      </c>
      <c r="AN585" s="8">
        <v>151976</v>
      </c>
      <c r="AP585" s="8">
        <v>0</v>
      </c>
      <c r="AT585" s="8">
        <v>20624</v>
      </c>
      <c r="AV585" s="8">
        <v>6005</v>
      </c>
      <c r="AX585" s="8">
        <v>0</v>
      </c>
      <c r="AZ585" s="8">
        <f t="shared" si="49"/>
        <v>7468640</v>
      </c>
      <c r="BB585" s="8">
        <v>0</v>
      </c>
      <c r="BH585" s="8">
        <v>0</v>
      </c>
      <c r="BJ585" s="8">
        <f t="shared" si="47"/>
        <v>7468640</v>
      </c>
      <c r="BL585" s="8">
        <f>+GenRev!AM585-GenExp!BJ585</f>
        <v>530815</v>
      </c>
      <c r="BN585" s="8">
        <v>-921088</v>
      </c>
      <c r="BP585" s="8">
        <v>3428</v>
      </c>
      <c r="BQ585" s="8">
        <v>0</v>
      </c>
      <c r="BS585" s="8">
        <f t="shared" si="48"/>
        <v>-393701</v>
      </c>
      <c r="BU585" s="9">
        <f>+BS585-'Gen Fd BS'!AA585+BQ585</f>
        <v>0</v>
      </c>
    </row>
    <row r="586" spans="1:73">
      <c r="A586" s="13" t="s">
        <v>416</v>
      </c>
      <c r="B586" s="13"/>
      <c r="C586" s="13" t="s">
        <v>32</v>
      </c>
      <c r="D586" s="13"/>
      <c r="E586" s="32">
        <v>44081</v>
      </c>
      <c r="G586" s="8">
        <v>16926220</v>
      </c>
      <c r="I586" s="8">
        <v>5118141</v>
      </c>
      <c r="K586" s="8">
        <v>437982</v>
      </c>
      <c r="M586" s="8">
        <v>12235</v>
      </c>
      <c r="O586" s="8">
        <v>2318991</v>
      </c>
      <c r="Q586" s="8">
        <v>2946348</v>
      </c>
      <c r="S586" s="8">
        <v>59273</v>
      </c>
      <c r="U586" s="8">
        <v>3447341</v>
      </c>
      <c r="W586" s="8">
        <v>777014</v>
      </c>
      <c r="Y586" s="8">
        <v>254842</v>
      </c>
      <c r="AA586" s="8">
        <v>4163623</v>
      </c>
      <c r="AC586" s="8">
        <v>2150341</v>
      </c>
      <c r="AE586" s="8">
        <v>996461</v>
      </c>
      <c r="AG586" s="8">
        <v>0</v>
      </c>
      <c r="AI586" s="8">
        <v>20372</v>
      </c>
      <c r="AJ586" s="13" t="s">
        <v>416</v>
      </c>
      <c r="AK586" s="13"/>
      <c r="AL586" s="13" t="s">
        <v>32</v>
      </c>
      <c r="AN586" s="8">
        <v>525558</v>
      </c>
      <c r="AP586" s="8">
        <v>5940</v>
      </c>
      <c r="AT586" s="8">
        <v>64988</v>
      </c>
      <c r="AV586" s="8">
        <v>5082</v>
      </c>
      <c r="AX586" s="8">
        <v>0</v>
      </c>
      <c r="AZ586" s="8">
        <f t="shared" si="49"/>
        <v>40230752</v>
      </c>
      <c r="BB586" s="8">
        <v>0</v>
      </c>
      <c r="BH586" s="8">
        <v>0</v>
      </c>
      <c r="BJ586" s="8">
        <f t="shared" si="47"/>
        <v>40230752</v>
      </c>
      <c r="BL586" s="8">
        <f>+GenRev!AM586-GenExp!BJ586</f>
        <v>-375786</v>
      </c>
      <c r="BN586" s="8">
        <v>6601078</v>
      </c>
      <c r="BP586" s="8">
        <v>0</v>
      </c>
      <c r="BQ586" s="8">
        <v>0</v>
      </c>
      <c r="BS586" s="8">
        <f t="shared" si="48"/>
        <v>6225292</v>
      </c>
      <c r="BU586" s="9">
        <f>+BS586-'Gen Fd BS'!AA586+BQ586</f>
        <v>0</v>
      </c>
    </row>
    <row r="587" spans="1:73">
      <c r="A587" s="13" t="s">
        <v>726</v>
      </c>
      <c r="B587" s="13"/>
      <c r="C587" s="13" t="s">
        <v>70</v>
      </c>
      <c r="D587" s="13"/>
      <c r="E587" s="32">
        <v>50518</v>
      </c>
      <c r="G587" s="8">
        <v>2857094</v>
      </c>
      <c r="I587" s="8">
        <v>225815</v>
      </c>
      <c r="K587" s="8">
        <v>147958</v>
      </c>
      <c r="M587" s="8">
        <v>0</v>
      </c>
      <c r="O587" s="8">
        <v>150545</v>
      </c>
      <c r="Q587" s="8">
        <v>391838</v>
      </c>
      <c r="S587" s="8">
        <v>11829</v>
      </c>
      <c r="U587" s="8">
        <v>438032</v>
      </c>
      <c r="W587" s="8">
        <v>510220</v>
      </c>
      <c r="Y587" s="8">
        <v>0</v>
      </c>
      <c r="AA587" s="8">
        <v>504004</v>
      </c>
      <c r="AC587" s="8">
        <v>345203</v>
      </c>
      <c r="AE587" s="8">
        <v>41902</v>
      </c>
      <c r="AG587" s="8">
        <v>0</v>
      </c>
      <c r="AI587" s="8">
        <v>0</v>
      </c>
      <c r="AJ587" s="13" t="s">
        <v>726</v>
      </c>
      <c r="AK587" s="13"/>
      <c r="AL587" s="13" t="s">
        <v>70</v>
      </c>
      <c r="AN587" s="8">
        <v>198620</v>
      </c>
      <c r="AP587" s="8">
        <v>0</v>
      </c>
      <c r="AT587" s="8">
        <v>0</v>
      </c>
      <c r="AV587" s="8">
        <v>0</v>
      </c>
      <c r="AX587" s="8">
        <v>0</v>
      </c>
      <c r="AZ587" s="8">
        <f t="shared" si="49"/>
        <v>5823060</v>
      </c>
      <c r="BB587" s="8">
        <v>0</v>
      </c>
      <c r="BH587" s="8">
        <v>0</v>
      </c>
      <c r="BJ587" s="8">
        <f t="shared" si="47"/>
        <v>5823060</v>
      </c>
      <c r="BL587" s="8">
        <f>+GenRev!AM587-GenExp!BJ587</f>
        <v>1180705</v>
      </c>
      <c r="BN587" s="8">
        <v>2272130</v>
      </c>
      <c r="BP587" s="8">
        <v>0</v>
      </c>
      <c r="BQ587" s="8">
        <v>0</v>
      </c>
      <c r="BS587" s="8">
        <f t="shared" si="48"/>
        <v>3452835</v>
      </c>
      <c r="BU587" s="9">
        <f>+BS587-'Gen Fd BS'!AA587+BQ587</f>
        <v>0</v>
      </c>
    </row>
    <row r="588" spans="1:73">
      <c r="A588" s="13" t="s">
        <v>630</v>
      </c>
      <c r="B588" s="13"/>
      <c r="C588" s="13" t="s">
        <v>79</v>
      </c>
      <c r="D588" s="13"/>
      <c r="E588" s="13">
        <v>49577</v>
      </c>
      <c r="G588" s="8">
        <v>4729287</v>
      </c>
      <c r="I588" s="8">
        <v>645530</v>
      </c>
      <c r="K588" s="8">
        <v>2829</v>
      </c>
      <c r="M588" s="8">
        <v>0</v>
      </c>
      <c r="O588" s="8">
        <v>468320</v>
      </c>
      <c r="Q588" s="8">
        <v>132882</v>
      </c>
      <c r="S588" s="8">
        <v>57462</v>
      </c>
      <c r="U588" s="8">
        <v>772191</v>
      </c>
      <c r="W588" s="8">
        <v>308553</v>
      </c>
      <c r="Y588" s="8">
        <v>0</v>
      </c>
      <c r="AA588" s="8">
        <v>713234</v>
      </c>
      <c r="AC588" s="8">
        <v>500345</v>
      </c>
      <c r="AE588" s="8">
        <v>2089</v>
      </c>
      <c r="AG588" s="8">
        <v>0</v>
      </c>
      <c r="AI588" s="8">
        <v>0</v>
      </c>
      <c r="AJ588" s="13" t="s">
        <v>630</v>
      </c>
      <c r="AK588" s="13"/>
      <c r="AL588" s="13" t="s">
        <v>79</v>
      </c>
      <c r="AN588" s="8">
        <v>230721</v>
      </c>
      <c r="AP588" s="8">
        <v>71033</v>
      </c>
      <c r="AT588" s="8">
        <v>1456</v>
      </c>
      <c r="AV588" s="8">
        <v>553</v>
      </c>
      <c r="AX588" s="8">
        <v>0</v>
      </c>
      <c r="AZ588" s="8">
        <f t="shared" si="49"/>
        <v>8636485</v>
      </c>
      <c r="BB588" s="8">
        <v>10</v>
      </c>
      <c r="BH588" s="8">
        <v>0</v>
      </c>
      <c r="BJ588" s="8">
        <f t="shared" si="47"/>
        <v>8636495</v>
      </c>
      <c r="BL588" s="8">
        <f>+GenRev!AM588-GenExp!BJ588</f>
        <v>-151040</v>
      </c>
      <c r="BN588" s="8">
        <v>293484</v>
      </c>
      <c r="BP588" s="8">
        <v>0</v>
      </c>
      <c r="BQ588" s="8">
        <v>0</v>
      </c>
      <c r="BS588" s="8">
        <f t="shared" si="48"/>
        <v>142444</v>
      </c>
      <c r="BU588" s="9">
        <f>+BS588-'Gen Fd BS'!AA588+BQ588</f>
        <v>0</v>
      </c>
    </row>
    <row r="589" spans="1:73">
      <c r="A589" s="13" t="s">
        <v>679</v>
      </c>
      <c r="B589" s="13"/>
      <c r="C589" s="13" t="s">
        <v>63</v>
      </c>
      <c r="D589" s="13"/>
      <c r="E589" s="13">
        <v>49973</v>
      </c>
      <c r="G589" s="8">
        <v>8659959</v>
      </c>
      <c r="I589" s="8">
        <v>2799779</v>
      </c>
      <c r="K589" s="8">
        <v>284618</v>
      </c>
      <c r="M589" s="8">
        <v>365313</v>
      </c>
      <c r="O589" s="8">
        <v>994335</v>
      </c>
      <c r="Q589" s="8">
        <v>404269</v>
      </c>
      <c r="S589" s="8">
        <v>25652</v>
      </c>
      <c r="U589" s="8">
        <v>1997596</v>
      </c>
      <c r="W589" s="8">
        <v>561259</v>
      </c>
      <c r="Y589" s="8">
        <v>0</v>
      </c>
      <c r="AA589" s="8">
        <v>1640400</v>
      </c>
      <c r="AC589" s="8">
        <v>1320231</v>
      </c>
      <c r="AE589" s="8">
        <v>141762</v>
      </c>
      <c r="AG589" s="8">
        <v>0</v>
      </c>
      <c r="AI589" s="8">
        <v>0</v>
      </c>
      <c r="AJ589" s="13" t="s">
        <v>679</v>
      </c>
      <c r="AK589" s="13"/>
      <c r="AL589" s="13" t="s">
        <v>63</v>
      </c>
      <c r="AN589" s="8">
        <v>355864</v>
      </c>
      <c r="AP589" s="8">
        <v>71067</v>
      </c>
      <c r="AT589" s="8">
        <v>12416</v>
      </c>
      <c r="AV589" s="8">
        <v>4658</v>
      </c>
      <c r="AX589" s="8">
        <v>0</v>
      </c>
      <c r="AZ589" s="8">
        <f t="shared" si="49"/>
        <v>19639178</v>
      </c>
      <c r="BB589" s="8">
        <v>75108</v>
      </c>
      <c r="BH589" s="8">
        <v>0</v>
      </c>
      <c r="BJ589" s="8">
        <f t="shared" si="47"/>
        <v>19714286</v>
      </c>
      <c r="BL589" s="8">
        <f>+GenRev!AM589-GenExp!BJ589</f>
        <v>1488821</v>
      </c>
      <c r="BN589" s="8">
        <v>7699186</v>
      </c>
      <c r="BP589" s="8">
        <v>0</v>
      </c>
      <c r="BQ589" s="8">
        <v>0</v>
      </c>
      <c r="BS589" s="8">
        <f t="shared" si="48"/>
        <v>9188007</v>
      </c>
      <c r="BU589" s="9">
        <f>+BS589-'Gen Fd BS'!AA589+BQ589</f>
        <v>0</v>
      </c>
    </row>
    <row r="590" spans="1:73">
      <c r="A590" s="13" t="s">
        <v>874</v>
      </c>
      <c r="B590" s="13"/>
      <c r="C590" s="13" t="s">
        <v>71</v>
      </c>
      <c r="D590" s="13"/>
      <c r="E590" s="32">
        <v>45138</v>
      </c>
      <c r="G590" s="8">
        <v>15584044</v>
      </c>
      <c r="I590" s="8">
        <v>3102477</v>
      </c>
      <c r="K590" s="8">
        <v>359600</v>
      </c>
      <c r="M590" s="8">
        <v>2329355</v>
      </c>
      <c r="O590" s="8">
        <v>1671228</v>
      </c>
      <c r="Q590" s="8">
        <v>1862454</v>
      </c>
      <c r="S590" s="8">
        <v>55695</v>
      </c>
      <c r="U590" s="8">
        <v>2782517</v>
      </c>
      <c r="W590" s="8">
        <v>893942</v>
      </c>
      <c r="Y590" s="8">
        <v>205620</v>
      </c>
      <c r="AA590" s="8">
        <v>4215542</v>
      </c>
      <c r="AC590" s="8">
        <v>1654239</v>
      </c>
      <c r="AE590" s="8">
        <v>264887</v>
      </c>
      <c r="AG590" s="8">
        <v>0</v>
      </c>
      <c r="AI590" s="8">
        <v>147292</v>
      </c>
      <c r="AJ590" s="13" t="s">
        <v>874</v>
      </c>
      <c r="AK590" s="13"/>
      <c r="AL590" s="13" t="s">
        <v>71</v>
      </c>
      <c r="AN590" s="8">
        <v>655500</v>
      </c>
      <c r="AP590" s="8">
        <v>321518</v>
      </c>
      <c r="AT590" s="8">
        <v>349927</v>
      </c>
      <c r="AV590" s="8">
        <v>20175</v>
      </c>
      <c r="AX590" s="8">
        <v>0</v>
      </c>
      <c r="AZ590" s="8">
        <f t="shared" si="49"/>
        <v>36476012</v>
      </c>
      <c r="BB590" s="8">
        <v>82500</v>
      </c>
      <c r="BH590" s="8">
        <v>0</v>
      </c>
      <c r="BJ590" s="8">
        <f t="shared" si="47"/>
        <v>36558512</v>
      </c>
      <c r="BL590" s="8">
        <f>+GenRev!AM590-GenExp!BJ590</f>
        <v>4639209</v>
      </c>
      <c r="BN590" s="8">
        <v>9446875</v>
      </c>
      <c r="BP590" s="8">
        <v>0</v>
      </c>
      <c r="BQ590" s="8">
        <v>0</v>
      </c>
      <c r="BS590" s="8">
        <f t="shared" si="48"/>
        <v>14086084</v>
      </c>
      <c r="BU590" s="9">
        <f>+BS590-'Gen Fd BS'!AA590+BQ590</f>
        <v>0</v>
      </c>
    </row>
    <row r="591" spans="1:73">
      <c r="A591" s="13" t="s">
        <v>371</v>
      </c>
      <c r="B591" s="13"/>
      <c r="C591" s="13" t="s">
        <v>27</v>
      </c>
      <c r="D591" s="13"/>
      <c r="E591" s="32">
        <v>46524</v>
      </c>
      <c r="G591" s="8">
        <v>55122384</v>
      </c>
      <c r="I591" s="8">
        <v>9176841</v>
      </c>
      <c r="K591" s="8">
        <v>442449</v>
      </c>
      <c r="M591" s="8">
        <v>2898</v>
      </c>
      <c r="O591" s="8">
        <v>5583628</v>
      </c>
      <c r="Q591" s="8">
        <v>6574023</v>
      </c>
      <c r="S591" s="8">
        <v>61378</v>
      </c>
      <c r="U591" s="8">
        <v>8796343</v>
      </c>
      <c r="W591" s="8">
        <v>0</v>
      </c>
      <c r="Y591" s="8">
        <v>2721198</v>
      </c>
      <c r="AA591" s="8">
        <v>10545011</v>
      </c>
      <c r="AC591" s="8">
        <v>3704943</v>
      </c>
      <c r="AE591" s="8">
        <v>2482771</v>
      </c>
      <c r="AG591" s="8">
        <v>0</v>
      </c>
      <c r="AI591" s="8">
        <v>690615</v>
      </c>
      <c r="AJ591" s="13" t="s">
        <v>371</v>
      </c>
      <c r="AK591" s="13"/>
      <c r="AL591" s="13" t="s">
        <v>27</v>
      </c>
      <c r="AN591" s="8">
        <v>1474569</v>
      </c>
      <c r="AP591" s="8">
        <v>0</v>
      </c>
      <c r="AT591" s="8">
        <v>0</v>
      </c>
      <c r="AV591" s="8">
        <v>0</v>
      </c>
      <c r="AX591" s="8">
        <v>0</v>
      </c>
      <c r="AZ591" s="8">
        <f t="shared" si="49"/>
        <v>107379051</v>
      </c>
      <c r="BB591" s="8">
        <v>749500</v>
      </c>
      <c r="BH591" s="8">
        <v>0</v>
      </c>
      <c r="BJ591" s="8">
        <f t="shared" si="47"/>
        <v>108128551</v>
      </c>
      <c r="BL591" s="8">
        <f>+GenRev!AM591-GenExp!BJ591</f>
        <v>-829221</v>
      </c>
      <c r="BN591" s="8">
        <v>46415676</v>
      </c>
      <c r="BP591" s="8">
        <v>0</v>
      </c>
      <c r="BQ591" s="8">
        <v>0</v>
      </c>
      <c r="BS591" s="8">
        <f t="shared" si="48"/>
        <v>45586455</v>
      </c>
      <c r="BU591" s="9">
        <f>+BS591-'Gen Fd BS'!AA591+BQ591</f>
        <v>0</v>
      </c>
    </row>
    <row r="592" spans="1:73">
      <c r="A592" s="13" t="s">
        <v>299</v>
      </c>
      <c r="B592" s="13"/>
      <c r="C592" s="13" t="s">
        <v>114</v>
      </c>
      <c r="D592" s="13"/>
      <c r="E592" s="32">
        <v>45146</v>
      </c>
      <c r="G592" s="8">
        <v>4330926</v>
      </c>
      <c r="I592" s="8">
        <v>745597</v>
      </c>
      <c r="K592" s="8">
        <v>3529</v>
      </c>
      <c r="M592" s="8">
        <v>524318</v>
      </c>
      <c r="O592" s="8">
        <v>866264</v>
      </c>
      <c r="Q592" s="8">
        <v>274807</v>
      </c>
      <c r="S592" s="8">
        <v>7898</v>
      </c>
      <c r="U592" s="8">
        <v>602027</v>
      </c>
      <c r="W592" s="8">
        <v>313132</v>
      </c>
      <c r="Y592" s="8">
        <v>58338</v>
      </c>
      <c r="AA592" s="8">
        <v>662538</v>
      </c>
      <c r="AC592" s="8">
        <v>681519</v>
      </c>
      <c r="AE592" s="8">
        <v>33785</v>
      </c>
      <c r="AG592" s="8">
        <f>0</f>
        <v>0</v>
      </c>
      <c r="AI592" s="8">
        <v>2375</v>
      </c>
      <c r="AJ592" s="13" t="s">
        <v>299</v>
      </c>
      <c r="AK592" s="13"/>
      <c r="AL592" s="13" t="s">
        <v>114</v>
      </c>
      <c r="AN592" s="8">
        <v>210725</v>
      </c>
      <c r="AP592" s="8">
        <v>0</v>
      </c>
      <c r="AT592" s="8">
        <v>9082</v>
      </c>
      <c r="AV592" s="8">
        <v>1674</v>
      </c>
      <c r="AX592" s="8">
        <v>0</v>
      </c>
      <c r="AZ592" s="8">
        <f t="shared" si="49"/>
        <v>9328534</v>
      </c>
      <c r="BB592" s="8">
        <v>46692</v>
      </c>
      <c r="BH592" s="8">
        <v>0</v>
      </c>
      <c r="BJ592" s="8">
        <f t="shared" si="47"/>
        <v>9375226</v>
      </c>
      <c r="BL592" s="8">
        <f>+GenRev!AM594-GenExp!BJ592</f>
        <v>195306</v>
      </c>
      <c r="BN592" s="8">
        <v>2008127</v>
      </c>
      <c r="BP592" s="8">
        <v>0</v>
      </c>
      <c r="BQ592" s="8">
        <v>0</v>
      </c>
      <c r="BS592" s="8">
        <f t="shared" si="48"/>
        <v>2203433</v>
      </c>
      <c r="BU592" s="9">
        <f>+BS592-'Gen Fd BS'!AA592+BQ592</f>
        <v>0</v>
      </c>
    </row>
    <row r="593" spans="1:73">
      <c r="A593" s="13" t="s">
        <v>417</v>
      </c>
      <c r="B593" s="13"/>
      <c r="C593" s="13" t="s">
        <v>32</v>
      </c>
      <c r="D593" s="13"/>
      <c r="E593" s="32">
        <v>45153</v>
      </c>
      <c r="G593" s="8">
        <v>10403385</v>
      </c>
      <c r="I593" s="8">
        <v>1730229</v>
      </c>
      <c r="K593" s="8">
        <v>111943</v>
      </c>
      <c r="M593" s="8">
        <v>16479</v>
      </c>
      <c r="O593" s="8">
        <v>1416435</v>
      </c>
      <c r="Q593" s="8">
        <v>1075816</v>
      </c>
      <c r="S593" s="8">
        <v>222778</v>
      </c>
      <c r="U593" s="8">
        <v>1547790</v>
      </c>
      <c r="W593" s="8">
        <v>872412</v>
      </c>
      <c r="Y593" s="8">
        <v>1670</v>
      </c>
      <c r="AA593" s="8">
        <v>2043394</v>
      </c>
      <c r="AC593" s="8">
        <v>406298</v>
      </c>
      <c r="AE593" s="8">
        <v>124242</v>
      </c>
      <c r="AG593" s="8">
        <v>0</v>
      </c>
      <c r="AI593" s="8">
        <v>110062</v>
      </c>
      <c r="AJ593" s="13" t="s">
        <v>417</v>
      </c>
      <c r="AK593" s="13"/>
      <c r="AL593" s="13" t="s">
        <v>32</v>
      </c>
      <c r="AN593" s="8">
        <v>483745</v>
      </c>
      <c r="AP593" s="8">
        <v>0</v>
      </c>
      <c r="AT593" s="8">
        <v>33900</v>
      </c>
      <c r="AV593" s="8">
        <v>92001</v>
      </c>
      <c r="AX593" s="8">
        <v>0</v>
      </c>
      <c r="AZ593" s="8">
        <f t="shared" si="49"/>
        <v>20692579</v>
      </c>
      <c r="BB593" s="8">
        <v>0</v>
      </c>
      <c r="BH593" s="8">
        <v>0</v>
      </c>
      <c r="BJ593" s="8">
        <f t="shared" si="47"/>
        <v>20692579</v>
      </c>
      <c r="BL593" s="8">
        <f>+GenRev!AM595-GenExp!BJ593</f>
        <v>2513080</v>
      </c>
      <c r="BN593" s="8">
        <v>8843251</v>
      </c>
      <c r="BP593" s="8">
        <v>0</v>
      </c>
      <c r="BQ593" s="8">
        <v>0</v>
      </c>
      <c r="BS593" s="8">
        <f t="shared" si="48"/>
        <v>11356331</v>
      </c>
      <c r="BU593" s="9">
        <f>+BS593-'Gen Fd BS'!AA595+BQ593</f>
        <v>0</v>
      </c>
    </row>
    <row r="594" spans="1:73">
      <c r="A594" s="13" t="s">
        <v>392</v>
      </c>
      <c r="B594" s="13"/>
      <c r="C594" s="13" t="s">
        <v>117</v>
      </c>
      <c r="D594" s="13"/>
      <c r="E594" s="32">
        <v>45674</v>
      </c>
      <c r="G594" s="8">
        <v>2100649</v>
      </c>
      <c r="I594" s="8">
        <v>580839</v>
      </c>
      <c r="K594" s="8">
        <v>0</v>
      </c>
      <c r="M594" s="8">
        <v>178041</v>
      </c>
      <c r="O594" s="8">
        <v>457371</v>
      </c>
      <c r="Q594" s="8">
        <v>368801</v>
      </c>
      <c r="S594" s="8">
        <v>36736</v>
      </c>
      <c r="U594" s="8">
        <v>765451</v>
      </c>
      <c r="W594" s="8">
        <v>316194</v>
      </c>
      <c r="Y594" s="8">
        <v>0</v>
      </c>
      <c r="AA594" s="8">
        <v>634681</v>
      </c>
      <c r="AC594" s="8">
        <v>255182</v>
      </c>
      <c r="AE594" s="8">
        <v>744</v>
      </c>
      <c r="AG594" s="8">
        <v>0</v>
      </c>
      <c r="AI594" s="8">
        <v>5736</v>
      </c>
      <c r="AJ594" s="13" t="s">
        <v>392</v>
      </c>
      <c r="AK594" s="13"/>
      <c r="AL594" s="13" t="s">
        <v>117</v>
      </c>
      <c r="AN594" s="8">
        <v>165198</v>
      </c>
      <c r="AP594" s="8">
        <v>17663</v>
      </c>
      <c r="AT594" s="8">
        <v>50000</v>
      </c>
      <c r="AV594" s="8">
        <v>3866</v>
      </c>
      <c r="AX594" s="8">
        <v>0</v>
      </c>
      <c r="AZ594" s="8">
        <f t="shared" si="49"/>
        <v>5937152</v>
      </c>
      <c r="BB594" s="8">
        <v>35100</v>
      </c>
      <c r="BH594" s="8">
        <v>0</v>
      </c>
      <c r="BJ594" s="8">
        <f t="shared" si="47"/>
        <v>5972252</v>
      </c>
      <c r="BL594" s="8">
        <f>+GenRev!AM596-GenExp!BJ594</f>
        <v>129553</v>
      </c>
      <c r="BN594" s="8">
        <v>3064392</v>
      </c>
      <c r="BP594" s="8">
        <v>0</v>
      </c>
      <c r="BQ594" s="8">
        <v>0</v>
      </c>
      <c r="BS594" s="8">
        <f t="shared" si="48"/>
        <v>3193945</v>
      </c>
      <c r="BU594" s="9">
        <f>+BS594-'Gen Fd BS'!AA596+BQ594</f>
        <v>0</v>
      </c>
    </row>
    <row r="595" spans="1:73">
      <c r="A595" s="13" t="s">
        <v>525</v>
      </c>
      <c r="B595" s="13"/>
      <c r="C595" s="13" t="s">
        <v>45</v>
      </c>
      <c r="D595" s="13"/>
      <c r="E595" s="32">
        <v>45161</v>
      </c>
      <c r="G595" s="8">
        <v>47418111</v>
      </c>
      <c r="I595" s="8">
        <v>10735632</v>
      </c>
      <c r="K595" s="8">
        <v>2549687</v>
      </c>
      <c r="M595" s="8">
        <v>0</v>
      </c>
      <c r="O595" s="8">
        <v>3621838</v>
      </c>
      <c r="Q595" s="8">
        <v>3930385</v>
      </c>
      <c r="S595" s="8">
        <v>450212</v>
      </c>
      <c r="U595" s="8">
        <v>6401896</v>
      </c>
      <c r="W595" s="8">
        <v>1060510</v>
      </c>
      <c r="Y595" s="8">
        <v>775593</v>
      </c>
      <c r="AA595" s="8">
        <v>11500775</v>
      </c>
      <c r="AC595" s="8">
        <v>5075809</v>
      </c>
      <c r="AE595" s="8">
        <v>831606</v>
      </c>
      <c r="AG595" s="8">
        <v>0</v>
      </c>
      <c r="AI595" s="8">
        <v>69999</v>
      </c>
      <c r="AJ595" s="13" t="s">
        <v>525</v>
      </c>
      <c r="AK595" s="13"/>
      <c r="AL595" s="13" t="s">
        <v>45</v>
      </c>
      <c r="AN595" s="8">
        <v>459041</v>
      </c>
      <c r="AP595" s="8">
        <v>203492</v>
      </c>
      <c r="AT595" s="8">
        <v>137146</v>
      </c>
      <c r="AV595" s="8">
        <v>9161</v>
      </c>
      <c r="AX595" s="8">
        <v>0</v>
      </c>
      <c r="AZ595" s="8">
        <f t="shared" si="49"/>
        <v>95230893</v>
      </c>
      <c r="BB595" s="8">
        <v>585759</v>
      </c>
      <c r="BH595" s="8">
        <v>0</v>
      </c>
      <c r="BJ595" s="8">
        <f t="shared" si="47"/>
        <v>95816652</v>
      </c>
      <c r="BL595" s="8">
        <f>+GenRev!AM597-GenExp!BJ595</f>
        <v>-2731044</v>
      </c>
      <c r="BN595" s="8">
        <v>-20813328</v>
      </c>
      <c r="BP595" s="8">
        <v>0</v>
      </c>
      <c r="BQ595" s="8">
        <v>0</v>
      </c>
      <c r="BS595" s="8">
        <f t="shared" si="48"/>
        <v>-23544372</v>
      </c>
      <c r="BU595" s="9">
        <f>+BS595-'Gen Fd BS'!AA597+BQ595</f>
        <v>0</v>
      </c>
    </row>
    <row r="596" spans="1:73">
      <c r="A596" s="13" t="s">
        <v>626</v>
      </c>
      <c r="B596" s="13"/>
      <c r="C596" s="13" t="s">
        <v>58</v>
      </c>
      <c r="D596" s="13"/>
      <c r="E596" s="32">
        <v>49544</v>
      </c>
      <c r="G596" s="8">
        <v>6407030</v>
      </c>
      <c r="I596" s="8">
        <v>600902</v>
      </c>
      <c r="K596" s="8">
        <v>8636</v>
      </c>
      <c r="M596" s="8">
        <v>398540</v>
      </c>
      <c r="O596" s="8">
        <v>406609</v>
      </c>
      <c r="Q596" s="8">
        <v>392733</v>
      </c>
      <c r="S596" s="8">
        <v>154839</v>
      </c>
      <c r="U596" s="8">
        <v>638125</v>
      </c>
      <c r="W596" s="8">
        <v>434088</v>
      </c>
      <c r="Y596" s="8">
        <v>0</v>
      </c>
      <c r="AA596" s="8">
        <v>1472230</v>
      </c>
      <c r="AC596" s="8">
        <v>897928</v>
      </c>
      <c r="AE596" s="8">
        <v>166037</v>
      </c>
      <c r="AG596" s="8">
        <v>0</v>
      </c>
      <c r="AI596" s="8">
        <v>0</v>
      </c>
      <c r="AJ596" s="13" t="s">
        <v>626</v>
      </c>
      <c r="AK596" s="13"/>
      <c r="AL596" s="13" t="s">
        <v>58</v>
      </c>
      <c r="AN596" s="8">
        <v>197481</v>
      </c>
      <c r="AP596" s="8">
        <v>0</v>
      </c>
      <c r="AT596" s="8">
        <v>134722</v>
      </c>
      <c r="AV596" s="8">
        <v>165275</v>
      </c>
      <c r="AX596" s="8">
        <v>0</v>
      </c>
      <c r="AZ596" s="8">
        <f t="shared" si="49"/>
        <v>12475175</v>
      </c>
      <c r="BB596" s="8">
        <v>0</v>
      </c>
      <c r="BH596" s="8">
        <v>0</v>
      </c>
      <c r="BJ596" s="8">
        <f t="shared" si="47"/>
        <v>12475175</v>
      </c>
      <c r="BL596" s="8">
        <f>+GenRev!AM598-GenExp!BJ596</f>
        <v>-231470</v>
      </c>
      <c r="BN596" s="8">
        <v>5609156</v>
      </c>
      <c r="BP596" s="8">
        <v>0</v>
      </c>
      <c r="BQ596" s="8">
        <v>0</v>
      </c>
      <c r="BS596" s="8">
        <f t="shared" si="48"/>
        <v>5377686</v>
      </c>
      <c r="BU596" s="9">
        <f>+BS596-'Gen Fd BS'!AA598+BQ596</f>
        <v>0</v>
      </c>
    </row>
    <row r="597" spans="1:73">
      <c r="A597" s="13" t="s">
        <v>576</v>
      </c>
      <c r="B597" s="13"/>
      <c r="C597" s="13" t="s">
        <v>51</v>
      </c>
      <c r="D597" s="13"/>
      <c r="E597" s="32">
        <v>45179</v>
      </c>
      <c r="G597" s="8">
        <v>12566868</v>
      </c>
      <c r="I597" s="8">
        <v>4152565</v>
      </c>
      <c r="K597" s="8">
        <v>272364</v>
      </c>
      <c r="M597" s="8">
        <v>0</v>
      </c>
      <c r="O597" s="8">
        <v>1621726</v>
      </c>
      <c r="Q597" s="8">
        <v>1106476</v>
      </c>
      <c r="S597" s="8">
        <v>125066</v>
      </c>
      <c r="U597" s="8">
        <v>1956940</v>
      </c>
      <c r="W597" s="8">
        <v>667633</v>
      </c>
      <c r="Y597" s="8">
        <v>0</v>
      </c>
      <c r="AA597" s="8">
        <v>3292271</v>
      </c>
      <c r="AC597" s="8">
        <v>915148</v>
      </c>
      <c r="AE597" s="8">
        <v>486480</v>
      </c>
      <c r="AG597" s="8">
        <v>0</v>
      </c>
      <c r="AI597" s="8">
        <v>2070</v>
      </c>
      <c r="AJ597" s="13" t="s">
        <v>576</v>
      </c>
      <c r="AK597" s="13"/>
      <c r="AL597" s="13" t="s">
        <v>51</v>
      </c>
      <c r="AN597" s="8">
        <v>258125</v>
      </c>
      <c r="AP597" s="8">
        <v>155472</v>
      </c>
      <c r="AT597" s="8">
        <v>23341</v>
      </c>
      <c r="AV597" s="8">
        <v>5935</v>
      </c>
      <c r="AX597" s="8">
        <v>0</v>
      </c>
      <c r="AZ597" s="8">
        <f t="shared" si="49"/>
        <v>27608480</v>
      </c>
      <c r="BB597" s="8">
        <v>67388</v>
      </c>
      <c r="BH597" s="8">
        <v>0</v>
      </c>
      <c r="BJ597" s="8">
        <f t="shared" si="47"/>
        <v>27675868</v>
      </c>
      <c r="BL597" s="8">
        <f>+GenRev!AM599-GenExp!BJ597</f>
        <v>53042</v>
      </c>
      <c r="BN597" s="8">
        <v>-1915061</v>
      </c>
      <c r="BP597" s="8">
        <v>0</v>
      </c>
      <c r="BQ597" s="8">
        <v>0</v>
      </c>
      <c r="BS597" s="8">
        <f t="shared" si="48"/>
        <v>-1862019</v>
      </c>
      <c r="BU597" s="9">
        <f>+BS597-'Gen Fd BS'!AA599+BQ597</f>
        <v>0</v>
      </c>
    </row>
    <row r="598" spans="1:73">
      <c r="A598" s="13"/>
      <c r="B598" s="13"/>
      <c r="C598" s="13"/>
      <c r="D598" s="13"/>
      <c r="BF598" s="8">
        <f>SUM(BF11:BF597)</f>
        <v>0</v>
      </c>
      <c r="BU598" s="8"/>
    </row>
    <row r="601" spans="1:73">
      <c r="A601" s="94" t="s">
        <v>798</v>
      </c>
      <c r="B601" s="94"/>
      <c r="C601" s="94"/>
      <c r="D601" s="94"/>
      <c r="E601" s="94"/>
      <c r="F601" s="94"/>
      <c r="G601" s="94"/>
      <c r="H601" s="94"/>
      <c r="I601" s="94"/>
      <c r="J601" s="94"/>
      <c r="K601" s="94"/>
    </row>
    <row r="602" spans="1:73">
      <c r="A602" s="10" t="s">
        <v>799</v>
      </c>
      <c r="B602" s="10"/>
      <c r="C602" s="10"/>
      <c r="D602" s="10"/>
      <c r="F602" s="10"/>
    </row>
  </sheetData>
  <mergeCells count="1">
    <mergeCell ref="A601:K601"/>
  </mergeCells>
  <phoneticPr fontId="3" type="noConversion"/>
  <printOptions horizontalCentered="1"/>
  <pageMargins left="0.75" right="0.75" top="0.5" bottom="0.75" header="0" footer="0.25"/>
  <pageSetup scale="72" firstPageNumber="102" fitToWidth="4" fitToHeight="18" pageOrder="overThenDown" orientation="portrait" useFirstPageNumber="1" r:id="rId1"/>
  <headerFooter alignWithMargins="0">
    <oddFooter>&amp;C&amp;"Times New Roman,Regular"&amp;12&amp;P</oddFooter>
  </headerFooter>
  <colBreaks count="1" manualBreakCount="1">
    <brk id="17" max="591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AH596"/>
  <sheetViews>
    <sheetView showRuler="0" view="pageBreakPreview" zoomScale="140" zoomScaleNormal="100" zoomScaleSheetLayoutView="140" workbookViewId="0">
      <pane xSplit="6" ySplit="9" topLeftCell="W506" activePane="bottomRight" state="frozen"/>
      <selection pane="topRight" activeCell="G1" sqref="G1"/>
      <selection pane="bottomLeft" activeCell="A10" sqref="A10"/>
      <selection pane="bottomRight" activeCell="AG516" sqref="AG516"/>
    </sheetView>
  </sheetViews>
  <sheetFormatPr defaultColWidth="9.109375" defaultRowHeight="12"/>
  <cols>
    <col min="1" max="1" width="28.109375" style="8" customWidth="1"/>
    <col min="2" max="2" width="1.6640625" style="8" customWidth="1"/>
    <col min="3" max="3" width="11.6640625" style="8" customWidth="1"/>
    <col min="4" max="4" width="1.6640625" style="8" hidden="1" customWidth="1"/>
    <col min="5" max="5" width="11.6640625" style="30" hidden="1" customWidth="1"/>
    <col min="6" max="6" width="1.6640625" style="8" customWidth="1"/>
    <col min="7" max="7" width="14.77734375" style="8" customWidth="1"/>
    <col min="8" max="8" width="1.6640625" style="8" customWidth="1"/>
    <col min="9" max="9" width="11.6640625" style="8" customWidth="1"/>
    <col min="10" max="10" width="1.6640625" style="8" customWidth="1"/>
    <col min="11" max="11" width="12.6640625" style="8" customWidth="1"/>
    <col min="12" max="12" width="1.6640625" style="8" customWidth="1"/>
    <col min="13" max="13" width="11.6640625" style="8" customWidth="1"/>
    <col min="14" max="14" width="1.6640625" style="8" customWidth="1"/>
    <col min="15" max="15" width="11.6640625" style="8" customWidth="1"/>
    <col min="16" max="16" width="1.6640625" style="8" customWidth="1"/>
    <col min="17" max="17" width="11.6640625" style="8" customWidth="1"/>
    <col min="18" max="18" width="1.6640625" style="8" customWidth="1"/>
    <col min="19" max="19" width="13.33203125" style="8" customWidth="1"/>
    <col min="20" max="20" width="1.6640625" style="8" customWidth="1"/>
    <col min="21" max="21" width="12.6640625" style="8" customWidth="1"/>
    <col min="22" max="22" width="1.6640625" style="8" customWidth="1"/>
    <col min="23" max="23" width="11.6640625" style="8" customWidth="1"/>
    <col min="24" max="24" width="1.6640625" style="8" customWidth="1"/>
    <col min="25" max="25" width="11.6640625" style="8" customWidth="1"/>
    <col min="26" max="26" width="1.6640625" style="8" customWidth="1"/>
    <col min="27" max="27" width="12.44140625" style="8" customWidth="1"/>
    <col min="28" max="28" width="1.6640625" style="8" customWidth="1"/>
    <col min="29" max="29" width="11.6640625" style="8" customWidth="1"/>
    <col min="30" max="30" width="1.6640625" style="8" customWidth="1"/>
    <col min="31" max="31" width="11.6640625" style="8" customWidth="1"/>
    <col min="32" max="16384" width="9.109375" style="8"/>
  </cols>
  <sheetData>
    <row r="1" spans="1:31">
      <c r="A1" s="27" t="s">
        <v>206</v>
      </c>
      <c r="B1" s="27"/>
      <c r="C1" s="27"/>
      <c r="D1" s="27"/>
      <c r="E1" s="5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</row>
    <row r="2" spans="1:31">
      <c r="A2" s="27" t="s">
        <v>911</v>
      </c>
      <c r="B2" s="27"/>
      <c r="C2" s="27"/>
      <c r="D2" s="27"/>
      <c r="E2" s="5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</row>
    <row r="3" spans="1:31">
      <c r="A3" s="27"/>
      <c r="B3" s="27"/>
      <c r="C3" s="27"/>
      <c r="D3" s="27"/>
      <c r="E3" s="5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</row>
    <row r="4" spans="1:31">
      <c r="A4" s="15" t="s">
        <v>177</v>
      </c>
      <c r="B4" s="15"/>
      <c r="C4" s="15"/>
      <c r="D4" s="15"/>
      <c r="E4" s="64"/>
      <c r="F4" s="5"/>
      <c r="G4" s="5"/>
      <c r="H4" s="5"/>
      <c r="I4" s="5"/>
      <c r="J4" s="5"/>
      <c r="K4" s="69"/>
      <c r="L4" s="5"/>
      <c r="M4" s="5"/>
      <c r="N4" s="5"/>
      <c r="O4" s="5"/>
      <c r="P4" s="5"/>
      <c r="Q4" s="5"/>
      <c r="R4" s="5"/>
      <c r="S4" s="5"/>
      <c r="T4" s="5"/>
      <c r="U4" s="5"/>
      <c r="V4" s="5"/>
    </row>
    <row r="5" spans="1:31">
      <c r="A5" s="15"/>
    </row>
    <row r="6" spans="1:31">
      <c r="A6" s="15" t="s">
        <v>819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31">
      <c r="A7" s="15"/>
      <c r="B7" s="15"/>
      <c r="C7" s="15"/>
      <c r="D7" s="15"/>
      <c r="E7" s="6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 t="s">
        <v>823</v>
      </c>
      <c r="X7" s="5"/>
      <c r="Y7" s="5" t="s">
        <v>132</v>
      </c>
      <c r="Z7" s="5"/>
      <c r="AC7" s="16" t="s">
        <v>141</v>
      </c>
      <c r="AE7" s="5"/>
    </row>
    <row r="8" spans="1:31">
      <c r="A8" s="5"/>
      <c r="B8" s="5"/>
      <c r="C8" s="5"/>
      <c r="D8" s="5"/>
      <c r="E8" s="60"/>
      <c r="F8" s="5"/>
      <c r="G8" s="5" t="s">
        <v>90</v>
      </c>
      <c r="H8" s="5"/>
      <c r="I8" s="5" t="s">
        <v>105</v>
      </c>
      <c r="J8" s="5"/>
      <c r="K8" s="5" t="s">
        <v>83</v>
      </c>
      <c r="L8" s="5"/>
      <c r="M8" s="5" t="s">
        <v>3</v>
      </c>
      <c r="N8" s="5"/>
      <c r="O8" s="5"/>
      <c r="P8" s="5"/>
      <c r="Q8" s="5" t="s">
        <v>91</v>
      </c>
      <c r="R8" s="5"/>
      <c r="S8" s="5" t="s">
        <v>3</v>
      </c>
      <c r="T8" s="5"/>
      <c r="U8" s="5" t="s">
        <v>89</v>
      </c>
      <c r="V8" s="5"/>
      <c r="W8" s="5" t="s">
        <v>808</v>
      </c>
      <c r="X8" s="5"/>
      <c r="Y8" s="5" t="s">
        <v>822</v>
      </c>
      <c r="Z8" s="5"/>
      <c r="AA8" s="5" t="s">
        <v>3</v>
      </c>
      <c r="AC8" s="16" t="s">
        <v>142</v>
      </c>
    </row>
    <row r="9" spans="1:31" s="11" customFormat="1">
      <c r="A9" s="1" t="s">
        <v>208</v>
      </c>
      <c r="B9" s="16"/>
      <c r="C9" s="1" t="s">
        <v>4</v>
      </c>
      <c r="D9" s="16"/>
      <c r="E9" s="61" t="s">
        <v>207</v>
      </c>
      <c r="F9" s="5"/>
      <c r="G9" s="1" t="s">
        <v>93</v>
      </c>
      <c r="H9" s="5"/>
      <c r="I9" s="1" t="s">
        <v>88</v>
      </c>
      <c r="J9" s="5"/>
      <c r="K9" s="1" t="s">
        <v>88</v>
      </c>
      <c r="L9" s="5"/>
      <c r="M9" s="1" t="s">
        <v>88</v>
      </c>
      <c r="N9" s="5"/>
      <c r="O9" s="1" t="s">
        <v>94</v>
      </c>
      <c r="P9" s="5"/>
      <c r="Q9" s="1" t="s">
        <v>8</v>
      </c>
      <c r="R9" s="5"/>
      <c r="S9" s="1" t="s">
        <v>94</v>
      </c>
      <c r="T9" s="5"/>
      <c r="U9" s="1" t="s">
        <v>95</v>
      </c>
      <c r="V9" s="5"/>
      <c r="W9" s="1" t="s">
        <v>95</v>
      </c>
      <c r="X9" s="5"/>
      <c r="Y9" s="1" t="s">
        <v>95</v>
      </c>
      <c r="Z9" s="5"/>
      <c r="AA9" s="1" t="s">
        <v>95</v>
      </c>
      <c r="AC9" s="1" t="s">
        <v>143</v>
      </c>
    </row>
    <row r="10" spans="1:31">
      <c r="A10" s="13"/>
      <c r="B10" s="13"/>
      <c r="C10" s="13"/>
      <c r="D10" s="13"/>
      <c r="E10" s="32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31" s="35" customFormat="1">
      <c r="A11" s="34" t="s">
        <v>784</v>
      </c>
      <c r="B11" s="34"/>
      <c r="C11" s="34" t="s">
        <v>44</v>
      </c>
      <c r="D11" s="34"/>
      <c r="E11" s="34">
        <v>45195</v>
      </c>
      <c r="F11" s="70"/>
      <c r="G11" s="35">
        <v>7425503</v>
      </c>
      <c r="I11" s="35">
        <v>0</v>
      </c>
      <c r="K11" s="42">
        <v>138276</v>
      </c>
      <c r="M11" s="35">
        <v>22806866</v>
      </c>
      <c r="O11" s="42">
        <v>0</v>
      </c>
      <c r="Q11" s="35">
        <v>13003336</v>
      </c>
      <c r="S11" s="35">
        <v>18770604</v>
      </c>
      <c r="U11" s="35">
        <f>585821+1873175+138276</f>
        <v>2597272</v>
      </c>
      <c r="W11" s="35">
        <v>0</v>
      </c>
      <c r="Y11" s="35">
        <f>-160323+491896+961302+146115</f>
        <v>1438990</v>
      </c>
      <c r="AA11" s="71">
        <f>U11+W11+Y11</f>
        <v>4036262</v>
      </c>
      <c r="AC11" s="35">
        <v>0</v>
      </c>
    </row>
    <row r="12" spans="1:31">
      <c r="A12" s="13" t="s">
        <v>209</v>
      </c>
      <c r="B12" s="13"/>
      <c r="C12" s="13" t="s">
        <v>210</v>
      </c>
      <c r="D12" s="13"/>
      <c r="E12" s="13">
        <v>61903</v>
      </c>
      <c r="F12" s="11"/>
      <c r="G12" s="8">
        <v>56700943</v>
      </c>
      <c r="I12" s="8">
        <v>0</v>
      </c>
      <c r="K12" s="3">
        <f>M12-G12-I12</f>
        <v>34037110</v>
      </c>
      <c r="M12" s="8">
        <v>90738053</v>
      </c>
      <c r="O12" s="3">
        <f>S12-Q12</f>
        <v>6733827</v>
      </c>
      <c r="Q12" s="8">
        <v>32163707</v>
      </c>
      <c r="S12" s="8">
        <v>38897534</v>
      </c>
      <c r="U12" s="8">
        <v>15900295</v>
      </c>
      <c r="W12" s="8">
        <v>0</v>
      </c>
      <c r="Y12" s="8">
        <v>35940224</v>
      </c>
      <c r="AA12" s="14">
        <f>U12+W12+Y12</f>
        <v>51840519</v>
      </c>
      <c r="AC12" s="8">
        <f>+G12+I12+K12-O12-Q12-Y12-W12-U12</f>
        <v>0</v>
      </c>
    </row>
    <row r="13" spans="1:31">
      <c r="A13" s="13" t="s">
        <v>621</v>
      </c>
      <c r="B13" s="13"/>
      <c r="C13" s="13" t="s">
        <v>58</v>
      </c>
      <c r="D13" s="13"/>
      <c r="E13" s="32">
        <v>49494</v>
      </c>
      <c r="G13" s="8">
        <v>2639458</v>
      </c>
      <c r="I13" s="8">
        <v>0</v>
      </c>
      <c r="K13" s="3">
        <f>M13-G13-I13</f>
        <v>3453015</v>
      </c>
      <c r="M13" s="8">
        <v>6092473</v>
      </c>
      <c r="O13" s="3">
        <f>S13-Q13</f>
        <v>1268409</v>
      </c>
      <c r="Q13" s="8">
        <v>2270309</v>
      </c>
      <c r="S13" s="8">
        <v>3538718</v>
      </c>
      <c r="U13" s="8">
        <v>626846</v>
      </c>
      <c r="W13" s="8">
        <v>0</v>
      </c>
      <c r="Y13" s="8">
        <v>1926909</v>
      </c>
      <c r="AA13" s="14">
        <f>U13+W13+Y13</f>
        <v>2553755</v>
      </c>
      <c r="AC13" s="8">
        <f>+G13+I13+K13-O13-Q13-Y13-W13-U13</f>
        <v>0</v>
      </c>
    </row>
    <row r="14" spans="1:31">
      <c r="A14" s="13" t="s">
        <v>667</v>
      </c>
      <c r="B14" s="13"/>
      <c r="C14" s="13" t="s">
        <v>63</v>
      </c>
      <c r="D14" s="13"/>
      <c r="E14" s="32">
        <v>43489</v>
      </c>
      <c r="G14" s="8">
        <v>177027715</v>
      </c>
      <c r="I14" s="8">
        <v>0</v>
      </c>
      <c r="K14" s="3">
        <f t="shared" ref="K14:K31" si="0">M14-G14-I14</f>
        <v>260456301</v>
      </c>
      <c r="M14" s="8">
        <v>437484016</v>
      </c>
      <c r="O14" s="3">
        <f t="shared" ref="O14:O31" si="1">S14-Q14</f>
        <v>110718334</v>
      </c>
      <c r="Q14" s="8">
        <v>222517767</v>
      </c>
      <c r="S14" s="8">
        <v>333236101</v>
      </c>
      <c r="U14" s="8">
        <v>82686075</v>
      </c>
      <c r="W14" s="8">
        <v>0</v>
      </c>
      <c r="Y14" s="8">
        <v>21561840</v>
      </c>
      <c r="AA14" s="14">
        <f t="shared" ref="AA14:AA77" si="2">U14+W14+Y14</f>
        <v>104247915</v>
      </c>
      <c r="AC14" s="8">
        <f t="shared" ref="AC14:AC77" si="3">+G14+I14+K14-O14-Q14-Y14-W14-U14</f>
        <v>0</v>
      </c>
    </row>
    <row r="15" spans="1:31" hidden="1">
      <c r="A15" s="13" t="s">
        <v>225</v>
      </c>
      <c r="B15" s="13"/>
      <c r="C15" s="13" t="s">
        <v>13</v>
      </c>
      <c r="D15" s="13"/>
      <c r="E15" s="32">
        <v>45906</v>
      </c>
      <c r="G15" s="8">
        <v>0</v>
      </c>
      <c r="I15" s="8">
        <v>0</v>
      </c>
      <c r="K15" s="3">
        <f t="shared" si="0"/>
        <v>0</v>
      </c>
      <c r="M15" s="8">
        <v>0</v>
      </c>
      <c r="O15" s="3">
        <f t="shared" si="1"/>
        <v>0</v>
      </c>
      <c r="Q15" s="8">
        <v>0</v>
      </c>
      <c r="S15" s="8">
        <v>0</v>
      </c>
      <c r="U15" s="8">
        <v>0</v>
      </c>
      <c r="W15" s="8">
        <v>0</v>
      </c>
      <c r="Y15" s="8">
        <v>0</v>
      </c>
      <c r="AA15" s="14">
        <f t="shared" si="2"/>
        <v>0</v>
      </c>
      <c r="AC15" s="8">
        <f t="shared" si="3"/>
        <v>0</v>
      </c>
    </row>
    <row r="16" spans="1:31">
      <c r="A16" s="13" t="s">
        <v>653</v>
      </c>
      <c r="B16" s="13"/>
      <c r="C16" s="13" t="s">
        <v>62</v>
      </c>
      <c r="D16" s="13"/>
      <c r="E16" s="32">
        <v>43497</v>
      </c>
      <c r="G16" s="8">
        <v>7598462</v>
      </c>
      <c r="I16" s="8">
        <v>0</v>
      </c>
      <c r="K16" s="3">
        <f t="shared" si="0"/>
        <v>10443188</v>
      </c>
      <c r="M16" s="8">
        <v>18041650</v>
      </c>
      <c r="O16" s="3">
        <f t="shared" si="1"/>
        <v>4838255</v>
      </c>
      <c r="Q16" s="8">
        <v>9267948</v>
      </c>
      <c r="S16" s="8">
        <v>14106203</v>
      </c>
      <c r="U16" s="8">
        <v>1323740</v>
      </c>
      <c r="W16" s="8">
        <v>0</v>
      </c>
      <c r="Y16" s="8">
        <v>2611707</v>
      </c>
      <c r="AA16" s="14">
        <f t="shared" si="2"/>
        <v>3935447</v>
      </c>
      <c r="AC16" s="8">
        <f t="shared" si="3"/>
        <v>0</v>
      </c>
    </row>
    <row r="17" spans="1:29">
      <c r="A17" s="13" t="s">
        <v>347</v>
      </c>
      <c r="B17" s="13"/>
      <c r="C17" s="13" t="s">
        <v>25</v>
      </c>
      <c r="D17" s="13"/>
      <c r="E17" s="32">
        <v>46847</v>
      </c>
      <c r="G17" s="8">
        <v>2873999</v>
      </c>
      <c r="I17" s="8">
        <v>0</v>
      </c>
      <c r="K17" s="3">
        <f t="shared" si="0"/>
        <v>3238176</v>
      </c>
      <c r="M17" s="8">
        <v>6112175</v>
      </c>
      <c r="O17" s="3">
        <f t="shared" si="1"/>
        <v>1871593</v>
      </c>
      <c r="Q17" s="8">
        <v>2753702</v>
      </c>
      <c r="S17" s="8">
        <v>4625295</v>
      </c>
      <c r="U17" s="8">
        <v>404976</v>
      </c>
      <c r="W17" s="8">
        <v>0</v>
      </c>
      <c r="Y17" s="8">
        <v>1081904</v>
      </c>
      <c r="AA17" s="14">
        <f t="shared" si="2"/>
        <v>1486880</v>
      </c>
      <c r="AC17" s="8">
        <f t="shared" si="3"/>
        <v>0</v>
      </c>
    </row>
    <row r="18" spans="1:29">
      <c r="A18" s="13" t="s">
        <v>646</v>
      </c>
      <c r="B18" s="13"/>
      <c r="C18" s="13" t="s">
        <v>61</v>
      </c>
      <c r="D18" s="13"/>
      <c r="E18" s="32">
        <v>49759</v>
      </c>
      <c r="G18" s="8">
        <v>6133042</v>
      </c>
      <c r="I18" s="8">
        <v>0</v>
      </c>
      <c r="K18" s="3">
        <f t="shared" si="0"/>
        <v>4123670</v>
      </c>
      <c r="M18" s="8">
        <v>10256712</v>
      </c>
      <c r="O18" s="3">
        <f t="shared" si="1"/>
        <v>1157616</v>
      </c>
      <c r="Q18" s="8">
        <v>3513069</v>
      </c>
      <c r="S18" s="8">
        <v>4670685</v>
      </c>
      <c r="U18" s="8">
        <v>549178</v>
      </c>
      <c r="W18" s="8">
        <v>0</v>
      </c>
      <c r="Y18" s="8">
        <v>5036849</v>
      </c>
      <c r="AA18" s="14">
        <f t="shared" si="2"/>
        <v>5586027</v>
      </c>
      <c r="AC18" s="8">
        <f t="shared" si="3"/>
        <v>0</v>
      </c>
    </row>
    <row r="19" spans="1:29">
      <c r="A19" s="13" t="s">
        <v>502</v>
      </c>
      <c r="B19" s="13"/>
      <c r="C19" s="13" t="s">
        <v>118</v>
      </c>
      <c r="D19" s="13"/>
      <c r="E19" s="32">
        <v>48207</v>
      </c>
      <c r="G19" s="8">
        <v>5489376</v>
      </c>
      <c r="I19" s="8">
        <v>0</v>
      </c>
      <c r="K19" s="3">
        <f t="shared" si="0"/>
        <v>26022815</v>
      </c>
      <c r="M19" s="8">
        <v>31512191</v>
      </c>
      <c r="O19" s="3">
        <f t="shared" si="1"/>
        <v>4596667</v>
      </c>
      <c r="Q19" s="8">
        <v>24020590</v>
      </c>
      <c r="S19" s="8">
        <v>28617257</v>
      </c>
      <c r="U19" s="8">
        <v>2757712</v>
      </c>
      <c r="W19" s="8">
        <v>0</v>
      </c>
      <c r="Y19" s="8">
        <v>137222</v>
      </c>
      <c r="AA19" s="14">
        <f t="shared" si="2"/>
        <v>2894934</v>
      </c>
      <c r="AC19" s="8">
        <f t="shared" si="3"/>
        <v>0</v>
      </c>
    </row>
    <row r="20" spans="1:29">
      <c r="A20" s="13" t="s">
        <v>418</v>
      </c>
      <c r="B20" s="13"/>
      <c r="C20" s="13" t="s">
        <v>33</v>
      </c>
      <c r="D20" s="13"/>
      <c r="E20" s="32">
        <v>47415</v>
      </c>
      <c r="G20" s="8">
        <v>2989201</v>
      </c>
      <c r="I20" s="8">
        <v>0</v>
      </c>
      <c r="K20" s="3">
        <f t="shared" si="0"/>
        <v>2458484</v>
      </c>
      <c r="M20" s="8">
        <v>5447685</v>
      </c>
      <c r="O20" s="3">
        <f t="shared" si="1"/>
        <v>721703</v>
      </c>
      <c r="Q20" s="8">
        <v>2021287</v>
      </c>
      <c r="S20" s="8">
        <v>2742990</v>
      </c>
      <c r="U20" s="8">
        <v>151281</v>
      </c>
      <c r="W20" s="8">
        <v>0</v>
      </c>
      <c r="Y20" s="8">
        <v>2553414</v>
      </c>
      <c r="AA20" s="14">
        <f t="shared" si="2"/>
        <v>2704695</v>
      </c>
      <c r="AC20" s="8">
        <f t="shared" si="3"/>
        <v>0</v>
      </c>
    </row>
    <row r="21" spans="1:29" hidden="1">
      <c r="A21" s="13" t="s">
        <v>828</v>
      </c>
      <c r="B21" s="13"/>
      <c r="C21" s="13" t="s">
        <v>21</v>
      </c>
      <c r="D21" s="13"/>
      <c r="E21" s="32">
        <v>46631</v>
      </c>
      <c r="G21" s="8">
        <v>0</v>
      </c>
      <c r="I21" s="8">
        <v>0</v>
      </c>
      <c r="K21" s="3">
        <f t="shared" si="0"/>
        <v>0</v>
      </c>
      <c r="M21" s="8">
        <v>0</v>
      </c>
      <c r="O21" s="3">
        <f t="shared" si="1"/>
        <v>0</v>
      </c>
      <c r="Q21" s="8">
        <v>0</v>
      </c>
      <c r="S21" s="8">
        <v>0</v>
      </c>
      <c r="U21" s="8">
        <v>0</v>
      </c>
      <c r="W21" s="8">
        <v>0</v>
      </c>
      <c r="Y21" s="8">
        <v>0</v>
      </c>
      <c r="AA21" s="14">
        <f t="shared" si="2"/>
        <v>0</v>
      </c>
      <c r="AC21" s="8">
        <f t="shared" si="3"/>
        <v>0</v>
      </c>
    </row>
    <row r="22" spans="1:29">
      <c r="A22" s="13" t="s">
        <v>372</v>
      </c>
      <c r="B22" s="13"/>
      <c r="C22" s="13" t="s">
        <v>28</v>
      </c>
      <c r="D22" s="13"/>
      <c r="E22" s="32">
        <v>47043</v>
      </c>
      <c r="G22" s="8">
        <v>7448165</v>
      </c>
      <c r="I22" s="8">
        <v>0</v>
      </c>
      <c r="K22" s="3">
        <f t="shared" si="0"/>
        <v>7897974</v>
      </c>
      <c r="M22" s="8">
        <v>15346139</v>
      </c>
      <c r="O22" s="3">
        <f t="shared" si="1"/>
        <v>1372686</v>
      </c>
      <c r="Q22" s="8">
        <v>7121600</v>
      </c>
      <c r="S22" s="8">
        <v>8494286</v>
      </c>
      <c r="U22" s="8">
        <v>108193</v>
      </c>
      <c r="W22" s="8">
        <v>0</v>
      </c>
      <c r="Y22" s="8">
        <v>6743660</v>
      </c>
      <c r="AA22" s="14">
        <f t="shared" si="2"/>
        <v>6851853</v>
      </c>
      <c r="AC22" s="8">
        <f t="shared" si="3"/>
        <v>0</v>
      </c>
    </row>
    <row r="23" spans="1:29">
      <c r="A23" s="13" t="s">
        <v>419</v>
      </c>
      <c r="B23" s="13"/>
      <c r="C23" s="13" t="s">
        <v>33</v>
      </c>
      <c r="D23" s="13"/>
      <c r="E23" s="32">
        <v>47423</v>
      </c>
      <c r="G23" s="8">
        <v>3396855</v>
      </c>
      <c r="I23" s="8">
        <v>0</v>
      </c>
      <c r="K23" s="3">
        <f t="shared" si="0"/>
        <v>2035842</v>
      </c>
      <c r="M23" s="8">
        <v>5432697</v>
      </c>
      <c r="O23" s="3">
        <f t="shared" si="1"/>
        <v>659355</v>
      </c>
      <c r="Q23" s="8">
        <v>1357391</v>
      </c>
      <c r="S23" s="8">
        <v>2016746</v>
      </c>
      <c r="U23" s="8">
        <v>386068</v>
      </c>
      <c r="W23" s="8">
        <v>0</v>
      </c>
      <c r="Y23" s="8">
        <v>3029883</v>
      </c>
      <c r="AA23" s="14">
        <f t="shared" si="2"/>
        <v>3415951</v>
      </c>
      <c r="AC23" s="8">
        <f t="shared" si="3"/>
        <v>0</v>
      </c>
    </row>
    <row r="24" spans="1:29">
      <c r="A24" s="13" t="s">
        <v>215</v>
      </c>
      <c r="B24" s="13"/>
      <c r="C24" s="13" t="s">
        <v>11</v>
      </c>
      <c r="D24" s="13"/>
      <c r="E24" s="32">
        <v>43505</v>
      </c>
      <c r="G24" s="8">
        <v>8848333</v>
      </c>
      <c r="I24" s="8">
        <v>0</v>
      </c>
      <c r="K24" s="3">
        <f t="shared" si="0"/>
        <v>17912232</v>
      </c>
      <c r="M24" s="8">
        <v>26760565</v>
      </c>
      <c r="O24" s="3">
        <f t="shared" si="1"/>
        <v>3617327</v>
      </c>
      <c r="Q24" s="8">
        <v>14053012</v>
      </c>
      <c r="S24" s="8">
        <v>17670339</v>
      </c>
      <c r="U24" s="8">
        <f>352065+287478</f>
        <v>639543</v>
      </c>
      <c r="W24" s="8">
        <v>0</v>
      </c>
      <c r="Y24" s="8">
        <f>7587764+214102+620023+3274+25520</f>
        <v>8450683</v>
      </c>
      <c r="AA24" s="14">
        <f t="shared" si="2"/>
        <v>9090226</v>
      </c>
      <c r="AC24" s="8">
        <f t="shared" si="3"/>
        <v>0</v>
      </c>
    </row>
    <row r="25" spans="1:29" hidden="1">
      <c r="A25" s="13" t="s">
        <v>768</v>
      </c>
      <c r="B25" s="13"/>
      <c r="C25" s="13" t="s">
        <v>12</v>
      </c>
      <c r="D25" s="13"/>
      <c r="E25" s="32">
        <v>43513</v>
      </c>
      <c r="G25" s="8">
        <v>0</v>
      </c>
      <c r="I25" s="8">
        <v>0</v>
      </c>
      <c r="K25" s="3">
        <f t="shared" si="0"/>
        <v>0</v>
      </c>
      <c r="M25" s="8">
        <v>0</v>
      </c>
      <c r="O25" s="3">
        <f t="shared" si="1"/>
        <v>0</v>
      </c>
      <c r="Q25" s="8">
        <v>0</v>
      </c>
      <c r="S25" s="8">
        <v>0</v>
      </c>
      <c r="U25" s="8">
        <v>0</v>
      </c>
      <c r="W25" s="8">
        <v>0</v>
      </c>
      <c r="Y25" s="8">
        <v>0</v>
      </c>
      <c r="AA25" s="14">
        <f t="shared" si="2"/>
        <v>0</v>
      </c>
      <c r="AC25" s="8">
        <f t="shared" si="3"/>
        <v>0</v>
      </c>
    </row>
    <row r="26" spans="1:29">
      <c r="A26" s="13" t="s">
        <v>226</v>
      </c>
      <c r="B26" s="13"/>
      <c r="C26" s="13" t="s">
        <v>13</v>
      </c>
      <c r="D26" s="13"/>
      <c r="E26" s="32">
        <v>43521</v>
      </c>
      <c r="G26" s="8">
        <v>12876787</v>
      </c>
      <c r="I26" s="8">
        <v>0</v>
      </c>
      <c r="K26" s="3">
        <f t="shared" si="0"/>
        <v>21552393</v>
      </c>
      <c r="M26" s="8">
        <v>34429180</v>
      </c>
      <c r="O26" s="3">
        <f t="shared" si="1"/>
        <v>3227772</v>
      </c>
      <c r="Q26" s="8">
        <v>20646306</v>
      </c>
      <c r="S26" s="8">
        <v>23874078</v>
      </c>
      <c r="U26" s="8">
        <v>721436</v>
      </c>
      <c r="W26" s="8">
        <v>0</v>
      </c>
      <c r="Y26" s="8">
        <v>9833666</v>
      </c>
      <c r="AA26" s="14">
        <f t="shared" si="2"/>
        <v>10555102</v>
      </c>
      <c r="AC26" s="8">
        <f t="shared" si="3"/>
        <v>0</v>
      </c>
    </row>
    <row r="27" spans="1:29">
      <c r="A27" s="13" t="s">
        <v>595</v>
      </c>
      <c r="B27" s="13"/>
      <c r="C27" s="13" t="s">
        <v>56</v>
      </c>
      <c r="D27" s="13"/>
      <c r="E27" s="32">
        <v>49171</v>
      </c>
      <c r="G27" s="8">
        <v>4350945</v>
      </c>
      <c r="I27" s="8">
        <v>0</v>
      </c>
      <c r="K27" s="3">
        <f t="shared" si="0"/>
        <v>23589786</v>
      </c>
      <c r="M27" s="8">
        <v>27940731</v>
      </c>
      <c r="O27" s="3">
        <f t="shared" si="1"/>
        <v>3766948</v>
      </c>
      <c r="Q27" s="8">
        <v>21604144</v>
      </c>
      <c r="S27" s="8">
        <v>25371092</v>
      </c>
      <c r="U27" s="8">
        <v>1839003</v>
      </c>
      <c r="W27" s="8">
        <v>0</v>
      </c>
      <c r="Y27" s="8">
        <v>730636</v>
      </c>
      <c r="AA27" s="14">
        <f t="shared" si="2"/>
        <v>2569639</v>
      </c>
      <c r="AC27" s="8">
        <f t="shared" si="3"/>
        <v>0</v>
      </c>
    </row>
    <row r="28" spans="1:29">
      <c r="A28" s="13" t="s">
        <v>514</v>
      </c>
      <c r="B28" s="13"/>
      <c r="C28" s="13" t="s">
        <v>45</v>
      </c>
      <c r="D28" s="13"/>
      <c r="E28" s="32">
        <v>48298</v>
      </c>
      <c r="G28" s="8">
        <v>8565090</v>
      </c>
      <c r="I28" s="8">
        <v>0</v>
      </c>
      <c r="K28" s="3">
        <f t="shared" si="0"/>
        <v>22214665</v>
      </c>
      <c r="M28" s="8">
        <v>30779755</v>
      </c>
      <c r="O28" s="3">
        <f t="shared" si="1"/>
        <v>6241398</v>
      </c>
      <c r="Q28" s="8">
        <v>21517445</v>
      </c>
      <c r="S28" s="8">
        <v>27758843</v>
      </c>
      <c r="U28" s="8">
        <v>2364579</v>
      </c>
      <c r="W28" s="8">
        <v>0</v>
      </c>
      <c r="Y28" s="8">
        <v>656333</v>
      </c>
      <c r="AA28" s="14">
        <f t="shared" si="2"/>
        <v>3020912</v>
      </c>
      <c r="AC28" s="8">
        <f t="shared" si="3"/>
        <v>0</v>
      </c>
    </row>
    <row r="29" spans="1:29">
      <c r="A29" s="13" t="s">
        <v>489</v>
      </c>
      <c r="B29" s="13"/>
      <c r="C29" s="13" t="s">
        <v>44</v>
      </c>
      <c r="D29" s="13"/>
      <c r="E29" s="32">
        <v>48124</v>
      </c>
      <c r="G29" s="8">
        <v>19080129</v>
      </c>
      <c r="I29" s="8">
        <v>0</v>
      </c>
      <c r="K29" s="3">
        <f t="shared" si="0"/>
        <v>34880639</v>
      </c>
      <c r="M29" s="8">
        <v>53960768</v>
      </c>
      <c r="O29" s="3">
        <f t="shared" si="1"/>
        <v>4743080</v>
      </c>
      <c r="Q29" s="8">
        <v>31734147</v>
      </c>
      <c r="S29" s="8">
        <v>36477227</v>
      </c>
      <c r="U29" s="8">
        <v>4996419</v>
      </c>
      <c r="W29" s="8">
        <v>0</v>
      </c>
      <c r="Y29" s="8">
        <v>12487122</v>
      </c>
      <c r="AA29" s="14">
        <f t="shared" si="2"/>
        <v>17483541</v>
      </c>
      <c r="AC29" s="8">
        <f t="shared" si="3"/>
        <v>0</v>
      </c>
    </row>
    <row r="30" spans="1:29">
      <c r="A30" s="13" t="s">
        <v>490</v>
      </c>
      <c r="B30" s="13"/>
      <c r="C30" s="13" t="s">
        <v>44</v>
      </c>
      <c r="D30" s="13"/>
      <c r="E30" s="32">
        <v>48116</v>
      </c>
      <c r="G30" s="8">
        <v>16253481</v>
      </c>
      <c r="I30" s="8">
        <v>0</v>
      </c>
      <c r="K30" s="3">
        <f t="shared" si="0"/>
        <v>24921633</v>
      </c>
      <c r="M30" s="8">
        <v>41175114</v>
      </c>
      <c r="O30" s="3">
        <f t="shared" si="1"/>
        <v>9660005</v>
      </c>
      <c r="Q30" s="8">
        <v>21695019</v>
      </c>
      <c r="S30" s="8">
        <v>31355024</v>
      </c>
      <c r="U30" s="8">
        <v>3654595</v>
      </c>
      <c r="W30" s="8">
        <v>0</v>
      </c>
      <c r="Y30" s="8">
        <v>6165495</v>
      </c>
      <c r="AA30" s="14">
        <f t="shared" si="2"/>
        <v>9820090</v>
      </c>
      <c r="AC30" s="8">
        <f t="shared" si="3"/>
        <v>0</v>
      </c>
    </row>
    <row r="31" spans="1:29">
      <c r="A31" s="13" t="s">
        <v>334</v>
      </c>
      <c r="B31" s="13"/>
      <c r="C31" s="13" t="s">
        <v>22</v>
      </c>
      <c r="D31" s="13"/>
      <c r="E31" s="32">
        <v>46706</v>
      </c>
      <c r="G31" s="8">
        <v>3002967</v>
      </c>
      <c r="I31" s="8">
        <v>0</v>
      </c>
      <c r="K31" s="3">
        <f t="shared" si="0"/>
        <v>2996963</v>
      </c>
      <c r="M31" s="8">
        <v>5999930</v>
      </c>
      <c r="O31" s="3">
        <f t="shared" si="1"/>
        <v>1056103</v>
      </c>
      <c r="Q31" s="8">
        <v>2409608</v>
      </c>
      <c r="S31" s="8">
        <v>3465711</v>
      </c>
      <c r="U31" s="8">
        <f>155584+30460+7953+297000+666</f>
        <v>491663</v>
      </c>
      <c r="W31" s="8">
        <v>0</v>
      </c>
      <c r="Y31" s="8">
        <f>1678708+291213+72635</f>
        <v>2042556</v>
      </c>
      <c r="AA31" s="14">
        <f t="shared" si="2"/>
        <v>2534219</v>
      </c>
      <c r="AC31" s="8">
        <f t="shared" si="3"/>
        <v>0</v>
      </c>
    </row>
    <row r="32" spans="1:29">
      <c r="A32" s="13" t="s">
        <v>668</v>
      </c>
      <c r="B32" s="13"/>
      <c r="C32" s="13" t="s">
        <v>63</v>
      </c>
      <c r="D32" s="13"/>
      <c r="E32" s="32">
        <v>43539</v>
      </c>
      <c r="G32" s="8">
        <f>15629462+28105480</f>
        <v>43734942</v>
      </c>
      <c r="I32" s="8">
        <v>894626</v>
      </c>
      <c r="K32" s="3">
        <f t="shared" ref="K32:K47" si="4">+M32-I32-G32</f>
        <v>15512477</v>
      </c>
      <c r="M32" s="8">
        <v>60142045</v>
      </c>
      <c r="O32" s="3">
        <f t="shared" ref="O32:O47" si="5">+S32-Q32</f>
        <v>19036353</v>
      </c>
      <c r="Q32" s="8">
        <v>1409783</v>
      </c>
      <c r="S32" s="8">
        <v>20446136</v>
      </c>
      <c r="U32" s="8">
        <f>674246+52858+20077+1303347+894626+1610749</f>
        <v>4555903</v>
      </c>
      <c r="W32" s="8">
        <v>0</v>
      </c>
      <c r="Y32" s="8">
        <f>3820933+86464+31232609</f>
        <v>35140006</v>
      </c>
      <c r="AA32" s="14">
        <f t="shared" si="2"/>
        <v>39695909</v>
      </c>
      <c r="AC32" s="8">
        <f t="shared" si="3"/>
        <v>0</v>
      </c>
    </row>
    <row r="33" spans="1:29">
      <c r="A33" s="13" t="s">
        <v>831</v>
      </c>
      <c r="B33" s="13"/>
      <c r="C33" s="13" t="s">
        <v>15</v>
      </c>
      <c r="D33" s="13"/>
      <c r="E33" s="32"/>
      <c r="G33" s="8">
        <v>3409419</v>
      </c>
      <c r="I33" s="8">
        <f>8128+25245</f>
        <v>33373</v>
      </c>
      <c r="K33" s="3">
        <f t="shared" si="4"/>
        <v>2649582</v>
      </c>
      <c r="M33" s="8">
        <v>6092374</v>
      </c>
      <c r="O33" s="3">
        <f t="shared" si="5"/>
        <v>1212461</v>
      </c>
      <c r="Q33" s="8">
        <v>2288887</v>
      </c>
      <c r="S33" s="8">
        <v>3501348</v>
      </c>
      <c r="U33" s="8">
        <f>294453+277219</f>
        <v>571672</v>
      </c>
      <c r="W33" s="8">
        <v>0</v>
      </c>
      <c r="Y33" s="8">
        <f>1300397+251123+455247+12587</f>
        <v>2019354</v>
      </c>
      <c r="AA33" s="14">
        <f t="shared" si="2"/>
        <v>2591026</v>
      </c>
      <c r="AC33" s="8">
        <f t="shared" si="3"/>
        <v>0</v>
      </c>
    </row>
    <row r="34" spans="1:29" hidden="1">
      <c r="A34" s="13" t="s">
        <v>270</v>
      </c>
      <c r="B34" s="13"/>
      <c r="C34" s="13" t="s">
        <v>116</v>
      </c>
      <c r="D34" s="13"/>
      <c r="E34" s="32">
        <v>46300</v>
      </c>
      <c r="K34" s="3">
        <f t="shared" si="4"/>
        <v>0</v>
      </c>
      <c r="O34" s="3">
        <f t="shared" si="5"/>
        <v>0</v>
      </c>
      <c r="W34" s="8">
        <v>0</v>
      </c>
      <c r="AA34" s="14">
        <f t="shared" si="2"/>
        <v>0</v>
      </c>
      <c r="AC34" s="8">
        <f t="shared" si="3"/>
        <v>0</v>
      </c>
    </row>
    <row r="35" spans="1:29" hidden="1">
      <c r="A35" s="13" t="s">
        <v>211</v>
      </c>
      <c r="B35" s="13"/>
      <c r="C35" s="13" t="s">
        <v>10</v>
      </c>
      <c r="D35" s="13"/>
      <c r="E35" s="32">
        <v>45765</v>
      </c>
      <c r="K35" s="3">
        <f t="shared" si="4"/>
        <v>0</v>
      </c>
      <c r="O35" s="3">
        <f t="shared" si="5"/>
        <v>0</v>
      </c>
      <c r="W35" s="8">
        <v>0</v>
      </c>
      <c r="AA35" s="14">
        <f t="shared" si="2"/>
        <v>0</v>
      </c>
      <c r="AC35" s="8">
        <f t="shared" si="3"/>
        <v>0</v>
      </c>
    </row>
    <row r="36" spans="1:29">
      <c r="A36" s="13" t="s">
        <v>300</v>
      </c>
      <c r="B36" s="13"/>
      <c r="C36" s="13" t="s">
        <v>20</v>
      </c>
      <c r="D36" s="13"/>
      <c r="E36" s="32">
        <v>43547</v>
      </c>
      <c r="G36" s="8">
        <f>8788721+5128</f>
        <v>8793849</v>
      </c>
      <c r="I36" s="8">
        <v>0</v>
      </c>
      <c r="K36" s="3">
        <f t="shared" si="4"/>
        <v>22821338</v>
      </c>
      <c r="M36" s="8">
        <v>31615187</v>
      </c>
      <c r="O36" s="3">
        <f t="shared" si="5"/>
        <v>4056209</v>
      </c>
      <c r="Q36" s="8">
        <v>19612118</v>
      </c>
      <c r="S36" s="8">
        <v>23668327</v>
      </c>
      <c r="U36" s="8">
        <f>2502305+57651+465+421477</f>
        <v>2981898</v>
      </c>
      <c r="W36" s="8">
        <v>0</v>
      </c>
      <c r="Y36" s="8">
        <f>2159178+426586+2767607-388409</f>
        <v>4964962</v>
      </c>
      <c r="AA36" s="14">
        <f t="shared" si="2"/>
        <v>7946860</v>
      </c>
      <c r="AC36" s="8">
        <f t="shared" si="3"/>
        <v>0</v>
      </c>
    </row>
    <row r="37" spans="1:29">
      <c r="A37" s="13" t="s">
        <v>301</v>
      </c>
      <c r="B37" s="13"/>
      <c r="C37" s="13" t="s">
        <v>20</v>
      </c>
      <c r="D37" s="13"/>
      <c r="E37" s="32">
        <v>43554</v>
      </c>
      <c r="G37" s="8">
        <f>14065174+134873</f>
        <v>14200047</v>
      </c>
      <c r="I37" s="8">
        <v>0</v>
      </c>
      <c r="K37" s="3">
        <f t="shared" si="4"/>
        <v>31849974</v>
      </c>
      <c r="M37" s="8">
        <v>46050021</v>
      </c>
      <c r="O37" s="3">
        <f t="shared" si="5"/>
        <v>4549690</v>
      </c>
      <c r="Q37" s="8">
        <v>24888981</v>
      </c>
      <c r="S37" s="8">
        <v>29438671</v>
      </c>
      <c r="U37" s="8">
        <f>301798+5410014+134873</f>
        <v>5846685</v>
      </c>
      <c r="W37" s="8">
        <v>0</v>
      </c>
      <c r="Y37" s="8">
        <f>8996342+591319+1169474+7530</f>
        <v>10764665</v>
      </c>
      <c r="AA37" s="14">
        <f t="shared" si="2"/>
        <v>16611350</v>
      </c>
      <c r="AC37" s="8">
        <f t="shared" si="3"/>
        <v>0</v>
      </c>
    </row>
    <row r="38" spans="1:29">
      <c r="A38" s="13" t="s">
        <v>282</v>
      </c>
      <c r="B38" s="13"/>
      <c r="C38" s="13" t="s">
        <v>115</v>
      </c>
      <c r="D38" s="13"/>
      <c r="E38" s="32">
        <v>46425</v>
      </c>
      <c r="G38" s="8">
        <v>468091</v>
      </c>
      <c r="I38" s="8">
        <v>0</v>
      </c>
      <c r="K38" s="3">
        <f t="shared" si="4"/>
        <v>6958877</v>
      </c>
      <c r="M38" s="8">
        <v>7426968</v>
      </c>
      <c r="O38" s="3">
        <f t="shared" si="5"/>
        <v>2126409</v>
      </c>
      <c r="Q38" s="8">
        <v>6674624</v>
      </c>
      <c r="S38" s="8">
        <v>8801033</v>
      </c>
      <c r="U38" s="8">
        <f>75617+178989</f>
        <v>254606</v>
      </c>
      <c r="W38" s="8">
        <v>0</v>
      </c>
      <c r="Y38" s="8">
        <f>-1785271+136010+20590</f>
        <v>-1628671</v>
      </c>
      <c r="AA38" s="14">
        <f t="shared" si="2"/>
        <v>-1374065</v>
      </c>
      <c r="AC38" s="8">
        <f t="shared" si="3"/>
        <v>0</v>
      </c>
    </row>
    <row r="39" spans="1:29">
      <c r="A39" s="13" t="s">
        <v>388</v>
      </c>
      <c r="B39" s="13"/>
      <c r="C39" s="13" t="s">
        <v>117</v>
      </c>
      <c r="D39" s="13"/>
      <c r="E39" s="32">
        <v>47241</v>
      </c>
      <c r="G39" s="8">
        <v>41573868</v>
      </c>
      <c r="I39" s="8">
        <v>0</v>
      </c>
      <c r="K39" s="3">
        <f t="shared" si="4"/>
        <v>50159185</v>
      </c>
      <c r="M39" s="8">
        <v>91733053</v>
      </c>
      <c r="O39" s="3">
        <f t="shared" si="5"/>
        <v>11667100</v>
      </c>
      <c r="Q39" s="8">
        <v>44148402</v>
      </c>
      <c r="S39" s="8">
        <v>55815502</v>
      </c>
      <c r="U39" s="8">
        <f>1489515+21763+13447+2745767</f>
        <v>4270492</v>
      </c>
      <c r="W39" s="8">
        <v>0</v>
      </c>
      <c r="Y39" s="8">
        <f>28827338+1572964+1120706+126051</f>
        <v>31647059</v>
      </c>
      <c r="AA39" s="14">
        <f t="shared" si="2"/>
        <v>35917551</v>
      </c>
      <c r="AC39" s="8">
        <f t="shared" si="3"/>
        <v>0</v>
      </c>
    </row>
    <row r="40" spans="1:29">
      <c r="A40" s="13" t="s">
        <v>302</v>
      </c>
      <c r="B40" s="13"/>
      <c r="C40" s="13" t="s">
        <v>20</v>
      </c>
      <c r="D40" s="13"/>
      <c r="E40" s="32">
        <v>43562</v>
      </c>
      <c r="G40" s="8">
        <v>16550576</v>
      </c>
      <c r="I40" s="8">
        <v>0</v>
      </c>
      <c r="K40" s="3">
        <f t="shared" si="4"/>
        <v>35630276</v>
      </c>
      <c r="M40" s="8">
        <v>52180852</v>
      </c>
      <c r="O40" s="3">
        <f t="shared" si="5"/>
        <v>6635593</v>
      </c>
      <c r="Q40" s="8">
        <v>29418992</v>
      </c>
      <c r="S40" s="8">
        <v>36054585</v>
      </c>
      <c r="U40" s="8">
        <f>920928+3784335</f>
        <v>4705263</v>
      </c>
      <c r="W40" s="8">
        <v>0</v>
      </c>
      <c r="Y40" s="8">
        <f>9005149+599251+1898375-81771</f>
        <v>11421004</v>
      </c>
      <c r="AA40" s="14">
        <f t="shared" si="2"/>
        <v>16126267</v>
      </c>
      <c r="AC40" s="8">
        <f t="shared" si="3"/>
        <v>0</v>
      </c>
    </row>
    <row r="41" spans="1:29">
      <c r="A41" s="13" t="s">
        <v>234</v>
      </c>
      <c r="B41" s="13"/>
      <c r="C41" s="13" t="s">
        <v>15</v>
      </c>
      <c r="D41" s="13"/>
      <c r="E41" s="32">
        <v>43570</v>
      </c>
      <c r="G41" s="8">
        <f>1902729+297549</f>
        <v>2200278</v>
      </c>
      <c r="I41" s="8">
        <v>50183</v>
      </c>
      <c r="K41" s="3">
        <f t="shared" si="4"/>
        <v>3962180</v>
      </c>
      <c r="M41" s="8">
        <v>6212641</v>
      </c>
      <c r="O41" s="3">
        <f t="shared" si="5"/>
        <v>2542955</v>
      </c>
      <c r="Q41" s="8">
        <v>3195468</v>
      </c>
      <c r="S41" s="8">
        <v>5738423</v>
      </c>
      <c r="U41" s="8">
        <f>281839+126944+50183</f>
        <v>458966</v>
      </c>
      <c r="W41" s="8">
        <v>0</v>
      </c>
      <c r="Y41" s="8">
        <f>-1430622+1004149+387153+54572</f>
        <v>15252</v>
      </c>
      <c r="AA41" s="14">
        <f t="shared" si="2"/>
        <v>474218</v>
      </c>
      <c r="AC41" s="8">
        <f t="shared" si="3"/>
        <v>0</v>
      </c>
    </row>
    <row r="42" spans="1:29">
      <c r="A42" s="13" t="s">
        <v>448</v>
      </c>
      <c r="B42" s="13"/>
      <c r="C42" s="13" t="s">
        <v>37</v>
      </c>
      <c r="D42" s="13"/>
      <c r="E42" s="32">
        <v>43596</v>
      </c>
      <c r="G42" s="8">
        <v>2846334</v>
      </c>
      <c r="I42" s="8">
        <v>0</v>
      </c>
      <c r="K42" s="3">
        <f t="shared" si="4"/>
        <v>8356606</v>
      </c>
      <c r="M42" s="8">
        <v>11202940</v>
      </c>
      <c r="O42" s="3">
        <f t="shared" si="5"/>
        <v>8062807</v>
      </c>
      <c r="Q42" s="8">
        <v>674197</v>
      </c>
      <c r="S42" s="8">
        <v>8737004</v>
      </c>
      <c r="U42" s="8">
        <f>214038+109700+1366022+27039</f>
        <v>1716799</v>
      </c>
      <c r="W42" s="8">
        <v>0</v>
      </c>
      <c r="Y42" s="8">
        <f>723718-54270+79689</f>
        <v>749137</v>
      </c>
      <c r="AA42" s="14">
        <f t="shared" si="2"/>
        <v>2465936</v>
      </c>
      <c r="AC42" s="8">
        <f t="shared" si="3"/>
        <v>0</v>
      </c>
    </row>
    <row r="43" spans="1:29">
      <c r="A43" s="13" t="s">
        <v>721</v>
      </c>
      <c r="B43" s="13"/>
      <c r="C43" s="13" t="s">
        <v>70</v>
      </c>
      <c r="D43" s="13"/>
      <c r="E43" s="32">
        <v>43604</v>
      </c>
      <c r="G43" s="8">
        <f>1691627+896+2500</f>
        <v>1695023</v>
      </c>
      <c r="I43" s="8">
        <v>281344</v>
      </c>
      <c r="K43" s="3">
        <f t="shared" si="4"/>
        <v>4517351</v>
      </c>
      <c r="M43" s="8">
        <v>6493718</v>
      </c>
      <c r="O43" s="3">
        <f t="shared" si="5"/>
        <v>1543091</v>
      </c>
      <c r="Q43" s="8">
        <v>4285950</v>
      </c>
      <c r="S43" s="8">
        <v>5829041</v>
      </c>
      <c r="U43" s="8">
        <f>102622+2500+75229+63854+22171+195985+1790</f>
        <v>464151</v>
      </c>
      <c r="W43" s="8">
        <v>276911</v>
      </c>
      <c r="Y43" s="8">
        <f>-110608-5331+38019+1535</f>
        <v>-76385</v>
      </c>
      <c r="AA43" s="14">
        <f t="shared" si="2"/>
        <v>664677</v>
      </c>
      <c r="AC43" s="8">
        <f t="shared" si="3"/>
        <v>0</v>
      </c>
    </row>
    <row r="44" spans="1:29">
      <c r="A44" s="13" t="s">
        <v>579</v>
      </c>
      <c r="B44" s="13"/>
      <c r="C44" s="13" t="s">
        <v>53</v>
      </c>
      <c r="D44" s="13"/>
      <c r="E44" s="32">
        <v>48926</v>
      </c>
      <c r="G44" s="8">
        <f>8798606+6095</f>
        <v>8804701</v>
      </c>
      <c r="I44" s="8">
        <v>465969</v>
      </c>
      <c r="K44" s="3">
        <f t="shared" si="4"/>
        <v>9407903</v>
      </c>
      <c r="M44" s="8">
        <v>18678573</v>
      </c>
      <c r="O44" s="3">
        <f t="shared" si="5"/>
        <v>5894673</v>
      </c>
      <c r="Q44" s="8">
        <v>5104484</v>
      </c>
      <c r="S44" s="8">
        <v>10999157</v>
      </c>
      <c r="U44" s="8">
        <f>1164541+47067+597854+16568+17584+448385+548676</f>
        <v>2840675</v>
      </c>
      <c r="W44" s="8">
        <v>0</v>
      </c>
      <c r="Y44" s="8">
        <f>3126491+469879+1242371</f>
        <v>4838741</v>
      </c>
      <c r="AA44" s="14">
        <f t="shared" si="2"/>
        <v>7679416</v>
      </c>
      <c r="AC44" s="8">
        <f t="shared" si="3"/>
        <v>0</v>
      </c>
    </row>
    <row r="45" spans="1:29">
      <c r="A45" s="13" t="s">
        <v>303</v>
      </c>
      <c r="B45" s="13"/>
      <c r="C45" s="13" t="s">
        <v>20</v>
      </c>
      <c r="D45" s="13"/>
      <c r="E45" s="32">
        <v>43612</v>
      </c>
      <c r="G45" s="8">
        <f>35594579+86822</f>
        <v>35681401</v>
      </c>
      <c r="I45" s="8">
        <v>32292</v>
      </c>
      <c r="K45" s="3">
        <f t="shared" si="4"/>
        <v>69059013</v>
      </c>
      <c r="M45" s="8">
        <v>104772706</v>
      </c>
      <c r="O45" s="3">
        <f t="shared" si="5"/>
        <v>13598639</v>
      </c>
      <c r="Q45" s="8">
        <v>58247937</v>
      </c>
      <c r="S45" s="8">
        <v>71846576</v>
      </c>
      <c r="U45" s="8">
        <f>1543391+32292+16656+4459471</f>
        <v>6051810</v>
      </c>
      <c r="W45" s="8">
        <v>0</v>
      </c>
      <c r="Y45" s="8">
        <f>24094592+746651+2890925-857848</f>
        <v>26874320</v>
      </c>
      <c r="AA45" s="14">
        <f t="shared" si="2"/>
        <v>32926130</v>
      </c>
      <c r="AC45" s="8">
        <f t="shared" si="3"/>
        <v>0</v>
      </c>
    </row>
    <row r="46" spans="1:29">
      <c r="A46" s="13" t="s">
        <v>381</v>
      </c>
      <c r="B46" s="13"/>
      <c r="C46" s="13" t="s">
        <v>30</v>
      </c>
      <c r="D46" s="13"/>
      <c r="E46" s="32">
        <v>47167</v>
      </c>
      <c r="G46" s="8">
        <v>3746507</v>
      </c>
      <c r="I46" s="8">
        <v>42009</v>
      </c>
      <c r="K46" s="3">
        <f t="shared" si="4"/>
        <v>5399777</v>
      </c>
      <c r="M46" s="8">
        <v>9188293</v>
      </c>
      <c r="O46" s="3">
        <f t="shared" si="5"/>
        <v>1223645</v>
      </c>
      <c r="Q46" s="8">
        <v>3960843</v>
      </c>
      <c r="S46" s="8">
        <v>5184488</v>
      </c>
      <c r="U46" s="8">
        <f>227758+577507+39468+2541</f>
        <v>847274</v>
      </c>
      <c r="W46" s="8">
        <v>0</v>
      </c>
      <c r="Y46" s="8">
        <f>2300013+51585+804933</f>
        <v>3156531</v>
      </c>
      <c r="AA46" s="14">
        <f t="shared" si="2"/>
        <v>4003805</v>
      </c>
      <c r="AC46" s="8">
        <f t="shared" si="3"/>
        <v>0</v>
      </c>
    </row>
    <row r="47" spans="1:29">
      <c r="A47" s="13" t="s">
        <v>340</v>
      </c>
      <c r="B47" s="13"/>
      <c r="C47" s="13" t="s">
        <v>24</v>
      </c>
      <c r="D47" s="13"/>
      <c r="E47" s="32">
        <v>46789</v>
      </c>
      <c r="G47" s="8">
        <v>5949985</v>
      </c>
      <c r="I47" s="8">
        <v>9902</v>
      </c>
      <c r="K47" s="3">
        <f t="shared" si="4"/>
        <v>8389529</v>
      </c>
      <c r="M47" s="8">
        <v>14349416</v>
      </c>
      <c r="O47" s="3">
        <f t="shared" si="5"/>
        <v>8826637</v>
      </c>
      <c r="Q47" s="8">
        <v>534716</v>
      </c>
      <c r="S47" s="8">
        <v>9361353</v>
      </c>
      <c r="U47" s="8">
        <f>474392+67086+2289+639414+1595+9902</f>
        <v>1194678</v>
      </c>
      <c r="W47" s="8">
        <v>0</v>
      </c>
      <c r="Y47" s="8">
        <f>2751987+262077+779321</f>
        <v>3793385</v>
      </c>
      <c r="AA47" s="14">
        <f t="shared" si="2"/>
        <v>4988063</v>
      </c>
      <c r="AC47" s="8">
        <f t="shared" si="3"/>
        <v>0</v>
      </c>
    </row>
    <row r="48" spans="1:29">
      <c r="A48" s="13" t="s">
        <v>348</v>
      </c>
      <c r="B48" s="13"/>
      <c r="C48" s="13" t="s">
        <v>25</v>
      </c>
      <c r="D48" s="13"/>
      <c r="E48" s="32">
        <v>46854</v>
      </c>
      <c r="G48" s="8">
        <v>3072660</v>
      </c>
      <c r="I48" s="8">
        <v>310212</v>
      </c>
      <c r="K48" s="3">
        <f t="shared" ref="K48:K80" si="6">M48-G48-I48</f>
        <v>3377302</v>
      </c>
      <c r="M48" s="8">
        <v>6760174</v>
      </c>
      <c r="O48" s="3">
        <f t="shared" ref="O48:O80" si="7">S48-Q48</f>
        <v>1010475</v>
      </c>
      <c r="Q48" s="8">
        <v>2762403</v>
      </c>
      <c r="S48" s="8">
        <v>3772878</v>
      </c>
      <c r="U48" s="8">
        <f>95564+253593+51421+158791+100000</f>
        <v>659369</v>
      </c>
      <c r="W48" s="8">
        <v>0</v>
      </c>
      <c r="Y48" s="8">
        <f>1334027+168557+825343</f>
        <v>2327927</v>
      </c>
      <c r="AA48" s="14">
        <f t="shared" si="2"/>
        <v>2987296</v>
      </c>
      <c r="AC48" s="8">
        <f t="shared" si="3"/>
        <v>0</v>
      </c>
    </row>
    <row r="49" spans="1:34">
      <c r="A49" s="13" t="s">
        <v>543</v>
      </c>
      <c r="B49" s="13"/>
      <c r="C49" s="13" t="s">
        <v>48</v>
      </c>
      <c r="D49" s="13"/>
      <c r="E49" s="32">
        <v>48611</v>
      </c>
      <c r="G49" s="8">
        <v>2814463</v>
      </c>
      <c r="I49" s="8">
        <v>33271</v>
      </c>
      <c r="K49" s="3">
        <f t="shared" si="6"/>
        <v>3656929</v>
      </c>
      <c r="M49" s="8">
        <v>6504663</v>
      </c>
      <c r="O49" s="3">
        <f t="shared" si="7"/>
        <v>728106</v>
      </c>
      <c r="Q49" s="8">
        <v>3462622</v>
      </c>
      <c r="S49" s="8">
        <v>4190728</v>
      </c>
      <c r="U49" s="8">
        <f>270711+9215+151844+33271</f>
        <v>465041</v>
      </c>
      <c r="W49" s="8">
        <v>0</v>
      </c>
      <c r="Y49" s="8">
        <f>1253377+112488+482413+616</f>
        <v>1848894</v>
      </c>
      <c r="AA49" s="14">
        <f t="shared" si="2"/>
        <v>2313935</v>
      </c>
      <c r="AC49" s="8">
        <f t="shared" si="3"/>
        <v>0</v>
      </c>
    </row>
    <row r="50" spans="1:34">
      <c r="A50" s="13" t="s">
        <v>271</v>
      </c>
      <c r="B50" s="13"/>
      <c r="C50" s="13" t="s">
        <v>116</v>
      </c>
      <c r="D50" s="13"/>
      <c r="E50" s="32">
        <v>46318</v>
      </c>
      <c r="G50" s="8">
        <v>3202848</v>
      </c>
      <c r="I50" s="8">
        <f>347954+502174+137680</f>
        <v>987808</v>
      </c>
      <c r="K50" s="3">
        <f t="shared" si="6"/>
        <v>3829043</v>
      </c>
      <c r="M50" s="8">
        <v>8019699</v>
      </c>
      <c r="O50" s="3">
        <f t="shared" si="7"/>
        <v>1871653</v>
      </c>
      <c r="Q50" s="8">
        <v>3447497</v>
      </c>
      <c r="S50" s="8">
        <v>5319150</v>
      </c>
      <c r="U50" s="8">
        <f>229446+351200+347954</f>
        <v>928600</v>
      </c>
      <c r="W50" s="8">
        <v>0</v>
      </c>
      <c r="Y50" s="8">
        <f>4091+579897+951227+236734</f>
        <v>1771949</v>
      </c>
      <c r="AA50" s="14">
        <f t="shared" si="2"/>
        <v>2700549</v>
      </c>
      <c r="AC50" s="8">
        <f t="shared" si="3"/>
        <v>0</v>
      </c>
    </row>
    <row r="51" spans="1:34" hidden="1">
      <c r="A51" s="13" t="s">
        <v>640</v>
      </c>
      <c r="B51" s="13"/>
      <c r="C51" s="13" t="s">
        <v>60</v>
      </c>
      <c r="D51" s="13"/>
      <c r="E51" s="32">
        <v>49692</v>
      </c>
      <c r="G51" s="8">
        <v>0</v>
      </c>
      <c r="I51" s="8">
        <v>0</v>
      </c>
      <c r="K51" s="3">
        <f t="shared" si="6"/>
        <v>0</v>
      </c>
      <c r="M51" s="8">
        <v>0</v>
      </c>
      <c r="O51" s="3">
        <f t="shared" si="7"/>
        <v>0</v>
      </c>
      <c r="Q51" s="8">
        <v>0</v>
      </c>
      <c r="S51" s="8">
        <v>0</v>
      </c>
      <c r="U51" s="8">
        <v>0</v>
      </c>
      <c r="W51" s="8">
        <v>0</v>
      </c>
      <c r="Y51" s="8">
        <v>0</v>
      </c>
      <c r="AA51" s="14">
        <f t="shared" si="2"/>
        <v>0</v>
      </c>
      <c r="AC51" s="8">
        <f t="shared" si="3"/>
        <v>0</v>
      </c>
    </row>
    <row r="52" spans="1:34">
      <c r="A52" s="13" t="s">
        <v>356</v>
      </c>
      <c r="B52" s="13"/>
      <c r="C52" s="13" t="s">
        <v>27</v>
      </c>
      <c r="D52" s="13"/>
      <c r="E52" s="32">
        <v>43620</v>
      </c>
      <c r="G52" s="8">
        <v>21794140</v>
      </c>
      <c r="I52" s="8">
        <v>0</v>
      </c>
      <c r="K52" s="3">
        <f t="shared" si="6"/>
        <v>19910995</v>
      </c>
      <c r="M52" s="8">
        <v>41705135</v>
      </c>
      <c r="O52" s="3">
        <f t="shared" si="7"/>
        <v>4266615</v>
      </c>
      <c r="Q52" s="8">
        <v>13653357</v>
      </c>
      <c r="S52" s="8">
        <v>17919972</v>
      </c>
      <c r="U52" s="8">
        <f>6849004+1223158+24383</f>
        <v>8096545</v>
      </c>
      <c r="W52" s="8">
        <v>0</v>
      </c>
      <c r="Y52" s="8">
        <f>13719209+147648+1281080+540681</f>
        <v>15688618</v>
      </c>
      <c r="AA52" s="14">
        <f t="shared" si="2"/>
        <v>23785163</v>
      </c>
      <c r="AC52" s="8">
        <f t="shared" si="3"/>
        <v>0</v>
      </c>
    </row>
    <row r="53" spans="1:34">
      <c r="A53" s="13" t="s">
        <v>336</v>
      </c>
      <c r="B53" s="13"/>
      <c r="C53" s="13" t="s">
        <v>23</v>
      </c>
      <c r="D53" s="13"/>
      <c r="E53" s="32">
        <v>46748</v>
      </c>
      <c r="G53" s="8">
        <v>4838344</v>
      </c>
      <c r="I53" s="8">
        <v>0</v>
      </c>
      <c r="K53" s="3">
        <f t="shared" si="6"/>
        <v>16993960</v>
      </c>
      <c r="M53" s="8">
        <v>21832304</v>
      </c>
      <c r="O53" s="3">
        <f t="shared" si="7"/>
        <v>3618697</v>
      </c>
      <c r="Q53" s="8">
        <v>12693998</v>
      </c>
      <c r="S53" s="8">
        <v>16312695</v>
      </c>
      <c r="U53" s="8">
        <f>2380331+224664</f>
        <v>2604995</v>
      </c>
      <c r="W53" s="8">
        <v>0</v>
      </c>
      <c r="Y53" s="8">
        <f>64241+1107110+1822402-79139</f>
        <v>2914614</v>
      </c>
      <c r="AA53" s="14">
        <f t="shared" si="2"/>
        <v>5519609</v>
      </c>
      <c r="AC53" s="8">
        <f t="shared" si="3"/>
        <v>0</v>
      </c>
    </row>
    <row r="54" spans="1:34">
      <c r="A54" s="13" t="s">
        <v>531</v>
      </c>
      <c r="B54" s="13"/>
      <c r="C54" s="13" t="s">
        <v>47</v>
      </c>
      <c r="D54" s="13"/>
      <c r="E54" s="32">
        <v>48462</v>
      </c>
      <c r="G54" s="8">
        <v>3405231</v>
      </c>
      <c r="I54" s="8">
        <v>38225</v>
      </c>
      <c r="K54" s="3">
        <f t="shared" si="6"/>
        <v>5607419</v>
      </c>
      <c r="M54" s="8">
        <v>9050875</v>
      </c>
      <c r="O54" s="3">
        <f t="shared" si="7"/>
        <v>7152050</v>
      </c>
      <c r="Q54" s="8">
        <v>359306</v>
      </c>
      <c r="S54" s="8">
        <v>7511356</v>
      </c>
      <c r="U54" s="8">
        <f>3286282+8158+34648+532610+468125+969151+38225</f>
        <v>5337199</v>
      </c>
      <c r="W54" s="8">
        <v>0</v>
      </c>
      <c r="Y54" s="8">
        <f>-888073-2705626-203981</f>
        <v>-3797680</v>
      </c>
      <c r="AA54" s="14">
        <f t="shared" si="2"/>
        <v>1539519</v>
      </c>
      <c r="AC54" s="8">
        <f t="shared" si="3"/>
        <v>0</v>
      </c>
    </row>
    <row r="55" spans="1:34">
      <c r="A55" s="13" t="s">
        <v>278</v>
      </c>
      <c r="B55" s="13"/>
      <c r="C55" s="13" t="s">
        <v>18</v>
      </c>
      <c r="D55" s="13"/>
      <c r="E55" s="32">
        <v>46383</v>
      </c>
      <c r="G55" s="8">
        <v>2193873</v>
      </c>
      <c r="I55" s="8">
        <v>385850</v>
      </c>
      <c r="K55" s="3">
        <f t="shared" si="6"/>
        <v>3959035</v>
      </c>
      <c r="M55" s="8">
        <v>6538758</v>
      </c>
      <c r="O55" s="3">
        <f t="shared" si="7"/>
        <v>2011789</v>
      </c>
      <c r="Q55" s="8">
        <v>3494889</v>
      </c>
      <c r="S55" s="8">
        <v>5506678</v>
      </c>
      <c r="U55" s="8">
        <f>73895+7310+294298+385850</f>
        <v>761353</v>
      </c>
      <c r="W55" s="8">
        <v>0</v>
      </c>
      <c r="Y55" s="8">
        <f>-179532+49610+350031+50618</f>
        <v>270727</v>
      </c>
      <c r="AA55" s="14">
        <f t="shared" si="2"/>
        <v>1032080</v>
      </c>
      <c r="AC55" s="8">
        <f t="shared" si="3"/>
        <v>0</v>
      </c>
    </row>
    <row r="56" spans="1:34">
      <c r="A56" s="13" t="s">
        <v>349</v>
      </c>
      <c r="B56" s="13"/>
      <c r="C56" s="13" t="s">
        <v>25</v>
      </c>
      <c r="D56" s="13"/>
      <c r="E56" s="32">
        <v>46862</v>
      </c>
      <c r="G56" s="8">
        <v>1872434</v>
      </c>
      <c r="I56" s="8">
        <v>34180</v>
      </c>
      <c r="K56" s="3">
        <f t="shared" si="6"/>
        <v>6895476</v>
      </c>
      <c r="M56" s="8">
        <v>8802090</v>
      </c>
      <c r="O56" s="3">
        <f t="shared" si="7"/>
        <v>1642129</v>
      </c>
      <c r="Q56" s="8">
        <v>4872513</v>
      </c>
      <c r="S56" s="8">
        <v>6514642</v>
      </c>
      <c r="U56" s="8">
        <f>59388+619009+41303+27905+6275+10000</f>
        <v>763880</v>
      </c>
      <c r="W56" s="8">
        <v>0</v>
      </c>
      <c r="Y56" s="8">
        <f>1501841+9495+182+12050</f>
        <v>1523568</v>
      </c>
      <c r="AA56" s="14">
        <f t="shared" si="2"/>
        <v>2287448</v>
      </c>
      <c r="AC56" s="8">
        <f t="shared" si="3"/>
        <v>0</v>
      </c>
    </row>
    <row r="57" spans="1:34">
      <c r="A57" s="13" t="s">
        <v>680</v>
      </c>
      <c r="B57" s="13"/>
      <c r="C57" s="13" t="s">
        <v>64</v>
      </c>
      <c r="D57" s="13"/>
      <c r="E57" s="32">
        <v>50096</v>
      </c>
      <c r="G57" s="8">
        <v>935986</v>
      </c>
      <c r="I57" s="8">
        <v>16949</v>
      </c>
      <c r="K57" s="3">
        <f t="shared" si="6"/>
        <v>1559609</v>
      </c>
      <c r="M57" s="8">
        <v>2512544</v>
      </c>
      <c r="O57" s="3">
        <f t="shared" si="7"/>
        <v>1610322</v>
      </c>
      <c r="Q57" s="8">
        <v>182770</v>
      </c>
      <c r="S57" s="8">
        <v>1793092</v>
      </c>
      <c r="U57" s="8">
        <f>8017+1202+4856+11224+13233+3716</f>
        <v>42248</v>
      </c>
      <c r="W57" s="8">
        <v>0</v>
      </c>
      <c r="Y57" s="8">
        <f>500579+110345+66280</f>
        <v>677204</v>
      </c>
      <c r="AA57" s="14">
        <f t="shared" si="2"/>
        <v>719452</v>
      </c>
      <c r="AC57" s="8">
        <f t="shared" si="3"/>
        <v>0</v>
      </c>
    </row>
    <row r="58" spans="1:34">
      <c r="A58" s="13" t="s">
        <v>631</v>
      </c>
      <c r="B58" s="13"/>
      <c r="C58" s="13" t="s">
        <v>59</v>
      </c>
      <c r="D58" s="13"/>
      <c r="E58" s="32">
        <v>49593</v>
      </c>
      <c r="G58" s="8">
        <v>1783537</v>
      </c>
      <c r="I58" s="8">
        <v>112838</v>
      </c>
      <c r="K58" s="3">
        <f>M58-G58-I58</f>
        <v>1549522</v>
      </c>
      <c r="M58" s="8">
        <v>3445897</v>
      </c>
      <c r="O58" s="3">
        <f>S58-Q58</f>
        <v>1243055</v>
      </c>
      <c r="Q58" s="8">
        <v>1300159</v>
      </c>
      <c r="S58" s="8">
        <v>2543214</v>
      </c>
      <c r="U58" s="8">
        <f>89547+49649+14353+84734+10723+3028</f>
        <v>252034</v>
      </c>
      <c r="W58" s="8">
        <v>0</v>
      </c>
      <c r="Y58" s="8">
        <f>-108055+127915+372908+257881</f>
        <v>650649</v>
      </c>
      <c r="AA58" s="14">
        <f>U58+W58+Y58</f>
        <v>902683</v>
      </c>
      <c r="AC58" s="8">
        <f>+G58+I58+K58-O58-Q58-Y58-W58-U58</f>
        <v>0</v>
      </c>
    </row>
    <row r="59" spans="1:34" hidden="1">
      <c r="A59" s="13" t="s">
        <v>916</v>
      </c>
      <c r="B59" s="13"/>
      <c r="C59" s="13" t="s">
        <v>10</v>
      </c>
      <c r="D59" s="13"/>
      <c r="E59" s="32">
        <v>49593</v>
      </c>
      <c r="G59" s="8">
        <v>0</v>
      </c>
      <c r="I59" s="8">
        <v>0</v>
      </c>
      <c r="K59" s="3">
        <f t="shared" si="6"/>
        <v>0</v>
      </c>
      <c r="M59" s="8">
        <v>0</v>
      </c>
      <c r="O59" s="3">
        <f t="shared" si="7"/>
        <v>0</v>
      </c>
      <c r="Q59" s="8">
        <v>0</v>
      </c>
      <c r="S59" s="8">
        <v>0</v>
      </c>
      <c r="U59" s="8">
        <v>0</v>
      </c>
      <c r="W59" s="8">
        <v>0</v>
      </c>
      <c r="Y59" s="8">
        <v>0</v>
      </c>
      <c r="AA59" s="14">
        <f t="shared" si="2"/>
        <v>0</v>
      </c>
      <c r="AC59" s="8">
        <f t="shared" si="3"/>
        <v>0</v>
      </c>
      <c r="AE59" s="8" t="s">
        <v>917</v>
      </c>
    </row>
    <row r="60" spans="1:34">
      <c r="A60" s="13" t="s">
        <v>515</v>
      </c>
      <c r="B60" s="13"/>
      <c r="C60" s="13" t="s">
        <v>45</v>
      </c>
      <c r="D60" s="13"/>
      <c r="E60" s="32">
        <v>48306</v>
      </c>
      <c r="G60" s="8">
        <v>15089281</v>
      </c>
      <c r="I60" s="8">
        <v>696775</v>
      </c>
      <c r="K60" s="3">
        <f t="shared" si="6"/>
        <v>30157844</v>
      </c>
      <c r="M60" s="8">
        <v>45943900</v>
      </c>
      <c r="O60" s="3">
        <f t="shared" si="7"/>
        <v>5983207</v>
      </c>
      <c r="Q60" s="8">
        <v>29980501</v>
      </c>
      <c r="S60" s="8">
        <v>35963708</v>
      </c>
      <c r="U60" s="8">
        <f>639088+462877+233898</f>
        <v>1335863</v>
      </c>
      <c r="W60" s="8">
        <v>0</v>
      </c>
      <c r="Y60" s="8">
        <f>7779445+215507+649377</f>
        <v>8644329</v>
      </c>
      <c r="AA60" s="14">
        <f t="shared" si="2"/>
        <v>9980192</v>
      </c>
      <c r="AC60" s="8">
        <f t="shared" si="3"/>
        <v>0</v>
      </c>
    </row>
    <row r="61" spans="1:34">
      <c r="A61" s="13" t="s">
        <v>647</v>
      </c>
      <c r="B61" s="13"/>
      <c r="C61" s="13" t="s">
        <v>61</v>
      </c>
      <c r="D61" s="13"/>
      <c r="E61" s="32">
        <v>49767</v>
      </c>
      <c r="G61" s="8">
        <v>1680314</v>
      </c>
      <c r="I61" s="8">
        <v>33355</v>
      </c>
      <c r="K61" s="3">
        <f t="shared" si="6"/>
        <v>1042156</v>
      </c>
      <c r="M61" s="8">
        <v>2755825</v>
      </c>
      <c r="O61" s="3">
        <f t="shared" si="7"/>
        <v>470592</v>
      </c>
      <c r="Q61" s="8">
        <v>917664</v>
      </c>
      <c r="S61" s="8">
        <v>1388256</v>
      </c>
      <c r="U61" s="8">
        <f>10753+62386+33355</f>
        <v>106494</v>
      </c>
      <c r="W61" s="8">
        <v>0</v>
      </c>
      <c r="Y61" s="8">
        <f>310631+138954+780618+30872</f>
        <v>1261075</v>
      </c>
      <c r="AA61" s="14">
        <f t="shared" si="2"/>
        <v>1367569</v>
      </c>
      <c r="AC61" s="8">
        <f t="shared" si="3"/>
        <v>0</v>
      </c>
    </row>
    <row r="62" spans="1:34">
      <c r="A62" s="13" t="s">
        <v>739</v>
      </c>
      <c r="B62" s="13"/>
      <c r="C62" s="13" t="s">
        <v>72</v>
      </c>
      <c r="D62" s="13"/>
      <c r="E62" s="32">
        <v>43638</v>
      </c>
      <c r="G62" s="8">
        <v>11385970</v>
      </c>
      <c r="I62" s="8">
        <v>0</v>
      </c>
      <c r="K62" s="3">
        <f t="shared" si="6"/>
        <v>46879774</v>
      </c>
      <c r="M62" s="8">
        <v>58265744</v>
      </c>
      <c r="O62" s="3">
        <f t="shared" si="7"/>
        <v>4699779</v>
      </c>
      <c r="Q62" s="8">
        <v>14778138</v>
      </c>
      <c r="S62" s="8">
        <v>19477917</v>
      </c>
      <c r="U62" s="8">
        <f>20527655+67866+116586+54472+2737031</f>
        <v>23503610</v>
      </c>
      <c r="W62" s="8">
        <v>0</v>
      </c>
      <c r="Y62" s="8">
        <f>6648090+2012378+4948418+1667395+7936</f>
        <v>15284217</v>
      </c>
      <c r="AA62" s="14">
        <f t="shared" si="2"/>
        <v>38787827</v>
      </c>
      <c r="AC62" s="8">
        <f t="shared" si="3"/>
        <v>0</v>
      </c>
    </row>
    <row r="63" spans="1:34" hidden="1">
      <c r="A63" s="13" t="s">
        <v>922</v>
      </c>
      <c r="B63" s="13"/>
      <c r="C63" s="13" t="s">
        <v>48</v>
      </c>
      <c r="D63" s="13"/>
      <c r="E63" s="32">
        <v>43646</v>
      </c>
      <c r="G63" s="8">
        <v>0</v>
      </c>
      <c r="I63" s="8">
        <v>0</v>
      </c>
      <c r="K63" s="3">
        <f>M63-G63-I63</f>
        <v>0</v>
      </c>
      <c r="M63" s="8">
        <v>0</v>
      </c>
      <c r="O63" s="3">
        <f>S63-Q63</f>
        <v>0</v>
      </c>
      <c r="Q63" s="8">
        <v>0</v>
      </c>
      <c r="S63" s="8">
        <v>0</v>
      </c>
      <c r="U63" s="8">
        <v>0</v>
      </c>
      <c r="W63" s="8">
        <v>0</v>
      </c>
      <c r="Y63" s="8">
        <v>0</v>
      </c>
      <c r="AA63" s="14">
        <f>U63+W63+Y63</f>
        <v>0</v>
      </c>
      <c r="AC63" s="8">
        <f>+G63+I63+K63-O63-Q63-Y63-W63-U63</f>
        <v>0</v>
      </c>
      <c r="AH63" s="8" t="s">
        <v>917</v>
      </c>
    </row>
    <row r="64" spans="1:34">
      <c r="A64" s="12" t="s">
        <v>984</v>
      </c>
      <c r="B64" s="13"/>
      <c r="C64" s="13" t="s">
        <v>20</v>
      </c>
      <c r="D64" s="13"/>
      <c r="E64" s="32">
        <v>43646</v>
      </c>
      <c r="G64" s="8">
        <v>21262769</v>
      </c>
      <c r="I64" s="8">
        <v>0</v>
      </c>
      <c r="K64" s="3">
        <f t="shared" si="6"/>
        <v>40172709</v>
      </c>
      <c r="M64" s="8">
        <v>61435478</v>
      </c>
      <c r="O64" s="3">
        <f t="shared" si="7"/>
        <v>6700035</v>
      </c>
      <c r="Q64" s="8">
        <v>31899097</v>
      </c>
      <c r="S64" s="8">
        <v>38599132</v>
      </c>
      <c r="U64" s="8">
        <f>684762+7694589+300000</f>
        <v>8679351</v>
      </c>
      <c r="W64" s="8">
        <v>0</v>
      </c>
      <c r="Y64" s="8">
        <f>9542029+559504+3072067+983395</f>
        <v>14156995</v>
      </c>
      <c r="AA64" s="14">
        <f t="shared" si="2"/>
        <v>22836346</v>
      </c>
      <c r="AC64" s="8">
        <f t="shared" si="3"/>
        <v>0</v>
      </c>
    </row>
    <row r="65" spans="1:31">
      <c r="A65" s="13" t="s">
        <v>235</v>
      </c>
      <c r="B65" s="13"/>
      <c r="C65" s="13" t="s">
        <v>15</v>
      </c>
      <c r="D65" s="13"/>
      <c r="E65" s="32">
        <v>45237</v>
      </c>
      <c r="G65" s="8">
        <f>1010613+11685+922695</f>
        <v>1944993</v>
      </c>
      <c r="I65" s="8">
        <v>31648</v>
      </c>
      <c r="K65" s="3">
        <f t="shared" si="6"/>
        <v>2362890</v>
      </c>
      <c r="M65" s="8">
        <v>4339531</v>
      </c>
      <c r="O65" s="3">
        <f t="shared" si="7"/>
        <v>2539636</v>
      </c>
      <c r="Q65" s="8">
        <v>645877</v>
      </c>
      <c r="S65" s="8">
        <v>3185513</v>
      </c>
      <c r="U65" s="8">
        <f>212684+21190+2466+201276+95199+31648</f>
        <v>564463</v>
      </c>
      <c r="W65" s="8">
        <v>0</v>
      </c>
      <c r="Y65" s="8">
        <f>-652375-64693+1306623</f>
        <v>589555</v>
      </c>
      <c r="AA65" s="14">
        <f t="shared" si="2"/>
        <v>1154018</v>
      </c>
      <c r="AC65" s="8">
        <f t="shared" si="3"/>
        <v>0</v>
      </c>
    </row>
    <row r="66" spans="1:31">
      <c r="A66" s="13" t="s">
        <v>439</v>
      </c>
      <c r="B66" s="13"/>
      <c r="C66" s="13" t="s">
        <v>440</v>
      </c>
      <c r="D66" s="13"/>
      <c r="E66" s="32">
        <v>47613</v>
      </c>
      <c r="G66" s="8">
        <v>3360487</v>
      </c>
      <c r="I66" s="8">
        <v>31332</v>
      </c>
      <c r="K66" s="3">
        <f t="shared" si="6"/>
        <v>1726505</v>
      </c>
      <c r="M66" s="8">
        <v>5118324</v>
      </c>
      <c r="O66" s="3">
        <f t="shared" si="7"/>
        <v>1218874</v>
      </c>
      <c r="Q66" s="8">
        <v>1490959</v>
      </c>
      <c r="S66" s="8">
        <v>2709833</v>
      </c>
      <c r="U66" s="8">
        <f>262737+42268+22449+8883</f>
        <v>336337</v>
      </c>
      <c r="W66" s="8">
        <v>0</v>
      </c>
      <c r="Y66" s="8">
        <f>869188+208863+679601+314502</f>
        <v>2072154</v>
      </c>
      <c r="AA66" s="14">
        <f t="shared" si="2"/>
        <v>2408491</v>
      </c>
      <c r="AC66" s="8">
        <f t="shared" si="3"/>
        <v>0</v>
      </c>
    </row>
    <row r="67" spans="1:31">
      <c r="A67" s="13" t="s">
        <v>681</v>
      </c>
      <c r="B67" s="13"/>
      <c r="C67" s="13" t="s">
        <v>64</v>
      </c>
      <c r="D67" s="13"/>
      <c r="E67" s="32">
        <v>50112</v>
      </c>
      <c r="G67" s="8">
        <v>1911308</v>
      </c>
      <c r="I67" s="8">
        <v>150921</v>
      </c>
      <c r="K67" s="3">
        <f t="shared" si="6"/>
        <v>2858804</v>
      </c>
      <c r="M67" s="8">
        <v>4921033</v>
      </c>
      <c r="O67" s="3">
        <f t="shared" si="7"/>
        <v>3174357</v>
      </c>
      <c r="Q67" s="8">
        <v>293119</v>
      </c>
      <c r="S67" s="8">
        <v>3467476</v>
      </c>
      <c r="U67" s="8">
        <f>60264+3030+9830+6739+150921+65784</f>
        <v>296568</v>
      </c>
      <c r="W67" s="8">
        <v>0</v>
      </c>
      <c r="Y67" s="8">
        <f>784399+181730+190860</f>
        <v>1156989</v>
      </c>
      <c r="AA67" s="14">
        <f t="shared" si="2"/>
        <v>1453557</v>
      </c>
      <c r="AC67" s="8">
        <f t="shared" si="3"/>
        <v>0</v>
      </c>
    </row>
    <row r="68" spans="1:31">
      <c r="A68" s="13" t="s">
        <v>682</v>
      </c>
      <c r="B68" s="13"/>
      <c r="C68" s="13" t="s">
        <v>64</v>
      </c>
      <c r="D68" s="13"/>
      <c r="E68" s="32">
        <v>50120</v>
      </c>
      <c r="G68" s="8">
        <v>4317414</v>
      </c>
      <c r="I68" s="8">
        <v>0</v>
      </c>
      <c r="K68" s="3">
        <f t="shared" si="6"/>
        <v>35771655</v>
      </c>
      <c r="M68" s="8">
        <v>40089069</v>
      </c>
      <c r="O68" s="3">
        <f t="shared" si="7"/>
        <v>5154810</v>
      </c>
      <c r="Q68" s="8">
        <v>18378035</v>
      </c>
      <c r="S68" s="8">
        <v>23532845</v>
      </c>
      <c r="U68" s="8">
        <f>1250+14686+285845</f>
        <v>301781</v>
      </c>
      <c r="W68" s="8">
        <v>0</v>
      </c>
      <c r="Y68" s="8">
        <f>16919793+169671-835021</f>
        <v>16254443</v>
      </c>
      <c r="AA68" s="14">
        <f t="shared" si="2"/>
        <v>16556224</v>
      </c>
      <c r="AC68" s="8">
        <f t="shared" si="3"/>
        <v>0</v>
      </c>
    </row>
    <row r="69" spans="1:31">
      <c r="A69" s="13" t="s">
        <v>305</v>
      </c>
      <c r="B69" s="13"/>
      <c r="C69" s="13" t="s">
        <v>20</v>
      </c>
      <c r="D69" s="13"/>
      <c r="E69" s="32">
        <v>43653</v>
      </c>
      <c r="G69" s="8">
        <v>1120475</v>
      </c>
      <c r="I69" s="8">
        <v>10783</v>
      </c>
      <c r="K69" s="3">
        <f t="shared" si="6"/>
        <v>11063007</v>
      </c>
      <c r="M69" s="8">
        <v>12194265</v>
      </c>
      <c r="O69" s="3">
        <f t="shared" si="7"/>
        <v>1661181</v>
      </c>
      <c r="Q69" s="8">
        <v>9429555</v>
      </c>
      <c r="S69" s="8">
        <v>11090736</v>
      </c>
      <c r="U69" s="8">
        <f>100+1530921+10783</f>
        <v>1541804</v>
      </c>
      <c r="W69" s="8">
        <v>0</v>
      </c>
      <c r="Y69" s="8">
        <f>324277+17888-780440</f>
        <v>-438275</v>
      </c>
      <c r="AA69" s="14">
        <f t="shared" si="2"/>
        <v>1103529</v>
      </c>
      <c r="AC69" s="8">
        <f t="shared" si="3"/>
        <v>0</v>
      </c>
    </row>
    <row r="70" spans="1:31">
      <c r="A70" s="13" t="s">
        <v>552</v>
      </c>
      <c r="B70" s="13"/>
      <c r="C70" s="13" t="s">
        <v>50</v>
      </c>
      <c r="D70" s="13"/>
      <c r="E70" s="32">
        <v>48678</v>
      </c>
      <c r="G70" s="8">
        <v>6127619</v>
      </c>
      <c r="I70" s="8">
        <v>287510</v>
      </c>
      <c r="K70" s="3">
        <f t="shared" si="6"/>
        <v>5884392</v>
      </c>
      <c r="M70" s="8">
        <v>12299521</v>
      </c>
      <c r="O70" s="3">
        <f t="shared" si="7"/>
        <v>1537494</v>
      </c>
      <c r="Q70" s="8">
        <v>5262303</v>
      </c>
      <c r="S70" s="8">
        <v>6799797</v>
      </c>
      <c r="U70" s="8">
        <f>233189+96859+454681+287510</f>
        <v>1072239</v>
      </c>
      <c r="W70" s="8">
        <v>0</v>
      </c>
      <c r="Y70" s="8">
        <f>1666486+224281+1530009+1006709</f>
        <v>4427485</v>
      </c>
      <c r="AA70" s="14">
        <f t="shared" si="2"/>
        <v>5499724</v>
      </c>
      <c r="AC70" s="8">
        <f t="shared" si="3"/>
        <v>0</v>
      </c>
    </row>
    <row r="71" spans="1:31">
      <c r="A71" s="13" t="s">
        <v>256</v>
      </c>
      <c r="B71" s="13"/>
      <c r="C71" s="13" t="s">
        <v>16</v>
      </c>
      <c r="D71" s="13"/>
      <c r="E71" s="32">
        <v>46177</v>
      </c>
      <c r="G71" s="8">
        <v>2320490</v>
      </c>
      <c r="I71" s="8">
        <v>5032</v>
      </c>
      <c r="K71" s="3">
        <f t="shared" si="6"/>
        <v>2230873</v>
      </c>
      <c r="M71" s="8">
        <v>4556395</v>
      </c>
      <c r="O71" s="3">
        <f t="shared" si="7"/>
        <v>1972767</v>
      </c>
      <c r="Q71" s="8">
        <v>97924</v>
      </c>
      <c r="S71" s="8">
        <v>2070691</v>
      </c>
      <c r="U71" s="8">
        <f>156506+5047+939400+5032</f>
        <v>1105985</v>
      </c>
      <c r="W71" s="8">
        <v>0</v>
      </c>
      <c r="Y71" s="8">
        <f>541723+392752+445244</f>
        <v>1379719</v>
      </c>
      <c r="AA71" s="14">
        <f t="shared" si="2"/>
        <v>2485704</v>
      </c>
      <c r="AC71" s="8">
        <f t="shared" si="3"/>
        <v>0</v>
      </c>
    </row>
    <row r="72" spans="1:31">
      <c r="A72" s="13" t="s">
        <v>532</v>
      </c>
      <c r="B72" s="13"/>
      <c r="C72" s="13" t="s">
        <v>47</v>
      </c>
      <c r="D72" s="13"/>
      <c r="E72" s="32">
        <v>43661</v>
      </c>
      <c r="G72" s="8">
        <f>8386041+1656</f>
        <v>8387697</v>
      </c>
      <c r="I72" s="8">
        <f>100000+1131915</f>
        <v>1231915</v>
      </c>
      <c r="K72" s="3">
        <f t="shared" si="6"/>
        <v>42034134</v>
      </c>
      <c r="M72" s="8">
        <v>51653746</v>
      </c>
      <c r="O72" s="3">
        <f t="shared" si="7"/>
        <v>7917171</v>
      </c>
      <c r="Q72" s="8">
        <v>40082852</v>
      </c>
      <c r="S72" s="8">
        <v>48000023</v>
      </c>
      <c r="U72" s="8">
        <f>1877503+4637+838410+1131915</f>
        <v>3852465</v>
      </c>
      <c r="W72" s="8">
        <v>0</v>
      </c>
      <c r="Y72" s="8">
        <f>935105+332732+505525-1972104</f>
        <v>-198742</v>
      </c>
      <c r="AA72" s="14">
        <f t="shared" si="2"/>
        <v>3653723</v>
      </c>
      <c r="AC72" s="8">
        <f t="shared" si="3"/>
        <v>0</v>
      </c>
    </row>
    <row r="73" spans="1:31" hidden="1">
      <c r="A73" s="13" t="s">
        <v>732</v>
      </c>
      <c r="B73" s="13"/>
      <c r="C73" s="13" t="s">
        <v>733</v>
      </c>
      <c r="D73" s="13"/>
      <c r="E73" s="32">
        <v>43679</v>
      </c>
      <c r="G73" s="8">
        <v>0</v>
      </c>
      <c r="I73" s="8">
        <v>0</v>
      </c>
      <c r="K73" s="3">
        <f t="shared" si="6"/>
        <v>0</v>
      </c>
      <c r="M73" s="8">
        <v>0</v>
      </c>
      <c r="O73" s="3">
        <f t="shared" si="7"/>
        <v>0</v>
      </c>
      <c r="Q73" s="8">
        <v>0</v>
      </c>
      <c r="S73" s="8">
        <v>0</v>
      </c>
      <c r="U73" s="8">
        <v>0</v>
      </c>
      <c r="W73" s="8">
        <v>0</v>
      </c>
      <c r="Y73" s="8">
        <v>0</v>
      </c>
      <c r="AA73" s="14">
        <f t="shared" si="2"/>
        <v>0</v>
      </c>
      <c r="AC73" s="8">
        <f t="shared" si="3"/>
        <v>0</v>
      </c>
      <c r="AE73" s="8" t="s">
        <v>917</v>
      </c>
    </row>
    <row r="74" spans="1:31">
      <c r="A74" s="13" t="s">
        <v>294</v>
      </c>
      <c r="B74" s="13"/>
      <c r="C74" s="13" t="s">
        <v>114</v>
      </c>
      <c r="D74" s="13"/>
      <c r="E74" s="32">
        <v>46508</v>
      </c>
      <c r="G74" s="8">
        <f>9794683+750+6760843</f>
        <v>16556276</v>
      </c>
      <c r="I74" s="8">
        <v>9565</v>
      </c>
      <c r="K74" s="3">
        <f t="shared" si="6"/>
        <v>13883071</v>
      </c>
      <c r="M74" s="8">
        <v>30448912</v>
      </c>
      <c r="O74" s="3">
        <f t="shared" si="7"/>
        <v>5066978</v>
      </c>
      <c r="Q74" s="8">
        <v>9590542</v>
      </c>
      <c r="S74" s="8">
        <v>14657520</v>
      </c>
      <c r="U74" s="8">
        <f>114938+20343+12648+34532+633498+9565</f>
        <v>825524</v>
      </c>
      <c r="W74" s="8">
        <v>0</v>
      </c>
      <c r="Y74" s="8">
        <f>1445023+80341+13440504</f>
        <v>14965868</v>
      </c>
      <c r="AA74" s="14">
        <f t="shared" si="2"/>
        <v>15791392</v>
      </c>
      <c r="AC74" s="8">
        <f t="shared" si="3"/>
        <v>0</v>
      </c>
    </row>
    <row r="75" spans="1:31">
      <c r="A75" s="13" t="s">
        <v>219</v>
      </c>
      <c r="B75" s="13"/>
      <c r="C75" s="13" t="s">
        <v>12</v>
      </c>
      <c r="D75" s="13"/>
      <c r="E75" s="32">
        <v>45856</v>
      </c>
      <c r="G75" s="8">
        <v>4507111</v>
      </c>
      <c r="I75" s="8">
        <v>0</v>
      </c>
      <c r="K75" s="3">
        <f t="shared" si="6"/>
        <v>8929379</v>
      </c>
      <c r="M75" s="8">
        <v>13436490</v>
      </c>
      <c r="O75" s="3">
        <f t="shared" si="7"/>
        <v>2941187</v>
      </c>
      <c r="Q75" s="8">
        <v>5496268</v>
      </c>
      <c r="S75" s="8">
        <v>8437455</v>
      </c>
      <c r="U75" s="8">
        <f>155134+3134865</f>
        <v>3289999</v>
      </c>
      <c r="W75" s="8">
        <v>0</v>
      </c>
      <c r="Y75" s="8">
        <f>1229333+159729+319974</f>
        <v>1709036</v>
      </c>
      <c r="AA75" s="14">
        <f t="shared" si="2"/>
        <v>4999035</v>
      </c>
      <c r="AC75" s="8">
        <f t="shared" si="3"/>
        <v>0</v>
      </c>
    </row>
    <row r="76" spans="1:31">
      <c r="A76" s="13" t="s">
        <v>219</v>
      </c>
      <c r="B76" s="13"/>
      <c r="C76" s="13" t="s">
        <v>39</v>
      </c>
      <c r="D76" s="13"/>
      <c r="E76" s="32">
        <v>47787</v>
      </c>
      <c r="G76" s="8">
        <v>2368975</v>
      </c>
      <c r="I76" s="8">
        <v>118634</v>
      </c>
      <c r="K76" s="3">
        <f t="shared" si="6"/>
        <v>7459418</v>
      </c>
      <c r="M76" s="8">
        <v>9947027</v>
      </c>
      <c r="O76" s="3">
        <f t="shared" si="7"/>
        <v>2627622</v>
      </c>
      <c r="Q76" s="8">
        <v>6758811</v>
      </c>
      <c r="S76" s="8">
        <v>9386433</v>
      </c>
      <c r="U76" s="8">
        <f>686+343452+115961+2673</f>
        <v>462772</v>
      </c>
      <c r="W76" s="8">
        <v>0</v>
      </c>
      <c r="Y76" s="8">
        <f>-1153027-219502+1467954+2397</f>
        <v>97822</v>
      </c>
      <c r="AA76" s="14">
        <f t="shared" si="2"/>
        <v>560594</v>
      </c>
      <c r="AC76" s="8">
        <f t="shared" si="3"/>
        <v>0</v>
      </c>
    </row>
    <row r="77" spans="1:31" hidden="1">
      <c r="A77" s="13" t="s">
        <v>219</v>
      </c>
      <c r="B77" s="13"/>
      <c r="C77" s="13" t="s">
        <v>47</v>
      </c>
      <c r="D77" s="13"/>
      <c r="E77" s="32">
        <v>48470</v>
      </c>
      <c r="G77" s="8">
        <v>0</v>
      </c>
      <c r="I77" s="8">
        <v>0</v>
      </c>
      <c r="K77" s="3">
        <f t="shared" si="6"/>
        <v>0</v>
      </c>
      <c r="M77" s="8">
        <v>0</v>
      </c>
      <c r="O77" s="3">
        <f t="shared" si="7"/>
        <v>0</v>
      </c>
      <c r="Q77" s="8">
        <v>0</v>
      </c>
      <c r="S77" s="8">
        <v>0</v>
      </c>
      <c r="U77" s="8">
        <v>0</v>
      </c>
      <c r="W77" s="8">
        <v>0</v>
      </c>
      <c r="Y77" s="8">
        <v>0</v>
      </c>
      <c r="AA77" s="14">
        <f t="shared" si="2"/>
        <v>0</v>
      </c>
      <c r="AC77" s="8">
        <f t="shared" si="3"/>
        <v>0</v>
      </c>
    </row>
    <row r="78" spans="1:31" hidden="1">
      <c r="A78" s="13" t="s">
        <v>918</v>
      </c>
      <c r="B78" s="13"/>
      <c r="C78" s="13" t="s">
        <v>115</v>
      </c>
      <c r="D78" s="13"/>
      <c r="E78" s="32">
        <v>46755</v>
      </c>
      <c r="G78" s="8">
        <v>0</v>
      </c>
      <c r="I78" s="8">
        <v>0</v>
      </c>
      <c r="K78" s="3">
        <f>M78-G78-I78</f>
        <v>0</v>
      </c>
      <c r="M78" s="8">
        <v>0</v>
      </c>
      <c r="O78" s="3">
        <f>S78-Q78</f>
        <v>0</v>
      </c>
      <c r="Q78" s="8">
        <v>0</v>
      </c>
      <c r="S78" s="8">
        <v>0</v>
      </c>
      <c r="U78" s="8">
        <v>0</v>
      </c>
      <c r="W78" s="8">
        <v>0</v>
      </c>
      <c r="Y78" s="8">
        <v>0</v>
      </c>
      <c r="AA78" s="14">
        <f>U78+W78+Y78</f>
        <v>0</v>
      </c>
      <c r="AC78" s="8">
        <f>+G78+I78+K78-O78-Q78-Y78-W78-U78</f>
        <v>0</v>
      </c>
      <c r="AE78" s="10" t="s">
        <v>926</v>
      </c>
    </row>
    <row r="79" spans="1:31">
      <c r="A79" s="13" t="s">
        <v>337</v>
      </c>
      <c r="B79" s="13"/>
      <c r="C79" s="13" t="s">
        <v>23</v>
      </c>
      <c r="D79" s="13"/>
      <c r="E79" s="32">
        <v>46755</v>
      </c>
      <c r="G79" s="8">
        <v>5123396</v>
      </c>
      <c r="I79" s="8">
        <v>0</v>
      </c>
      <c r="K79" s="3">
        <f t="shared" si="6"/>
        <v>12678206</v>
      </c>
      <c r="M79" s="8">
        <v>17801602</v>
      </c>
      <c r="O79" s="3">
        <f t="shared" si="7"/>
        <v>10992775</v>
      </c>
      <c r="Q79" s="8">
        <v>534793</v>
      </c>
      <c r="S79" s="8">
        <v>11527568</v>
      </c>
      <c r="U79" s="8">
        <f>397235+18347+1617612+2654</f>
        <v>2035848</v>
      </c>
      <c r="W79" s="8">
        <v>0</v>
      </c>
      <c r="Y79" s="8">
        <f>2782335+146157+484087+825607</f>
        <v>4238186</v>
      </c>
      <c r="AA79" s="14">
        <f>U79+W79+Y79</f>
        <v>6274034</v>
      </c>
      <c r="AC79" s="8">
        <f>+G79+I79+K79-O79-Q79-Y79-W79-U79</f>
        <v>0</v>
      </c>
    </row>
    <row r="80" spans="1:31">
      <c r="A80" s="13" t="s">
        <v>295</v>
      </c>
      <c r="B80" s="13"/>
      <c r="C80" s="13" t="s">
        <v>114</v>
      </c>
      <c r="D80" s="13"/>
      <c r="E80" s="32">
        <v>43687</v>
      </c>
      <c r="G80" s="8">
        <f>23303973+14051935</f>
        <v>37355908</v>
      </c>
      <c r="I80" s="8">
        <v>142463</v>
      </c>
      <c r="K80" s="3">
        <f t="shared" si="6"/>
        <v>12711040</v>
      </c>
      <c r="M80" s="8">
        <v>50209411</v>
      </c>
      <c r="O80" s="3">
        <f t="shared" si="7"/>
        <v>5955547</v>
      </c>
      <c r="Q80" s="8">
        <v>6602741</v>
      </c>
      <c r="S80" s="8">
        <v>12558288</v>
      </c>
      <c r="U80" s="8">
        <f>1242873+10333+2110919+20570+319972+69721+72742</f>
        <v>3847130</v>
      </c>
      <c r="W80" s="8">
        <v>0</v>
      </c>
      <c r="Y80" s="8">
        <f>3942878+224754+29636361</f>
        <v>33803993</v>
      </c>
      <c r="AA80" s="14">
        <f>U80+W80+Y80</f>
        <v>37651123</v>
      </c>
      <c r="AC80" s="8">
        <f>+G80+I80+K80-O80-Q80-Y80-W80-U80</f>
        <v>0</v>
      </c>
    </row>
    <row r="81" spans="1:29">
      <c r="A81" s="13" t="s">
        <v>577</v>
      </c>
      <c r="B81" s="13"/>
      <c r="C81" s="13" t="s">
        <v>52</v>
      </c>
      <c r="D81" s="13"/>
      <c r="E81" s="32">
        <v>45252</v>
      </c>
      <c r="G81" s="8">
        <v>1499643</v>
      </c>
      <c r="I81" s="8">
        <v>0</v>
      </c>
      <c r="K81" s="3">
        <f t="shared" ref="K81:K142" si="8">M81-G81-I81</f>
        <v>2460765</v>
      </c>
      <c r="M81" s="8">
        <v>3960408</v>
      </c>
      <c r="O81" s="3">
        <f t="shared" ref="O81:O142" si="9">S81-Q81</f>
        <v>1107148</v>
      </c>
      <c r="Q81" s="8">
        <v>2040168</v>
      </c>
      <c r="S81" s="8">
        <v>3147316</v>
      </c>
      <c r="U81" s="8">
        <v>661192</v>
      </c>
      <c r="W81" s="8">
        <v>40000</v>
      </c>
      <c r="Y81" s="8">
        <v>111900</v>
      </c>
      <c r="AA81" s="14">
        <f t="shared" ref="AA81:AA142" si="10">U81+W81+Y81</f>
        <v>813092</v>
      </c>
      <c r="AC81" s="8">
        <f t="shared" ref="AC81:AC142" si="11">+G81+I81+K81-O81-Q81-Y81-W81-U81</f>
        <v>0</v>
      </c>
    </row>
    <row r="82" spans="1:29">
      <c r="A82" s="13" t="s">
        <v>393</v>
      </c>
      <c r="B82" s="13"/>
      <c r="C82" s="13" t="s">
        <v>31</v>
      </c>
      <c r="D82" s="13"/>
      <c r="E82" s="32">
        <v>43695</v>
      </c>
      <c r="G82" s="8">
        <v>3966393</v>
      </c>
      <c r="I82" s="8">
        <v>0</v>
      </c>
      <c r="K82" s="3">
        <f t="shared" si="8"/>
        <v>8608583</v>
      </c>
      <c r="M82" s="8">
        <v>12574976</v>
      </c>
      <c r="O82" s="3">
        <f t="shared" si="9"/>
        <v>2769561</v>
      </c>
      <c r="Q82" s="8">
        <v>6159339</v>
      </c>
      <c r="S82" s="8">
        <v>8928900</v>
      </c>
      <c r="U82" s="8">
        <v>2557506</v>
      </c>
      <c r="W82" s="8">
        <v>0</v>
      </c>
      <c r="Y82" s="8">
        <v>1088570</v>
      </c>
      <c r="AA82" s="14">
        <f t="shared" si="10"/>
        <v>3646076</v>
      </c>
      <c r="AC82" s="8">
        <f t="shared" si="11"/>
        <v>0</v>
      </c>
    </row>
    <row r="83" spans="1:29" hidden="1">
      <c r="A83" s="13" t="s">
        <v>516</v>
      </c>
      <c r="B83" s="13"/>
      <c r="C83" s="13" t="s">
        <v>45</v>
      </c>
      <c r="D83" s="13"/>
      <c r="E83" s="32">
        <v>43703</v>
      </c>
      <c r="G83" s="8">
        <v>0</v>
      </c>
      <c r="I83" s="8">
        <v>0</v>
      </c>
      <c r="K83" s="3">
        <f t="shared" si="8"/>
        <v>0</v>
      </c>
      <c r="M83" s="8">
        <v>0</v>
      </c>
      <c r="O83" s="3">
        <f t="shared" si="9"/>
        <v>0</v>
      </c>
      <c r="Q83" s="8">
        <v>0</v>
      </c>
      <c r="S83" s="8">
        <v>0</v>
      </c>
      <c r="U83" s="8">
        <v>0</v>
      </c>
      <c r="W83" s="8">
        <v>0</v>
      </c>
      <c r="Y83" s="8">
        <v>0</v>
      </c>
      <c r="AA83" s="14">
        <f t="shared" si="10"/>
        <v>0</v>
      </c>
      <c r="AC83" s="8">
        <f t="shared" si="11"/>
        <v>0</v>
      </c>
    </row>
    <row r="84" spans="1:29">
      <c r="A84" s="13" t="s">
        <v>357</v>
      </c>
      <c r="B84" s="13"/>
      <c r="C84" s="13" t="s">
        <v>27</v>
      </c>
      <c r="D84" s="13"/>
      <c r="E84" s="32">
        <v>46946</v>
      </c>
      <c r="G84" s="8">
        <v>8049860</v>
      </c>
      <c r="I84" s="8">
        <v>0</v>
      </c>
      <c r="K84" s="3">
        <f t="shared" si="8"/>
        <v>16100302</v>
      </c>
      <c r="M84" s="8">
        <v>24150162</v>
      </c>
      <c r="O84" s="3">
        <f t="shared" si="9"/>
        <v>-15604545</v>
      </c>
      <c r="Q84" s="8">
        <v>30570755</v>
      </c>
      <c r="S84" s="8">
        <v>14966210</v>
      </c>
      <c r="U84" s="8">
        <v>5961867</v>
      </c>
      <c r="W84" s="8">
        <v>0</v>
      </c>
      <c r="Y84" s="8">
        <v>3222085</v>
      </c>
      <c r="AA84" s="14">
        <f t="shared" si="10"/>
        <v>9183952</v>
      </c>
      <c r="AC84" s="8">
        <f t="shared" si="11"/>
        <v>0</v>
      </c>
    </row>
    <row r="85" spans="1:29">
      <c r="A85" s="13" t="s">
        <v>517</v>
      </c>
      <c r="B85" s="13"/>
      <c r="C85" s="13" t="s">
        <v>45</v>
      </c>
      <c r="D85" s="13"/>
      <c r="E85" s="32">
        <v>48314</v>
      </c>
      <c r="G85" s="8">
        <v>9173569</v>
      </c>
      <c r="I85" s="8">
        <v>0</v>
      </c>
      <c r="K85" s="3">
        <f t="shared" si="8"/>
        <v>18000483</v>
      </c>
      <c r="M85" s="8">
        <v>27174052</v>
      </c>
      <c r="O85" s="3">
        <f t="shared" si="9"/>
        <v>2417093</v>
      </c>
      <c r="Q85" s="8">
        <v>17323381</v>
      </c>
      <c r="S85" s="8">
        <v>19740474</v>
      </c>
      <c r="U85" s="8">
        <v>577849</v>
      </c>
      <c r="W85" s="8">
        <v>11000</v>
      </c>
      <c r="Y85" s="8">
        <v>6844729</v>
      </c>
      <c r="AA85" s="14">
        <f t="shared" si="10"/>
        <v>7433578</v>
      </c>
      <c r="AC85" s="8">
        <f t="shared" si="11"/>
        <v>0</v>
      </c>
    </row>
    <row r="86" spans="1:29">
      <c r="A86" s="13" t="s">
        <v>655</v>
      </c>
      <c r="B86" s="13"/>
      <c r="C86" s="13" t="s">
        <v>62</v>
      </c>
      <c r="D86" s="13"/>
      <c r="E86" s="32">
        <v>43711</v>
      </c>
      <c r="G86" s="8">
        <v>289324</v>
      </c>
      <c r="I86" s="8">
        <v>0</v>
      </c>
      <c r="K86" s="3">
        <f t="shared" si="8"/>
        <v>13421142</v>
      </c>
      <c r="M86" s="8">
        <v>13710466</v>
      </c>
      <c r="O86" s="3">
        <f t="shared" si="9"/>
        <v>5260017</v>
      </c>
      <c r="Q86" s="8">
        <v>11069167</v>
      </c>
      <c r="S86" s="8">
        <v>16329184</v>
      </c>
      <c r="U86" s="8">
        <v>813582</v>
      </c>
      <c r="W86" s="8">
        <v>0</v>
      </c>
      <c r="Y86" s="8">
        <v>-3432300</v>
      </c>
      <c r="AA86" s="14">
        <f t="shared" si="10"/>
        <v>-2618718</v>
      </c>
      <c r="AC86" s="8">
        <f t="shared" si="11"/>
        <v>0</v>
      </c>
    </row>
    <row r="87" spans="1:29">
      <c r="A87" s="13" t="s">
        <v>654</v>
      </c>
      <c r="B87" s="13"/>
      <c r="C87" s="13" t="s">
        <v>62</v>
      </c>
      <c r="D87" s="13"/>
      <c r="E87" s="32">
        <v>49833</v>
      </c>
      <c r="G87" s="8">
        <v>40225</v>
      </c>
      <c r="I87" s="8">
        <v>0</v>
      </c>
      <c r="K87" s="3">
        <f t="shared" si="8"/>
        <v>46213</v>
      </c>
      <c r="M87" s="8">
        <v>86438</v>
      </c>
      <c r="O87" s="3">
        <f t="shared" si="9"/>
        <v>19474</v>
      </c>
      <c r="Q87" s="8">
        <v>43470</v>
      </c>
      <c r="S87" s="8">
        <v>62944</v>
      </c>
      <c r="U87" s="8">
        <v>25094</v>
      </c>
      <c r="W87" s="8">
        <v>0</v>
      </c>
      <c r="Y87" s="8">
        <v>-1600</v>
      </c>
      <c r="AA87" s="14">
        <f t="shared" si="10"/>
        <v>23494</v>
      </c>
      <c r="AC87" s="8">
        <f t="shared" si="11"/>
        <v>0</v>
      </c>
    </row>
    <row r="88" spans="1:29">
      <c r="A88" s="13" t="s">
        <v>382</v>
      </c>
      <c r="B88" s="13"/>
      <c r="C88" s="13" t="s">
        <v>30</v>
      </c>
      <c r="D88" s="13"/>
      <c r="E88" s="32">
        <v>47175</v>
      </c>
      <c r="G88" s="8">
        <v>3319766</v>
      </c>
      <c r="I88" s="8">
        <v>0</v>
      </c>
      <c r="K88" s="3">
        <f t="shared" si="8"/>
        <v>8919534</v>
      </c>
      <c r="M88" s="8">
        <v>12239300</v>
      </c>
      <c r="O88" s="3">
        <f t="shared" si="9"/>
        <v>2087970</v>
      </c>
      <c r="Q88" s="8">
        <v>7108320</v>
      </c>
      <c r="S88" s="8">
        <v>9196290</v>
      </c>
      <c r="U88" s="8">
        <v>1659782</v>
      </c>
      <c r="W88" s="8">
        <v>0</v>
      </c>
      <c r="Y88" s="8">
        <v>1383228</v>
      </c>
      <c r="AA88" s="14">
        <f t="shared" si="10"/>
        <v>3043010</v>
      </c>
      <c r="AC88" s="8">
        <f t="shared" si="11"/>
        <v>0</v>
      </c>
    </row>
    <row r="89" spans="1:29">
      <c r="A89" s="13" t="s">
        <v>568</v>
      </c>
      <c r="B89" s="13"/>
      <c r="C89" s="13" t="s">
        <v>78</v>
      </c>
      <c r="D89" s="13"/>
      <c r="E89" s="13">
        <v>48793</v>
      </c>
      <c r="G89" s="8">
        <v>5317495</v>
      </c>
      <c r="I89" s="8">
        <v>0</v>
      </c>
      <c r="K89" s="3">
        <f t="shared" si="8"/>
        <v>2671746</v>
      </c>
      <c r="M89" s="8">
        <v>7989241</v>
      </c>
      <c r="O89" s="3">
        <f t="shared" si="9"/>
        <v>1387144</v>
      </c>
      <c r="Q89" s="8">
        <v>1779510</v>
      </c>
      <c r="S89" s="8">
        <v>3166654</v>
      </c>
      <c r="U89" s="8">
        <v>2083662</v>
      </c>
      <c r="W89" s="8">
        <v>89029</v>
      </c>
      <c r="Y89" s="8">
        <v>2649896</v>
      </c>
      <c r="AA89" s="14">
        <f t="shared" si="10"/>
        <v>4822587</v>
      </c>
      <c r="AC89" s="8">
        <f t="shared" si="11"/>
        <v>0</v>
      </c>
    </row>
    <row r="90" spans="1:29">
      <c r="A90" s="13" t="s">
        <v>713</v>
      </c>
      <c r="B90" s="13"/>
      <c r="C90" s="13" t="s">
        <v>69</v>
      </c>
      <c r="D90" s="13"/>
      <c r="E90" s="32">
        <v>45260</v>
      </c>
      <c r="G90" s="8">
        <v>257406</v>
      </c>
      <c r="I90" s="8">
        <v>0</v>
      </c>
      <c r="K90" s="3">
        <f t="shared" si="8"/>
        <v>5796834</v>
      </c>
      <c r="M90" s="8">
        <v>6054240</v>
      </c>
      <c r="O90" s="3">
        <f t="shared" si="9"/>
        <v>1728908</v>
      </c>
      <c r="Q90" s="8">
        <v>4608436</v>
      </c>
      <c r="S90" s="8">
        <v>6337344</v>
      </c>
      <c r="U90" s="8">
        <f>480923+356388</f>
        <v>837311</v>
      </c>
      <c r="W90" s="8">
        <v>0</v>
      </c>
      <c r="Y90" s="8">
        <f>-1205259-50858+135702</f>
        <v>-1120415</v>
      </c>
      <c r="AA90" s="14">
        <f t="shared" si="10"/>
        <v>-283104</v>
      </c>
      <c r="AC90" s="8">
        <f t="shared" si="11"/>
        <v>0</v>
      </c>
    </row>
    <row r="91" spans="1:29" hidden="1">
      <c r="A91" s="13" t="s">
        <v>713</v>
      </c>
      <c r="B91" s="13"/>
      <c r="C91" s="13" t="s">
        <v>69</v>
      </c>
      <c r="D91" s="13"/>
      <c r="E91" s="32">
        <v>50419</v>
      </c>
      <c r="G91" s="8">
        <v>0</v>
      </c>
      <c r="I91" s="8">
        <v>0</v>
      </c>
      <c r="K91" s="3">
        <f t="shared" si="8"/>
        <v>0</v>
      </c>
      <c r="M91" s="8">
        <v>0</v>
      </c>
      <c r="O91" s="3">
        <f t="shared" si="9"/>
        <v>0</v>
      </c>
      <c r="Q91" s="8">
        <v>0</v>
      </c>
      <c r="S91" s="8">
        <v>0</v>
      </c>
      <c r="U91" s="8">
        <v>0</v>
      </c>
      <c r="W91" s="8">
        <v>0</v>
      </c>
      <c r="Y91" s="8">
        <v>0</v>
      </c>
      <c r="AA91" s="14">
        <f t="shared" si="10"/>
        <v>0</v>
      </c>
      <c r="AC91" s="8">
        <f t="shared" si="11"/>
        <v>0</v>
      </c>
    </row>
    <row r="92" spans="1:29">
      <c r="A92" s="13" t="s">
        <v>257</v>
      </c>
      <c r="B92" s="13"/>
      <c r="C92" s="13" t="s">
        <v>16</v>
      </c>
      <c r="D92" s="13"/>
      <c r="E92" s="32">
        <v>45278</v>
      </c>
      <c r="G92" s="8">
        <v>2983220</v>
      </c>
      <c r="I92" s="8">
        <v>0</v>
      </c>
      <c r="K92" s="3">
        <f t="shared" si="8"/>
        <v>6043269</v>
      </c>
      <c r="M92" s="8">
        <v>9026489</v>
      </c>
      <c r="O92" s="3">
        <f t="shared" si="9"/>
        <v>2545609</v>
      </c>
      <c r="Q92" s="8">
        <v>3940028</v>
      </c>
      <c r="S92" s="8">
        <v>6485637</v>
      </c>
      <c r="U92" s="8">
        <v>1883787</v>
      </c>
      <c r="W92" s="8">
        <v>0</v>
      </c>
      <c r="Y92" s="8">
        <v>657065</v>
      </c>
      <c r="AA92" s="14">
        <f t="shared" si="10"/>
        <v>2540852</v>
      </c>
      <c r="AC92" s="8">
        <f t="shared" si="11"/>
        <v>0</v>
      </c>
    </row>
    <row r="93" spans="1:29">
      <c r="A93" s="13" t="s">
        <v>389</v>
      </c>
      <c r="B93" s="13"/>
      <c r="C93" s="13" t="s">
        <v>117</v>
      </c>
      <c r="D93" s="13"/>
      <c r="E93" s="32">
        <v>47258</v>
      </c>
      <c r="G93" s="8">
        <v>1430916</v>
      </c>
      <c r="I93" s="8">
        <v>0</v>
      </c>
      <c r="K93" s="3">
        <f t="shared" si="8"/>
        <v>2420386</v>
      </c>
      <c r="M93" s="8">
        <v>3851302</v>
      </c>
      <c r="O93" s="3">
        <f t="shared" si="9"/>
        <v>735453</v>
      </c>
      <c r="Q93" s="8">
        <v>1767435</v>
      </c>
      <c r="S93" s="8">
        <v>2502888</v>
      </c>
      <c r="U93" s="8">
        <v>273331</v>
      </c>
      <c r="W93" s="8">
        <v>0</v>
      </c>
      <c r="Y93" s="8">
        <v>1075083</v>
      </c>
      <c r="AA93" s="14">
        <f t="shared" si="10"/>
        <v>1348414</v>
      </c>
      <c r="AC93" s="8">
        <f t="shared" si="11"/>
        <v>0</v>
      </c>
    </row>
    <row r="94" spans="1:29" hidden="1">
      <c r="A94" s="13" t="s">
        <v>539</v>
      </c>
      <c r="B94" s="13"/>
      <c r="C94" s="13" t="s">
        <v>540</v>
      </c>
      <c r="D94" s="13"/>
      <c r="E94" s="32">
        <v>43729</v>
      </c>
      <c r="G94" s="8">
        <v>0</v>
      </c>
      <c r="I94" s="8">
        <v>0</v>
      </c>
      <c r="K94" s="3">
        <f t="shared" si="8"/>
        <v>0</v>
      </c>
      <c r="M94" s="8">
        <v>0</v>
      </c>
      <c r="O94" s="3">
        <f t="shared" si="9"/>
        <v>0</v>
      </c>
      <c r="Q94" s="8">
        <v>0</v>
      </c>
      <c r="S94" s="8">
        <v>0</v>
      </c>
      <c r="U94" s="8">
        <v>0</v>
      </c>
      <c r="W94" s="8">
        <v>0</v>
      </c>
      <c r="Y94" s="8">
        <v>0</v>
      </c>
      <c r="AA94" s="14">
        <f t="shared" si="10"/>
        <v>0</v>
      </c>
      <c r="AC94" s="8">
        <f t="shared" si="11"/>
        <v>0</v>
      </c>
    </row>
    <row r="95" spans="1:29">
      <c r="A95" s="13" t="s">
        <v>459</v>
      </c>
      <c r="B95" s="13"/>
      <c r="C95" s="13" t="s">
        <v>40</v>
      </c>
      <c r="D95" s="13"/>
      <c r="E95" s="32">
        <v>47829</v>
      </c>
      <c r="G95" s="8">
        <v>5239291</v>
      </c>
      <c r="I95" s="8">
        <v>0</v>
      </c>
      <c r="K95" s="3">
        <f t="shared" si="8"/>
        <v>3082289</v>
      </c>
      <c r="M95" s="8">
        <v>8321580</v>
      </c>
      <c r="O95" s="3">
        <f t="shared" si="9"/>
        <v>1116339</v>
      </c>
      <c r="Q95" s="8">
        <v>1909948</v>
      </c>
      <c r="S95" s="8">
        <v>3026287</v>
      </c>
      <c r="U95" s="8">
        <v>994097</v>
      </c>
      <c r="W95" s="8">
        <v>0</v>
      </c>
      <c r="Y95" s="8">
        <v>4301196</v>
      </c>
      <c r="AA95" s="14">
        <f t="shared" si="10"/>
        <v>5295293</v>
      </c>
      <c r="AC95" s="8">
        <f t="shared" si="11"/>
        <v>0</v>
      </c>
    </row>
    <row r="96" spans="1:29">
      <c r="A96" s="13" t="s">
        <v>553</v>
      </c>
      <c r="B96" s="13"/>
      <c r="C96" s="13" t="s">
        <v>50</v>
      </c>
      <c r="D96" s="13"/>
      <c r="E96" s="32">
        <v>43737</v>
      </c>
      <c r="G96" s="8">
        <v>50450905</v>
      </c>
      <c r="I96" s="8">
        <v>0</v>
      </c>
      <c r="K96" s="3">
        <f t="shared" si="8"/>
        <v>55079322</v>
      </c>
      <c r="M96" s="8">
        <v>105530227</v>
      </c>
      <c r="O96" s="3">
        <f t="shared" si="9"/>
        <v>11263146</v>
      </c>
      <c r="Q96" s="8">
        <v>50325662</v>
      </c>
      <c r="S96" s="8">
        <v>61588808</v>
      </c>
      <c r="U96" s="8">
        <v>8437926</v>
      </c>
      <c r="W96" s="8">
        <v>0</v>
      </c>
      <c r="Y96" s="8">
        <v>35503493</v>
      </c>
      <c r="AA96" s="14">
        <f t="shared" si="10"/>
        <v>43941419</v>
      </c>
      <c r="AC96" s="8">
        <f t="shared" si="11"/>
        <v>0</v>
      </c>
    </row>
    <row r="97" spans="1:29">
      <c r="A97" s="13" t="s">
        <v>807</v>
      </c>
      <c r="B97" s="13"/>
      <c r="C97" s="13" t="s">
        <v>22</v>
      </c>
      <c r="D97" s="13"/>
      <c r="E97" s="32">
        <v>46714</v>
      </c>
      <c r="G97" s="8">
        <v>2712449</v>
      </c>
      <c r="I97" s="8">
        <v>0</v>
      </c>
      <c r="K97" s="3">
        <f t="shared" si="8"/>
        <v>2977027</v>
      </c>
      <c r="M97" s="8">
        <v>5689476</v>
      </c>
      <c r="O97" s="3">
        <f t="shared" si="9"/>
        <v>1054671</v>
      </c>
      <c r="Q97" s="8">
        <v>2371815</v>
      </c>
      <c r="S97" s="8">
        <v>3426486</v>
      </c>
      <c r="U97" s="8">
        <v>630428</v>
      </c>
      <c r="W97" s="8">
        <v>0</v>
      </c>
      <c r="Y97" s="8">
        <v>1632562</v>
      </c>
      <c r="AA97" s="14">
        <f t="shared" si="10"/>
        <v>2262990</v>
      </c>
      <c r="AC97" s="8">
        <f t="shared" si="11"/>
        <v>0</v>
      </c>
    </row>
    <row r="98" spans="1:29">
      <c r="A98" s="13" t="s">
        <v>306</v>
      </c>
      <c r="B98" s="13"/>
      <c r="C98" s="13" t="s">
        <v>20</v>
      </c>
      <c r="D98" s="13"/>
      <c r="E98" s="32">
        <v>45286</v>
      </c>
      <c r="G98" s="8">
        <v>4116518</v>
      </c>
      <c r="I98" s="8">
        <v>0</v>
      </c>
      <c r="K98" s="3">
        <f t="shared" si="8"/>
        <v>22793518</v>
      </c>
      <c r="M98" s="8">
        <v>26910036</v>
      </c>
      <c r="O98" s="3">
        <f t="shared" si="9"/>
        <v>2580330</v>
      </c>
      <c r="Q98" s="8">
        <v>18855040</v>
      </c>
      <c r="S98" s="8">
        <v>21435370</v>
      </c>
      <c r="U98" s="8">
        <v>3957347</v>
      </c>
      <c r="W98" s="8">
        <v>0</v>
      </c>
      <c r="Y98" s="8">
        <v>1517319</v>
      </c>
      <c r="AA98" s="14">
        <f t="shared" si="10"/>
        <v>5474666</v>
      </c>
      <c r="AC98" s="8">
        <f t="shared" si="11"/>
        <v>0</v>
      </c>
    </row>
    <row r="99" spans="1:29">
      <c r="A99" s="13" t="s">
        <v>683</v>
      </c>
      <c r="B99" s="13"/>
      <c r="C99" s="13" t="s">
        <v>64</v>
      </c>
      <c r="D99" s="13"/>
      <c r="E99" s="32">
        <v>50138</v>
      </c>
      <c r="G99" s="8">
        <v>337106</v>
      </c>
      <c r="I99" s="8">
        <v>0</v>
      </c>
      <c r="K99" s="3">
        <f t="shared" si="8"/>
        <v>6279333</v>
      </c>
      <c r="M99" s="8">
        <v>6616439</v>
      </c>
      <c r="O99" s="3">
        <f t="shared" si="9"/>
        <v>1855396</v>
      </c>
      <c r="Q99" s="8">
        <v>6120186</v>
      </c>
      <c r="S99" s="8">
        <v>7975582</v>
      </c>
      <c r="U99" s="8">
        <v>161532</v>
      </c>
      <c r="W99" s="8">
        <v>0</v>
      </c>
      <c r="Y99" s="8">
        <v>-1520675</v>
      </c>
      <c r="AA99" s="14">
        <f t="shared" si="10"/>
        <v>-1359143</v>
      </c>
      <c r="AC99" s="8">
        <f t="shared" si="11"/>
        <v>0</v>
      </c>
    </row>
    <row r="100" spans="1:29">
      <c r="A100" s="13" t="s">
        <v>383</v>
      </c>
      <c r="B100" s="13"/>
      <c r="C100" s="13" t="s">
        <v>30</v>
      </c>
      <c r="D100" s="13"/>
      <c r="E100" s="32">
        <v>47183</v>
      </c>
      <c r="G100" s="8">
        <v>4346844</v>
      </c>
      <c r="I100" s="8">
        <v>0</v>
      </c>
      <c r="K100" s="3">
        <f t="shared" si="8"/>
        <v>18318355</v>
      </c>
      <c r="M100" s="8">
        <v>22665199</v>
      </c>
      <c r="O100" s="3">
        <f t="shared" si="9"/>
        <v>3695398</v>
      </c>
      <c r="Q100" s="8">
        <v>15306226</v>
      </c>
      <c r="S100" s="8">
        <v>19001624</v>
      </c>
      <c r="U100" s="8">
        <v>3654031</v>
      </c>
      <c r="W100" s="8">
        <v>0</v>
      </c>
      <c r="Y100" s="8">
        <v>9544</v>
      </c>
      <c r="AA100" s="14">
        <f t="shared" si="10"/>
        <v>3663575</v>
      </c>
      <c r="AC100" s="8">
        <f t="shared" si="11"/>
        <v>0</v>
      </c>
    </row>
    <row r="101" spans="1:29">
      <c r="A101" s="13" t="s">
        <v>470</v>
      </c>
      <c r="B101" s="13"/>
      <c r="C101" s="13" t="s">
        <v>471</v>
      </c>
      <c r="D101" s="13"/>
      <c r="E101" s="32">
        <v>45294</v>
      </c>
      <c r="G101" s="8">
        <v>3402624</v>
      </c>
      <c r="I101" s="8">
        <v>0</v>
      </c>
      <c r="K101" s="3">
        <f t="shared" si="8"/>
        <v>3486653</v>
      </c>
      <c r="M101" s="8">
        <v>6889277</v>
      </c>
      <c r="O101" s="3">
        <f t="shared" si="9"/>
        <v>1485524</v>
      </c>
      <c r="Q101" s="8">
        <v>2778261</v>
      </c>
      <c r="S101" s="8">
        <v>4263785</v>
      </c>
      <c r="U101" s="8">
        <v>734231</v>
      </c>
      <c r="W101" s="8">
        <v>0</v>
      </c>
      <c r="Y101" s="8">
        <v>1891261</v>
      </c>
      <c r="AA101" s="14">
        <f t="shared" si="10"/>
        <v>2625492</v>
      </c>
      <c r="AC101" s="8">
        <f t="shared" si="11"/>
        <v>0</v>
      </c>
    </row>
    <row r="102" spans="1:29">
      <c r="A102" s="13" t="s">
        <v>622</v>
      </c>
      <c r="B102" s="13"/>
      <c r="C102" s="13" t="s">
        <v>58</v>
      </c>
      <c r="D102" s="13"/>
      <c r="E102" s="13">
        <v>43745</v>
      </c>
      <c r="G102" s="8">
        <v>8253847</v>
      </c>
      <c r="I102" s="8">
        <v>11138</v>
      </c>
      <c r="K102" s="3">
        <f t="shared" si="8"/>
        <v>14496121</v>
      </c>
      <c r="M102" s="8">
        <v>22761106</v>
      </c>
      <c r="O102" s="3">
        <f t="shared" si="9"/>
        <v>3748258</v>
      </c>
      <c r="Q102" s="8">
        <v>12627988</v>
      </c>
      <c r="S102" s="8">
        <v>16376246</v>
      </c>
      <c r="U102" s="8">
        <f>366675+1070346+11138+450000</f>
        <v>1898159</v>
      </c>
      <c r="W102" s="8">
        <v>218423</v>
      </c>
      <c r="Y102" s="8">
        <f>2001002-110876+663730+1641260+73162</f>
        <v>4268278</v>
      </c>
      <c r="AA102" s="14">
        <f t="shared" si="10"/>
        <v>6384860</v>
      </c>
      <c r="AC102" s="8">
        <f t="shared" si="11"/>
        <v>0</v>
      </c>
    </row>
    <row r="103" spans="1:29">
      <c r="A103" s="13" t="s">
        <v>727</v>
      </c>
      <c r="B103" s="13"/>
      <c r="C103" s="13" t="s">
        <v>71</v>
      </c>
      <c r="D103" s="13"/>
      <c r="E103" s="32">
        <v>50534</v>
      </c>
      <c r="G103" s="8">
        <v>2965082</v>
      </c>
      <c r="I103" s="8">
        <v>0</v>
      </c>
      <c r="K103" s="3">
        <f t="shared" si="8"/>
        <v>5383289</v>
      </c>
      <c r="M103" s="8">
        <v>8348371</v>
      </c>
      <c r="O103" s="3">
        <f t="shared" si="9"/>
        <v>5590255</v>
      </c>
      <c r="Q103" s="8">
        <v>259197</v>
      </c>
      <c r="S103" s="8">
        <v>5849452</v>
      </c>
      <c r="U103" s="8">
        <f>333032+7583+23738+260000+43205+203352</f>
        <v>870910</v>
      </c>
      <c r="W103" s="8">
        <v>150386</v>
      </c>
      <c r="Y103" s="8">
        <f>910060+487348+80215</f>
        <v>1477623</v>
      </c>
      <c r="AA103" s="14">
        <f t="shared" si="10"/>
        <v>2498919</v>
      </c>
      <c r="AC103" s="8">
        <f t="shared" si="11"/>
        <v>0</v>
      </c>
    </row>
    <row r="104" spans="1:29">
      <c r="A104" s="13" t="s">
        <v>396</v>
      </c>
      <c r="B104" s="13"/>
      <c r="C104" s="13" t="s">
        <v>32</v>
      </c>
      <c r="D104" s="13"/>
      <c r="E104" s="32">
        <v>43752</v>
      </c>
      <c r="G104" s="8">
        <v>548305264</v>
      </c>
      <c r="I104" s="8">
        <v>16014885</v>
      </c>
      <c r="K104" s="3">
        <f t="shared" si="8"/>
        <v>437199501</v>
      </c>
      <c r="M104" s="8">
        <v>1001519650</v>
      </c>
      <c r="O104" s="3">
        <f t="shared" si="9"/>
        <v>88056440</v>
      </c>
      <c r="Q104" s="8">
        <f>270612198+119554981</f>
        <v>390167179</v>
      </c>
      <c r="S104" s="8">
        <v>478223619</v>
      </c>
      <c r="U104" s="8">
        <v>0</v>
      </c>
      <c r="W104" s="8">
        <f>95003389+24770281+36698352+1420826+768034+1304130</f>
        <v>159965012</v>
      </c>
      <c r="Y104" s="8">
        <f>-2461469-6516820+371811911+497397</f>
        <v>363331019</v>
      </c>
      <c r="AA104" s="14">
        <f t="shared" si="10"/>
        <v>523296031</v>
      </c>
      <c r="AC104" s="8">
        <f t="shared" si="11"/>
        <v>0</v>
      </c>
    </row>
    <row r="105" spans="1:29">
      <c r="A105" s="13" t="s">
        <v>588</v>
      </c>
      <c r="B105" s="13"/>
      <c r="C105" s="13" t="s">
        <v>54</v>
      </c>
      <c r="D105" s="13"/>
      <c r="E105" s="32">
        <v>43760</v>
      </c>
      <c r="G105" s="8">
        <v>12853374</v>
      </c>
      <c r="I105" s="8">
        <v>0</v>
      </c>
      <c r="K105" s="3">
        <f t="shared" si="8"/>
        <v>10392881</v>
      </c>
      <c r="M105" s="8">
        <v>23246255</v>
      </c>
      <c r="O105" s="3">
        <f t="shared" si="9"/>
        <v>3367986</v>
      </c>
      <c r="Q105" s="8">
        <v>8385057</v>
      </c>
      <c r="S105" s="8">
        <v>11753043</v>
      </c>
      <c r="U105" s="8">
        <v>1535740</v>
      </c>
      <c r="W105" s="8">
        <v>0</v>
      </c>
      <c r="Y105" s="8">
        <v>9957472</v>
      </c>
      <c r="AA105" s="14">
        <f t="shared" si="10"/>
        <v>11493212</v>
      </c>
      <c r="AC105" s="8">
        <f t="shared" si="11"/>
        <v>0</v>
      </c>
    </row>
    <row r="106" spans="1:29">
      <c r="A106" s="13" t="s">
        <v>264</v>
      </c>
      <c r="B106" s="13"/>
      <c r="C106" s="13" t="s">
        <v>17</v>
      </c>
      <c r="D106" s="13"/>
      <c r="E106" s="32">
        <v>46284</v>
      </c>
      <c r="G106" s="8">
        <v>4718758</v>
      </c>
      <c r="I106" s="8">
        <v>0</v>
      </c>
      <c r="K106" s="3">
        <f t="shared" si="8"/>
        <v>8697869</v>
      </c>
      <c r="M106" s="8">
        <v>13416627</v>
      </c>
      <c r="O106" s="3">
        <f t="shared" si="9"/>
        <v>2744807</v>
      </c>
      <c r="Q106" s="8">
        <v>7625552</v>
      </c>
      <c r="S106" s="8">
        <v>10370359</v>
      </c>
      <c r="U106" s="8">
        <v>1726541</v>
      </c>
      <c r="W106" s="8">
        <v>0</v>
      </c>
      <c r="Y106" s="8">
        <v>1319727</v>
      </c>
      <c r="AA106" s="14">
        <f t="shared" si="10"/>
        <v>3046268</v>
      </c>
      <c r="AC106" s="8">
        <f t="shared" si="11"/>
        <v>0</v>
      </c>
    </row>
    <row r="107" spans="1:29">
      <c r="A107" s="13"/>
      <c r="B107" s="13"/>
      <c r="C107" s="13"/>
      <c r="D107" s="13"/>
      <c r="E107" s="32"/>
      <c r="K107" s="3"/>
      <c r="O107" s="3"/>
      <c r="AA107" s="14"/>
    </row>
    <row r="108" spans="1:29">
      <c r="A108" s="13"/>
      <c r="B108" s="13"/>
      <c r="C108" s="13"/>
      <c r="D108" s="13"/>
      <c r="E108" s="32"/>
      <c r="K108" s="3"/>
      <c r="O108" s="3"/>
      <c r="AA108" s="90" t="s">
        <v>819</v>
      </c>
    </row>
    <row r="109" spans="1:29" s="35" customFormat="1">
      <c r="A109" s="34" t="s">
        <v>632</v>
      </c>
      <c r="B109" s="34"/>
      <c r="C109" s="34" t="s">
        <v>59</v>
      </c>
      <c r="D109" s="34"/>
      <c r="E109" s="34">
        <v>49601</v>
      </c>
      <c r="G109" s="35">
        <v>1268305</v>
      </c>
      <c r="I109" s="35">
        <v>0</v>
      </c>
      <c r="K109" s="42">
        <f t="shared" si="8"/>
        <v>1438397</v>
      </c>
      <c r="M109" s="35">
        <v>2706702</v>
      </c>
      <c r="O109" s="42">
        <f t="shared" si="9"/>
        <v>563556</v>
      </c>
      <c r="Q109" s="35">
        <v>1361918</v>
      </c>
      <c r="S109" s="35">
        <v>1925474</v>
      </c>
      <c r="U109" s="35">
        <v>89853</v>
      </c>
      <c r="W109" s="35">
        <v>0</v>
      </c>
      <c r="Y109" s="35">
        <v>691375</v>
      </c>
      <c r="AA109" s="71">
        <f t="shared" si="10"/>
        <v>781228</v>
      </c>
      <c r="AC109" s="35">
        <f t="shared" si="11"/>
        <v>0</v>
      </c>
    </row>
    <row r="110" spans="1:29">
      <c r="A110" s="13" t="s">
        <v>699</v>
      </c>
      <c r="B110" s="13"/>
      <c r="C110" s="13" t="s">
        <v>65</v>
      </c>
      <c r="D110" s="13"/>
      <c r="E110" s="32">
        <v>43778</v>
      </c>
      <c r="G110" s="8">
        <v>5406447</v>
      </c>
      <c r="I110" s="8">
        <v>0</v>
      </c>
      <c r="K110" s="3">
        <f t="shared" si="8"/>
        <v>4599707</v>
      </c>
      <c r="M110" s="8">
        <v>10006154</v>
      </c>
      <c r="O110" s="3">
        <f t="shared" si="9"/>
        <v>2939375</v>
      </c>
      <c r="Q110" s="8">
        <v>3954907</v>
      </c>
      <c r="S110" s="8">
        <v>6894282</v>
      </c>
      <c r="U110" s="8">
        <v>1996860</v>
      </c>
      <c r="W110" s="8">
        <v>0</v>
      </c>
      <c r="Y110" s="8">
        <v>1115012</v>
      </c>
      <c r="AA110" s="14">
        <f t="shared" si="10"/>
        <v>3111872</v>
      </c>
      <c r="AC110" s="8">
        <f t="shared" si="11"/>
        <v>0</v>
      </c>
    </row>
    <row r="111" spans="1:29">
      <c r="A111" s="13" t="s">
        <v>614</v>
      </c>
      <c r="B111" s="13"/>
      <c r="C111" s="13" t="s">
        <v>113</v>
      </c>
      <c r="D111" s="13"/>
      <c r="E111" s="32">
        <v>49411</v>
      </c>
      <c r="G111" s="8">
        <v>6066194</v>
      </c>
      <c r="I111" s="8">
        <v>0</v>
      </c>
      <c r="K111" s="3">
        <f t="shared" si="8"/>
        <v>4862701</v>
      </c>
      <c r="M111" s="8">
        <v>10928895</v>
      </c>
      <c r="O111" s="3">
        <f t="shared" si="9"/>
        <v>4665355</v>
      </c>
      <c r="Q111" s="8">
        <v>414230</v>
      </c>
      <c r="S111" s="8">
        <v>5079585</v>
      </c>
      <c r="U111" s="8">
        <f>255854+18611+149935+540196+932154</f>
        <v>1896750</v>
      </c>
      <c r="W111" s="8">
        <v>0</v>
      </c>
      <c r="Y111" s="8">
        <f>3710113+164917+77530</f>
        <v>3952560</v>
      </c>
      <c r="AA111" s="14">
        <f t="shared" si="10"/>
        <v>5849310</v>
      </c>
      <c r="AC111" s="8">
        <f t="shared" si="11"/>
        <v>0</v>
      </c>
    </row>
    <row r="112" spans="1:29">
      <c r="A112" s="13" t="s">
        <v>491</v>
      </c>
      <c r="B112" s="13"/>
      <c r="C112" s="13" t="s">
        <v>44</v>
      </c>
      <c r="D112" s="13"/>
      <c r="E112" s="32">
        <v>48132</v>
      </c>
      <c r="G112" s="8">
        <v>1092795</v>
      </c>
      <c r="I112" s="8">
        <v>0</v>
      </c>
      <c r="K112" s="3">
        <f t="shared" si="8"/>
        <v>3702900</v>
      </c>
      <c r="M112" s="8">
        <v>4795695</v>
      </c>
      <c r="O112" s="3">
        <f t="shared" si="9"/>
        <v>1958822</v>
      </c>
      <c r="Q112" s="8">
        <v>3219135</v>
      </c>
      <c r="S112" s="8">
        <v>5177957</v>
      </c>
      <c r="U112" s="8">
        <v>680534</v>
      </c>
      <c r="W112" s="8">
        <v>0</v>
      </c>
      <c r="Y112" s="8">
        <v>-1062796</v>
      </c>
      <c r="AA112" s="14">
        <f t="shared" si="10"/>
        <v>-382262</v>
      </c>
      <c r="AC112" s="8">
        <f t="shared" si="11"/>
        <v>0</v>
      </c>
    </row>
    <row r="113" spans="1:29">
      <c r="A113" s="13" t="s">
        <v>970</v>
      </c>
      <c r="B113" s="13"/>
      <c r="C113" s="13" t="s">
        <v>116</v>
      </c>
      <c r="D113" s="13"/>
      <c r="E113" s="32"/>
      <c r="G113" s="8">
        <v>3824445</v>
      </c>
      <c r="I113" s="8">
        <v>0</v>
      </c>
      <c r="K113" s="3">
        <f t="shared" si="8"/>
        <v>8006655</v>
      </c>
      <c r="M113" s="8">
        <v>11831100</v>
      </c>
      <c r="O113" s="3">
        <f t="shared" si="9"/>
        <v>1848878</v>
      </c>
      <c r="Q113" s="8">
        <v>6140209</v>
      </c>
      <c r="S113" s="8">
        <v>7989087</v>
      </c>
      <c r="U113" s="8">
        <f>76898+670000+18395+1099190</f>
        <v>1864483</v>
      </c>
      <c r="W113" s="8">
        <v>0</v>
      </c>
      <c r="Y113" s="8">
        <f>316662+1660868</f>
        <v>1977530</v>
      </c>
      <c r="AA113" s="14">
        <f t="shared" si="10"/>
        <v>3842013</v>
      </c>
      <c r="AC113" s="8">
        <f t="shared" si="11"/>
        <v>0</v>
      </c>
    </row>
    <row r="114" spans="1:29" s="35" customFormat="1">
      <c r="A114" s="13" t="s">
        <v>307</v>
      </c>
      <c r="B114" s="13"/>
      <c r="C114" s="13" t="s">
        <v>20</v>
      </c>
      <c r="D114" s="13"/>
      <c r="E114" s="13">
        <v>43794</v>
      </c>
      <c r="F114" s="8"/>
      <c r="G114" s="8">
        <v>33168952</v>
      </c>
      <c r="H114" s="8"/>
      <c r="I114" s="8">
        <v>0</v>
      </c>
      <c r="J114" s="8"/>
      <c r="K114" s="3">
        <f t="shared" si="8"/>
        <v>92334560</v>
      </c>
      <c r="L114" s="8"/>
      <c r="M114" s="8">
        <v>125503512</v>
      </c>
      <c r="N114" s="8"/>
      <c r="O114" s="3">
        <f t="shared" si="9"/>
        <v>6361391</v>
      </c>
      <c r="P114" s="8"/>
      <c r="Q114" s="8">
        <v>47957087</v>
      </c>
      <c r="R114" s="8"/>
      <c r="S114" s="8">
        <v>54318478</v>
      </c>
      <c r="T114" s="8"/>
      <c r="U114" s="8">
        <v>36033542</v>
      </c>
      <c r="V114" s="8"/>
      <c r="W114" s="8">
        <v>0</v>
      </c>
      <c r="X114" s="8"/>
      <c r="Y114" s="8">
        <v>35151492</v>
      </c>
      <c r="Z114" s="8"/>
      <c r="AA114" s="14">
        <f t="shared" si="10"/>
        <v>71185034</v>
      </c>
      <c r="AB114" s="8"/>
      <c r="AC114" s="8">
        <f t="shared" si="11"/>
        <v>0</v>
      </c>
    </row>
    <row r="115" spans="1:29">
      <c r="A115" s="13" t="s">
        <v>308</v>
      </c>
      <c r="B115" s="13"/>
      <c r="C115" s="13" t="s">
        <v>20</v>
      </c>
      <c r="D115" s="13"/>
      <c r="E115" s="13">
        <v>43786</v>
      </c>
      <c r="G115" s="8">
        <v>349976046</v>
      </c>
      <c r="I115" s="8">
        <v>0</v>
      </c>
      <c r="K115" s="3">
        <f t="shared" si="8"/>
        <v>454034889</v>
      </c>
      <c r="M115" s="8">
        <v>804010935</v>
      </c>
      <c r="O115" s="3">
        <f t="shared" si="9"/>
        <v>113308252</v>
      </c>
      <c r="Q115" s="8">
        <v>416669392</v>
      </c>
      <c r="S115" s="8">
        <v>529977644</v>
      </c>
      <c r="U115" s="8">
        <v>118523805</v>
      </c>
      <c r="W115" s="8">
        <v>0</v>
      </c>
      <c r="Y115" s="8">
        <v>155509486</v>
      </c>
      <c r="AA115" s="14">
        <f t="shared" si="10"/>
        <v>274033291</v>
      </c>
      <c r="AC115" s="8">
        <f t="shared" si="11"/>
        <v>0</v>
      </c>
    </row>
    <row r="116" spans="1:29">
      <c r="A116" s="13" t="s">
        <v>279</v>
      </c>
      <c r="B116" s="13"/>
      <c r="C116" s="13" t="s">
        <v>18</v>
      </c>
      <c r="D116" s="13"/>
      <c r="E116" s="32">
        <v>46391</v>
      </c>
      <c r="G116" s="8">
        <f>26383072+52502</f>
        <v>26435574</v>
      </c>
      <c r="I116" s="8">
        <v>0</v>
      </c>
      <c r="K116" s="3">
        <f t="shared" si="8"/>
        <v>19350302</v>
      </c>
      <c r="M116" s="8">
        <v>45785876</v>
      </c>
      <c r="O116" s="3">
        <f t="shared" si="9"/>
        <v>9744971</v>
      </c>
      <c r="Q116" s="8">
        <v>12866780</v>
      </c>
      <c r="S116" s="8">
        <v>22611751</v>
      </c>
      <c r="U116" s="8">
        <f>16881579+43584+35401+417707+7039481+12379</f>
        <v>24430131</v>
      </c>
      <c r="W116" s="8">
        <v>0</v>
      </c>
      <c r="Y116" s="8">
        <f>2320469+115670-3692145</f>
        <v>-1256006</v>
      </c>
      <c r="AA116" s="14">
        <f t="shared" si="10"/>
        <v>23174125</v>
      </c>
      <c r="AC116" s="8">
        <f t="shared" si="11"/>
        <v>0</v>
      </c>
    </row>
    <row r="117" spans="1:29">
      <c r="A117" s="13" t="s">
        <v>533</v>
      </c>
      <c r="B117" s="13"/>
      <c r="C117" s="13" t="s">
        <v>47</v>
      </c>
      <c r="D117" s="13"/>
      <c r="E117" s="32">
        <v>48488</v>
      </c>
      <c r="G117" s="8">
        <v>2480325</v>
      </c>
      <c r="I117" s="8">
        <v>0</v>
      </c>
      <c r="K117" s="3">
        <f t="shared" si="8"/>
        <v>15032039</v>
      </c>
      <c r="M117" s="8">
        <v>17512364</v>
      </c>
      <c r="O117" s="3">
        <f t="shared" si="9"/>
        <v>4133406</v>
      </c>
      <c r="Q117" s="8">
        <v>13415867</v>
      </c>
      <c r="S117" s="8">
        <v>17549273</v>
      </c>
      <c r="U117" s="8">
        <v>512970</v>
      </c>
      <c r="W117" s="8">
        <v>0</v>
      </c>
      <c r="Y117" s="8">
        <v>-549879</v>
      </c>
      <c r="AA117" s="14">
        <f t="shared" si="10"/>
        <v>-36909</v>
      </c>
      <c r="AC117" s="8">
        <f t="shared" si="11"/>
        <v>0</v>
      </c>
    </row>
    <row r="118" spans="1:29">
      <c r="A118" s="13" t="s">
        <v>627</v>
      </c>
      <c r="B118" s="13"/>
      <c r="C118" s="13" t="s">
        <v>79</v>
      </c>
      <c r="D118" s="13"/>
      <c r="E118" s="32">
        <v>45302</v>
      </c>
      <c r="G118" s="8">
        <v>25562988</v>
      </c>
      <c r="I118" s="8">
        <v>0</v>
      </c>
      <c r="K118" s="3">
        <f t="shared" si="8"/>
        <v>7461054</v>
      </c>
      <c r="M118" s="8">
        <v>33024042</v>
      </c>
      <c r="O118" s="3">
        <f t="shared" si="9"/>
        <v>2368749</v>
      </c>
      <c r="Q118" s="8">
        <v>6075351</v>
      </c>
      <c r="S118" s="8">
        <v>8444100</v>
      </c>
      <c r="U118" s="8">
        <v>1595495</v>
      </c>
      <c r="W118" s="8">
        <v>0</v>
      </c>
      <c r="Y118" s="8">
        <v>22984447</v>
      </c>
      <c r="AA118" s="14">
        <f t="shared" si="10"/>
        <v>24579942</v>
      </c>
      <c r="AC118" s="8">
        <f t="shared" si="11"/>
        <v>0</v>
      </c>
    </row>
    <row r="119" spans="1:29">
      <c r="A119" s="13" t="s">
        <v>296</v>
      </c>
      <c r="B119" s="13"/>
      <c r="C119" s="13" t="s">
        <v>114</v>
      </c>
      <c r="D119" s="13"/>
      <c r="E119" s="13">
        <v>46516</v>
      </c>
      <c r="G119" s="8">
        <v>2029898</v>
      </c>
      <c r="I119" s="8">
        <v>104433</v>
      </c>
      <c r="K119" s="3">
        <f t="shared" si="8"/>
        <v>4237824</v>
      </c>
      <c r="M119" s="8">
        <v>6372155</v>
      </c>
      <c r="O119" s="3">
        <f t="shared" si="9"/>
        <v>3314246</v>
      </c>
      <c r="Q119" s="8">
        <v>300309</v>
      </c>
      <c r="S119" s="8">
        <v>3614555</v>
      </c>
      <c r="U119" s="8">
        <f>172752+18843+42966+1305769+618+104433+681033</f>
        <v>2326414</v>
      </c>
      <c r="W119" s="8">
        <v>80187</v>
      </c>
      <c r="Y119" s="8">
        <f>-12149+62822+300326</f>
        <v>350999</v>
      </c>
      <c r="AA119" s="14">
        <f t="shared" si="10"/>
        <v>2757600</v>
      </c>
      <c r="AC119" s="8">
        <f t="shared" si="11"/>
        <v>0</v>
      </c>
    </row>
    <row r="120" spans="1:29">
      <c r="A120" s="13" t="s">
        <v>492</v>
      </c>
      <c r="B120" s="13"/>
      <c r="C120" s="13" t="s">
        <v>44</v>
      </c>
      <c r="D120" s="13"/>
      <c r="E120" s="32">
        <v>48140</v>
      </c>
      <c r="G120" s="8">
        <v>3210042</v>
      </c>
      <c r="I120" s="8">
        <v>0</v>
      </c>
      <c r="K120" s="3">
        <f t="shared" si="8"/>
        <v>6527202</v>
      </c>
      <c r="M120" s="8">
        <v>9737244</v>
      </c>
      <c r="O120" s="3">
        <f t="shared" si="9"/>
        <v>1586752</v>
      </c>
      <c r="Q120" s="8">
        <v>5720701</v>
      </c>
      <c r="S120" s="8">
        <v>7307453</v>
      </c>
      <c r="U120" s="8">
        <f>313428+612151+39064</f>
        <v>964643</v>
      </c>
      <c r="W120" s="8">
        <v>0</v>
      </c>
      <c r="Y120" s="8">
        <f>1288178+65049+111921</f>
        <v>1465148</v>
      </c>
      <c r="AA120" s="14">
        <f t="shared" si="10"/>
        <v>2429791</v>
      </c>
      <c r="AC120" s="8">
        <f t="shared" si="11"/>
        <v>0</v>
      </c>
    </row>
    <row r="121" spans="1:29">
      <c r="A121" s="13" t="s">
        <v>283</v>
      </c>
      <c r="B121" s="13"/>
      <c r="C121" s="13" t="s">
        <v>115</v>
      </c>
      <c r="D121" s="13"/>
      <c r="E121" s="32">
        <v>45328</v>
      </c>
      <c r="G121" s="8">
        <v>2618317</v>
      </c>
      <c r="I121" s="8">
        <v>0</v>
      </c>
      <c r="K121" s="3">
        <f t="shared" si="8"/>
        <v>6393656</v>
      </c>
      <c r="M121" s="8">
        <v>9011973</v>
      </c>
      <c r="O121" s="3">
        <f t="shared" si="9"/>
        <v>1080444</v>
      </c>
      <c r="Q121" s="8">
        <v>4626925</v>
      </c>
      <c r="S121" s="8">
        <v>5707369</v>
      </c>
      <c r="U121" s="8">
        <v>92197</v>
      </c>
      <c r="W121" s="8">
        <v>0</v>
      </c>
      <c r="Y121" s="8">
        <v>3212407</v>
      </c>
      <c r="AA121" s="14">
        <f t="shared" si="10"/>
        <v>3304604</v>
      </c>
      <c r="AC121" s="8">
        <f t="shared" si="11"/>
        <v>0</v>
      </c>
    </row>
    <row r="122" spans="1:29">
      <c r="A122" s="13" t="s">
        <v>358</v>
      </c>
      <c r="B122" s="13"/>
      <c r="C122" s="13" t="s">
        <v>27</v>
      </c>
      <c r="D122" s="13"/>
      <c r="E122" s="32">
        <v>43802</v>
      </c>
      <c r="G122" s="8">
        <v>315399211</v>
      </c>
      <c r="I122" s="8">
        <v>0</v>
      </c>
      <c r="K122" s="3">
        <f t="shared" si="8"/>
        <v>512763382</v>
      </c>
      <c r="M122" s="8">
        <v>828162593</v>
      </c>
      <c r="O122" s="3">
        <f t="shared" si="9"/>
        <v>120867828</v>
      </c>
      <c r="Q122" s="8">
        <v>365719126</v>
      </c>
      <c r="S122" s="8">
        <v>486586954</v>
      </c>
      <c r="U122" s="8">
        <v>213331395</v>
      </c>
      <c r="W122" s="8">
        <v>0</v>
      </c>
      <c r="Y122" s="8">
        <v>128244244</v>
      </c>
      <c r="AA122" s="14">
        <f t="shared" si="10"/>
        <v>341575639</v>
      </c>
      <c r="AC122" s="8">
        <f t="shared" si="11"/>
        <v>0</v>
      </c>
    </row>
    <row r="123" spans="1:29">
      <c r="A123" s="13" t="s">
        <v>220</v>
      </c>
      <c r="B123" s="13"/>
      <c r="C123" s="13" t="s">
        <v>12</v>
      </c>
      <c r="D123" s="13"/>
      <c r="E123" s="32">
        <v>43810</v>
      </c>
      <c r="G123" s="8">
        <v>6520329</v>
      </c>
      <c r="I123" s="8">
        <v>0</v>
      </c>
      <c r="K123" s="3">
        <f t="shared" si="8"/>
        <v>5308586</v>
      </c>
      <c r="M123" s="8">
        <v>11828915</v>
      </c>
      <c r="O123" s="3">
        <f t="shared" si="9"/>
        <v>2486722</v>
      </c>
      <c r="Q123" s="8">
        <v>2685159</v>
      </c>
      <c r="S123" s="8">
        <v>5171881</v>
      </c>
      <c r="U123" s="8">
        <v>2385298</v>
      </c>
      <c r="W123" s="8">
        <v>0</v>
      </c>
      <c r="Y123" s="8">
        <v>4271736</v>
      </c>
      <c r="AA123" s="14">
        <f t="shared" si="10"/>
        <v>6657034</v>
      </c>
      <c r="AC123" s="8">
        <f t="shared" si="11"/>
        <v>0</v>
      </c>
    </row>
    <row r="124" spans="1:29">
      <c r="A124" s="13" t="s">
        <v>432</v>
      </c>
      <c r="B124" s="13"/>
      <c r="C124" s="13" t="s">
        <v>433</v>
      </c>
      <c r="D124" s="13"/>
      <c r="E124" s="32">
        <v>47548</v>
      </c>
      <c r="G124" s="8">
        <v>1819512</v>
      </c>
      <c r="I124" s="8">
        <v>0</v>
      </c>
      <c r="K124" s="3">
        <f t="shared" si="8"/>
        <v>2347947</v>
      </c>
      <c r="M124" s="8">
        <v>4167459</v>
      </c>
      <c r="O124" s="3">
        <f t="shared" si="9"/>
        <v>602376</v>
      </c>
      <c r="Q124" s="8">
        <v>1831322</v>
      </c>
      <c r="S124" s="8">
        <v>2433698</v>
      </c>
      <c r="U124" s="8">
        <v>601549</v>
      </c>
      <c r="W124" s="8">
        <v>0</v>
      </c>
      <c r="Y124" s="8">
        <v>1132212</v>
      </c>
      <c r="AA124" s="14">
        <f t="shared" si="10"/>
        <v>1733761</v>
      </c>
      <c r="AC124" s="8">
        <f t="shared" si="11"/>
        <v>0</v>
      </c>
    </row>
    <row r="125" spans="1:29" ht="12" customHeight="1">
      <c r="A125" s="13" t="s">
        <v>669</v>
      </c>
      <c r="B125" s="13"/>
      <c r="C125" s="13" t="s">
        <v>63</v>
      </c>
      <c r="D125" s="13"/>
      <c r="E125" s="32">
        <v>49981</v>
      </c>
      <c r="G125" s="8">
        <v>10795338</v>
      </c>
      <c r="I125" s="8">
        <v>0</v>
      </c>
      <c r="K125" s="3">
        <f t="shared" si="8"/>
        <v>26594114</v>
      </c>
      <c r="M125" s="8">
        <v>37389452</v>
      </c>
      <c r="O125" s="3">
        <f t="shared" si="9"/>
        <v>4222956</v>
      </c>
      <c r="Q125" s="8">
        <v>23655921</v>
      </c>
      <c r="S125" s="8">
        <v>27878877</v>
      </c>
      <c r="U125" s="8">
        <v>1107135</v>
      </c>
      <c r="W125" s="8">
        <v>0</v>
      </c>
      <c r="Y125" s="8">
        <v>8403440</v>
      </c>
      <c r="AA125" s="14">
        <f t="shared" si="10"/>
        <v>9510575</v>
      </c>
      <c r="AC125" s="8">
        <f t="shared" si="11"/>
        <v>0</v>
      </c>
    </row>
    <row r="126" spans="1:29" ht="12" customHeight="1">
      <c r="A126" s="13" t="s">
        <v>420</v>
      </c>
      <c r="B126" s="13"/>
      <c r="C126" s="13" t="s">
        <v>33</v>
      </c>
      <c r="D126" s="13"/>
      <c r="E126" s="32">
        <v>47431</v>
      </c>
      <c r="G126" s="8">
        <v>816491</v>
      </c>
      <c r="I126" s="8">
        <v>0</v>
      </c>
      <c r="K126" s="3">
        <f t="shared" si="8"/>
        <v>2544251</v>
      </c>
      <c r="M126" s="8">
        <v>3360742</v>
      </c>
      <c r="O126" s="3">
        <f t="shared" si="9"/>
        <v>975713</v>
      </c>
      <c r="Q126" s="8">
        <v>1915962</v>
      </c>
      <c r="S126" s="8">
        <v>2891675</v>
      </c>
      <c r="U126" s="8">
        <v>148846</v>
      </c>
      <c r="W126" s="8">
        <v>0</v>
      </c>
      <c r="Y126" s="8">
        <v>320221</v>
      </c>
      <c r="AA126" s="14">
        <f t="shared" si="10"/>
        <v>469067</v>
      </c>
      <c r="AC126" s="8">
        <f t="shared" si="11"/>
        <v>0</v>
      </c>
    </row>
    <row r="127" spans="1:29" ht="12" customHeight="1">
      <c r="A127" s="13" t="s">
        <v>291</v>
      </c>
      <c r="B127" s="13"/>
      <c r="C127" s="13" t="s">
        <v>19</v>
      </c>
      <c r="D127" s="13"/>
      <c r="E127" s="32">
        <v>43828</v>
      </c>
      <c r="G127" s="8">
        <v>528103</v>
      </c>
      <c r="I127" s="8">
        <v>0</v>
      </c>
      <c r="K127" s="3">
        <f t="shared" si="8"/>
        <v>4658783</v>
      </c>
      <c r="M127" s="8">
        <v>5186886</v>
      </c>
      <c r="O127" s="3">
        <f t="shared" si="9"/>
        <v>1753400</v>
      </c>
      <c r="Q127" s="8">
        <v>4401861</v>
      </c>
      <c r="S127" s="8">
        <v>6155261</v>
      </c>
      <c r="U127" s="8">
        <v>300435</v>
      </c>
      <c r="W127" s="8">
        <v>0</v>
      </c>
      <c r="Y127" s="8">
        <v>-1268810</v>
      </c>
      <c r="AA127" s="14">
        <f t="shared" si="10"/>
        <v>-968375</v>
      </c>
      <c r="AC127" s="8">
        <f t="shared" si="11"/>
        <v>0</v>
      </c>
    </row>
    <row r="128" spans="1:29" ht="12" customHeight="1">
      <c r="A128" s="13" t="s">
        <v>832</v>
      </c>
      <c r="B128" s="13"/>
      <c r="C128" s="13" t="s">
        <v>63</v>
      </c>
      <c r="D128" s="13"/>
      <c r="E128" s="32"/>
      <c r="G128" s="8">
        <v>460876</v>
      </c>
      <c r="I128" s="8">
        <v>0</v>
      </c>
      <c r="K128" s="3">
        <f t="shared" si="8"/>
        <v>10596153</v>
      </c>
      <c r="M128" s="8">
        <v>11057029</v>
      </c>
      <c r="O128" s="3">
        <f t="shared" si="9"/>
        <v>3028583</v>
      </c>
      <c r="Q128" s="8">
        <v>8775080</v>
      </c>
      <c r="S128" s="8">
        <v>11803663</v>
      </c>
      <c r="U128" s="8">
        <v>1915660</v>
      </c>
      <c r="W128" s="8">
        <v>0</v>
      </c>
      <c r="Y128" s="8">
        <v>-2662294</v>
      </c>
      <c r="AA128" s="14">
        <f t="shared" si="10"/>
        <v>-746634</v>
      </c>
      <c r="AC128" s="8">
        <f t="shared" si="11"/>
        <v>0</v>
      </c>
    </row>
    <row r="129" spans="1:29" ht="12" customHeight="1">
      <c r="A129" s="13" t="s">
        <v>544</v>
      </c>
      <c r="B129" s="13"/>
      <c r="C129" s="13" t="s">
        <v>48</v>
      </c>
      <c r="D129" s="13"/>
      <c r="E129" s="32">
        <v>45336</v>
      </c>
      <c r="G129" s="8">
        <v>1705717</v>
      </c>
      <c r="I129" s="8">
        <v>0</v>
      </c>
      <c r="K129" s="3">
        <f t="shared" si="8"/>
        <v>2357083</v>
      </c>
      <c r="M129" s="8">
        <v>4062800</v>
      </c>
      <c r="O129" s="3">
        <f t="shared" si="9"/>
        <v>769240</v>
      </c>
      <c r="Q129" s="8">
        <v>1652184</v>
      </c>
      <c r="S129" s="8">
        <v>2421424</v>
      </c>
      <c r="U129" s="8">
        <v>202316</v>
      </c>
      <c r="W129" s="8">
        <v>0</v>
      </c>
      <c r="Y129" s="8">
        <v>1439060</v>
      </c>
      <c r="AA129" s="14">
        <f t="shared" si="10"/>
        <v>1641376</v>
      </c>
      <c r="AC129" s="8">
        <f t="shared" si="11"/>
        <v>0</v>
      </c>
    </row>
    <row r="130" spans="1:29" ht="12" customHeight="1">
      <c r="A130" s="13" t="s">
        <v>297</v>
      </c>
      <c r="B130" s="13"/>
      <c r="C130" s="13" t="s">
        <v>114</v>
      </c>
      <c r="D130" s="13"/>
      <c r="E130" s="32">
        <v>45344</v>
      </c>
      <c r="G130" s="8">
        <v>2590616</v>
      </c>
      <c r="I130" s="8">
        <v>43032</v>
      </c>
      <c r="K130" s="3">
        <f t="shared" si="8"/>
        <v>2825403</v>
      </c>
      <c r="M130" s="8">
        <v>5459051</v>
      </c>
      <c r="O130" s="3">
        <f t="shared" si="9"/>
        <v>2471964</v>
      </c>
      <c r="Q130" s="8">
        <v>405015</v>
      </c>
      <c r="S130" s="8">
        <v>2876979</v>
      </c>
      <c r="U130" s="8">
        <f>91674+5544+30807+848848+35920+7112</f>
        <v>1019905</v>
      </c>
      <c r="W130" s="8">
        <v>0</v>
      </c>
      <c r="Y130" s="8">
        <f>1327603+169525+65039</f>
        <v>1562167</v>
      </c>
      <c r="AA130" s="14">
        <f t="shared" si="10"/>
        <v>2582072</v>
      </c>
      <c r="AC130" s="8">
        <f t="shared" si="11"/>
        <v>0</v>
      </c>
    </row>
    <row r="131" spans="1:29" ht="12" customHeight="1">
      <c r="A131" s="13" t="s">
        <v>284</v>
      </c>
      <c r="B131" s="13"/>
      <c r="C131" s="13" t="s">
        <v>115</v>
      </c>
      <c r="D131" s="13"/>
      <c r="E131" s="32">
        <v>46433</v>
      </c>
      <c r="G131" s="8">
        <v>1515667</v>
      </c>
      <c r="I131" s="8">
        <v>0</v>
      </c>
      <c r="K131" s="3">
        <f t="shared" si="8"/>
        <v>3340471</v>
      </c>
      <c r="M131" s="8">
        <v>4856138</v>
      </c>
      <c r="O131" s="3">
        <f t="shared" si="9"/>
        <v>1087806</v>
      </c>
      <c r="Q131" s="8">
        <v>2492110</v>
      </c>
      <c r="S131" s="8">
        <v>3579916</v>
      </c>
      <c r="U131" s="8">
        <v>223238</v>
      </c>
      <c r="W131" s="8">
        <v>0</v>
      </c>
      <c r="Y131" s="8">
        <v>1052984</v>
      </c>
      <c r="AA131" s="14">
        <f t="shared" si="10"/>
        <v>1276222</v>
      </c>
      <c r="AC131" s="8">
        <f t="shared" si="11"/>
        <v>0</v>
      </c>
    </row>
    <row r="132" spans="1:29" ht="12" customHeight="1">
      <c r="A132" s="13" t="s">
        <v>284</v>
      </c>
      <c r="B132" s="13"/>
      <c r="C132" s="13" t="s">
        <v>113</v>
      </c>
      <c r="D132" s="13"/>
      <c r="E132" s="32">
        <v>49429</v>
      </c>
      <c r="G132" s="8">
        <v>6720520</v>
      </c>
      <c r="I132" s="8">
        <v>0</v>
      </c>
      <c r="K132" s="3">
        <f t="shared" si="8"/>
        <v>3544252</v>
      </c>
      <c r="M132" s="8">
        <v>10264772</v>
      </c>
      <c r="O132" s="3">
        <f t="shared" si="9"/>
        <v>1824663</v>
      </c>
      <c r="Q132" s="8">
        <v>2777594</v>
      </c>
      <c r="S132" s="8">
        <v>4602257</v>
      </c>
      <c r="U132" s="8">
        <v>1493068</v>
      </c>
      <c r="W132" s="8">
        <v>0</v>
      </c>
      <c r="Y132" s="8">
        <v>4169447</v>
      </c>
      <c r="AA132" s="14">
        <f t="shared" si="10"/>
        <v>5662515</v>
      </c>
      <c r="AC132" s="8">
        <f t="shared" si="11"/>
        <v>0</v>
      </c>
    </row>
    <row r="133" spans="1:29" ht="12" customHeight="1">
      <c r="A133" s="13" t="s">
        <v>596</v>
      </c>
      <c r="B133" s="13"/>
      <c r="C133" s="13" t="s">
        <v>56</v>
      </c>
      <c r="D133" s="13"/>
      <c r="E133" s="32">
        <v>49189</v>
      </c>
      <c r="G133" s="8">
        <v>8071894</v>
      </c>
      <c r="I133" s="8">
        <v>0</v>
      </c>
      <c r="K133" s="3">
        <f t="shared" si="8"/>
        <v>8522140</v>
      </c>
      <c r="M133" s="8">
        <v>16594034</v>
      </c>
      <c r="O133" s="3">
        <f t="shared" si="9"/>
        <v>3048056</v>
      </c>
      <c r="Q133" s="8">
        <v>7618887</v>
      </c>
      <c r="S133" s="8">
        <v>10666943</v>
      </c>
      <c r="U133" s="8">
        <v>1273676</v>
      </c>
      <c r="W133" s="8">
        <v>0</v>
      </c>
      <c r="Y133" s="8">
        <v>4653415</v>
      </c>
      <c r="AA133" s="14">
        <f t="shared" si="10"/>
        <v>5927091</v>
      </c>
      <c r="AC133" s="8">
        <f t="shared" si="11"/>
        <v>0</v>
      </c>
    </row>
    <row r="134" spans="1:29" ht="12" customHeight="1">
      <c r="A134" s="13" t="s">
        <v>833</v>
      </c>
      <c r="B134" s="13"/>
      <c r="C134" s="13" t="s">
        <v>586</v>
      </c>
      <c r="D134" s="13"/>
      <c r="E134" s="32"/>
      <c r="G134" s="8">
        <v>1820669</v>
      </c>
      <c r="I134" s="8">
        <v>0</v>
      </c>
      <c r="K134" s="3">
        <f t="shared" si="8"/>
        <v>3176614</v>
      </c>
      <c r="M134" s="8">
        <v>4997283</v>
      </c>
      <c r="O134" s="3">
        <f t="shared" si="9"/>
        <v>1366068</v>
      </c>
      <c r="Q134" s="8">
        <v>2257965</v>
      </c>
      <c r="S134" s="8">
        <v>3624033</v>
      </c>
      <c r="U134" s="8">
        <v>1238658</v>
      </c>
      <c r="W134" s="8">
        <v>0</v>
      </c>
      <c r="Y134" s="8">
        <v>134592</v>
      </c>
      <c r="AA134" s="14">
        <f t="shared" si="10"/>
        <v>1373250</v>
      </c>
      <c r="AC134" s="8">
        <f t="shared" si="11"/>
        <v>0</v>
      </c>
    </row>
    <row r="135" spans="1:29" ht="12" customHeight="1">
      <c r="A135" s="13" t="s">
        <v>670</v>
      </c>
      <c r="B135" s="13"/>
      <c r="C135" s="13" t="s">
        <v>63</v>
      </c>
      <c r="D135" s="13"/>
      <c r="E135" s="32">
        <v>43836</v>
      </c>
      <c r="G135" s="8">
        <v>7277203</v>
      </c>
      <c r="I135" s="8">
        <v>0</v>
      </c>
      <c r="K135" s="3">
        <f t="shared" si="8"/>
        <v>27592292</v>
      </c>
      <c r="M135" s="8">
        <v>34869495</v>
      </c>
      <c r="O135" s="3">
        <f t="shared" si="9"/>
        <v>5611028</v>
      </c>
      <c r="Q135" s="8">
        <v>25713752</v>
      </c>
      <c r="S135" s="8">
        <v>31324780</v>
      </c>
      <c r="U135" s="8">
        <v>2022627</v>
      </c>
      <c r="W135" s="8">
        <v>0</v>
      </c>
      <c r="Y135" s="8">
        <v>1522088</v>
      </c>
      <c r="AA135" s="14">
        <f t="shared" si="10"/>
        <v>3544715</v>
      </c>
      <c r="AC135" s="8">
        <f t="shared" si="11"/>
        <v>0</v>
      </c>
    </row>
    <row r="136" spans="1:29">
      <c r="A136" s="13" t="s">
        <v>309</v>
      </c>
      <c r="B136" s="13"/>
      <c r="C136" s="13" t="s">
        <v>20</v>
      </c>
      <c r="D136" s="13"/>
      <c r="E136" s="32">
        <v>46557</v>
      </c>
      <c r="G136" s="8">
        <v>9708449</v>
      </c>
      <c r="I136" s="8">
        <v>0</v>
      </c>
      <c r="K136" s="3">
        <f t="shared" si="8"/>
        <v>11255125</v>
      </c>
      <c r="M136" s="8">
        <v>20963574</v>
      </c>
      <c r="O136" s="3">
        <f t="shared" si="9"/>
        <v>2257159</v>
      </c>
      <c r="Q136" s="8">
        <v>9834139</v>
      </c>
      <c r="S136" s="8">
        <v>12091298</v>
      </c>
      <c r="U136" s="8">
        <v>1241889</v>
      </c>
      <c r="W136" s="8">
        <v>0</v>
      </c>
      <c r="Y136" s="8">
        <v>7630387</v>
      </c>
      <c r="AA136" s="14">
        <f t="shared" si="10"/>
        <v>8872276</v>
      </c>
      <c r="AC136" s="8">
        <f t="shared" si="11"/>
        <v>0</v>
      </c>
    </row>
    <row r="137" spans="1:29">
      <c r="A137" s="13" t="s">
        <v>846</v>
      </c>
      <c r="B137" s="13"/>
      <c r="C137" s="13" t="s">
        <v>71</v>
      </c>
      <c r="D137" s="13"/>
      <c r="E137" s="32">
        <v>48934</v>
      </c>
      <c r="G137" s="8">
        <v>429603</v>
      </c>
      <c r="I137" s="8">
        <v>311690</v>
      </c>
      <c r="K137" s="3">
        <f t="shared" si="8"/>
        <v>3534775</v>
      </c>
      <c r="M137" s="8">
        <v>4276068</v>
      </c>
      <c r="O137" s="3">
        <f t="shared" si="9"/>
        <v>3841796</v>
      </c>
      <c r="Q137" s="8">
        <v>81839</v>
      </c>
      <c r="S137" s="8">
        <v>3923635</v>
      </c>
      <c r="U137" s="8">
        <f>54440+16202+165000+311690</f>
        <v>547332</v>
      </c>
      <c r="W137" s="8">
        <v>0</v>
      </c>
      <c r="Y137" s="8">
        <f>-273388-21456+99945</f>
        <v>-194899</v>
      </c>
      <c r="AA137" s="14">
        <f t="shared" si="10"/>
        <v>352433</v>
      </c>
      <c r="AC137" s="8">
        <f t="shared" si="11"/>
        <v>0</v>
      </c>
    </row>
    <row r="138" spans="1:29">
      <c r="A138" s="13" t="s">
        <v>460</v>
      </c>
      <c r="B138" s="13"/>
      <c r="C138" s="13" t="s">
        <v>40</v>
      </c>
      <c r="D138" s="13"/>
      <c r="E138" s="32">
        <v>47837</v>
      </c>
      <c r="G138" s="8">
        <v>2619260</v>
      </c>
      <c r="I138" s="8">
        <v>0</v>
      </c>
      <c r="K138" s="3">
        <f t="shared" si="8"/>
        <v>1770005</v>
      </c>
      <c r="M138" s="8">
        <v>4389265</v>
      </c>
      <c r="O138" s="3">
        <f t="shared" si="9"/>
        <v>647396</v>
      </c>
      <c r="Q138" s="8">
        <v>917312</v>
      </c>
      <c r="S138" s="8">
        <v>1564708</v>
      </c>
      <c r="U138" s="8">
        <f>45862+277304</f>
        <v>323166</v>
      </c>
      <c r="W138" s="8">
        <v>0</v>
      </c>
      <c r="Y138" s="8">
        <f>2069256+259011+173124</f>
        <v>2501391</v>
      </c>
      <c r="AA138" s="14">
        <f t="shared" si="10"/>
        <v>2824557</v>
      </c>
      <c r="AC138" s="8">
        <f t="shared" si="11"/>
        <v>0</v>
      </c>
    </row>
    <row r="139" spans="1:29">
      <c r="A139" s="13" t="s">
        <v>472</v>
      </c>
      <c r="B139" s="13"/>
      <c r="C139" s="13" t="s">
        <v>471</v>
      </c>
      <c r="D139" s="13"/>
      <c r="E139" s="32">
        <v>47928</v>
      </c>
      <c r="G139" s="8">
        <f>6807132+212001</f>
        <v>7019133</v>
      </c>
      <c r="I139" s="8">
        <v>0</v>
      </c>
      <c r="K139" s="3">
        <f t="shared" si="8"/>
        <v>2185022</v>
      </c>
      <c r="M139" s="8">
        <v>9204155</v>
      </c>
      <c r="O139" s="3">
        <f t="shared" si="9"/>
        <v>1724763</v>
      </c>
      <c r="Q139" s="8">
        <v>1891751</v>
      </c>
      <c r="S139" s="8">
        <v>3616514</v>
      </c>
      <c r="U139" s="8">
        <f>376095+210222+6311</f>
        <v>592628</v>
      </c>
      <c r="W139" s="8">
        <v>0</v>
      </c>
      <c r="Y139" s="8">
        <f>2985703+166376+707855+1135079</f>
        <v>4995013</v>
      </c>
      <c r="AA139" s="14">
        <f t="shared" si="10"/>
        <v>5587641</v>
      </c>
      <c r="AC139" s="8">
        <f t="shared" si="11"/>
        <v>0</v>
      </c>
    </row>
    <row r="140" spans="1:29">
      <c r="A140" s="13" t="s">
        <v>554</v>
      </c>
      <c r="B140" s="13"/>
      <c r="C140" s="13" t="s">
        <v>50</v>
      </c>
      <c r="D140" s="13"/>
      <c r="E140" s="32">
        <v>43844</v>
      </c>
      <c r="G140" s="8">
        <f>202516822+5049999</f>
        <v>207566821</v>
      </c>
      <c r="I140" s="8">
        <v>1422849</v>
      </c>
      <c r="K140" s="3">
        <f t="shared" si="8"/>
        <v>181144229</v>
      </c>
      <c r="M140" s="8">
        <v>390133899</v>
      </c>
      <c r="O140" s="3">
        <f t="shared" si="9"/>
        <v>23058406</v>
      </c>
      <c r="Q140" s="8">
        <v>167813415</v>
      </c>
      <c r="S140" s="8">
        <v>190871821</v>
      </c>
      <c r="U140" s="8">
        <f>41932074+538902+4391014+691560+75000</f>
        <v>47628550</v>
      </c>
      <c r="W140" s="8">
        <v>0</v>
      </c>
      <c r="Y140" s="8">
        <f>4921336+13977212+133053990-319010</f>
        <v>151633528</v>
      </c>
      <c r="AA140" s="14">
        <f t="shared" si="10"/>
        <v>199262078</v>
      </c>
      <c r="AC140" s="8">
        <f t="shared" si="11"/>
        <v>0</v>
      </c>
    </row>
    <row r="141" spans="1:29">
      <c r="A141" s="13" t="s">
        <v>397</v>
      </c>
      <c r="B141" s="13"/>
      <c r="C141" s="13" t="s">
        <v>32</v>
      </c>
      <c r="D141" s="13"/>
      <c r="E141" s="32">
        <v>43851</v>
      </c>
      <c r="G141" s="8">
        <v>2969760</v>
      </c>
      <c r="I141" s="8">
        <v>53055</v>
      </c>
      <c r="K141" s="3">
        <f t="shared" si="8"/>
        <v>9502577</v>
      </c>
      <c r="M141" s="8">
        <v>12525392</v>
      </c>
      <c r="O141" s="3">
        <f t="shared" si="9"/>
        <v>1731963</v>
      </c>
      <c r="Q141" s="8">
        <v>6180809</v>
      </c>
      <c r="S141" s="8">
        <v>7912772</v>
      </c>
      <c r="U141" s="8">
        <f>253422+3786+3202000+53055</f>
        <v>3512263</v>
      </c>
      <c r="W141" s="8">
        <v>0</v>
      </c>
      <c r="Y141" s="8">
        <f>579314+292971+18190+209882</f>
        <v>1100357</v>
      </c>
      <c r="AA141" s="14">
        <f t="shared" si="10"/>
        <v>4612620</v>
      </c>
      <c r="AC141" s="8">
        <f t="shared" si="11"/>
        <v>0</v>
      </c>
    </row>
    <row r="142" spans="1:29">
      <c r="A142" s="13" t="s">
        <v>338</v>
      </c>
      <c r="B142" s="13"/>
      <c r="C142" s="13" t="s">
        <v>23</v>
      </c>
      <c r="D142" s="13"/>
      <c r="E142" s="32">
        <v>43877</v>
      </c>
      <c r="G142" s="8">
        <v>13968354</v>
      </c>
      <c r="I142" s="8">
        <v>0</v>
      </c>
      <c r="K142" s="3">
        <f t="shared" si="8"/>
        <v>30624146</v>
      </c>
      <c r="M142" s="8">
        <v>44592500</v>
      </c>
      <c r="O142" s="3">
        <f t="shared" si="9"/>
        <v>6927952</v>
      </c>
      <c r="Q142" s="8">
        <v>23983769</v>
      </c>
      <c r="S142" s="8">
        <v>30911721</v>
      </c>
      <c r="U142" s="8">
        <f>635966+6139520</f>
        <v>6775486</v>
      </c>
      <c r="W142" s="8">
        <v>367699</v>
      </c>
      <c r="Y142" s="8">
        <f>2573896+1048274+1228407+1681912+5105</f>
        <v>6537594</v>
      </c>
      <c r="AA142" s="14">
        <f t="shared" si="10"/>
        <v>13680779</v>
      </c>
      <c r="AC142" s="8">
        <f t="shared" si="11"/>
        <v>0</v>
      </c>
    </row>
    <row r="143" spans="1:29">
      <c r="A143" s="13" t="s">
        <v>212</v>
      </c>
      <c r="B143" s="13"/>
      <c r="C143" s="13" t="s">
        <v>10</v>
      </c>
      <c r="D143" s="13"/>
      <c r="E143" s="32">
        <v>43885</v>
      </c>
      <c r="G143" s="8">
        <v>1112988</v>
      </c>
      <c r="I143" s="8">
        <v>42068</v>
      </c>
      <c r="K143" s="3">
        <f>M143-G143-I143</f>
        <v>5164345</v>
      </c>
      <c r="M143" s="8">
        <v>6319401</v>
      </c>
      <c r="O143" s="3">
        <f>S143-Q143</f>
        <v>1344026</v>
      </c>
      <c r="Q143" s="8">
        <v>4672641</v>
      </c>
      <c r="S143" s="8">
        <v>6016667</v>
      </c>
      <c r="U143" s="8">
        <f>338817+42068+223607</f>
        <v>604492</v>
      </c>
      <c r="W143" s="8">
        <v>0</v>
      </c>
      <c r="Y143" s="8">
        <f>-802359+183398+317203</f>
        <v>-301758</v>
      </c>
      <c r="AA143" s="14">
        <f t="shared" ref="AA143:AA206" si="12">U143+W143+Y143</f>
        <v>302734</v>
      </c>
      <c r="AC143" s="8">
        <f t="shared" ref="AC143:AC206" si="13">+G143+I143+K143-O143-Q143-Y143-W143-U143</f>
        <v>0</v>
      </c>
    </row>
    <row r="144" spans="1:29">
      <c r="A144" s="13" t="s">
        <v>700</v>
      </c>
      <c r="B144" s="13"/>
      <c r="C144" s="13" t="s">
        <v>65</v>
      </c>
      <c r="D144" s="13"/>
      <c r="E144" s="32">
        <v>43893</v>
      </c>
      <c r="G144" s="8">
        <v>5016050</v>
      </c>
      <c r="I144" s="8">
        <v>0</v>
      </c>
      <c r="K144" s="3">
        <f>M144-G144-I144</f>
        <v>12664838</v>
      </c>
      <c r="M144" s="8">
        <v>17680888</v>
      </c>
      <c r="O144" s="3">
        <f>S144-Q144</f>
        <v>3413672</v>
      </c>
      <c r="Q144" s="8">
        <v>11534256</v>
      </c>
      <c r="S144" s="8">
        <v>14947928</v>
      </c>
      <c r="U144" s="8">
        <f>583164+825327</f>
        <v>1408491</v>
      </c>
      <c r="W144" s="8">
        <v>0</v>
      </c>
      <c r="Y144" s="8">
        <f>419423+188625+635605+80816</f>
        <v>1324469</v>
      </c>
      <c r="AA144" s="14">
        <f t="shared" si="12"/>
        <v>2732960</v>
      </c>
      <c r="AC144" s="8">
        <f t="shared" si="13"/>
        <v>0</v>
      </c>
    </row>
    <row r="145" spans="1:29">
      <c r="A145" s="13" t="s">
        <v>359</v>
      </c>
      <c r="B145" s="13"/>
      <c r="C145" s="13" t="s">
        <v>27</v>
      </c>
      <c r="D145" s="13"/>
      <c r="E145" s="32">
        <v>47027</v>
      </c>
      <c r="G145" s="8">
        <v>74031650</v>
      </c>
      <c r="I145" s="8">
        <v>0</v>
      </c>
      <c r="K145" s="3">
        <f>M145-G145-I145</f>
        <v>193184654</v>
      </c>
      <c r="M145" s="8">
        <v>267216304</v>
      </c>
      <c r="O145" s="3">
        <f>S145-Q145</f>
        <v>17893625</v>
      </c>
      <c r="Q145" s="8">
        <v>154808594</v>
      </c>
      <c r="S145" s="8">
        <v>172702219</v>
      </c>
      <c r="U145" s="8">
        <f>3192188+118277</f>
        <v>3310465</v>
      </c>
      <c r="W145" s="8">
        <v>37447906</v>
      </c>
      <c r="Y145" s="8">
        <f>32367136+1154505+13198502+7035571</f>
        <v>53755714</v>
      </c>
      <c r="AA145" s="14">
        <f t="shared" si="12"/>
        <v>94514085</v>
      </c>
      <c r="AC145" s="8">
        <f t="shared" si="13"/>
        <v>0</v>
      </c>
    </row>
    <row r="146" spans="1:29">
      <c r="A146" s="13" t="s">
        <v>280</v>
      </c>
      <c r="B146" s="13"/>
      <c r="C146" s="13" t="s">
        <v>18</v>
      </c>
      <c r="D146" s="13"/>
      <c r="E146" s="32">
        <v>46409</v>
      </c>
      <c r="G146" s="8">
        <v>2164197</v>
      </c>
      <c r="I146" s="8">
        <v>34775</v>
      </c>
      <c r="K146" s="3">
        <f>M146-G146-I146</f>
        <v>3662594</v>
      </c>
      <c r="M146" s="8">
        <v>5861566</v>
      </c>
      <c r="O146" s="3">
        <f>S146-Q146</f>
        <v>1637451</v>
      </c>
      <c r="Q146" s="8">
        <v>3292775</v>
      </c>
      <c r="S146" s="8">
        <v>4930226</v>
      </c>
      <c r="U146" s="8">
        <f>252938+220834+34775+300000</f>
        <v>808547</v>
      </c>
      <c r="W146" s="8">
        <v>0</v>
      </c>
      <c r="Y146" s="8">
        <f>-1027620+463145+413036+227683+46549</f>
        <v>122793</v>
      </c>
      <c r="AA146" s="14">
        <f t="shared" si="12"/>
        <v>931340</v>
      </c>
      <c r="AC146" s="8">
        <f t="shared" si="13"/>
        <v>0</v>
      </c>
    </row>
    <row r="147" spans="1:29">
      <c r="A147" s="13" t="s">
        <v>394</v>
      </c>
      <c r="B147" s="13"/>
      <c r="C147" s="13" t="s">
        <v>31</v>
      </c>
      <c r="D147" s="13"/>
      <c r="E147" s="32">
        <v>69682</v>
      </c>
      <c r="G147" s="8">
        <v>4097485</v>
      </c>
      <c r="I147" s="8">
        <v>1038063</v>
      </c>
      <c r="K147" s="3">
        <f t="shared" ref="K147:K206" si="14">M147-G147-I147</f>
        <v>3407829</v>
      </c>
      <c r="M147" s="8">
        <v>8543377</v>
      </c>
      <c r="O147" s="3">
        <f t="shared" ref="O147:O206" si="15">S147-Q147</f>
        <v>2242428</v>
      </c>
      <c r="Q147" s="8">
        <v>2519897</v>
      </c>
      <c r="S147" s="8">
        <v>4762325</v>
      </c>
      <c r="U147" s="8">
        <f>298184+747631</f>
        <v>1045815</v>
      </c>
      <c r="W147" s="8">
        <v>0</v>
      </c>
      <c r="Y147" s="8">
        <f>751015+238475+1022156+723591</f>
        <v>2735237</v>
      </c>
      <c r="AA147" s="14">
        <f t="shared" si="12"/>
        <v>3781052</v>
      </c>
      <c r="AC147" s="8">
        <f t="shared" si="13"/>
        <v>0</v>
      </c>
    </row>
    <row r="148" spans="1:29">
      <c r="A148" s="13" t="s">
        <v>446</v>
      </c>
      <c r="B148" s="13"/>
      <c r="C148" s="13" t="s">
        <v>36</v>
      </c>
      <c r="D148" s="13"/>
      <c r="E148" s="32">
        <v>47688</v>
      </c>
      <c r="G148" s="8">
        <v>0</v>
      </c>
      <c r="I148" s="8">
        <v>0</v>
      </c>
      <c r="K148" s="3">
        <f t="shared" si="14"/>
        <v>1812886</v>
      </c>
      <c r="M148" s="8">
        <v>1812886</v>
      </c>
      <c r="O148" s="3">
        <f t="shared" si="15"/>
        <v>423158</v>
      </c>
      <c r="Q148" s="8">
        <v>562747</v>
      </c>
      <c r="S148" s="8">
        <v>985905</v>
      </c>
      <c r="U148" s="8">
        <f>49892+9212</f>
        <v>59104</v>
      </c>
      <c r="W148" s="8">
        <v>0</v>
      </c>
      <c r="Y148" s="8">
        <f>232689+204202+330986</f>
        <v>767877</v>
      </c>
      <c r="AA148" s="14">
        <f t="shared" si="12"/>
        <v>826981</v>
      </c>
      <c r="AC148" s="8">
        <f t="shared" si="13"/>
        <v>0</v>
      </c>
    </row>
    <row r="149" spans="1:29">
      <c r="A149" s="13" t="s">
        <v>285</v>
      </c>
      <c r="B149" s="13"/>
      <c r="C149" s="13" t="s">
        <v>115</v>
      </c>
      <c r="D149" s="13"/>
      <c r="E149" s="32">
        <v>43919</v>
      </c>
      <c r="G149" s="8">
        <v>14173032</v>
      </c>
      <c r="I149" s="8">
        <v>50285</v>
      </c>
      <c r="K149" s="3">
        <f t="shared" si="14"/>
        <v>37636429</v>
      </c>
      <c r="M149" s="8">
        <v>51859746</v>
      </c>
      <c r="O149" s="3">
        <f t="shared" si="15"/>
        <v>7670012</v>
      </c>
      <c r="Q149" s="8">
        <v>25247720</v>
      </c>
      <c r="S149" s="8">
        <v>32917732</v>
      </c>
      <c r="U149" s="8">
        <f>1314413+55419+138816+504090+31209+50285</f>
        <v>2094232</v>
      </c>
      <c r="W149" s="8">
        <v>0</v>
      </c>
      <c r="Y149" s="8">
        <f>418493+3359643+13069646</f>
        <v>16847782</v>
      </c>
      <c r="AA149" s="14">
        <f t="shared" si="12"/>
        <v>18942014</v>
      </c>
      <c r="AC149" s="8">
        <f t="shared" si="13"/>
        <v>0</v>
      </c>
    </row>
    <row r="150" spans="1:29">
      <c r="A150" s="13" t="s">
        <v>571</v>
      </c>
      <c r="B150" s="13"/>
      <c r="C150" s="13" t="s">
        <v>51</v>
      </c>
      <c r="D150" s="13"/>
      <c r="E150" s="32">
        <v>48835</v>
      </c>
      <c r="G150" s="8">
        <v>5181739</v>
      </c>
      <c r="I150" s="8">
        <v>19288</v>
      </c>
      <c r="K150" s="3">
        <f t="shared" si="14"/>
        <v>7381955</v>
      </c>
      <c r="M150" s="8">
        <v>12582982</v>
      </c>
      <c r="O150" s="3">
        <f t="shared" si="15"/>
        <v>2064982</v>
      </c>
      <c r="Q150" s="8">
        <v>6406679</v>
      </c>
      <c r="S150" s="8">
        <v>8471661</v>
      </c>
      <c r="U150" s="8">
        <f>524863+3271+25275+633988</f>
        <v>1187397</v>
      </c>
      <c r="W150" s="8">
        <f>873970+464253+282897+1302804</f>
        <v>2923924</v>
      </c>
      <c r="Y150" s="8">
        <v>0</v>
      </c>
      <c r="AA150" s="14">
        <f t="shared" si="12"/>
        <v>4111321</v>
      </c>
      <c r="AC150" s="8">
        <f t="shared" si="13"/>
        <v>0</v>
      </c>
    </row>
    <row r="151" spans="1:29">
      <c r="A151" s="13" t="s">
        <v>286</v>
      </c>
      <c r="B151" s="13"/>
      <c r="C151" s="13" t="s">
        <v>115</v>
      </c>
      <c r="D151" s="13"/>
      <c r="E151" s="32">
        <v>43927</v>
      </c>
      <c r="G151" s="8">
        <v>1313691</v>
      </c>
      <c r="I151" s="8">
        <v>66623</v>
      </c>
      <c r="K151" s="3">
        <f t="shared" si="14"/>
        <v>3467476</v>
      </c>
      <c r="M151" s="8">
        <v>4847790</v>
      </c>
      <c r="O151" s="3">
        <f t="shared" si="15"/>
        <v>4145424</v>
      </c>
      <c r="Q151" s="8">
        <v>0</v>
      </c>
      <c r="S151" s="8">
        <v>4145424</v>
      </c>
      <c r="U151" s="8">
        <f>268543+125271+66623</f>
        <v>460437</v>
      </c>
      <c r="W151" s="8">
        <v>0</v>
      </c>
      <c r="Y151" s="8">
        <f>-673503+559407+102043+253982</f>
        <v>241929</v>
      </c>
      <c r="AA151" s="14">
        <f t="shared" si="12"/>
        <v>702366</v>
      </c>
      <c r="AC151" s="8">
        <f t="shared" si="13"/>
        <v>0</v>
      </c>
    </row>
    <row r="152" spans="1:29">
      <c r="A152" s="13" t="s">
        <v>240</v>
      </c>
      <c r="B152" s="13"/>
      <c r="C152" s="13" t="s">
        <v>77</v>
      </c>
      <c r="D152" s="13"/>
      <c r="E152" s="32">
        <v>46037</v>
      </c>
      <c r="G152" s="8">
        <v>11819277</v>
      </c>
      <c r="I152" s="8">
        <v>162810</v>
      </c>
      <c r="K152" s="3">
        <f t="shared" si="14"/>
        <v>30414980</v>
      </c>
      <c r="M152" s="8">
        <v>42397067</v>
      </c>
      <c r="O152" s="3">
        <f t="shared" si="15"/>
        <v>2297978</v>
      </c>
      <c r="Q152" s="8">
        <v>29528435</v>
      </c>
      <c r="S152" s="8">
        <v>31826413</v>
      </c>
      <c r="U152" s="8">
        <f>2020506+756250+88258+36759</f>
        <v>2901773</v>
      </c>
      <c r="W152" s="8">
        <v>0</v>
      </c>
      <c r="Y152" s="8">
        <f>-600680+265891+796784+7206886</f>
        <v>7668881</v>
      </c>
      <c r="AA152" s="14">
        <f t="shared" si="12"/>
        <v>10570654</v>
      </c>
      <c r="AC152" s="8">
        <f t="shared" si="13"/>
        <v>0</v>
      </c>
    </row>
    <row r="153" spans="1:29">
      <c r="A153" s="13" t="s">
        <v>740</v>
      </c>
      <c r="B153" s="13"/>
      <c r="C153" s="13" t="s">
        <v>72</v>
      </c>
      <c r="D153" s="13"/>
      <c r="E153" s="32">
        <v>50674</v>
      </c>
      <c r="G153" s="8">
        <v>4468816</v>
      </c>
      <c r="I153" s="8">
        <v>39368</v>
      </c>
      <c r="K153" s="3">
        <f t="shared" si="14"/>
        <v>6752497</v>
      </c>
      <c r="M153" s="8">
        <v>11260681</v>
      </c>
      <c r="O153" s="3">
        <f t="shared" si="15"/>
        <v>2204552</v>
      </c>
      <c r="Q153" s="8">
        <v>4707939</v>
      </c>
      <c r="S153" s="8">
        <v>6912491</v>
      </c>
      <c r="U153" s="8">
        <f>226312+136648+745582+39368</f>
        <v>1147910</v>
      </c>
      <c r="W153" s="8">
        <v>0</v>
      </c>
      <c r="Y153" s="8">
        <f>2924598+81723+112855+81104</f>
        <v>3200280</v>
      </c>
      <c r="AA153" s="14">
        <f t="shared" si="12"/>
        <v>4348190</v>
      </c>
      <c r="AC153" s="8">
        <f t="shared" si="13"/>
        <v>0</v>
      </c>
    </row>
    <row r="154" spans="1:29">
      <c r="A154" s="12" t="s">
        <v>974</v>
      </c>
      <c r="B154" s="13"/>
      <c r="C154" s="13" t="s">
        <v>57</v>
      </c>
      <c r="D154" s="13"/>
      <c r="E154" s="32">
        <v>43935</v>
      </c>
      <c r="G154" s="8">
        <v>1558602</v>
      </c>
      <c r="I154" s="8">
        <v>1076010</v>
      </c>
      <c r="K154" s="3">
        <f>M154-G154-I154</f>
        <v>17959821</v>
      </c>
      <c r="M154" s="8">
        <v>20594433</v>
      </c>
      <c r="O154" s="3">
        <f>S154-Q154</f>
        <v>1848471</v>
      </c>
      <c r="Q154" s="8">
        <v>6251473</v>
      </c>
      <c r="S154" s="8">
        <v>8099944</v>
      </c>
      <c r="U154" s="8">
        <f>356282+136798+1078568+401487+1076010</f>
        <v>3049145</v>
      </c>
      <c r="W154" s="8">
        <v>0</v>
      </c>
      <c r="Y154" s="8">
        <f>8336081+140283+968980</f>
        <v>9445344</v>
      </c>
      <c r="AA154" s="14">
        <f t="shared" si="12"/>
        <v>12494489</v>
      </c>
      <c r="AC154" s="8">
        <f t="shared" si="13"/>
        <v>0</v>
      </c>
    </row>
    <row r="155" spans="1:29" hidden="1">
      <c r="A155" s="13" t="s">
        <v>734</v>
      </c>
      <c r="B155" s="13"/>
      <c r="C155" s="13" t="s">
        <v>733</v>
      </c>
      <c r="D155" s="13"/>
      <c r="E155" s="32">
        <v>50617</v>
      </c>
      <c r="G155" s="8">
        <v>0</v>
      </c>
      <c r="I155" s="8">
        <v>0</v>
      </c>
      <c r="K155" s="3">
        <f t="shared" si="14"/>
        <v>0</v>
      </c>
      <c r="M155" s="8">
        <v>0</v>
      </c>
      <c r="O155" s="3">
        <f t="shared" si="15"/>
        <v>0</v>
      </c>
      <c r="Q155" s="8">
        <v>0</v>
      </c>
      <c r="S155" s="8">
        <v>0</v>
      </c>
      <c r="U155" s="8">
        <v>0</v>
      </c>
      <c r="W155" s="8">
        <v>0</v>
      </c>
      <c r="Y155" s="8">
        <v>0</v>
      </c>
      <c r="AA155" s="14">
        <f t="shared" si="12"/>
        <v>0</v>
      </c>
      <c r="AC155" s="8">
        <f t="shared" si="13"/>
        <v>0</v>
      </c>
    </row>
    <row r="156" spans="1:29" hidden="1">
      <c r="A156" s="13" t="s">
        <v>245</v>
      </c>
      <c r="B156" s="13"/>
      <c r="C156" s="13" t="s">
        <v>246</v>
      </c>
      <c r="D156" s="13"/>
      <c r="E156" s="32">
        <v>46094</v>
      </c>
      <c r="G156" s="8">
        <v>0</v>
      </c>
      <c r="I156" s="8">
        <v>0</v>
      </c>
      <c r="K156" s="3">
        <v>0</v>
      </c>
      <c r="M156" s="8">
        <v>0</v>
      </c>
      <c r="O156" s="3">
        <v>0</v>
      </c>
      <c r="Q156" s="8">
        <v>0</v>
      </c>
      <c r="S156" s="8">
        <v>0</v>
      </c>
      <c r="U156" s="8">
        <v>0</v>
      </c>
      <c r="W156" s="8">
        <v>0</v>
      </c>
      <c r="Y156" s="8">
        <v>0</v>
      </c>
      <c r="AA156" s="14">
        <f t="shared" si="12"/>
        <v>0</v>
      </c>
      <c r="AC156" s="8">
        <f t="shared" si="13"/>
        <v>0</v>
      </c>
    </row>
    <row r="157" spans="1:29">
      <c r="A157" s="12" t="s">
        <v>245</v>
      </c>
      <c r="B157" s="13"/>
      <c r="C157" s="13" t="s">
        <v>246</v>
      </c>
      <c r="D157" s="13"/>
      <c r="E157" s="32">
        <v>43935</v>
      </c>
      <c r="G157" s="8">
        <v>10858644</v>
      </c>
      <c r="I157" s="8">
        <v>123223</v>
      </c>
      <c r="K157" s="3">
        <f>M157-G157-I157</f>
        <v>16098874</v>
      </c>
      <c r="M157" s="8">
        <v>27080741</v>
      </c>
      <c r="O157" s="3">
        <f>S157-Q157</f>
        <v>19738868</v>
      </c>
      <c r="Q157" s="8">
        <v>146479</v>
      </c>
      <c r="S157" s="8">
        <v>19885347</v>
      </c>
      <c r="U157" s="8">
        <f>56638+123223+19192+180000+3249687+6236</f>
        <v>3634976</v>
      </c>
      <c r="W157" s="8">
        <v>0</v>
      </c>
      <c r="Y157" s="8">
        <f>2726917+29348+804153</f>
        <v>3560418</v>
      </c>
      <c r="AA157" s="14">
        <f>U157+W157+Y157</f>
        <v>7195394</v>
      </c>
      <c r="AC157" s="8">
        <f>+G157+I157+K157-O157-Q157-Y157-W157-U157</f>
        <v>0</v>
      </c>
    </row>
    <row r="158" spans="1:29">
      <c r="A158" s="13" t="s">
        <v>455</v>
      </c>
      <c r="B158" s="13"/>
      <c r="C158" s="13" t="s">
        <v>39</v>
      </c>
      <c r="D158" s="13"/>
      <c r="E158" s="32">
        <v>47795</v>
      </c>
      <c r="G158" s="8">
        <v>93081</v>
      </c>
      <c r="I158" s="8">
        <v>0</v>
      </c>
      <c r="K158" s="3">
        <f t="shared" si="14"/>
        <v>8294509</v>
      </c>
      <c r="M158" s="8">
        <v>8387590</v>
      </c>
      <c r="O158" s="3">
        <f t="shared" si="15"/>
        <v>9254063</v>
      </c>
      <c r="Q158" s="8">
        <v>622230</v>
      </c>
      <c r="S158" s="8">
        <v>9876293</v>
      </c>
      <c r="U158" s="8">
        <f>128916+20232+13429+474955+14911</f>
        <v>652443</v>
      </c>
      <c r="W158" s="8">
        <v>0</v>
      </c>
      <c r="Y158" s="8">
        <f>-2142301-75899+229+76825</f>
        <v>-2141146</v>
      </c>
      <c r="AA158" s="14">
        <f t="shared" si="12"/>
        <v>-1488703</v>
      </c>
      <c r="AC158" s="8">
        <f t="shared" si="13"/>
        <v>0</v>
      </c>
    </row>
    <row r="159" spans="1:29">
      <c r="A159" s="13" t="s">
        <v>735</v>
      </c>
      <c r="B159" s="13"/>
      <c r="C159" s="13" t="s">
        <v>733</v>
      </c>
      <c r="D159" s="13"/>
      <c r="E159" s="32">
        <v>50625</v>
      </c>
      <c r="G159" s="8">
        <v>4387899</v>
      </c>
      <c r="I159" s="8">
        <v>0</v>
      </c>
      <c r="K159" s="3">
        <f t="shared" si="14"/>
        <v>2270363</v>
      </c>
      <c r="M159" s="8">
        <v>6658262</v>
      </c>
      <c r="O159" s="3">
        <f t="shared" si="15"/>
        <v>796702</v>
      </c>
      <c r="Q159" s="8">
        <v>2142342</v>
      </c>
      <c r="S159" s="8">
        <v>2939044</v>
      </c>
      <c r="U159" s="8">
        <f>24948+32256+12502+48330</f>
        <v>118036</v>
      </c>
      <c r="W159" s="8">
        <v>0</v>
      </c>
      <c r="Y159" s="8">
        <f>2506114+251670+608135+235263</f>
        <v>3601182</v>
      </c>
      <c r="AA159" s="14">
        <f t="shared" si="12"/>
        <v>3719218</v>
      </c>
      <c r="AC159" s="8">
        <f t="shared" si="13"/>
        <v>0</v>
      </c>
    </row>
    <row r="160" spans="1:29">
      <c r="A160" s="13" t="s">
        <v>526</v>
      </c>
      <c r="B160" s="13"/>
      <c r="C160" s="13" t="s">
        <v>46</v>
      </c>
      <c r="D160" s="13"/>
      <c r="E160" s="32">
        <v>48413</v>
      </c>
      <c r="G160" s="8">
        <f>1570083+520</f>
        <v>1570603</v>
      </c>
      <c r="I160" s="8">
        <v>0</v>
      </c>
      <c r="K160" s="3">
        <f t="shared" si="14"/>
        <v>4170374</v>
      </c>
      <c r="M160" s="8">
        <v>5740977</v>
      </c>
      <c r="O160" s="3">
        <f t="shared" si="15"/>
        <v>1725926</v>
      </c>
      <c r="Q160" s="8">
        <v>3003901</v>
      </c>
      <c r="S160" s="8">
        <v>4729827</v>
      </c>
      <c r="U160" s="8">
        <f>1010212+47025</f>
        <v>1057237</v>
      </c>
      <c r="W160" s="8">
        <f>76925+72315</f>
        <v>149240</v>
      </c>
      <c r="Y160" s="8">
        <f>403650-599018+41</f>
        <v>-195327</v>
      </c>
      <c r="AA160" s="14">
        <f t="shared" si="12"/>
        <v>1011150</v>
      </c>
      <c r="AC160" s="8">
        <f t="shared" si="13"/>
        <v>0</v>
      </c>
    </row>
    <row r="161" spans="1:29">
      <c r="A161" s="13" t="s">
        <v>493</v>
      </c>
      <c r="B161" s="13"/>
      <c r="C161" s="13" t="s">
        <v>44</v>
      </c>
      <c r="D161" s="13"/>
      <c r="E161" s="32">
        <v>43943</v>
      </c>
      <c r="G161" s="8">
        <v>49066946</v>
      </c>
      <c r="I161" s="8">
        <v>239898</v>
      </c>
      <c r="K161" s="3">
        <f t="shared" si="14"/>
        <v>35551541</v>
      </c>
      <c r="M161" s="8">
        <v>84858385</v>
      </c>
      <c r="O161" s="3">
        <f t="shared" si="15"/>
        <v>8684719</v>
      </c>
      <c r="Q161" s="8">
        <v>30182281</v>
      </c>
      <c r="S161" s="8">
        <v>38867000</v>
      </c>
      <c r="U161" s="8">
        <f>2313756+195662+3727305+44236</f>
        <v>6280959</v>
      </c>
      <c r="W161" s="8">
        <v>0</v>
      </c>
      <c r="Y161" s="8">
        <f>-2431133+2162189+227063+39752307</f>
        <v>39710426</v>
      </c>
      <c r="AA161" s="14">
        <f t="shared" si="12"/>
        <v>45991385</v>
      </c>
      <c r="AC161" s="8">
        <f t="shared" si="13"/>
        <v>0</v>
      </c>
    </row>
    <row r="162" spans="1:29">
      <c r="A162" s="13" t="s">
        <v>310</v>
      </c>
      <c r="B162" s="13"/>
      <c r="C162" s="13" t="s">
        <v>20</v>
      </c>
      <c r="D162" s="13"/>
      <c r="E162" s="32">
        <v>43950</v>
      </c>
      <c r="G162" s="8">
        <f>7877453+3996455</f>
        <v>11873908</v>
      </c>
      <c r="I162" s="8">
        <v>1276135</v>
      </c>
      <c r="K162" s="3">
        <f t="shared" si="14"/>
        <v>41513387</v>
      </c>
      <c r="M162" s="8">
        <v>54663430</v>
      </c>
      <c r="O162" s="3">
        <f t="shared" si="15"/>
        <v>9542968</v>
      </c>
      <c r="Q162" s="8">
        <v>34458203</v>
      </c>
      <c r="S162" s="8">
        <v>44001171</v>
      </c>
      <c r="U162" s="8">
        <f>1673229+107828+80406+4617783+1276135</f>
        <v>7755381</v>
      </c>
      <c r="W162" s="8">
        <v>0</v>
      </c>
      <c r="Y162" s="8">
        <f>2333203+2004304+112962-1543591</f>
        <v>2906878</v>
      </c>
      <c r="AA162" s="14">
        <f t="shared" si="12"/>
        <v>10662259</v>
      </c>
      <c r="AC162" s="8">
        <f t="shared" si="13"/>
        <v>0</v>
      </c>
    </row>
    <row r="163" spans="1:29" hidden="1">
      <c r="A163" s="13" t="s">
        <v>373</v>
      </c>
      <c r="B163" s="13"/>
      <c r="C163" s="13" t="s">
        <v>28</v>
      </c>
      <c r="D163" s="13"/>
      <c r="E163" s="32">
        <v>47050</v>
      </c>
      <c r="G163" s="8">
        <v>0</v>
      </c>
      <c r="I163" s="8">
        <v>0</v>
      </c>
      <c r="K163" s="3">
        <f t="shared" si="14"/>
        <v>0</v>
      </c>
      <c r="M163" s="8">
        <v>0</v>
      </c>
      <c r="O163" s="3">
        <f t="shared" si="15"/>
        <v>0</v>
      </c>
      <c r="Q163" s="8">
        <v>0</v>
      </c>
      <c r="S163" s="8">
        <v>0</v>
      </c>
      <c r="U163" s="8">
        <v>0</v>
      </c>
      <c r="W163" s="8">
        <v>0</v>
      </c>
      <c r="Y163" s="8">
        <v>0</v>
      </c>
      <c r="AA163" s="14">
        <f t="shared" si="12"/>
        <v>0</v>
      </c>
      <c r="AC163" s="8">
        <f t="shared" si="13"/>
        <v>0</v>
      </c>
    </row>
    <row r="164" spans="1:29">
      <c r="A164" s="13" t="s">
        <v>707</v>
      </c>
      <c r="B164" s="13"/>
      <c r="C164" s="13" t="s">
        <v>66</v>
      </c>
      <c r="D164" s="13"/>
      <c r="E164" s="32">
        <v>50328</v>
      </c>
      <c r="F164" s="35"/>
      <c r="G164" s="8">
        <f>8520748+151593</f>
        <v>8672341</v>
      </c>
      <c r="I164" s="8">
        <v>87102</v>
      </c>
      <c r="K164" s="3">
        <f t="shared" si="14"/>
        <v>5622113</v>
      </c>
      <c r="M164" s="8">
        <v>14381556</v>
      </c>
      <c r="O164" s="3">
        <f t="shared" si="15"/>
        <v>6903796</v>
      </c>
      <c r="Q164" s="8">
        <v>104674</v>
      </c>
      <c r="S164" s="8">
        <v>7008470</v>
      </c>
      <c r="U164" s="8">
        <f>3847681+2446+241121+624842+87102</f>
        <v>4803192</v>
      </c>
      <c r="W164" s="8">
        <v>0</v>
      </c>
      <c r="Y164" s="8">
        <f>1090884+53130+1425880</f>
        <v>2569894</v>
      </c>
      <c r="AA164" s="14">
        <f t="shared" si="12"/>
        <v>7373086</v>
      </c>
      <c r="AC164" s="8">
        <f t="shared" si="13"/>
        <v>0</v>
      </c>
    </row>
    <row r="165" spans="1:29">
      <c r="A165" s="13" t="s">
        <v>886</v>
      </c>
      <c r="B165" s="13"/>
      <c r="C165" s="13" t="s">
        <v>117</v>
      </c>
      <c r="D165" s="13"/>
      <c r="E165" s="32">
        <v>50328</v>
      </c>
      <c r="F165" s="35"/>
      <c r="G165" s="8">
        <v>4722300</v>
      </c>
      <c r="I165" s="8">
        <v>641908</v>
      </c>
      <c r="K165" s="3">
        <f t="shared" si="14"/>
        <v>19732980</v>
      </c>
      <c r="M165" s="8">
        <v>25097188</v>
      </c>
      <c r="O165" s="3">
        <f t="shared" si="15"/>
        <v>5872270</v>
      </c>
      <c r="Q165" s="8">
        <v>16850142</v>
      </c>
      <c r="S165" s="8">
        <v>22722412</v>
      </c>
      <c r="U165" s="8">
        <f>347454+31563+827664+641908</f>
        <v>1848589</v>
      </c>
      <c r="W165" s="8">
        <v>0</v>
      </c>
      <c r="Y165" s="8">
        <f>-1656287+882180+1000112+88044+212138</f>
        <v>526187</v>
      </c>
      <c r="AA165" s="14">
        <f t="shared" si="12"/>
        <v>2374776</v>
      </c>
      <c r="AC165" s="8">
        <f t="shared" si="13"/>
        <v>0</v>
      </c>
    </row>
    <row r="166" spans="1:29">
      <c r="A166" s="13" t="s">
        <v>247</v>
      </c>
      <c r="B166" s="13"/>
      <c r="C166" s="13" t="s">
        <v>246</v>
      </c>
      <c r="D166" s="13"/>
      <c r="E166" s="13">
        <v>46102</v>
      </c>
      <c r="G166" s="8">
        <v>21521935</v>
      </c>
      <c r="I166" s="8">
        <v>203843</v>
      </c>
      <c r="K166" s="3">
        <f t="shared" si="14"/>
        <v>52811776</v>
      </c>
      <c r="M166" s="8">
        <v>74537554</v>
      </c>
      <c r="O166" s="3">
        <f t="shared" si="15"/>
        <v>11428987</v>
      </c>
      <c r="Q166" s="8">
        <v>49843991</v>
      </c>
      <c r="S166" s="8">
        <v>61272978</v>
      </c>
      <c r="U166" s="8">
        <f>849203+27266+1276071+203843</f>
        <v>2356383</v>
      </c>
      <c r="W166" s="8">
        <v>0</v>
      </c>
      <c r="Y166" s="8">
        <f>7461002+357151+2088238+1001802</f>
        <v>10908193</v>
      </c>
      <c r="AA166" s="14">
        <f t="shared" si="12"/>
        <v>13264576</v>
      </c>
      <c r="AC166" s="8">
        <f t="shared" si="13"/>
        <v>0</v>
      </c>
    </row>
    <row r="167" spans="1:29">
      <c r="A167" s="13" t="s">
        <v>441</v>
      </c>
      <c r="B167" s="13"/>
      <c r="C167" s="13" t="s">
        <v>440</v>
      </c>
      <c r="D167" s="13"/>
      <c r="E167" s="32">
        <v>47621</v>
      </c>
      <c r="G167" s="8">
        <f>10000+1648502</f>
        <v>1658502</v>
      </c>
      <c r="I167" s="8">
        <v>21084</v>
      </c>
      <c r="K167" s="3">
        <f t="shared" si="14"/>
        <v>1773607</v>
      </c>
      <c r="M167" s="8">
        <v>3453193</v>
      </c>
      <c r="O167" s="3">
        <f t="shared" si="15"/>
        <v>1913322</v>
      </c>
      <c r="Q167" s="8">
        <v>1648782</v>
      </c>
      <c r="S167" s="8">
        <v>3562104</v>
      </c>
      <c r="U167" s="8">
        <f>140246+72000+36430+21084</f>
        <v>269760</v>
      </c>
      <c r="W167" s="8">
        <v>0</v>
      </c>
      <c r="Y167" s="8">
        <f>-987414+46488+564206-1951</f>
        <v>-378671</v>
      </c>
      <c r="AA167" s="14">
        <f t="shared" si="12"/>
        <v>-108911</v>
      </c>
      <c r="AC167" s="8">
        <f t="shared" si="13"/>
        <v>0</v>
      </c>
    </row>
    <row r="168" spans="1:29">
      <c r="A168" s="13" t="s">
        <v>350</v>
      </c>
      <c r="B168" s="13"/>
      <c r="C168" s="13" t="s">
        <v>25</v>
      </c>
      <c r="D168" s="13"/>
      <c r="E168" s="32">
        <v>46870</v>
      </c>
      <c r="G168" s="8">
        <v>45907441</v>
      </c>
      <c r="I168" s="8">
        <v>0</v>
      </c>
      <c r="K168" s="3">
        <f t="shared" si="14"/>
        <v>6897661</v>
      </c>
      <c r="M168" s="8">
        <v>52805102</v>
      </c>
      <c r="O168" s="3">
        <f t="shared" si="15"/>
        <v>5619720</v>
      </c>
      <c r="Q168" s="8">
        <v>3970880</v>
      </c>
      <c r="S168" s="8">
        <v>9590600</v>
      </c>
      <c r="U168" s="8">
        <f>34050385+501221</f>
        <v>34551606</v>
      </c>
      <c r="W168" s="8">
        <f>1312517+961044+964858+5424477</f>
        <v>8662896</v>
      </c>
      <c r="Y168" s="8">
        <v>0</v>
      </c>
      <c r="AA168" s="14">
        <f t="shared" si="12"/>
        <v>43214502</v>
      </c>
      <c r="AC168" s="8">
        <f t="shared" si="13"/>
        <v>0</v>
      </c>
    </row>
    <row r="169" spans="1:29">
      <c r="A169" s="13" t="s">
        <v>473</v>
      </c>
      <c r="B169" s="13"/>
      <c r="C169" s="13" t="s">
        <v>471</v>
      </c>
      <c r="D169" s="13"/>
      <c r="E169" s="32">
        <v>47936</v>
      </c>
      <c r="G169" s="8">
        <v>6746321</v>
      </c>
      <c r="I169" s="8">
        <v>43460</v>
      </c>
      <c r="K169" s="3">
        <f t="shared" si="14"/>
        <v>3424656</v>
      </c>
      <c r="M169" s="8">
        <v>10214437</v>
      </c>
      <c r="O169" s="3">
        <f t="shared" si="15"/>
        <v>4393592</v>
      </c>
      <c r="Q169" s="8">
        <v>421948</v>
      </c>
      <c r="S169" s="8">
        <v>4815540</v>
      </c>
      <c r="U169" s="8">
        <f>60486+428606+5692+43460</f>
        <v>538244</v>
      </c>
      <c r="W169" s="8">
        <v>58859</v>
      </c>
      <c r="Y169" s="8">
        <f>3190184+442969+964231+204410</f>
        <v>4801794</v>
      </c>
      <c r="AA169" s="14">
        <f t="shared" si="12"/>
        <v>5398897</v>
      </c>
      <c r="AC169" s="8">
        <f t="shared" si="13"/>
        <v>0</v>
      </c>
    </row>
    <row r="170" spans="1:29" hidden="1">
      <c r="A170" s="13" t="s">
        <v>648</v>
      </c>
      <c r="B170" s="13"/>
      <c r="C170" s="13" t="s">
        <v>61</v>
      </c>
      <c r="D170" s="13"/>
      <c r="E170" s="32">
        <v>49775</v>
      </c>
      <c r="G170" s="8">
        <v>0</v>
      </c>
      <c r="I170" s="8">
        <v>0</v>
      </c>
      <c r="K170" s="3">
        <f t="shared" si="14"/>
        <v>0</v>
      </c>
      <c r="M170" s="8">
        <v>0</v>
      </c>
      <c r="O170" s="3">
        <f t="shared" si="15"/>
        <v>0</v>
      </c>
      <c r="Q170" s="8">
        <v>0</v>
      </c>
      <c r="S170" s="8">
        <v>0</v>
      </c>
      <c r="U170" s="8">
        <v>0</v>
      </c>
      <c r="W170" s="8">
        <v>0</v>
      </c>
      <c r="Y170" s="8">
        <v>0</v>
      </c>
      <c r="AA170" s="14">
        <f t="shared" si="12"/>
        <v>0</v>
      </c>
      <c r="AC170" s="8">
        <f t="shared" si="13"/>
        <v>0</v>
      </c>
    </row>
    <row r="171" spans="1:29">
      <c r="A171" s="13" t="s">
        <v>656</v>
      </c>
      <c r="B171" s="13"/>
      <c r="C171" s="13" t="s">
        <v>62</v>
      </c>
      <c r="D171" s="13"/>
      <c r="E171" s="32">
        <v>49841</v>
      </c>
      <c r="G171" s="8">
        <f>5637777+201537</f>
        <v>5839314</v>
      </c>
      <c r="I171" s="8">
        <v>0</v>
      </c>
      <c r="K171" s="3">
        <f t="shared" si="14"/>
        <v>8314637</v>
      </c>
      <c r="M171" s="8">
        <v>14153951</v>
      </c>
      <c r="O171" s="3">
        <f t="shared" si="15"/>
        <v>9549250</v>
      </c>
      <c r="Q171" s="8">
        <v>1392155</v>
      </c>
      <c r="S171" s="8">
        <v>10941405</v>
      </c>
      <c r="U171" s="8">
        <f>1063946+10376+320870+10766+471367</f>
        <v>1877325</v>
      </c>
      <c r="W171" s="8">
        <v>0</v>
      </c>
      <c r="Y171" s="8">
        <f>864313+327125+143783</f>
        <v>1335221</v>
      </c>
      <c r="AA171" s="14">
        <f t="shared" si="12"/>
        <v>3212546</v>
      </c>
      <c r="AC171" s="8">
        <f t="shared" si="13"/>
        <v>0</v>
      </c>
    </row>
    <row r="172" spans="1:29" hidden="1">
      <c r="A172" s="13" t="s">
        <v>463</v>
      </c>
      <c r="B172" s="13"/>
      <c r="C172" s="13" t="s">
        <v>41</v>
      </c>
      <c r="D172" s="13"/>
      <c r="E172" s="32">
        <v>45369</v>
      </c>
      <c r="G172" s="8">
        <v>0</v>
      </c>
      <c r="I172" s="8">
        <v>0</v>
      </c>
      <c r="K172" s="3">
        <f t="shared" si="14"/>
        <v>0</v>
      </c>
      <c r="M172" s="8">
        <v>0</v>
      </c>
      <c r="O172" s="3">
        <f t="shared" si="15"/>
        <v>0</v>
      </c>
      <c r="Q172" s="8">
        <v>0</v>
      </c>
      <c r="S172" s="8">
        <v>0</v>
      </c>
      <c r="U172" s="8">
        <v>0</v>
      </c>
      <c r="W172" s="8">
        <v>0</v>
      </c>
      <c r="Y172" s="8">
        <v>0</v>
      </c>
      <c r="AA172" s="14">
        <f t="shared" si="12"/>
        <v>0</v>
      </c>
      <c r="AC172" s="8">
        <f t="shared" si="13"/>
        <v>0</v>
      </c>
    </row>
    <row r="173" spans="1:29">
      <c r="A173" s="13" t="s">
        <v>311</v>
      </c>
      <c r="B173" s="13"/>
      <c r="C173" s="13" t="s">
        <v>20</v>
      </c>
      <c r="D173" s="13"/>
      <c r="E173" s="32">
        <v>43976</v>
      </c>
      <c r="G173" s="8">
        <v>14775145</v>
      </c>
      <c r="I173" s="8">
        <v>364682</v>
      </c>
      <c r="K173" s="3">
        <f t="shared" si="14"/>
        <v>18887938</v>
      </c>
      <c r="M173" s="8">
        <v>34027765</v>
      </c>
      <c r="O173" s="3">
        <f t="shared" si="15"/>
        <v>2029242</v>
      </c>
      <c r="Q173" s="8">
        <v>16370914</v>
      </c>
      <c r="S173" s="8">
        <v>18400156</v>
      </c>
      <c r="U173" s="8">
        <f>693299+5773+2274219+364682</f>
        <v>3337973</v>
      </c>
      <c r="W173" s="8">
        <v>0</v>
      </c>
      <c r="Y173" s="8">
        <f>7599626+261212+2011929+2416869</f>
        <v>12289636</v>
      </c>
      <c r="AA173" s="14">
        <f t="shared" si="12"/>
        <v>15627609</v>
      </c>
      <c r="AC173" s="8">
        <f t="shared" si="13"/>
        <v>0</v>
      </c>
    </row>
    <row r="174" spans="1:29">
      <c r="A174" s="13" t="s">
        <v>241</v>
      </c>
      <c r="B174" s="13"/>
      <c r="C174" s="13" t="s">
        <v>77</v>
      </c>
      <c r="D174" s="13"/>
      <c r="E174" s="32">
        <v>46045</v>
      </c>
      <c r="G174" s="8">
        <v>17099400</v>
      </c>
      <c r="I174" s="8">
        <v>2625</v>
      </c>
      <c r="K174" s="3">
        <f t="shared" si="14"/>
        <v>6409787</v>
      </c>
      <c r="M174" s="8">
        <v>23511812</v>
      </c>
      <c r="O174" s="3">
        <f t="shared" si="15"/>
        <v>2724214</v>
      </c>
      <c r="Q174" s="8">
        <v>5398639</v>
      </c>
      <c r="S174" s="8">
        <v>8122853</v>
      </c>
      <c r="U174" s="8">
        <f>11474796+523413+2625</f>
        <v>12000834</v>
      </c>
      <c r="W174" s="8">
        <v>0</v>
      </c>
      <c r="Y174" s="8">
        <f>1357411+189979+916873+923862</f>
        <v>3388125</v>
      </c>
      <c r="AA174" s="14">
        <f t="shared" si="12"/>
        <v>15388959</v>
      </c>
      <c r="AC174" s="8">
        <f t="shared" si="13"/>
        <v>0</v>
      </c>
    </row>
    <row r="175" spans="1:29">
      <c r="A175" s="13" t="s">
        <v>272</v>
      </c>
      <c r="B175" s="13"/>
      <c r="C175" s="13" t="s">
        <v>116</v>
      </c>
      <c r="D175" s="13"/>
      <c r="E175" s="32">
        <v>46334</v>
      </c>
      <c r="G175" s="8">
        <v>2623225</v>
      </c>
      <c r="I175" s="8">
        <v>0</v>
      </c>
      <c r="K175" s="3">
        <f t="shared" si="14"/>
        <v>1863086</v>
      </c>
      <c r="M175" s="8">
        <v>4486311</v>
      </c>
      <c r="O175" s="3">
        <f t="shared" si="15"/>
        <v>1218551</v>
      </c>
      <c r="Q175" s="8">
        <v>1687184</v>
      </c>
      <c r="S175" s="8">
        <v>2905735</v>
      </c>
      <c r="U175" s="8">
        <f>55092+79720+130400+31669+13833</f>
        <v>310714</v>
      </c>
      <c r="W175" s="8">
        <v>0</v>
      </c>
      <c r="Y175" s="8">
        <f>320775+7000+886496+55591</f>
        <v>1269862</v>
      </c>
      <c r="AA175" s="14">
        <f t="shared" si="12"/>
        <v>1580576</v>
      </c>
      <c r="AC175" s="8">
        <f t="shared" si="13"/>
        <v>0</v>
      </c>
    </row>
    <row r="176" spans="1:29">
      <c r="A176" s="13" t="s">
        <v>597</v>
      </c>
      <c r="B176" s="13"/>
      <c r="C176" s="13" t="s">
        <v>56</v>
      </c>
      <c r="D176" s="13"/>
      <c r="E176" s="32">
        <v>49197</v>
      </c>
      <c r="G176" s="8">
        <f>1311170+26285</f>
        <v>1337455</v>
      </c>
      <c r="I176" s="8">
        <v>572635</v>
      </c>
      <c r="K176" s="3">
        <f t="shared" si="14"/>
        <v>10425297</v>
      </c>
      <c r="M176" s="8">
        <v>12335387</v>
      </c>
      <c r="O176" s="3">
        <f t="shared" si="15"/>
        <v>2026308</v>
      </c>
      <c r="Q176" s="8">
        <v>9914456</v>
      </c>
      <c r="S176" s="8">
        <v>11940764</v>
      </c>
      <c r="U176" s="8">
        <f>328308+453637+583020</f>
        <v>1364965</v>
      </c>
      <c r="W176" s="8">
        <v>0</v>
      </c>
      <c r="Y176" s="8">
        <f>-1819936+283085+543015+23494</f>
        <v>-970342</v>
      </c>
      <c r="AA176" s="14">
        <f t="shared" si="12"/>
        <v>394623</v>
      </c>
      <c r="AC176" s="8">
        <f t="shared" si="13"/>
        <v>0</v>
      </c>
    </row>
    <row r="177" spans="1:29">
      <c r="A177" s="13" t="s">
        <v>421</v>
      </c>
      <c r="B177" s="13"/>
      <c r="C177" s="13" t="s">
        <v>33</v>
      </c>
      <c r="D177" s="13"/>
      <c r="E177" s="32">
        <v>43984</v>
      </c>
      <c r="G177" s="8">
        <v>13773399</v>
      </c>
      <c r="I177" s="8">
        <v>51503</v>
      </c>
      <c r="K177" s="3">
        <f t="shared" si="14"/>
        <v>36838348</v>
      </c>
      <c r="M177" s="8">
        <v>50663250</v>
      </c>
      <c r="O177" s="3">
        <f t="shared" si="15"/>
        <v>39062223</v>
      </c>
      <c r="Q177" s="8">
        <v>2882474</v>
      </c>
      <c r="S177" s="8">
        <v>41944697</v>
      </c>
      <c r="U177" s="8">
        <f>2722421+65279+1476000+97957+51503+616000</f>
        <v>5029160</v>
      </c>
      <c r="W177" s="8">
        <v>0</v>
      </c>
      <c r="Y177" s="8">
        <f>2815693+662125+148734+62841</f>
        <v>3689393</v>
      </c>
      <c r="AA177" s="14">
        <f t="shared" si="12"/>
        <v>8718553</v>
      </c>
      <c r="AC177" s="8">
        <f t="shared" si="13"/>
        <v>0</v>
      </c>
    </row>
    <row r="178" spans="1:29">
      <c r="A178" s="13" t="s">
        <v>398</v>
      </c>
      <c r="B178" s="13"/>
      <c r="C178" s="13" t="s">
        <v>32</v>
      </c>
      <c r="D178" s="13"/>
      <c r="E178" s="32">
        <v>47332</v>
      </c>
      <c r="G178" s="8">
        <f>4843877+57260</f>
        <v>4901137</v>
      </c>
      <c r="I178" s="8">
        <v>0</v>
      </c>
      <c r="K178" s="3">
        <f t="shared" si="14"/>
        <v>11208245</v>
      </c>
      <c r="M178" s="8">
        <v>16109382</v>
      </c>
      <c r="O178" s="3">
        <f t="shared" si="15"/>
        <v>3298996</v>
      </c>
      <c r="Q178" s="8">
        <v>7567796</v>
      </c>
      <c r="S178" s="8">
        <v>10866792</v>
      </c>
      <c r="U178" s="8">
        <f>184756+794+3532000</f>
        <v>3717550</v>
      </c>
      <c r="W178" s="8">
        <v>0</v>
      </c>
      <c r="Y178" s="8">
        <f>605755+298801+510773+109711</f>
        <v>1525040</v>
      </c>
      <c r="AA178" s="14">
        <f t="shared" si="12"/>
        <v>5242590</v>
      </c>
      <c r="AC178" s="8">
        <f t="shared" si="13"/>
        <v>0</v>
      </c>
    </row>
    <row r="179" spans="1:29">
      <c r="A179" s="13" t="s">
        <v>494</v>
      </c>
      <c r="B179" s="13"/>
      <c r="C179" s="13" t="s">
        <v>44</v>
      </c>
      <c r="D179" s="13"/>
      <c r="E179" s="32">
        <v>48157</v>
      </c>
      <c r="G179" s="8">
        <v>6283745</v>
      </c>
      <c r="I179" s="8">
        <v>0</v>
      </c>
      <c r="K179" s="3">
        <f t="shared" si="14"/>
        <v>6938291</v>
      </c>
      <c r="M179" s="8">
        <v>13222036</v>
      </c>
      <c r="O179" s="3">
        <f t="shared" si="15"/>
        <v>8356632</v>
      </c>
      <c r="Q179" s="8">
        <v>149878</v>
      </c>
      <c r="S179" s="8">
        <v>8506510</v>
      </c>
      <c r="U179" s="8">
        <f>112943+6087+735670+18142+7386</f>
        <v>880228</v>
      </c>
      <c r="W179" s="8">
        <v>0</v>
      </c>
      <c r="Y179" s="8">
        <f>1920263+340247+1574788</f>
        <v>3835298</v>
      </c>
      <c r="AA179" s="14">
        <f t="shared" si="12"/>
        <v>4715526</v>
      </c>
      <c r="AC179" s="8">
        <f t="shared" si="13"/>
        <v>0</v>
      </c>
    </row>
    <row r="180" spans="1:29">
      <c r="A180" s="13" t="s">
        <v>399</v>
      </c>
      <c r="B180" s="13"/>
      <c r="C180" s="13" t="s">
        <v>32</v>
      </c>
      <c r="D180" s="13"/>
      <c r="E180" s="32">
        <v>47340</v>
      </c>
      <c r="G180" s="8">
        <v>24673513</v>
      </c>
      <c r="I180" s="8">
        <v>250638</v>
      </c>
      <c r="K180" s="3">
        <f t="shared" si="14"/>
        <v>41863427</v>
      </c>
      <c r="M180" s="8">
        <v>66787578</v>
      </c>
      <c r="O180" s="3">
        <f t="shared" si="15"/>
        <v>9209261</v>
      </c>
      <c r="Q180" s="8">
        <v>26185626</v>
      </c>
      <c r="S180" s="8">
        <v>35394887</v>
      </c>
      <c r="U180" s="8">
        <f>1129489+250638+15021160+314950+1753513+710651</f>
        <v>19180401</v>
      </c>
      <c r="W180" s="8">
        <v>0</v>
      </c>
      <c r="Y180" s="8">
        <f>9104034+1552206+1498166+57884</f>
        <v>12212290</v>
      </c>
      <c r="AA180" s="14">
        <f t="shared" si="12"/>
        <v>31392691</v>
      </c>
      <c r="AC180" s="8">
        <f t="shared" si="13"/>
        <v>0</v>
      </c>
    </row>
    <row r="181" spans="1:29" hidden="1">
      <c r="A181" s="13" t="s">
        <v>722</v>
      </c>
      <c r="B181" s="13"/>
      <c r="C181" s="13" t="s">
        <v>70</v>
      </c>
      <c r="D181" s="13"/>
      <c r="E181" s="32">
        <v>50484</v>
      </c>
      <c r="G181" s="8">
        <v>0</v>
      </c>
      <c r="I181" s="8">
        <v>0</v>
      </c>
      <c r="K181" s="3">
        <f t="shared" si="14"/>
        <v>0</v>
      </c>
      <c r="M181" s="8">
        <v>0</v>
      </c>
      <c r="O181" s="3">
        <f t="shared" si="15"/>
        <v>0</v>
      </c>
      <c r="Q181" s="8">
        <v>0</v>
      </c>
      <c r="S181" s="8">
        <v>0</v>
      </c>
      <c r="U181" s="8">
        <v>0</v>
      </c>
      <c r="W181" s="8">
        <v>0</v>
      </c>
      <c r="Y181" s="8">
        <v>0</v>
      </c>
      <c r="AA181" s="14">
        <f t="shared" si="12"/>
        <v>0</v>
      </c>
      <c r="AC181" s="8">
        <f t="shared" si="13"/>
        <v>0</v>
      </c>
    </row>
    <row r="182" spans="1:29">
      <c r="A182" s="13" t="s">
        <v>649</v>
      </c>
      <c r="B182" s="13"/>
      <c r="C182" s="13" t="s">
        <v>61</v>
      </c>
      <c r="D182" s="13"/>
      <c r="E182" s="32">
        <v>49783</v>
      </c>
      <c r="G182" s="8">
        <f>8896178+7255538</f>
        <v>16151716</v>
      </c>
      <c r="I182" s="8">
        <v>7656</v>
      </c>
      <c r="K182" s="3">
        <f t="shared" si="14"/>
        <v>6753597</v>
      </c>
      <c r="M182" s="8">
        <v>22912969</v>
      </c>
      <c r="O182" s="3">
        <f t="shared" si="15"/>
        <v>2458406</v>
      </c>
      <c r="Q182" s="8">
        <v>5848385</v>
      </c>
      <c r="S182" s="8">
        <v>8306791</v>
      </c>
      <c r="U182" s="8">
        <f>289869+7656+11643669</f>
        <v>11941194</v>
      </c>
      <c r="W182" s="8">
        <f>26517+21716</f>
        <v>48233</v>
      </c>
      <c r="Y182" s="8">
        <f>2091982+153232+697922-326385</f>
        <v>2616751</v>
      </c>
      <c r="AA182" s="14">
        <f t="shared" si="12"/>
        <v>14606178</v>
      </c>
      <c r="AC182" s="8">
        <f t="shared" si="13"/>
        <v>0</v>
      </c>
    </row>
    <row r="183" spans="1:29">
      <c r="A183" s="13" t="s">
        <v>641</v>
      </c>
      <c r="B183" s="13"/>
      <c r="C183" s="13" t="s">
        <v>60</v>
      </c>
      <c r="D183" s="13"/>
      <c r="E183" s="32">
        <v>43992</v>
      </c>
      <c r="G183" s="8">
        <v>14164433</v>
      </c>
      <c r="I183" s="8">
        <f>228350+7020</f>
        <v>235370</v>
      </c>
      <c r="K183" s="3">
        <f t="shared" si="14"/>
        <v>10353115</v>
      </c>
      <c r="M183" s="8">
        <v>24752918</v>
      </c>
      <c r="O183" s="3">
        <f t="shared" si="15"/>
        <v>11131805</v>
      </c>
      <c r="Q183" s="8">
        <v>583808</v>
      </c>
      <c r="S183" s="8">
        <v>11715613</v>
      </c>
      <c r="U183" s="8">
        <f>824776+58497+72695+793853+7020</f>
        <v>1756841</v>
      </c>
      <c r="W183" s="8">
        <v>0</v>
      </c>
      <c r="Y183" s="8">
        <f>9167648+92177+748483+1272156</f>
        <v>11280464</v>
      </c>
      <c r="AA183" s="14">
        <f t="shared" si="12"/>
        <v>13037305</v>
      </c>
      <c r="AC183" s="8">
        <f t="shared" si="13"/>
        <v>0</v>
      </c>
    </row>
    <row r="184" spans="1:29">
      <c r="A184" s="13" t="s">
        <v>714</v>
      </c>
      <c r="B184" s="13"/>
      <c r="C184" s="13" t="s">
        <v>69</v>
      </c>
      <c r="D184" s="13"/>
      <c r="E184" s="32">
        <v>44008</v>
      </c>
      <c r="G184" s="8">
        <v>8811003</v>
      </c>
      <c r="I184" s="8">
        <v>0</v>
      </c>
      <c r="K184" s="3">
        <f t="shared" si="14"/>
        <v>12680816</v>
      </c>
      <c r="M184" s="8">
        <v>21491819</v>
      </c>
      <c r="O184" s="3">
        <f t="shared" si="15"/>
        <v>3211666</v>
      </c>
      <c r="Q184" s="8">
        <v>11646218</v>
      </c>
      <c r="S184" s="8">
        <v>14857884</v>
      </c>
      <c r="U184" s="8">
        <f>360168+755782</f>
        <v>1115950</v>
      </c>
      <c r="W184" s="8">
        <v>0</v>
      </c>
      <c r="Y184" s="8">
        <f>4085792+325525+1085674+20994</f>
        <v>5517985</v>
      </c>
      <c r="AA184" s="14">
        <f t="shared" si="12"/>
        <v>6633935</v>
      </c>
      <c r="AC184" s="8">
        <f t="shared" si="13"/>
        <v>0</v>
      </c>
    </row>
    <row r="185" spans="1:29">
      <c r="A185" s="13" t="s">
        <v>572</v>
      </c>
      <c r="B185" s="13"/>
      <c r="C185" s="13" t="s">
        <v>51</v>
      </c>
      <c r="D185" s="13"/>
      <c r="E185" s="32">
        <v>48843</v>
      </c>
      <c r="G185" s="8">
        <f>8244811+448+16889</f>
        <v>8262148</v>
      </c>
      <c r="I185" s="8">
        <v>23845</v>
      </c>
      <c r="K185" s="3">
        <f t="shared" si="14"/>
        <v>5897381</v>
      </c>
      <c r="M185" s="8">
        <v>14183374</v>
      </c>
      <c r="O185" s="3">
        <f t="shared" si="15"/>
        <v>2753638</v>
      </c>
      <c r="Q185" s="8">
        <v>5325871</v>
      </c>
      <c r="S185" s="8">
        <v>8079509</v>
      </c>
      <c r="U185" s="8">
        <f>826250+114607+31712+3749</f>
        <v>976318</v>
      </c>
      <c r="W185" s="8">
        <v>0</v>
      </c>
      <c r="Y185" s="8">
        <f>2665241+536311+667955+1258040</f>
        <v>5127547</v>
      </c>
      <c r="AA185" s="14">
        <f t="shared" si="12"/>
        <v>6103865</v>
      </c>
      <c r="AC185" s="8">
        <f t="shared" si="13"/>
        <v>0</v>
      </c>
    </row>
    <row r="186" spans="1:29" hidden="1">
      <c r="A186" s="13" t="s">
        <v>330</v>
      </c>
      <c r="B186" s="13"/>
      <c r="C186" s="13" t="s">
        <v>21</v>
      </c>
      <c r="D186" s="13"/>
      <c r="E186" s="32">
        <v>46649</v>
      </c>
      <c r="G186" s="8">
        <v>0</v>
      </c>
      <c r="I186" s="8">
        <v>0</v>
      </c>
      <c r="K186" s="3">
        <f t="shared" si="14"/>
        <v>0</v>
      </c>
      <c r="M186" s="8">
        <v>0</v>
      </c>
      <c r="O186" s="3">
        <f t="shared" si="15"/>
        <v>0</v>
      </c>
      <c r="Q186" s="8">
        <v>0</v>
      </c>
      <c r="S186" s="8">
        <v>0</v>
      </c>
      <c r="U186" s="8">
        <v>0</v>
      </c>
      <c r="W186" s="8">
        <v>0</v>
      </c>
      <c r="Y186" s="8">
        <v>0</v>
      </c>
      <c r="AA186" s="14">
        <f t="shared" si="12"/>
        <v>0</v>
      </c>
      <c r="AC186" s="8">
        <f t="shared" si="13"/>
        <v>0</v>
      </c>
    </row>
    <row r="187" spans="1:29">
      <c r="A187" s="13" t="s">
        <v>461</v>
      </c>
      <c r="B187" s="13"/>
      <c r="C187" s="13" t="s">
        <v>40</v>
      </c>
      <c r="D187" s="13"/>
      <c r="E187" s="32">
        <v>47852</v>
      </c>
      <c r="G187" s="8">
        <f>6101617+62945</f>
        <v>6164562</v>
      </c>
      <c r="I187" s="8">
        <v>0</v>
      </c>
      <c r="K187" s="3">
        <f t="shared" si="14"/>
        <v>4317783</v>
      </c>
      <c r="M187" s="8">
        <v>10482345</v>
      </c>
      <c r="O187" s="3">
        <f t="shared" si="15"/>
        <v>1612275</v>
      </c>
      <c r="Q187" s="8">
        <v>3307716</v>
      </c>
      <c r="S187" s="8">
        <v>4919991</v>
      </c>
      <c r="U187" s="8">
        <f>1724602+967508</f>
        <v>2692110</v>
      </c>
      <c r="W187" s="8">
        <v>0</v>
      </c>
      <c r="Y187" s="8">
        <f>934267+162857+470780+1302340</f>
        <v>2870244</v>
      </c>
      <c r="AA187" s="14">
        <f t="shared" si="12"/>
        <v>5562354</v>
      </c>
      <c r="AC187" s="8">
        <f t="shared" si="13"/>
        <v>0</v>
      </c>
    </row>
    <row r="188" spans="1:29">
      <c r="A188" s="13" t="s">
        <v>628</v>
      </c>
      <c r="B188" s="13"/>
      <c r="C188" s="13" t="s">
        <v>79</v>
      </c>
      <c r="D188" s="13"/>
      <c r="E188" s="32">
        <v>44016</v>
      </c>
      <c r="G188" s="8">
        <v>7819891</v>
      </c>
      <c r="I188" s="8">
        <v>0</v>
      </c>
      <c r="K188" s="3">
        <f t="shared" si="14"/>
        <v>15441412</v>
      </c>
      <c r="M188" s="8">
        <v>23261303</v>
      </c>
      <c r="O188" s="3">
        <f t="shared" si="15"/>
        <v>3979583</v>
      </c>
      <c r="Q188" s="8">
        <v>10833686</v>
      </c>
      <c r="S188" s="8">
        <v>14813269</v>
      </c>
      <c r="U188" s="8">
        <f>941384+34307+1814339</f>
        <v>2790030</v>
      </c>
      <c r="W188" s="8">
        <v>0</v>
      </c>
      <c r="Y188" s="8">
        <f>1808537+3422451+427016</f>
        <v>5658004</v>
      </c>
      <c r="AA188" s="14">
        <f t="shared" si="12"/>
        <v>8448034</v>
      </c>
      <c r="AC188" s="8">
        <f t="shared" si="13"/>
        <v>0</v>
      </c>
    </row>
    <row r="189" spans="1:29">
      <c r="A189" s="13" t="s">
        <v>723</v>
      </c>
      <c r="B189" s="13"/>
      <c r="C189" s="13" t="s">
        <v>70</v>
      </c>
      <c r="D189" s="13"/>
      <c r="E189" s="32">
        <v>50492</v>
      </c>
      <c r="G189" s="8">
        <f>2239615+1183</f>
        <v>2240798</v>
      </c>
      <c r="I189" s="8">
        <v>89922</v>
      </c>
      <c r="K189" s="3">
        <f t="shared" si="14"/>
        <v>1981618</v>
      </c>
      <c r="M189" s="8">
        <v>4312338</v>
      </c>
      <c r="O189" s="3">
        <f t="shared" si="15"/>
        <v>2561862</v>
      </c>
      <c r="Q189" s="8">
        <v>137441</v>
      </c>
      <c r="S189" s="8">
        <v>2699303</v>
      </c>
      <c r="U189" s="8">
        <f>85258+6953+172891+27280+26084+28629+35209+220677</f>
        <v>602981</v>
      </c>
      <c r="W189" s="8">
        <f>4345</f>
        <v>4345</v>
      </c>
      <c r="Y189" s="8">
        <f>1318126-91254-221163</f>
        <v>1005709</v>
      </c>
      <c r="AA189" s="14">
        <f t="shared" si="12"/>
        <v>1613035</v>
      </c>
      <c r="AC189" s="8">
        <f t="shared" si="13"/>
        <v>0</v>
      </c>
    </row>
    <row r="190" spans="1:29">
      <c r="A190" s="13" t="s">
        <v>360</v>
      </c>
      <c r="B190" s="13"/>
      <c r="C190" s="13" t="s">
        <v>27</v>
      </c>
      <c r="D190" s="13"/>
      <c r="E190" s="32">
        <v>46961</v>
      </c>
      <c r="G190" s="8">
        <v>25795871</v>
      </c>
      <c r="I190" s="8">
        <v>1000303</v>
      </c>
      <c r="K190" s="3">
        <f t="shared" si="14"/>
        <v>83237866</v>
      </c>
      <c r="M190" s="8">
        <v>110034040</v>
      </c>
      <c r="O190" s="3">
        <f t="shared" si="15"/>
        <v>10002141</v>
      </c>
      <c r="Q190" s="8">
        <v>65936485</v>
      </c>
      <c r="S190" s="8">
        <v>75938626</v>
      </c>
      <c r="U190" s="8">
        <f>3948045+113422+16573502+1000303</f>
        <v>21635272</v>
      </c>
      <c r="W190" s="8">
        <f>9622669-62447+2876827+23093</f>
        <v>12460142</v>
      </c>
      <c r="Y190" s="8">
        <v>0</v>
      </c>
      <c r="AA190" s="14">
        <f t="shared" si="12"/>
        <v>34095414</v>
      </c>
      <c r="AC190" s="8">
        <f t="shared" si="13"/>
        <v>0</v>
      </c>
    </row>
    <row r="191" spans="1:29">
      <c r="A191" s="13" t="s">
        <v>298</v>
      </c>
      <c r="B191" s="13"/>
      <c r="C191" s="13" t="s">
        <v>114</v>
      </c>
      <c r="D191" s="13"/>
      <c r="E191" s="32">
        <v>44024</v>
      </c>
      <c r="G191" s="8">
        <v>7353152</v>
      </c>
      <c r="I191" s="8">
        <v>647802</v>
      </c>
      <c r="K191" s="3">
        <f t="shared" si="14"/>
        <v>7893722</v>
      </c>
      <c r="M191" s="8">
        <v>15894676</v>
      </c>
      <c r="O191" s="3">
        <f t="shared" si="15"/>
        <v>3738625</v>
      </c>
      <c r="Q191" s="8">
        <v>5398274</v>
      </c>
      <c r="S191" s="8">
        <v>9136899</v>
      </c>
      <c r="U191" s="8">
        <f>2223730+2968085</f>
        <v>5191815</v>
      </c>
      <c r="W191" s="8">
        <v>0</v>
      </c>
      <c r="Y191" s="8">
        <f>-150615+376131+448597+891849</f>
        <v>1565962</v>
      </c>
      <c r="AA191" s="14">
        <f t="shared" si="12"/>
        <v>6757777</v>
      </c>
      <c r="AC191" s="8">
        <f t="shared" si="13"/>
        <v>0</v>
      </c>
    </row>
    <row r="192" spans="1:29">
      <c r="A192" s="13" t="s">
        <v>379</v>
      </c>
      <c r="B192" s="13"/>
      <c r="C192" s="13" t="s">
        <v>29</v>
      </c>
      <c r="D192" s="13"/>
      <c r="E192" s="32">
        <v>65680</v>
      </c>
      <c r="G192" s="8">
        <v>38056079</v>
      </c>
      <c r="I192" s="8">
        <v>1042425</v>
      </c>
      <c r="K192" s="3">
        <f t="shared" si="14"/>
        <v>13093280</v>
      </c>
      <c r="M192" s="8">
        <v>52191784</v>
      </c>
      <c r="O192" s="3">
        <f t="shared" si="15"/>
        <v>4772345</v>
      </c>
      <c r="Q192" s="8">
        <v>11763949</v>
      </c>
      <c r="S192" s="8">
        <v>16536294</v>
      </c>
      <c r="U192" s="8">
        <f>664139+92000+57844+237077+487257</f>
        <v>1538317</v>
      </c>
      <c r="W192" s="8">
        <v>0</v>
      </c>
      <c r="Y192" s="8">
        <f>1013209+251969+3147212+4979+29699804</f>
        <v>34117173</v>
      </c>
      <c r="AA192" s="14">
        <f t="shared" si="12"/>
        <v>35655490</v>
      </c>
      <c r="AC192" s="8">
        <f t="shared" si="13"/>
        <v>0</v>
      </c>
    </row>
    <row r="193" spans="1:29" s="35" customFormat="1">
      <c r="A193" s="34" t="s">
        <v>380</v>
      </c>
      <c r="B193" s="34"/>
      <c r="C193" s="34" t="s">
        <v>29</v>
      </c>
      <c r="D193" s="34"/>
      <c r="E193" s="34">
        <v>44032</v>
      </c>
      <c r="G193" s="8">
        <v>8363085</v>
      </c>
      <c r="H193" s="8"/>
      <c r="I193" s="8">
        <v>714557</v>
      </c>
      <c r="J193" s="8"/>
      <c r="K193" s="3">
        <f t="shared" si="14"/>
        <v>47808995</v>
      </c>
      <c r="L193" s="8"/>
      <c r="M193" s="8">
        <v>56886637</v>
      </c>
      <c r="N193" s="8"/>
      <c r="O193" s="3">
        <f t="shared" si="15"/>
        <v>10423496</v>
      </c>
      <c r="P193" s="8"/>
      <c r="Q193" s="8">
        <v>11984392</v>
      </c>
      <c r="R193" s="8"/>
      <c r="S193" s="8">
        <v>22407888</v>
      </c>
      <c r="T193" s="8"/>
      <c r="U193" s="8">
        <f>503033+79472+89490+525694+366916+77169+637388</f>
        <v>2279162</v>
      </c>
      <c r="V193" s="8"/>
      <c r="W193" s="8">
        <f>-799458+597165+32385690</f>
        <v>32183397</v>
      </c>
      <c r="X193" s="8"/>
      <c r="Y193" s="8">
        <v>16190</v>
      </c>
      <c r="Z193" s="8"/>
      <c r="AA193" s="14">
        <f t="shared" si="12"/>
        <v>34478749</v>
      </c>
      <c r="AB193" s="8"/>
      <c r="AC193" s="8">
        <f t="shared" si="13"/>
        <v>0</v>
      </c>
    </row>
    <row r="194" spans="1:29">
      <c r="A194" s="13" t="s">
        <v>701</v>
      </c>
      <c r="B194" s="13"/>
      <c r="C194" s="13" t="s">
        <v>65</v>
      </c>
      <c r="D194" s="13"/>
      <c r="E194" s="32">
        <v>50278</v>
      </c>
      <c r="G194" s="8">
        <v>4534492</v>
      </c>
      <c r="I194" s="8">
        <v>37903</v>
      </c>
      <c r="K194" s="3">
        <f t="shared" si="14"/>
        <v>5716524</v>
      </c>
      <c r="M194" s="8">
        <v>10288919</v>
      </c>
      <c r="O194" s="3">
        <f t="shared" si="15"/>
        <v>6584551</v>
      </c>
      <c r="Q194" s="8">
        <v>204555</v>
      </c>
      <c r="S194" s="8">
        <v>6789106</v>
      </c>
      <c r="U194" s="8">
        <f>6823+4785+347527+391374+37903</f>
        <v>788412</v>
      </c>
      <c r="W194" s="8">
        <v>0</v>
      </c>
      <c r="Y194" s="8">
        <f>2563044-4440+152797</f>
        <v>2711401</v>
      </c>
      <c r="AA194" s="14">
        <f t="shared" si="12"/>
        <v>3499813</v>
      </c>
      <c r="AC194" s="8">
        <f t="shared" si="13"/>
        <v>0</v>
      </c>
    </row>
    <row r="195" spans="1:29" hidden="1">
      <c r="A195" s="13" t="s">
        <v>312</v>
      </c>
      <c r="B195" s="13"/>
      <c r="C195" s="13" t="s">
        <v>20</v>
      </c>
      <c r="D195" s="13"/>
      <c r="E195" s="32">
        <v>44040</v>
      </c>
      <c r="G195" s="8">
        <v>0</v>
      </c>
      <c r="I195" s="8">
        <v>0</v>
      </c>
      <c r="K195" s="3">
        <f t="shared" si="14"/>
        <v>0</v>
      </c>
      <c r="M195" s="8">
        <v>0</v>
      </c>
      <c r="O195" s="3">
        <f t="shared" si="15"/>
        <v>0</v>
      </c>
      <c r="Q195" s="8">
        <v>0</v>
      </c>
      <c r="S195" s="8">
        <v>0</v>
      </c>
      <c r="U195" s="8">
        <v>0</v>
      </c>
      <c r="W195" s="8">
        <v>0</v>
      </c>
      <c r="Y195" s="8">
        <v>0</v>
      </c>
      <c r="AA195" s="14">
        <f t="shared" si="12"/>
        <v>0</v>
      </c>
      <c r="AC195" s="8">
        <f t="shared" si="13"/>
        <v>0</v>
      </c>
    </row>
    <row r="196" spans="1:29">
      <c r="A196" s="12" t="s">
        <v>936</v>
      </c>
      <c r="B196" s="13"/>
      <c r="C196" s="13" t="s">
        <v>12</v>
      </c>
      <c r="D196" s="13"/>
      <c r="E196" s="32">
        <v>44057</v>
      </c>
      <c r="G196" s="8">
        <v>9794729</v>
      </c>
      <c r="I196" s="8">
        <v>0</v>
      </c>
      <c r="K196" s="3">
        <f t="shared" si="14"/>
        <v>8635898</v>
      </c>
      <c r="M196" s="8">
        <v>18430627</v>
      </c>
      <c r="O196" s="3">
        <f t="shared" si="15"/>
        <v>1612931</v>
      </c>
      <c r="Q196" s="8">
        <v>4825689</v>
      </c>
      <c r="S196" s="8">
        <v>6438620</v>
      </c>
      <c r="U196" s="8">
        <f>2832169+3366334+358077</f>
        <v>6556580</v>
      </c>
      <c r="W196" s="8">
        <v>0</v>
      </c>
      <c r="Y196" s="8">
        <f>819507+268096+2103323+2244501</f>
        <v>5435427</v>
      </c>
      <c r="AA196" s="14">
        <f t="shared" si="12"/>
        <v>11992007</v>
      </c>
      <c r="AC196" s="8">
        <f t="shared" si="13"/>
        <v>0</v>
      </c>
    </row>
    <row r="197" spans="1:29">
      <c r="A197" s="13" t="s">
        <v>580</v>
      </c>
      <c r="B197" s="13"/>
      <c r="C197" s="13" t="s">
        <v>53</v>
      </c>
      <c r="D197" s="13"/>
      <c r="E197" s="32">
        <v>48942</v>
      </c>
      <c r="G197" s="8">
        <v>2998505</v>
      </c>
      <c r="I197" s="8">
        <v>0</v>
      </c>
      <c r="K197" s="3">
        <f t="shared" si="14"/>
        <v>6091648</v>
      </c>
      <c r="M197" s="8">
        <v>9090153</v>
      </c>
      <c r="O197" s="3">
        <f t="shared" si="15"/>
        <v>6340368</v>
      </c>
      <c r="Q197" s="8">
        <v>37994</v>
      </c>
      <c r="S197" s="8">
        <v>6378362</v>
      </c>
      <c r="U197" s="8">
        <f>76082+30512+12423+581202+1133778+44853</f>
        <v>1878850</v>
      </c>
      <c r="W197" s="8">
        <v>420290</v>
      </c>
      <c r="Y197" s="8">
        <f>177158+73489+162004</f>
        <v>412651</v>
      </c>
      <c r="AA197" s="14">
        <f t="shared" si="12"/>
        <v>2711791</v>
      </c>
      <c r="AC197" s="8">
        <f t="shared" si="13"/>
        <v>0</v>
      </c>
    </row>
    <row r="198" spans="1:29">
      <c r="A198" s="13" t="s">
        <v>242</v>
      </c>
      <c r="B198" s="13"/>
      <c r="C198" s="13" t="s">
        <v>77</v>
      </c>
      <c r="D198" s="13"/>
      <c r="E198" s="32">
        <v>45377</v>
      </c>
      <c r="G198" s="8">
        <v>1882403</v>
      </c>
      <c r="I198" s="8">
        <v>0</v>
      </c>
      <c r="K198" s="3">
        <f t="shared" si="14"/>
        <v>2929088</v>
      </c>
      <c r="M198" s="8">
        <v>4811491</v>
      </c>
      <c r="O198" s="3">
        <f t="shared" si="15"/>
        <v>993849</v>
      </c>
      <c r="Q198" s="8">
        <v>2485794</v>
      </c>
      <c r="S198" s="8">
        <v>3479643</v>
      </c>
      <c r="U198" s="8">
        <f>121052+377097</f>
        <v>498149</v>
      </c>
      <c r="W198" s="8">
        <v>0</v>
      </c>
      <c r="Y198" s="8">
        <f>-96088+482796+263084+183907</f>
        <v>833699</v>
      </c>
      <c r="AA198" s="14">
        <f t="shared" si="12"/>
        <v>1331848</v>
      </c>
      <c r="AC198" s="8">
        <f t="shared" si="13"/>
        <v>0</v>
      </c>
    </row>
    <row r="199" spans="1:29">
      <c r="A199" s="13" t="s">
        <v>629</v>
      </c>
      <c r="B199" s="13"/>
      <c r="C199" s="13" t="s">
        <v>79</v>
      </c>
      <c r="D199" s="13"/>
      <c r="E199" s="13">
        <v>45385</v>
      </c>
      <c r="G199" s="8">
        <v>4668394</v>
      </c>
      <c r="I199" s="8">
        <v>0</v>
      </c>
      <c r="K199" s="3">
        <f t="shared" si="14"/>
        <v>3026350</v>
      </c>
      <c r="M199" s="8">
        <v>7694744</v>
      </c>
      <c r="O199" s="3">
        <f t="shared" si="15"/>
        <v>3252116</v>
      </c>
      <c r="Q199" s="8">
        <v>194567</v>
      </c>
      <c r="S199" s="8">
        <v>3446683</v>
      </c>
      <c r="U199" s="8">
        <f>28984+7443+20030+353580+111069+29274+52124+1010265</f>
        <v>1612769</v>
      </c>
      <c r="W199" s="8">
        <v>0</v>
      </c>
      <c r="Y199" s="8">
        <f>1737594+408058+489640</f>
        <v>2635292</v>
      </c>
      <c r="AA199" s="14">
        <f t="shared" si="12"/>
        <v>4248061</v>
      </c>
      <c r="AC199" s="8">
        <f t="shared" si="13"/>
        <v>0</v>
      </c>
    </row>
    <row r="200" spans="1:29">
      <c r="A200" s="13"/>
      <c r="B200" s="13"/>
      <c r="C200" s="13"/>
      <c r="D200" s="13"/>
      <c r="E200" s="13"/>
      <c r="K200" s="3"/>
      <c r="O200" s="3"/>
      <c r="AA200" s="14"/>
    </row>
    <row r="201" spans="1:29">
      <c r="A201" s="13"/>
      <c r="B201" s="13"/>
      <c r="C201" s="13"/>
      <c r="D201" s="13"/>
      <c r="E201" s="13"/>
      <c r="K201" s="3"/>
      <c r="O201" s="3"/>
      <c r="AA201" s="90" t="s">
        <v>819</v>
      </c>
    </row>
    <row r="202" spans="1:29" s="35" customFormat="1">
      <c r="A202" s="34" t="s">
        <v>684</v>
      </c>
      <c r="B202" s="34"/>
      <c r="C202" s="34" t="s">
        <v>64</v>
      </c>
      <c r="D202" s="34"/>
      <c r="E202" s="34">
        <v>44065</v>
      </c>
      <c r="G202" s="35">
        <v>19760793</v>
      </c>
      <c r="I202" s="35">
        <v>339095</v>
      </c>
      <c r="K202" s="42">
        <f t="shared" si="14"/>
        <v>22994530</v>
      </c>
      <c r="M202" s="35">
        <v>43094418</v>
      </c>
      <c r="O202" s="42">
        <f t="shared" si="15"/>
        <v>6540641</v>
      </c>
      <c r="Q202" s="35">
        <v>18119574</v>
      </c>
      <c r="S202" s="35">
        <v>24660215</v>
      </c>
      <c r="U202" s="35">
        <f>2599262+5284+17404+16538+257702+235627+7903+95565</f>
        <v>3235285</v>
      </c>
      <c r="W202" s="35">
        <v>0</v>
      </c>
      <c r="Y202" s="35">
        <f>3613217+410124+11175577</f>
        <v>15198918</v>
      </c>
      <c r="AA202" s="71">
        <f t="shared" si="12"/>
        <v>18434203</v>
      </c>
      <c r="AC202" s="35">
        <f t="shared" si="13"/>
        <v>0</v>
      </c>
    </row>
    <row r="203" spans="1:29">
      <c r="A203" s="13" t="s">
        <v>374</v>
      </c>
      <c r="B203" s="13"/>
      <c r="C203" s="13" t="s">
        <v>28</v>
      </c>
      <c r="D203" s="13"/>
      <c r="E203" s="32">
        <v>47068</v>
      </c>
      <c r="G203" s="8">
        <v>5194519</v>
      </c>
      <c r="I203" s="8">
        <v>0</v>
      </c>
      <c r="K203" s="3">
        <f t="shared" si="14"/>
        <v>2931822</v>
      </c>
      <c r="M203" s="8">
        <v>8126341</v>
      </c>
      <c r="O203" s="3">
        <f t="shared" si="15"/>
        <v>1228755</v>
      </c>
      <c r="Q203" s="8">
        <v>2325196</v>
      </c>
      <c r="S203" s="8">
        <v>3553951</v>
      </c>
      <c r="U203" s="8">
        <f>81722+8572+1267630</f>
        <v>1357924</v>
      </c>
      <c r="W203" s="8">
        <v>0</v>
      </c>
      <c r="Y203" s="8">
        <f>1422846+94448+156463+1540709</f>
        <v>3214466</v>
      </c>
      <c r="AA203" s="14">
        <f t="shared" si="12"/>
        <v>4572390</v>
      </c>
      <c r="AC203" s="8">
        <f t="shared" si="13"/>
        <v>0</v>
      </c>
    </row>
    <row r="204" spans="1:29">
      <c r="A204" s="13" t="s">
        <v>273</v>
      </c>
      <c r="B204" s="13"/>
      <c r="C204" s="13" t="s">
        <v>116</v>
      </c>
      <c r="D204" s="13"/>
      <c r="E204" s="32">
        <v>46342</v>
      </c>
      <c r="G204" s="8">
        <v>5733478</v>
      </c>
      <c r="I204" s="8">
        <v>2132</v>
      </c>
      <c r="K204" s="3">
        <f t="shared" si="14"/>
        <v>8637579</v>
      </c>
      <c r="M204" s="8">
        <v>14373189</v>
      </c>
      <c r="O204" s="3">
        <f t="shared" si="15"/>
        <v>2838174</v>
      </c>
      <c r="Q204" s="8">
        <v>6073148</v>
      </c>
      <c r="S204" s="8">
        <v>8911322</v>
      </c>
      <c r="U204" s="8">
        <f>366063+505858+2132</f>
        <v>874053</v>
      </c>
      <c r="W204" s="8">
        <v>0</v>
      </c>
      <c r="Y204" s="8">
        <f>2551331-66681+1256792+846372</f>
        <v>4587814</v>
      </c>
      <c r="AA204" s="14">
        <f t="shared" si="12"/>
        <v>5461867</v>
      </c>
      <c r="AC204" s="8">
        <f t="shared" si="13"/>
        <v>0</v>
      </c>
    </row>
    <row r="205" spans="1:29">
      <c r="A205" s="13" t="s">
        <v>258</v>
      </c>
      <c r="B205" s="13"/>
      <c r="C205" s="13" t="s">
        <v>259</v>
      </c>
      <c r="D205" s="13"/>
      <c r="E205" s="32">
        <v>46193</v>
      </c>
      <c r="G205" s="8">
        <v>2742975</v>
      </c>
      <c r="I205" s="8">
        <v>0</v>
      </c>
      <c r="K205" s="3">
        <f t="shared" si="14"/>
        <v>7377665</v>
      </c>
      <c r="M205" s="8">
        <v>10120640</v>
      </c>
      <c r="O205" s="3">
        <f t="shared" si="15"/>
        <v>6472111</v>
      </c>
      <c r="Q205" s="8">
        <v>0</v>
      </c>
      <c r="S205" s="8">
        <v>6472111</v>
      </c>
      <c r="U205" s="8">
        <f>370084+12473+1749848</f>
        <v>2132405</v>
      </c>
      <c r="W205" s="8">
        <v>0</v>
      </c>
      <c r="Y205" s="8">
        <f>-397559+690504+1021260+201919</f>
        <v>1516124</v>
      </c>
      <c r="AA205" s="14">
        <f t="shared" si="12"/>
        <v>3648529</v>
      </c>
      <c r="AC205" s="8">
        <f t="shared" si="13"/>
        <v>0</v>
      </c>
    </row>
    <row r="206" spans="1:29">
      <c r="A206" s="13" t="s">
        <v>222</v>
      </c>
      <c r="B206" s="13"/>
      <c r="C206" s="13" t="s">
        <v>12</v>
      </c>
      <c r="D206" s="13"/>
      <c r="E206" s="13">
        <v>45864</v>
      </c>
      <c r="G206" s="8">
        <v>12092778</v>
      </c>
      <c r="I206" s="8">
        <v>0</v>
      </c>
      <c r="K206" s="3">
        <f t="shared" si="14"/>
        <v>4757833</v>
      </c>
      <c r="M206" s="8">
        <v>16850611</v>
      </c>
      <c r="O206" s="3">
        <f t="shared" si="15"/>
        <v>1316437</v>
      </c>
      <c r="Q206" s="8">
        <v>2861954</v>
      </c>
      <c r="S206" s="8">
        <v>4178391</v>
      </c>
      <c r="U206" s="8">
        <f>201659+1700273</f>
        <v>1901932</v>
      </c>
      <c r="W206" s="8">
        <v>0</v>
      </c>
      <c r="Y206" s="8">
        <f>1682111+540892+1481573+7065712</f>
        <v>10770288</v>
      </c>
      <c r="AA206" s="14">
        <f t="shared" si="12"/>
        <v>12672220</v>
      </c>
      <c r="AC206" s="8">
        <f t="shared" si="13"/>
        <v>0</v>
      </c>
    </row>
    <row r="207" spans="1:29">
      <c r="A207" s="13" t="s">
        <v>361</v>
      </c>
      <c r="B207" s="13"/>
      <c r="C207" s="13" t="s">
        <v>27</v>
      </c>
      <c r="D207" s="13"/>
      <c r="E207" s="32">
        <v>44073</v>
      </c>
      <c r="G207" s="8">
        <v>10357975</v>
      </c>
      <c r="I207" s="8">
        <f>68902+7402489</f>
        <v>7471391</v>
      </c>
      <c r="K207" s="3">
        <f t="shared" ref="K207:K270" si="16">M207-G207-I207</f>
        <v>5566804</v>
      </c>
      <c r="M207" s="8">
        <v>23396170</v>
      </c>
      <c r="O207" s="3">
        <f t="shared" ref="O207:O270" si="17">S207-Q207</f>
        <v>9932131</v>
      </c>
      <c r="Q207" s="8">
        <f>5123318+114650+15702</f>
        <v>5253670</v>
      </c>
      <c r="S207" s="8">
        <v>15185801</v>
      </c>
      <c r="U207" s="8">
        <f>68902+33888+177982+436697</f>
        <v>717469</v>
      </c>
      <c r="W207" s="8">
        <v>0</v>
      </c>
      <c r="Y207" s="8">
        <f>6691974+1160054+58709-417837</f>
        <v>7492900</v>
      </c>
      <c r="AA207" s="14">
        <f t="shared" ref="AA207:AA270" si="18">U207+W207+Y207</f>
        <v>8210369</v>
      </c>
      <c r="AC207" s="8">
        <f t="shared" ref="AC207:AC270" si="19">+G207+I207+K207-O207-Q207-Y207-W207-U207</f>
        <v>0</v>
      </c>
    </row>
    <row r="208" spans="1:29">
      <c r="A208" s="13" t="s">
        <v>478</v>
      </c>
      <c r="B208" s="13"/>
      <c r="C208" s="13" t="s">
        <v>42</v>
      </c>
      <c r="D208" s="13"/>
      <c r="E208" s="32">
        <v>45393</v>
      </c>
      <c r="G208" s="8">
        <v>13230563</v>
      </c>
      <c r="I208" s="8">
        <v>8727</v>
      </c>
      <c r="K208" s="3">
        <f t="shared" si="16"/>
        <v>18027976</v>
      </c>
      <c r="M208" s="8">
        <v>31267266</v>
      </c>
      <c r="O208" s="3">
        <f t="shared" si="17"/>
        <v>3897894</v>
      </c>
      <c r="Q208" s="8">
        <v>16480726</v>
      </c>
      <c r="S208" s="8">
        <v>20378620</v>
      </c>
      <c r="U208" s="8">
        <f>1814476+13771+785400</f>
        <v>2613647</v>
      </c>
      <c r="W208" s="8">
        <v>0</v>
      </c>
      <c r="Y208" s="8">
        <f>5337556+465690+2927238-455485</f>
        <v>8274999</v>
      </c>
      <c r="AA208" s="14">
        <f t="shared" si="18"/>
        <v>10888646</v>
      </c>
      <c r="AC208" s="8">
        <f t="shared" si="19"/>
        <v>0</v>
      </c>
    </row>
    <row r="209" spans="1:29">
      <c r="A209" s="13" t="s">
        <v>633</v>
      </c>
      <c r="B209" s="13"/>
      <c r="C209" s="13" t="s">
        <v>59</v>
      </c>
      <c r="D209" s="13"/>
      <c r="E209" s="32">
        <v>49619</v>
      </c>
      <c r="G209" s="8">
        <v>694189</v>
      </c>
      <c r="I209" s="8">
        <v>288610</v>
      </c>
      <c r="K209" s="3">
        <f t="shared" si="16"/>
        <v>1703990</v>
      </c>
      <c r="M209" s="8">
        <v>2686789</v>
      </c>
      <c r="O209" s="3">
        <f t="shared" si="17"/>
        <v>738501</v>
      </c>
      <c r="Q209" s="8">
        <v>1579367</v>
      </c>
      <c r="S209" s="8">
        <v>2317868</v>
      </c>
      <c r="U209" s="8">
        <f>49103+50819+125926+162684</f>
        <v>388532</v>
      </c>
      <c r="W209" s="8">
        <v>0</v>
      </c>
      <c r="Y209" s="8">
        <f>-126272+106661</f>
        <v>-19611</v>
      </c>
      <c r="AA209" s="14">
        <f t="shared" si="18"/>
        <v>368921</v>
      </c>
      <c r="AC209" s="8">
        <f t="shared" si="19"/>
        <v>0</v>
      </c>
    </row>
    <row r="210" spans="1:29">
      <c r="A210" s="13" t="s">
        <v>633</v>
      </c>
      <c r="B210" s="13"/>
      <c r="C210" s="13" t="s">
        <v>63</v>
      </c>
      <c r="D210" s="13"/>
      <c r="E210" s="32">
        <v>50013</v>
      </c>
      <c r="G210" s="8">
        <v>7198019</v>
      </c>
      <c r="I210" s="8">
        <v>515225</v>
      </c>
      <c r="K210" s="3">
        <f t="shared" si="16"/>
        <v>21912574</v>
      </c>
      <c r="M210" s="8">
        <v>29625818</v>
      </c>
      <c r="O210" s="3">
        <f t="shared" si="17"/>
        <v>5607989</v>
      </c>
      <c r="Q210" s="8">
        <v>19917914</v>
      </c>
      <c r="S210" s="8">
        <v>25525903</v>
      </c>
      <c r="U210" s="8">
        <f>1055980+1661638+231583+283642</f>
        <v>3232843</v>
      </c>
      <c r="W210" s="8">
        <v>0</v>
      </c>
      <c r="Y210" s="8">
        <f>-1186422+85166+1939098+29230</f>
        <v>867072</v>
      </c>
      <c r="AA210" s="14">
        <f t="shared" si="18"/>
        <v>4099915</v>
      </c>
      <c r="AC210" s="8">
        <f t="shared" si="19"/>
        <v>0</v>
      </c>
    </row>
    <row r="211" spans="1:29">
      <c r="A211" s="13" t="s">
        <v>633</v>
      </c>
      <c r="B211" s="13"/>
      <c r="C211" s="13" t="s">
        <v>71</v>
      </c>
      <c r="D211" s="13"/>
      <c r="E211" s="32">
        <v>50559</v>
      </c>
      <c r="G211" s="8">
        <v>1010958</v>
      </c>
      <c r="I211" s="8">
        <v>0</v>
      </c>
      <c r="K211" s="3">
        <f t="shared" si="16"/>
        <v>3990148</v>
      </c>
      <c r="M211" s="8">
        <v>5001106</v>
      </c>
      <c r="O211" s="3">
        <f t="shared" si="17"/>
        <v>1185123</v>
      </c>
      <c r="Q211" s="8">
        <v>3442460</v>
      </c>
      <c r="S211" s="8">
        <v>4627583</v>
      </c>
      <c r="U211" s="8">
        <f>118538+490000</f>
        <v>608538</v>
      </c>
      <c r="W211" s="8">
        <v>0</v>
      </c>
      <c r="Y211" s="8">
        <f>-540828+169782+136031</f>
        <v>-235015</v>
      </c>
      <c r="AA211" s="14">
        <f t="shared" si="18"/>
        <v>373523</v>
      </c>
      <c r="AC211" s="8">
        <f t="shared" si="19"/>
        <v>0</v>
      </c>
    </row>
    <row r="212" spans="1:29">
      <c r="A212" s="13" t="s">
        <v>390</v>
      </c>
      <c r="B212" s="13"/>
      <c r="C212" s="13" t="s">
        <v>117</v>
      </c>
      <c r="D212" s="13"/>
      <c r="E212" s="32">
        <v>47266</v>
      </c>
      <c r="G212" s="8">
        <v>3694578</v>
      </c>
      <c r="I212" s="8">
        <v>0</v>
      </c>
      <c r="K212" s="3">
        <f t="shared" si="16"/>
        <v>4834180</v>
      </c>
      <c r="M212" s="8">
        <v>8528758</v>
      </c>
      <c r="O212" s="3">
        <f t="shared" si="17"/>
        <v>1248950</v>
      </c>
      <c r="Q212" s="8">
        <v>3893415</v>
      </c>
      <c r="S212" s="8">
        <v>5142365</v>
      </c>
      <c r="U212" s="8">
        <f>66859+172285+76238</f>
        <v>315382</v>
      </c>
      <c r="W212" s="8">
        <v>134347</v>
      </c>
      <c r="Y212" s="8">
        <f>2391017+73487+259570+212590</f>
        <v>2936664</v>
      </c>
      <c r="AA212" s="14">
        <f t="shared" si="18"/>
        <v>3386393</v>
      </c>
      <c r="AC212" s="8">
        <f t="shared" si="19"/>
        <v>0</v>
      </c>
    </row>
    <row r="213" spans="1:29">
      <c r="A213" s="13" t="s">
        <v>442</v>
      </c>
      <c r="B213" s="13"/>
      <c r="C213" s="13" t="s">
        <v>440</v>
      </c>
      <c r="D213" s="13"/>
      <c r="E213" s="32">
        <v>45401</v>
      </c>
      <c r="G213" s="8">
        <v>5370440</v>
      </c>
      <c r="I213" s="8">
        <v>0</v>
      </c>
      <c r="K213" s="3">
        <f t="shared" si="16"/>
        <v>7608321</v>
      </c>
      <c r="M213" s="8">
        <v>12978761</v>
      </c>
      <c r="O213" s="3">
        <f t="shared" si="17"/>
        <v>2594002</v>
      </c>
      <c r="Q213" s="8">
        <v>5790948</v>
      </c>
      <c r="S213" s="8">
        <v>8384950</v>
      </c>
      <c r="U213" s="8">
        <f>838369+167563</f>
        <v>1005932</v>
      </c>
      <c r="W213" s="8">
        <v>0</v>
      </c>
      <c r="Y213" s="8">
        <f>2078838+523285+679398+306358</f>
        <v>3587879</v>
      </c>
      <c r="AA213" s="14">
        <f t="shared" si="18"/>
        <v>4593811</v>
      </c>
      <c r="AC213" s="8">
        <f t="shared" si="19"/>
        <v>0</v>
      </c>
    </row>
    <row r="214" spans="1:29" s="35" customFormat="1">
      <c r="A214" s="34" t="s">
        <v>265</v>
      </c>
      <c r="B214" s="34"/>
      <c r="C214" s="34" t="s">
        <v>17</v>
      </c>
      <c r="D214" s="34"/>
      <c r="E214" s="34">
        <v>46235</v>
      </c>
      <c r="G214" s="35">
        <v>3278448</v>
      </c>
      <c r="I214" s="35">
        <v>32397</v>
      </c>
      <c r="K214" s="42">
        <f t="shared" si="16"/>
        <v>6204839</v>
      </c>
      <c r="M214" s="35">
        <v>9515684</v>
      </c>
      <c r="O214" s="42">
        <f t="shared" si="17"/>
        <v>1663479</v>
      </c>
      <c r="Q214" s="35">
        <v>4870028</v>
      </c>
      <c r="S214" s="35">
        <v>6533507</v>
      </c>
      <c r="U214" s="35">
        <f>40071+635712+32397</f>
        <v>708180</v>
      </c>
      <c r="W214" s="35">
        <v>218555</v>
      </c>
      <c r="Y214" s="35">
        <f>1147794+134777+772871</f>
        <v>2055442</v>
      </c>
      <c r="AA214" s="71">
        <f t="shared" si="18"/>
        <v>2982177</v>
      </c>
      <c r="AC214" s="35">
        <f t="shared" si="19"/>
        <v>0</v>
      </c>
    </row>
    <row r="215" spans="1:29">
      <c r="A215" s="13" t="s">
        <v>331</v>
      </c>
      <c r="B215" s="13"/>
      <c r="C215" s="13" t="s">
        <v>21</v>
      </c>
      <c r="D215" s="13"/>
      <c r="E215" s="32">
        <v>44099</v>
      </c>
      <c r="G215" s="8">
        <v>9843598</v>
      </c>
      <c r="I215" s="8">
        <v>144151</v>
      </c>
      <c r="K215" s="3">
        <f t="shared" si="16"/>
        <v>10492437</v>
      </c>
      <c r="M215" s="8">
        <v>20480186</v>
      </c>
      <c r="O215" s="3">
        <f t="shared" si="17"/>
        <v>3988803</v>
      </c>
      <c r="Q215" s="8">
        <v>7837429</v>
      </c>
      <c r="S215" s="8">
        <v>11826232</v>
      </c>
      <c r="U215" s="8">
        <f>455043+1279891+10215+133936+407469</f>
        <v>2286554</v>
      </c>
      <c r="W215" s="8">
        <v>0</v>
      </c>
      <c r="Y215" s="8">
        <f>1971132+1006476+2076+3387716</f>
        <v>6367400</v>
      </c>
      <c r="AA215" s="14">
        <f t="shared" si="18"/>
        <v>8653954</v>
      </c>
      <c r="AC215" s="8">
        <f t="shared" si="19"/>
        <v>0</v>
      </c>
    </row>
    <row r="216" spans="1:29" hidden="1">
      <c r="A216" s="13" t="s">
        <v>362</v>
      </c>
      <c r="B216" s="13"/>
      <c r="C216" s="13" t="s">
        <v>27</v>
      </c>
      <c r="D216" s="13"/>
      <c r="E216" s="32">
        <v>46979</v>
      </c>
      <c r="G216" s="8">
        <v>0</v>
      </c>
      <c r="I216" s="8">
        <v>0</v>
      </c>
      <c r="K216" s="3">
        <f t="shared" si="16"/>
        <v>0</v>
      </c>
      <c r="M216" s="8">
        <v>0</v>
      </c>
      <c r="O216" s="3">
        <f t="shared" si="17"/>
        <v>0</v>
      </c>
      <c r="Q216" s="8">
        <v>0</v>
      </c>
      <c r="S216" s="8">
        <v>0</v>
      </c>
      <c r="U216" s="8">
        <v>0</v>
      </c>
      <c r="W216" s="8">
        <v>0</v>
      </c>
      <c r="Y216" s="8">
        <v>0</v>
      </c>
      <c r="AA216" s="14">
        <f t="shared" si="18"/>
        <v>0</v>
      </c>
      <c r="AC216" s="8">
        <f t="shared" si="19"/>
        <v>0</v>
      </c>
    </row>
    <row r="217" spans="1:29">
      <c r="A217" s="13" t="s">
        <v>248</v>
      </c>
      <c r="B217" s="13"/>
      <c r="C217" s="13" t="s">
        <v>246</v>
      </c>
      <c r="D217" s="13"/>
      <c r="E217" s="32">
        <v>44107</v>
      </c>
      <c r="G217" s="8">
        <v>108155490</v>
      </c>
      <c r="I217" s="8">
        <v>0</v>
      </c>
      <c r="K217" s="3">
        <f t="shared" si="16"/>
        <v>136606399</v>
      </c>
      <c r="M217" s="8">
        <v>244761889</v>
      </c>
      <c r="O217" s="3">
        <f t="shared" si="17"/>
        <v>20027471</v>
      </c>
      <c r="Q217" s="8">
        <v>133669288</v>
      </c>
      <c r="S217" s="8">
        <v>153696759</v>
      </c>
      <c r="U217" s="8">
        <f>55550086+53499+322+1094394</f>
        <v>56698301</v>
      </c>
      <c r="W217" s="8">
        <v>0</v>
      </c>
      <c r="Y217" s="8">
        <f>-6239516+6168830-240524+34678036+3</f>
        <v>34366829</v>
      </c>
      <c r="AA217" s="14">
        <f t="shared" si="18"/>
        <v>91065130</v>
      </c>
      <c r="AC217" s="8">
        <f t="shared" si="19"/>
        <v>0</v>
      </c>
    </row>
    <row r="218" spans="1:29">
      <c r="A218" s="13" t="s">
        <v>363</v>
      </c>
      <c r="B218" s="13"/>
      <c r="C218" s="13" t="s">
        <v>27</v>
      </c>
      <c r="D218" s="13"/>
      <c r="E218" s="13">
        <v>46953</v>
      </c>
      <c r="G218" s="8">
        <v>22823353</v>
      </c>
      <c r="I218" s="8">
        <v>0</v>
      </c>
      <c r="K218" s="3">
        <f t="shared" si="16"/>
        <v>9764021</v>
      </c>
      <c r="M218" s="8">
        <v>32587374</v>
      </c>
      <c r="O218" s="3">
        <f t="shared" si="17"/>
        <v>6954572</v>
      </c>
      <c r="Q218" s="8">
        <v>5996720</v>
      </c>
      <c r="S218" s="8">
        <v>12951292</v>
      </c>
      <c r="U218" s="8">
        <f>10972632+16145+2578646</f>
        <v>13567423</v>
      </c>
      <c r="W218" s="8">
        <v>0</v>
      </c>
      <c r="Y218" s="8">
        <f>2345305-554095+615037+3662412</f>
        <v>6068659</v>
      </c>
      <c r="AA218" s="14">
        <f t="shared" si="18"/>
        <v>19636082</v>
      </c>
      <c r="AC218" s="8">
        <f t="shared" si="19"/>
        <v>0</v>
      </c>
    </row>
    <row r="219" spans="1:29">
      <c r="A219" s="13" t="s">
        <v>427</v>
      </c>
      <c r="B219" s="13"/>
      <c r="C219" s="13" t="s">
        <v>426</v>
      </c>
      <c r="D219" s="13"/>
      <c r="E219" s="32">
        <v>47498</v>
      </c>
      <c r="G219" s="8">
        <v>5465434</v>
      </c>
      <c r="I219" s="8">
        <v>198447</v>
      </c>
      <c r="K219" s="3">
        <f t="shared" si="16"/>
        <v>1858376</v>
      </c>
      <c r="M219" s="8">
        <v>7522257</v>
      </c>
      <c r="O219" s="3">
        <f t="shared" si="17"/>
        <v>802773</v>
      </c>
      <c r="Q219" s="8">
        <v>1053474</v>
      </c>
      <c r="S219" s="8">
        <v>1856247</v>
      </c>
      <c r="U219" s="8">
        <f>634060+87741+181131+17316</f>
        <v>920248</v>
      </c>
      <c r="W219" s="8">
        <v>0</v>
      </c>
      <c r="Y219" s="8">
        <f>1652155+21453+41470+3030684</f>
        <v>4745762</v>
      </c>
      <c r="AA219" s="14">
        <f t="shared" si="18"/>
        <v>5666010</v>
      </c>
      <c r="AC219" s="8">
        <f t="shared" si="19"/>
        <v>0</v>
      </c>
    </row>
    <row r="220" spans="1:29">
      <c r="A220" s="13" t="s">
        <v>650</v>
      </c>
      <c r="B220" s="13"/>
      <c r="C220" s="13" t="s">
        <v>61</v>
      </c>
      <c r="D220" s="13"/>
      <c r="E220" s="32">
        <v>49791</v>
      </c>
      <c r="G220" s="8">
        <v>2957257</v>
      </c>
      <c r="I220" s="8">
        <v>51544</v>
      </c>
      <c r="K220" s="3">
        <f t="shared" si="16"/>
        <v>1935542</v>
      </c>
      <c r="M220" s="8">
        <v>4944343</v>
      </c>
      <c r="O220" s="3">
        <f t="shared" si="17"/>
        <v>784254</v>
      </c>
      <c r="Q220" s="8">
        <v>1549678</v>
      </c>
      <c r="S220" s="8">
        <v>2333932</v>
      </c>
      <c r="U220" s="8">
        <f>44541+95930+51544+38784</f>
        <v>230799</v>
      </c>
      <c r="W220" s="8">
        <v>0</v>
      </c>
      <c r="Y220" s="8">
        <f>1338942+86925+305795+647950</f>
        <v>2379612</v>
      </c>
      <c r="AA220" s="14">
        <f t="shared" si="18"/>
        <v>2610411</v>
      </c>
      <c r="AC220" s="8">
        <f t="shared" si="19"/>
        <v>0</v>
      </c>
    </row>
    <row r="221" spans="1:29">
      <c r="A221" s="13" t="s">
        <v>434</v>
      </c>
      <c r="B221" s="13"/>
      <c r="C221" s="13" t="s">
        <v>433</v>
      </c>
      <c r="D221" s="13"/>
      <c r="E221" s="32">
        <v>45245</v>
      </c>
      <c r="G221" s="8">
        <v>3472518</v>
      </c>
      <c r="I221" s="8">
        <v>1756766</v>
      </c>
      <c r="K221" s="3">
        <f t="shared" si="16"/>
        <v>7322181</v>
      </c>
      <c r="M221" s="8">
        <v>12551465</v>
      </c>
      <c r="O221" s="3">
        <f t="shared" si="17"/>
        <v>6591812</v>
      </c>
      <c r="Q221" s="8">
        <v>1068361</v>
      </c>
      <c r="S221" s="8">
        <v>7660173</v>
      </c>
      <c r="U221" s="8">
        <f>672111+152298+109789+482161+73694+997961+663041+22070+7691+289934</f>
        <v>3470750</v>
      </c>
      <c r="W221" s="8">
        <v>78109</v>
      </c>
      <c r="Y221" s="8">
        <f>298528-152598+1098651+97852</f>
        <v>1342433</v>
      </c>
      <c r="AA221" s="14">
        <f t="shared" si="18"/>
        <v>4891292</v>
      </c>
      <c r="AC221" s="8">
        <f t="shared" si="19"/>
        <v>0</v>
      </c>
    </row>
    <row r="222" spans="1:29">
      <c r="A222" s="13" t="s">
        <v>479</v>
      </c>
      <c r="B222" s="13"/>
      <c r="C222" s="13" t="s">
        <v>42</v>
      </c>
      <c r="D222" s="13"/>
      <c r="E222" s="32">
        <v>44115</v>
      </c>
      <c r="G222" s="8">
        <f>2789735+1030592</f>
        <v>3820327</v>
      </c>
      <c r="I222" s="8">
        <v>759384</v>
      </c>
      <c r="K222" s="3">
        <f t="shared" si="16"/>
        <v>9654586</v>
      </c>
      <c r="M222" s="8">
        <v>14234297</v>
      </c>
      <c r="O222" s="3">
        <f t="shared" si="17"/>
        <v>10422735</v>
      </c>
      <c r="Q222" s="8">
        <f>12584+12345</f>
        <v>24929</v>
      </c>
      <c r="S222" s="8">
        <v>10447664</v>
      </c>
      <c r="U222" s="8">
        <f>148858+31881+15547+664539+458600+759384</f>
        <v>2078809</v>
      </c>
      <c r="W222" s="8">
        <v>10026</v>
      </c>
      <c r="Y222" s="8">
        <f>590666+304652+802480</f>
        <v>1697798</v>
      </c>
      <c r="AA222" s="14">
        <f t="shared" si="18"/>
        <v>3786633</v>
      </c>
      <c r="AC222" s="8">
        <f t="shared" si="19"/>
        <v>0</v>
      </c>
    </row>
    <row r="223" spans="1:29" hidden="1">
      <c r="A223" s="13" t="s">
        <v>335</v>
      </c>
      <c r="B223" s="13"/>
      <c r="C223" s="13" t="s">
        <v>22</v>
      </c>
      <c r="D223" s="13"/>
      <c r="E223" s="32">
        <v>45419</v>
      </c>
      <c r="G223" s="8">
        <v>0</v>
      </c>
      <c r="I223" s="8">
        <v>0</v>
      </c>
      <c r="K223" s="3">
        <f t="shared" si="16"/>
        <v>0</v>
      </c>
      <c r="M223" s="8">
        <v>0</v>
      </c>
      <c r="O223" s="3">
        <f t="shared" si="17"/>
        <v>0</v>
      </c>
      <c r="Q223" s="8">
        <v>0</v>
      </c>
      <c r="S223" s="8">
        <v>0</v>
      </c>
      <c r="U223" s="8">
        <v>0</v>
      </c>
      <c r="W223" s="8">
        <v>0</v>
      </c>
      <c r="Y223" s="8">
        <v>0</v>
      </c>
      <c r="AA223" s="14">
        <f t="shared" si="18"/>
        <v>0</v>
      </c>
      <c r="AC223" s="8">
        <f t="shared" si="19"/>
        <v>0</v>
      </c>
    </row>
    <row r="224" spans="1:29">
      <c r="A224" s="13" t="s">
        <v>534</v>
      </c>
      <c r="B224" s="13"/>
      <c r="C224" s="13" t="s">
        <v>47</v>
      </c>
      <c r="D224" s="13"/>
      <c r="E224" s="32">
        <v>48496</v>
      </c>
      <c r="G224" s="8">
        <v>14739514</v>
      </c>
      <c r="I224" s="8">
        <v>0</v>
      </c>
      <c r="K224" s="3">
        <f t="shared" si="16"/>
        <v>20786687</v>
      </c>
      <c r="M224" s="8">
        <v>35526201</v>
      </c>
      <c r="O224" s="3">
        <f t="shared" si="17"/>
        <v>3543099</v>
      </c>
      <c r="Q224" s="8">
        <v>19585026</v>
      </c>
      <c r="S224" s="8">
        <v>23128125</v>
      </c>
      <c r="U224" s="8">
        <f>579246+8000</f>
        <v>587246</v>
      </c>
      <c r="W224" s="8">
        <v>0</v>
      </c>
      <c r="Y224" s="8">
        <f>8583272+435662+2546384+245512</f>
        <v>11810830</v>
      </c>
      <c r="AA224" s="14">
        <f t="shared" si="18"/>
        <v>12398076</v>
      </c>
      <c r="AC224" s="8">
        <f t="shared" si="19"/>
        <v>0</v>
      </c>
    </row>
    <row r="225" spans="1:29">
      <c r="A225" s="13" t="s">
        <v>534</v>
      </c>
      <c r="B225" s="13"/>
      <c r="C225" s="13" t="s">
        <v>78</v>
      </c>
      <c r="D225" s="13"/>
      <c r="E225" s="13">
        <v>48801</v>
      </c>
      <c r="G225" s="8">
        <v>6458193</v>
      </c>
      <c r="I225" s="8">
        <v>789703</v>
      </c>
      <c r="K225" s="3">
        <f t="shared" si="16"/>
        <v>5218980</v>
      </c>
      <c r="M225" s="8">
        <v>12466876</v>
      </c>
      <c r="O225" s="3">
        <f t="shared" si="17"/>
        <v>2100738</v>
      </c>
      <c r="Q225" s="8">
        <v>3181341</v>
      </c>
      <c r="S225" s="8">
        <v>5282079</v>
      </c>
      <c r="U225" s="8">
        <f>1083325+555330+216617+17756+148452</f>
        <v>2021480</v>
      </c>
      <c r="V225" s="8" t="s">
        <v>771</v>
      </c>
      <c r="W225" s="8">
        <v>600000</v>
      </c>
      <c r="Y225" s="8">
        <f>1680876+521022+1931302+430117</f>
        <v>4563317</v>
      </c>
      <c r="AA225" s="14">
        <f t="shared" si="18"/>
        <v>7184797</v>
      </c>
      <c r="AC225" s="8">
        <f t="shared" si="19"/>
        <v>0</v>
      </c>
    </row>
    <row r="226" spans="1:29">
      <c r="A226" s="13" t="s">
        <v>364</v>
      </c>
      <c r="B226" s="13"/>
      <c r="C226" s="13" t="s">
        <v>27</v>
      </c>
      <c r="D226" s="13"/>
      <c r="E226" s="32">
        <v>47019</v>
      </c>
      <c r="G226" s="8">
        <v>38337508</v>
      </c>
      <c r="I226" s="8">
        <v>0</v>
      </c>
      <c r="K226" s="3">
        <f t="shared" si="16"/>
        <v>129522051</v>
      </c>
      <c r="M226" s="8">
        <v>167859559</v>
      </c>
      <c r="O226" s="3">
        <f t="shared" si="17"/>
        <v>32102346</v>
      </c>
      <c r="Q226" s="8">
        <v>73157200</v>
      </c>
      <c r="S226" s="8">
        <v>105259546</v>
      </c>
      <c r="U226" s="8">
        <v>29233251</v>
      </c>
      <c r="W226" s="8">
        <v>32171960</v>
      </c>
      <c r="Y226" s="8">
        <f>-4874371+2636854+6974544-3542225</f>
        <v>1194802</v>
      </c>
      <c r="AA226" s="14">
        <f t="shared" si="18"/>
        <v>62600013</v>
      </c>
      <c r="AC226" s="8">
        <f t="shared" si="19"/>
        <v>0</v>
      </c>
    </row>
    <row r="227" spans="1:29">
      <c r="A227" s="13" t="s">
        <v>443</v>
      </c>
      <c r="B227" s="13"/>
      <c r="C227" s="13" t="s">
        <v>440</v>
      </c>
      <c r="D227" s="13"/>
      <c r="E227" s="32">
        <v>44123</v>
      </c>
      <c r="G227" s="8">
        <v>20316645</v>
      </c>
      <c r="I227" s="8">
        <v>340441</v>
      </c>
      <c r="K227" s="3">
        <f t="shared" si="16"/>
        <v>25495838</v>
      </c>
      <c r="M227" s="8">
        <v>46152924</v>
      </c>
      <c r="O227" s="3">
        <f t="shared" si="17"/>
        <v>3833097</v>
      </c>
      <c r="Q227" s="8">
        <v>23972154</v>
      </c>
      <c r="S227" s="8">
        <v>27805251</v>
      </c>
      <c r="U227" s="8">
        <f>17706044+1403+222145+75952</f>
        <v>18005544</v>
      </c>
      <c r="W227" s="8">
        <v>0</v>
      </c>
      <c r="Y227" s="8">
        <f>1659219+1029770+914153-3261013</f>
        <v>342129</v>
      </c>
      <c r="AA227" s="14">
        <f t="shared" si="18"/>
        <v>18347673</v>
      </c>
      <c r="AC227" s="8">
        <f t="shared" si="19"/>
        <v>0</v>
      </c>
    </row>
    <row r="228" spans="1:29">
      <c r="A228" s="13" t="s">
        <v>216</v>
      </c>
      <c r="B228" s="13"/>
      <c r="C228" s="13" t="s">
        <v>11</v>
      </c>
      <c r="D228" s="13"/>
      <c r="E228" s="32">
        <v>45823</v>
      </c>
      <c r="G228" s="8">
        <v>1030397</v>
      </c>
      <c r="I228" s="8">
        <v>0</v>
      </c>
      <c r="K228" s="3">
        <f t="shared" si="16"/>
        <v>4550194</v>
      </c>
      <c r="M228" s="8">
        <v>5580591</v>
      </c>
      <c r="O228" s="3">
        <f t="shared" si="17"/>
        <v>4430006</v>
      </c>
      <c r="Q228" s="8">
        <v>377651</v>
      </c>
      <c r="S228" s="8">
        <v>4807657</v>
      </c>
      <c r="U228" s="8">
        <f>119859+13644+800896+90895</f>
        <v>1025294</v>
      </c>
      <c r="W228" s="8">
        <v>0</v>
      </c>
      <c r="Y228" s="8">
        <v>-252360</v>
      </c>
      <c r="AA228" s="14">
        <f t="shared" si="18"/>
        <v>772934</v>
      </c>
      <c r="AC228" s="8">
        <f t="shared" si="19"/>
        <v>0</v>
      </c>
    </row>
    <row r="229" spans="1:29">
      <c r="A229" s="13" t="s">
        <v>435</v>
      </c>
      <c r="B229" s="13"/>
      <c r="C229" s="13" t="s">
        <v>34</v>
      </c>
      <c r="D229" s="13"/>
      <c r="E229" s="32">
        <v>47571</v>
      </c>
      <c r="G229" s="8">
        <v>2963723</v>
      </c>
      <c r="I229" s="8">
        <v>35532</v>
      </c>
      <c r="K229" s="3">
        <f t="shared" si="16"/>
        <v>1441006</v>
      </c>
      <c r="M229" s="8">
        <v>4440261</v>
      </c>
      <c r="O229" s="3">
        <f t="shared" si="17"/>
        <v>490549</v>
      </c>
      <c r="Q229" s="8">
        <v>1113250</v>
      </c>
      <c r="S229" s="8">
        <v>1603799</v>
      </c>
      <c r="U229" s="8">
        <f>85084+31942+3590+29832</f>
        <v>150448</v>
      </c>
      <c r="W229" s="8">
        <v>0</v>
      </c>
      <c r="Y229" s="8">
        <f>1713182+200567+137757+634508</f>
        <v>2686014</v>
      </c>
      <c r="AA229" s="14">
        <f t="shared" si="18"/>
        <v>2836462</v>
      </c>
      <c r="AC229" s="8">
        <f t="shared" si="19"/>
        <v>0</v>
      </c>
    </row>
    <row r="230" spans="1:29">
      <c r="A230" s="13" t="s">
        <v>685</v>
      </c>
      <c r="B230" s="13"/>
      <c r="C230" s="13" t="s">
        <v>64</v>
      </c>
      <c r="D230" s="13"/>
      <c r="E230" s="32">
        <v>50161</v>
      </c>
      <c r="G230" s="8">
        <v>2181334</v>
      </c>
      <c r="I230" s="8">
        <v>0</v>
      </c>
      <c r="K230" s="3">
        <f t="shared" si="16"/>
        <v>22517678</v>
      </c>
      <c r="M230" s="8">
        <v>24699012</v>
      </c>
      <c r="O230" s="3">
        <f t="shared" si="17"/>
        <v>22104125</v>
      </c>
      <c r="Q230" s="8">
        <v>3232326</v>
      </c>
      <c r="S230" s="8">
        <v>25336451</v>
      </c>
      <c r="U230" s="8">
        <f>70607+115138+45491+74740+31</f>
        <v>306007</v>
      </c>
      <c r="W230" s="8">
        <v>0</v>
      </c>
      <c r="Y230" s="8">
        <f>-1656146+425187+287513</f>
        <v>-943446</v>
      </c>
      <c r="AA230" s="14">
        <f t="shared" si="18"/>
        <v>-637439</v>
      </c>
      <c r="AC230" s="8">
        <f t="shared" si="19"/>
        <v>0</v>
      </c>
    </row>
    <row r="231" spans="1:29">
      <c r="A231" s="13" t="s">
        <v>686</v>
      </c>
      <c r="B231" s="13"/>
      <c r="C231" s="13" t="s">
        <v>64</v>
      </c>
      <c r="D231" s="13"/>
      <c r="E231" s="32">
        <v>45427</v>
      </c>
      <c r="G231" s="8">
        <v>32991280</v>
      </c>
      <c r="I231" s="8">
        <v>402787</v>
      </c>
      <c r="K231" s="3">
        <f t="shared" si="16"/>
        <v>40898557</v>
      </c>
      <c r="M231" s="8">
        <v>74292624</v>
      </c>
      <c r="O231" s="3">
        <f t="shared" si="17"/>
        <v>2660123</v>
      </c>
      <c r="Q231" s="8">
        <v>40616874</v>
      </c>
      <c r="S231" s="8">
        <v>43276997</v>
      </c>
      <c r="U231" s="8">
        <f>62829+45955+12565+323327+66895</f>
        <v>511571</v>
      </c>
      <c r="W231" s="8">
        <v>0</v>
      </c>
      <c r="Y231" s="8">
        <f>4791741+478543+451011+24782761</f>
        <v>30504056</v>
      </c>
      <c r="AA231" s="14">
        <f t="shared" si="18"/>
        <v>31015627</v>
      </c>
      <c r="AC231" s="8">
        <f t="shared" si="19"/>
        <v>0</v>
      </c>
    </row>
    <row r="232" spans="1:29">
      <c r="A232" s="13" t="s">
        <v>555</v>
      </c>
      <c r="B232" s="13"/>
      <c r="C232" s="13" t="s">
        <v>50</v>
      </c>
      <c r="D232" s="13"/>
      <c r="E232" s="32">
        <v>48751</v>
      </c>
      <c r="G232" s="8">
        <v>21158511</v>
      </c>
      <c r="I232" s="8">
        <f>1075924+38654</f>
        <v>1114578</v>
      </c>
      <c r="K232" s="3">
        <f t="shared" si="16"/>
        <v>36214426</v>
      </c>
      <c r="M232" s="8">
        <v>58487515</v>
      </c>
      <c r="O232" s="3">
        <f t="shared" si="17"/>
        <v>34580327</v>
      </c>
      <c r="Q232" s="8">
        <v>128195</v>
      </c>
      <c r="S232" s="8">
        <v>34708522</v>
      </c>
      <c r="U232" s="8">
        <f>804429+540789+1778064+1075924+21334+17320</f>
        <v>4237860</v>
      </c>
      <c r="W232" s="8">
        <v>0</v>
      </c>
      <c r="Y232" s="8">
        <f>19504967-660572+626956+69782</f>
        <v>19541133</v>
      </c>
      <c r="AA232" s="14">
        <f t="shared" si="18"/>
        <v>23778993</v>
      </c>
      <c r="AC232" s="8">
        <f t="shared" si="19"/>
        <v>0</v>
      </c>
    </row>
    <row r="233" spans="1:29">
      <c r="A233" s="13" t="s">
        <v>671</v>
      </c>
      <c r="B233" s="13"/>
      <c r="C233" s="13" t="s">
        <v>63</v>
      </c>
      <c r="D233" s="13"/>
      <c r="E233" s="32">
        <v>50021</v>
      </c>
      <c r="G233" s="8">
        <v>22219232</v>
      </c>
      <c r="I233" s="8">
        <v>94635</v>
      </c>
      <c r="K233" s="3">
        <f t="shared" si="16"/>
        <v>44795106</v>
      </c>
      <c r="M233" s="8">
        <v>67108973</v>
      </c>
      <c r="O233" s="3">
        <f t="shared" si="17"/>
        <v>49548013</v>
      </c>
      <c r="Q233" s="8">
        <v>1353751</v>
      </c>
      <c r="S233" s="8">
        <v>50901764</v>
      </c>
      <c r="U233" s="8">
        <f>1922710+64305+685535+2168666+94635</f>
        <v>4935851</v>
      </c>
      <c r="W233" s="8">
        <v>0</v>
      </c>
      <c r="Y233" s="8">
        <f>8759910+780241+1731207</f>
        <v>11271358</v>
      </c>
      <c r="AA233" s="14">
        <f t="shared" si="18"/>
        <v>16207209</v>
      </c>
      <c r="AC233" s="8">
        <f t="shared" si="19"/>
        <v>0</v>
      </c>
    </row>
    <row r="234" spans="1:29">
      <c r="A234" s="13" t="s">
        <v>623</v>
      </c>
      <c r="B234" s="13"/>
      <c r="C234" s="13" t="s">
        <v>58</v>
      </c>
      <c r="D234" s="13"/>
      <c r="E234" s="32">
        <v>49502</v>
      </c>
      <c r="G234" s="8">
        <v>5780945</v>
      </c>
      <c r="I234" s="8">
        <v>314609</v>
      </c>
      <c r="K234" s="3">
        <f t="shared" si="16"/>
        <v>1632354</v>
      </c>
      <c r="M234" s="8">
        <v>7727908</v>
      </c>
      <c r="O234" s="3">
        <f t="shared" si="17"/>
        <v>1436524</v>
      </c>
      <c r="Q234" s="8">
        <v>1241819</v>
      </c>
      <c r="S234" s="8">
        <v>2678343</v>
      </c>
      <c r="U234" s="8">
        <f>307718+17631+105358+271488+10034+33087</f>
        <v>745316</v>
      </c>
      <c r="W234" s="8">
        <v>0</v>
      </c>
      <c r="Y234" s="8">
        <f>3829584+335008+139625+32</f>
        <v>4304249</v>
      </c>
      <c r="AA234" s="14">
        <f t="shared" si="18"/>
        <v>5049565</v>
      </c>
      <c r="AC234" s="8">
        <f t="shared" si="19"/>
        <v>0</v>
      </c>
    </row>
    <row r="235" spans="1:29">
      <c r="A235" s="13" t="s">
        <v>341</v>
      </c>
      <c r="B235" s="13"/>
      <c r="C235" s="13" t="s">
        <v>24</v>
      </c>
      <c r="D235" s="13"/>
      <c r="E235" s="32">
        <v>44131</v>
      </c>
      <c r="G235" s="8">
        <v>6465883</v>
      </c>
      <c r="I235" s="8">
        <v>0</v>
      </c>
      <c r="K235" s="3">
        <f t="shared" si="16"/>
        <v>11499174</v>
      </c>
      <c r="M235" s="8">
        <v>17965057</v>
      </c>
      <c r="O235" s="3">
        <f t="shared" si="17"/>
        <v>11819848</v>
      </c>
      <c r="Q235" s="8">
        <v>594154</v>
      </c>
      <c r="S235" s="8">
        <v>12414002</v>
      </c>
      <c r="U235" s="8">
        <f>356796+5331+38502+1042934+249153+15108</f>
        <v>1707824</v>
      </c>
      <c r="W235" s="8">
        <v>0</v>
      </c>
      <c r="Y235" s="8">
        <f>3282994+126378+433859</f>
        <v>3843231</v>
      </c>
      <c r="AA235" s="14">
        <f t="shared" si="18"/>
        <v>5551055</v>
      </c>
      <c r="AC235" s="8">
        <f t="shared" si="19"/>
        <v>0</v>
      </c>
    </row>
    <row r="236" spans="1:29">
      <c r="A236" s="13" t="s">
        <v>313</v>
      </c>
      <c r="B236" s="13"/>
      <c r="C236" s="13" t="s">
        <v>20</v>
      </c>
      <c r="D236" s="13"/>
      <c r="E236" s="32">
        <v>46565</v>
      </c>
      <c r="G236" s="8">
        <v>1818162</v>
      </c>
      <c r="I236" s="8">
        <v>0</v>
      </c>
      <c r="K236" s="3">
        <f t="shared" si="16"/>
        <v>18010158</v>
      </c>
      <c r="M236" s="8">
        <v>19828320</v>
      </c>
      <c r="O236" s="3">
        <f t="shared" si="17"/>
        <v>3052370</v>
      </c>
      <c r="Q236" s="8">
        <v>14913860</v>
      </c>
      <c r="S236" s="8">
        <v>17966230</v>
      </c>
      <c r="U236" s="8">
        <f>84207+497000+1831603</f>
        <v>2412810</v>
      </c>
      <c r="W236" s="8">
        <v>0</v>
      </c>
      <c r="Y236" s="8">
        <f>-258988+24942+671398-988072</f>
        <v>-550720</v>
      </c>
      <c r="AA236" s="14">
        <f t="shared" si="18"/>
        <v>1862090</v>
      </c>
      <c r="AC236" s="8">
        <f t="shared" si="19"/>
        <v>0</v>
      </c>
    </row>
    <row r="237" spans="1:29">
      <c r="A237" s="13" t="s">
        <v>456</v>
      </c>
      <c r="B237" s="13"/>
      <c r="C237" s="13" t="s">
        <v>39</v>
      </c>
      <c r="D237" s="13"/>
      <c r="E237" s="32">
        <v>47803</v>
      </c>
      <c r="G237" s="8">
        <v>1988292</v>
      </c>
      <c r="I237" s="8">
        <v>69324</v>
      </c>
      <c r="K237" s="3">
        <f t="shared" si="16"/>
        <v>8473236</v>
      </c>
      <c r="M237" s="8">
        <v>10530852</v>
      </c>
      <c r="O237" s="3">
        <f t="shared" si="17"/>
        <v>9063169</v>
      </c>
      <c r="Q237" s="8">
        <v>890351</v>
      </c>
      <c r="S237" s="8">
        <v>9953520</v>
      </c>
      <c r="U237" s="8">
        <f>537013+90173+733351+46301+69324</f>
        <v>1476162</v>
      </c>
      <c r="W237" s="8">
        <v>0</v>
      </c>
      <c r="Y237" s="8">
        <f>-1102105+203275</f>
        <v>-898830</v>
      </c>
      <c r="AA237" s="14">
        <f t="shared" si="18"/>
        <v>577332</v>
      </c>
      <c r="AC237" s="8">
        <f t="shared" si="19"/>
        <v>0</v>
      </c>
    </row>
    <row r="238" spans="1:29">
      <c r="A238" s="13" t="s">
        <v>400</v>
      </c>
      <c r="B238" s="13"/>
      <c r="C238" s="13" t="s">
        <v>32</v>
      </c>
      <c r="D238" s="13"/>
      <c r="E238" s="32">
        <v>45435</v>
      </c>
      <c r="G238" s="8">
        <f>21455828+129457</f>
        <v>21585285</v>
      </c>
      <c r="I238" s="8">
        <v>30625</v>
      </c>
      <c r="K238" s="3">
        <f t="shared" si="16"/>
        <v>27979142</v>
      </c>
      <c r="M238" s="8">
        <v>49595052</v>
      </c>
      <c r="O238" s="3">
        <f t="shared" si="17"/>
        <v>19971337</v>
      </c>
      <c r="Q238" s="8">
        <v>720518</v>
      </c>
      <c r="S238" s="8">
        <v>20691855</v>
      </c>
      <c r="U238" s="8">
        <f>124163+21740+10404000+1181+693215+30625</f>
        <v>11274924</v>
      </c>
      <c r="W238" s="8">
        <v>0</v>
      </c>
      <c r="Y238" s="8">
        <f>17043407+494645+90221</f>
        <v>17628273</v>
      </c>
      <c r="AA238" s="14">
        <f t="shared" si="18"/>
        <v>28903197</v>
      </c>
      <c r="AC238" s="8">
        <f t="shared" si="19"/>
        <v>0</v>
      </c>
    </row>
    <row r="239" spans="1:29">
      <c r="A239" s="13" t="s">
        <v>702</v>
      </c>
      <c r="B239" s="13"/>
      <c r="C239" s="13" t="s">
        <v>65</v>
      </c>
      <c r="D239" s="13"/>
      <c r="E239" s="32">
        <v>50286</v>
      </c>
      <c r="G239" s="8">
        <v>5576224</v>
      </c>
      <c r="I239" s="8">
        <v>0</v>
      </c>
      <c r="K239" s="3">
        <f t="shared" si="16"/>
        <v>5586638</v>
      </c>
      <c r="M239" s="8">
        <v>11162862</v>
      </c>
      <c r="O239" s="3">
        <f t="shared" si="17"/>
        <v>3518051</v>
      </c>
      <c r="Q239" s="8">
        <v>5080546</v>
      </c>
      <c r="S239" s="8">
        <v>8598597</v>
      </c>
      <c r="U239" s="8">
        <f>224722+40089+314702</f>
        <v>579513</v>
      </c>
      <c r="W239" s="8">
        <v>0</v>
      </c>
      <c r="Y239" s="8">
        <f>7768+244044+1014278+718662</f>
        <v>1984752</v>
      </c>
      <c r="AA239" s="14">
        <f t="shared" si="18"/>
        <v>2564265</v>
      </c>
      <c r="AC239" s="8">
        <f t="shared" si="19"/>
        <v>0</v>
      </c>
    </row>
    <row r="240" spans="1:29">
      <c r="A240" s="13" t="s">
        <v>474</v>
      </c>
      <c r="B240" s="13"/>
      <c r="C240" s="13" t="s">
        <v>471</v>
      </c>
      <c r="D240" s="13"/>
      <c r="E240" s="32">
        <v>44149</v>
      </c>
      <c r="G240" s="8">
        <f>14011080+18712671</f>
        <v>32723751</v>
      </c>
      <c r="I240" s="8">
        <f>954605+79963+282601</f>
        <v>1317169</v>
      </c>
      <c r="K240" s="3">
        <f t="shared" si="16"/>
        <v>11443292</v>
      </c>
      <c r="M240" s="8">
        <v>45484212</v>
      </c>
      <c r="O240" s="3">
        <f t="shared" si="17"/>
        <v>6924976</v>
      </c>
      <c r="Q240" s="8">
        <v>10974161</v>
      </c>
      <c r="S240" s="8">
        <v>17899137</v>
      </c>
      <c r="U240" s="8">
        <f>481088+447942+855055+18392+4409</f>
        <v>1806886</v>
      </c>
      <c r="W240" s="8">
        <v>0</v>
      </c>
      <c r="Y240" s="8">
        <f>758173+231472+333760+24454784</f>
        <v>25778189</v>
      </c>
      <c r="AA240" s="14">
        <f t="shared" si="18"/>
        <v>27585075</v>
      </c>
      <c r="AC240" s="8">
        <f t="shared" si="19"/>
        <v>0</v>
      </c>
    </row>
    <row r="241" spans="1:29" hidden="1">
      <c r="A241" s="12" t="s">
        <v>942</v>
      </c>
      <c r="B241" s="13"/>
      <c r="C241" s="13" t="s">
        <v>61</v>
      </c>
      <c r="D241" s="13"/>
      <c r="E241" s="32">
        <v>49809</v>
      </c>
      <c r="G241" s="8">
        <v>0</v>
      </c>
      <c r="I241" s="8">
        <v>0</v>
      </c>
      <c r="K241" s="3">
        <f t="shared" si="16"/>
        <v>0</v>
      </c>
      <c r="M241" s="8">
        <v>0</v>
      </c>
      <c r="O241" s="3">
        <f t="shared" si="17"/>
        <v>0</v>
      </c>
      <c r="Q241" s="8">
        <v>0</v>
      </c>
      <c r="S241" s="8">
        <v>0</v>
      </c>
      <c r="U241" s="8">
        <v>0</v>
      </c>
      <c r="W241" s="8">
        <v>0</v>
      </c>
      <c r="Y241" s="8">
        <v>0</v>
      </c>
      <c r="AA241" s="14">
        <f t="shared" si="18"/>
        <v>0</v>
      </c>
      <c r="AC241" s="8">
        <f t="shared" si="19"/>
        <v>0</v>
      </c>
    </row>
    <row r="242" spans="1:29" hidden="1">
      <c r="A242" s="12" t="s">
        <v>943</v>
      </c>
      <c r="B242" s="13"/>
      <c r="C242" s="13" t="s">
        <v>38</v>
      </c>
      <c r="D242" s="13"/>
      <c r="E242" s="32"/>
      <c r="G242" s="8">
        <v>0</v>
      </c>
      <c r="I242" s="8">
        <v>0</v>
      </c>
      <c r="K242" s="3">
        <f t="shared" si="16"/>
        <v>0</v>
      </c>
      <c r="M242" s="8">
        <v>0</v>
      </c>
      <c r="O242" s="3">
        <f t="shared" si="17"/>
        <v>0</v>
      </c>
      <c r="Q242" s="8">
        <v>0</v>
      </c>
      <c r="S242" s="8">
        <v>0</v>
      </c>
      <c r="U242" s="8">
        <v>0</v>
      </c>
      <c r="W242" s="8">
        <v>0</v>
      </c>
      <c r="Y242" s="8">
        <v>0</v>
      </c>
      <c r="AA242" s="14">
        <f t="shared" si="18"/>
        <v>0</v>
      </c>
      <c r="AC242" s="8">
        <f t="shared" si="19"/>
        <v>0</v>
      </c>
    </row>
    <row r="243" spans="1:29">
      <c r="A243" s="13" t="s">
        <v>657</v>
      </c>
      <c r="B243" s="13"/>
      <c r="C243" s="13" t="s">
        <v>62</v>
      </c>
      <c r="D243" s="13"/>
      <c r="E243" s="32">
        <v>49858</v>
      </c>
      <c r="G243" s="8">
        <f>15845906+23646</f>
        <v>15869552</v>
      </c>
      <c r="I243" s="8">
        <v>0</v>
      </c>
      <c r="K243" s="3">
        <f t="shared" si="16"/>
        <v>41048029</v>
      </c>
      <c r="M243" s="8">
        <v>56917581</v>
      </c>
      <c r="O243" s="3">
        <f t="shared" si="17"/>
        <v>45847685</v>
      </c>
      <c r="Q243" s="8">
        <v>1431869</v>
      </c>
      <c r="S243" s="8">
        <v>47279554</v>
      </c>
      <c r="U243" s="8">
        <f>1183448+130632+35709+1830592+5174450</f>
        <v>8354831</v>
      </c>
      <c r="W243" s="8">
        <v>0</v>
      </c>
      <c r="Y243" s="8">
        <f>-36754+623258+696692</f>
        <v>1283196</v>
      </c>
      <c r="AA243" s="14">
        <f t="shared" si="18"/>
        <v>9638027</v>
      </c>
      <c r="AC243" s="8">
        <f t="shared" si="19"/>
        <v>0</v>
      </c>
    </row>
    <row r="244" spans="1:29">
      <c r="A244" s="13" t="s">
        <v>518</v>
      </c>
      <c r="B244" s="13"/>
      <c r="C244" s="13" t="s">
        <v>45</v>
      </c>
      <c r="D244" s="13"/>
      <c r="E244" s="32">
        <v>48322</v>
      </c>
      <c r="G244" s="8">
        <f>3898705+13212784</f>
        <v>17111489</v>
      </c>
      <c r="I244" s="8">
        <v>21203</v>
      </c>
      <c r="K244" s="3">
        <f t="shared" si="16"/>
        <v>5367777</v>
      </c>
      <c r="M244" s="8">
        <v>22500469</v>
      </c>
      <c r="O244" s="3">
        <f t="shared" si="17"/>
        <v>6849047</v>
      </c>
      <c r="Q244" s="8">
        <v>428170</v>
      </c>
      <c r="S244" s="8">
        <v>7277217</v>
      </c>
      <c r="U244" s="8">
        <f>11417153+4675+22427+21203</f>
        <v>11465458</v>
      </c>
      <c r="W244" s="8">
        <v>0</v>
      </c>
      <c r="Y244" s="8">
        <f>1432384+144580+2180830</f>
        <v>3757794</v>
      </c>
      <c r="AA244" s="14">
        <f t="shared" si="18"/>
        <v>15223252</v>
      </c>
      <c r="AC244" s="8">
        <f t="shared" si="19"/>
        <v>0</v>
      </c>
    </row>
    <row r="245" spans="1:29">
      <c r="A245" s="13" t="s">
        <v>598</v>
      </c>
      <c r="B245" s="13"/>
      <c r="C245" s="13" t="s">
        <v>56</v>
      </c>
      <c r="D245" s="13"/>
      <c r="E245" s="13">
        <v>49205</v>
      </c>
      <c r="G245" s="8">
        <v>2444535</v>
      </c>
      <c r="I245" s="8">
        <v>72927</v>
      </c>
      <c r="K245" s="3">
        <f t="shared" si="16"/>
        <v>4940716</v>
      </c>
      <c r="M245" s="8">
        <v>7458178</v>
      </c>
      <c r="O245" s="3">
        <f t="shared" si="17"/>
        <v>6051546</v>
      </c>
      <c r="Q245" s="8">
        <v>270811</v>
      </c>
      <c r="S245" s="8">
        <v>6322357</v>
      </c>
      <c r="U245" s="8">
        <f>241639+30280+59302+183632+50662+22265</f>
        <v>587780</v>
      </c>
      <c r="W245" s="8">
        <v>0</v>
      </c>
      <c r="Y245" s="8">
        <f>338756+237532-28247</f>
        <v>548041</v>
      </c>
      <c r="AA245" s="14">
        <f t="shared" si="18"/>
        <v>1135821</v>
      </c>
      <c r="AC245" s="8">
        <f t="shared" si="19"/>
        <v>0</v>
      </c>
    </row>
    <row r="246" spans="1:29">
      <c r="A246" s="13" t="s">
        <v>223</v>
      </c>
      <c r="B246" s="13"/>
      <c r="C246" s="13" t="s">
        <v>12</v>
      </c>
      <c r="D246" s="13"/>
      <c r="E246" s="32">
        <v>45872</v>
      </c>
      <c r="G246" s="8">
        <v>27767330</v>
      </c>
      <c r="I246" s="8">
        <v>420596</v>
      </c>
      <c r="K246" s="3">
        <f t="shared" si="16"/>
        <v>21199550</v>
      </c>
      <c r="M246" s="8">
        <v>49387476</v>
      </c>
      <c r="O246" s="3">
        <f t="shared" si="17"/>
        <v>1161096</v>
      </c>
      <c r="Q246" s="8">
        <v>18134580</v>
      </c>
      <c r="S246" s="8">
        <v>19295676</v>
      </c>
      <c r="U246" s="8">
        <f>716561+418674+1922+1044+2900516</f>
        <v>4038717</v>
      </c>
      <c r="W246" s="8">
        <v>0</v>
      </c>
      <c r="Y246" s="8">
        <f>729908+198766+743107+24381135+159+8</f>
        <v>26053083</v>
      </c>
      <c r="AA246" s="14">
        <f t="shared" si="18"/>
        <v>30091800</v>
      </c>
      <c r="AC246" s="8">
        <f t="shared" si="19"/>
        <v>0</v>
      </c>
    </row>
    <row r="247" spans="1:29">
      <c r="A247" s="13" t="s">
        <v>510</v>
      </c>
      <c r="B247" s="13"/>
      <c r="C247" s="13" t="s">
        <v>511</v>
      </c>
      <c r="D247" s="13"/>
      <c r="E247" s="32">
        <v>48256</v>
      </c>
      <c r="G247" s="8">
        <f>8356803+12632</f>
        <v>8369435</v>
      </c>
      <c r="I247" s="8">
        <v>5752</v>
      </c>
      <c r="K247" s="3">
        <f t="shared" si="16"/>
        <v>6535955</v>
      </c>
      <c r="M247" s="8">
        <v>14911142</v>
      </c>
      <c r="O247" s="3">
        <f t="shared" si="17"/>
        <v>4778456</v>
      </c>
      <c r="Q247" s="8">
        <v>238152</v>
      </c>
      <c r="S247" s="8">
        <v>5016608</v>
      </c>
      <c r="U247" s="8">
        <f>309204+10846+44686+2247129+540849+5752</f>
        <v>3158466</v>
      </c>
      <c r="W247" s="8">
        <v>0</v>
      </c>
      <c r="Y247" s="8">
        <f>6023295+344690+368083</f>
        <v>6736068</v>
      </c>
      <c r="AA247" s="14">
        <f t="shared" si="18"/>
        <v>9894534</v>
      </c>
      <c r="AC247" s="8">
        <f t="shared" si="19"/>
        <v>0</v>
      </c>
    </row>
    <row r="248" spans="1:29">
      <c r="A248" s="13" t="s">
        <v>556</v>
      </c>
      <c r="B248" s="13"/>
      <c r="C248" s="13" t="s">
        <v>50</v>
      </c>
      <c r="D248" s="13"/>
      <c r="E248" s="32">
        <v>48686</v>
      </c>
      <c r="G248" s="8">
        <v>247613</v>
      </c>
      <c r="I248" s="8">
        <v>0</v>
      </c>
      <c r="K248" s="3">
        <f t="shared" si="16"/>
        <v>3325486</v>
      </c>
      <c r="M248" s="8">
        <v>3573099</v>
      </c>
      <c r="O248" s="3">
        <f t="shared" si="17"/>
        <v>1150904</v>
      </c>
      <c r="Q248" s="8">
        <v>2700620</v>
      </c>
      <c r="S248" s="8">
        <v>3851524</v>
      </c>
      <c r="U248" s="8">
        <f>20944+5359+35952+213673</f>
        <v>275928</v>
      </c>
      <c r="W248" s="8">
        <f>-846001+224972+66676</f>
        <v>-554353</v>
      </c>
      <c r="Y248" s="8">
        <v>0</v>
      </c>
      <c r="AA248" s="14">
        <f t="shared" si="18"/>
        <v>-278425</v>
      </c>
      <c r="AC248" s="8">
        <f t="shared" si="19"/>
        <v>0</v>
      </c>
    </row>
    <row r="249" spans="1:29">
      <c r="A249" s="13" t="s">
        <v>480</v>
      </c>
      <c r="B249" s="13"/>
      <c r="C249" s="13" t="s">
        <v>42</v>
      </c>
      <c r="D249" s="13"/>
      <c r="E249" s="32">
        <v>47985</v>
      </c>
      <c r="G249" s="8">
        <v>3981131</v>
      </c>
      <c r="I249" s="8">
        <v>103978</v>
      </c>
      <c r="K249" s="3">
        <f t="shared" si="16"/>
        <v>5474699</v>
      </c>
      <c r="M249" s="8">
        <v>9559808</v>
      </c>
      <c r="O249" s="3">
        <f t="shared" si="17"/>
        <v>5489663</v>
      </c>
      <c r="Q249" s="8">
        <v>170496</v>
      </c>
      <c r="S249" s="8">
        <v>5660159</v>
      </c>
      <c r="U249" s="8">
        <f>408680+27876+9979+216220+3162+95354+8624</f>
        <v>769895</v>
      </c>
      <c r="W249" s="8">
        <v>634081</v>
      </c>
      <c r="Y249" s="8">
        <f>2532582-36909</f>
        <v>2495673</v>
      </c>
      <c r="AA249" s="14">
        <f t="shared" si="18"/>
        <v>3899649</v>
      </c>
      <c r="AC249" s="8">
        <f t="shared" si="19"/>
        <v>0</v>
      </c>
    </row>
    <row r="250" spans="1:29">
      <c r="A250" s="13" t="s">
        <v>512</v>
      </c>
      <c r="B250" s="13"/>
      <c r="C250" s="13" t="s">
        <v>511</v>
      </c>
      <c r="D250" s="13"/>
      <c r="E250" s="32">
        <v>48264</v>
      </c>
      <c r="G250" s="8">
        <v>4381057</v>
      </c>
      <c r="I250" s="8">
        <v>44799</v>
      </c>
      <c r="K250" s="3">
        <f t="shared" si="16"/>
        <v>7463447</v>
      </c>
      <c r="M250" s="8">
        <v>11889303</v>
      </c>
      <c r="O250" s="3">
        <f t="shared" si="17"/>
        <v>6707764</v>
      </c>
      <c r="Q250" s="8">
        <v>204465</v>
      </c>
      <c r="S250" s="8">
        <v>6912229</v>
      </c>
      <c r="U250" s="8">
        <f>105078+6392+1619162+44799+1379349</f>
        <v>3154780</v>
      </c>
      <c r="W250" s="8">
        <v>0</v>
      </c>
      <c r="Y250" s="8">
        <f>1144832+204161+473301</f>
        <v>1822294</v>
      </c>
      <c r="AA250" s="14">
        <f t="shared" si="18"/>
        <v>4977074</v>
      </c>
      <c r="AC250" s="8">
        <f t="shared" si="19"/>
        <v>0</v>
      </c>
    </row>
    <row r="251" spans="1:29">
      <c r="A251" s="13" t="s">
        <v>687</v>
      </c>
      <c r="B251" s="13"/>
      <c r="C251" s="13" t="s">
        <v>64</v>
      </c>
      <c r="D251" s="13"/>
      <c r="E251" s="32">
        <v>50179</v>
      </c>
      <c r="G251" s="8">
        <v>3500689</v>
      </c>
      <c r="I251" s="8">
        <v>34625</v>
      </c>
      <c r="K251" s="3">
        <f t="shared" si="16"/>
        <v>3882908</v>
      </c>
      <c r="M251" s="8">
        <v>7418222</v>
      </c>
      <c r="O251" s="3">
        <f t="shared" si="17"/>
        <v>837105</v>
      </c>
      <c r="Q251" s="8">
        <v>3835484</v>
      </c>
      <c r="S251" s="8">
        <v>4672589</v>
      </c>
      <c r="U251" s="8">
        <f>487008+35041+33356+1269</f>
        <v>556674</v>
      </c>
      <c r="W251" s="8">
        <v>0</v>
      </c>
      <c r="Y251" s="8">
        <f>1064533+20780+141856+961790</f>
        <v>2188959</v>
      </c>
      <c r="AA251" s="14">
        <f t="shared" si="18"/>
        <v>2745633</v>
      </c>
      <c r="AC251" s="8">
        <f t="shared" si="19"/>
        <v>0</v>
      </c>
    </row>
    <row r="252" spans="1:29">
      <c r="A252" s="13" t="s">
        <v>342</v>
      </c>
      <c r="B252" s="13"/>
      <c r="C252" s="13" t="s">
        <v>24</v>
      </c>
      <c r="D252" s="13"/>
      <c r="E252" s="32">
        <v>46797</v>
      </c>
      <c r="G252" s="8">
        <v>449941</v>
      </c>
      <c r="I252" s="8">
        <v>0</v>
      </c>
      <c r="K252" s="3">
        <f t="shared" si="16"/>
        <v>1018451</v>
      </c>
      <c r="M252" s="8">
        <v>1468392</v>
      </c>
      <c r="O252" s="3">
        <f t="shared" si="17"/>
        <v>119013</v>
      </c>
      <c r="Q252" s="8">
        <v>908037</v>
      </c>
      <c r="S252" s="8">
        <v>1027050</v>
      </c>
      <c r="U252" s="8">
        <f>31960+8015+83720</f>
        <v>123695</v>
      </c>
      <c r="W252" s="8">
        <f>307360+1254+4133+4900</f>
        <v>317647</v>
      </c>
      <c r="Y252" s="8">
        <v>0</v>
      </c>
      <c r="AA252" s="14">
        <f t="shared" si="18"/>
        <v>441342</v>
      </c>
      <c r="AC252" s="8">
        <f t="shared" si="19"/>
        <v>0</v>
      </c>
    </row>
    <row r="253" spans="1:29">
      <c r="A253" s="13" t="s">
        <v>384</v>
      </c>
      <c r="B253" s="13"/>
      <c r="C253" s="13" t="s">
        <v>30</v>
      </c>
      <c r="D253" s="13"/>
      <c r="E253" s="32">
        <v>47191</v>
      </c>
      <c r="G253" s="8">
        <v>13398567</v>
      </c>
      <c r="I253" s="8">
        <v>0</v>
      </c>
      <c r="K253" s="3">
        <f t="shared" si="16"/>
        <v>27290469</v>
      </c>
      <c r="M253" s="8">
        <v>40689036</v>
      </c>
      <c r="O253" s="3">
        <f t="shared" si="17"/>
        <v>4201494</v>
      </c>
      <c r="Q253" s="8">
        <v>22829172</v>
      </c>
      <c r="S253" s="8">
        <v>27030666</v>
      </c>
      <c r="U253" s="8">
        <v>5930854</v>
      </c>
      <c r="W253" s="8">
        <v>0</v>
      </c>
      <c r="Y253" s="8">
        <v>7727516</v>
      </c>
      <c r="AA253" s="14">
        <f t="shared" si="18"/>
        <v>13658370</v>
      </c>
      <c r="AC253" s="8">
        <f t="shared" si="19"/>
        <v>0</v>
      </c>
    </row>
    <row r="254" spans="1:29">
      <c r="A254" s="13" t="s">
        <v>599</v>
      </c>
      <c r="B254" s="13"/>
      <c r="C254" s="13" t="s">
        <v>56</v>
      </c>
      <c r="D254" s="13"/>
      <c r="E254" s="13">
        <v>44164</v>
      </c>
      <c r="G254" s="8">
        <v>15903008</v>
      </c>
      <c r="I254" s="8">
        <v>0</v>
      </c>
      <c r="K254" s="3">
        <f t="shared" si="16"/>
        <v>24203033</v>
      </c>
      <c r="M254" s="8">
        <v>40106041</v>
      </c>
      <c r="O254" s="3">
        <f t="shared" si="17"/>
        <v>5085533</v>
      </c>
      <c r="Q254" s="8">
        <v>22942547</v>
      </c>
      <c r="S254" s="8">
        <v>28028080</v>
      </c>
      <c r="U254" s="8">
        <f>541349+1063827</f>
        <v>1605176</v>
      </c>
      <c r="W254" s="8">
        <f>8909774+401543+758535+402933</f>
        <v>10472785</v>
      </c>
      <c r="Y254" s="8">
        <v>0</v>
      </c>
      <c r="AA254" s="14">
        <f t="shared" si="18"/>
        <v>12077961</v>
      </c>
      <c r="AC254" s="8">
        <f t="shared" si="19"/>
        <v>0</v>
      </c>
    </row>
    <row r="255" spans="1:29">
      <c r="A255" s="13" t="s">
        <v>428</v>
      </c>
      <c r="B255" s="13"/>
      <c r="C255" s="13" t="s">
        <v>426</v>
      </c>
      <c r="D255" s="13"/>
      <c r="E255" s="32">
        <v>44172</v>
      </c>
      <c r="G255" s="8">
        <v>4346750</v>
      </c>
      <c r="I255" s="8">
        <v>0</v>
      </c>
      <c r="K255" s="3">
        <f t="shared" si="16"/>
        <v>4960408</v>
      </c>
      <c r="M255" s="8">
        <v>9307158</v>
      </c>
      <c r="O255" s="3">
        <f t="shared" si="17"/>
        <v>2323935</v>
      </c>
      <c r="Q255" s="8">
        <v>3718830</v>
      </c>
      <c r="S255" s="8">
        <v>6042765</v>
      </c>
      <c r="U255" s="8">
        <f>416112+68364+19388+159000</f>
        <v>662864</v>
      </c>
      <c r="W255" s="8">
        <v>0</v>
      </c>
      <c r="Y255" s="8">
        <f>2587362+14167</f>
        <v>2601529</v>
      </c>
      <c r="AA255" s="14">
        <f t="shared" si="18"/>
        <v>3264393</v>
      </c>
      <c r="AC255" s="8">
        <f t="shared" si="19"/>
        <v>0</v>
      </c>
    </row>
    <row r="256" spans="1:29">
      <c r="A256" s="13" t="s">
        <v>557</v>
      </c>
      <c r="B256" s="13"/>
      <c r="C256" s="13" t="s">
        <v>50</v>
      </c>
      <c r="D256" s="13"/>
      <c r="E256" s="32">
        <v>44180</v>
      </c>
      <c r="G256" s="8">
        <v>21390018</v>
      </c>
      <c r="I256" s="8">
        <v>0</v>
      </c>
      <c r="K256" s="3">
        <f t="shared" si="16"/>
        <v>56488308</v>
      </c>
      <c r="M256" s="8">
        <v>77878326</v>
      </c>
      <c r="O256" s="3">
        <f t="shared" si="17"/>
        <v>11810798</v>
      </c>
      <c r="Q256" s="8">
        <v>52249933</v>
      </c>
      <c r="S256" s="8">
        <v>64060731</v>
      </c>
      <c r="U256" s="8">
        <v>5228851</v>
      </c>
      <c r="W256" s="8">
        <v>0</v>
      </c>
      <c r="Y256" s="8">
        <v>8588744</v>
      </c>
      <c r="AA256" s="14">
        <f t="shared" si="18"/>
        <v>13817595</v>
      </c>
      <c r="AC256" s="8">
        <f t="shared" si="19"/>
        <v>0</v>
      </c>
    </row>
    <row r="257" spans="1:29">
      <c r="A257" s="13" t="s">
        <v>495</v>
      </c>
      <c r="B257" s="13"/>
      <c r="C257" s="13" t="s">
        <v>44</v>
      </c>
      <c r="D257" s="13"/>
      <c r="E257" s="32">
        <v>48165</v>
      </c>
      <c r="G257" s="8">
        <v>6738162</v>
      </c>
      <c r="I257" s="8">
        <v>0</v>
      </c>
      <c r="K257" s="3">
        <f t="shared" si="16"/>
        <v>6978292</v>
      </c>
      <c r="M257" s="8">
        <v>13716454</v>
      </c>
      <c r="O257" s="3">
        <f t="shared" si="17"/>
        <v>1519666</v>
      </c>
      <c r="Q257" s="8">
        <v>5376496</v>
      </c>
      <c r="S257" s="8">
        <v>6896162</v>
      </c>
      <c r="U257" s="8">
        <v>2912294</v>
      </c>
      <c r="W257" s="8">
        <v>0</v>
      </c>
      <c r="Y257" s="8">
        <v>3907998</v>
      </c>
      <c r="AA257" s="14">
        <f t="shared" si="18"/>
        <v>6820292</v>
      </c>
      <c r="AC257" s="8">
        <f t="shared" si="19"/>
        <v>0</v>
      </c>
    </row>
    <row r="258" spans="1:29">
      <c r="A258" s="13" t="s">
        <v>715</v>
      </c>
      <c r="B258" s="13"/>
      <c r="C258" s="13" t="s">
        <v>69</v>
      </c>
      <c r="D258" s="13"/>
      <c r="E258" s="32">
        <v>50435</v>
      </c>
      <c r="G258" s="8">
        <v>36533915</v>
      </c>
      <c r="I258" s="8">
        <v>0</v>
      </c>
      <c r="K258" s="3">
        <f t="shared" si="16"/>
        <v>33177579</v>
      </c>
      <c r="M258" s="8">
        <v>69711494</v>
      </c>
      <c r="O258" s="3">
        <f t="shared" si="17"/>
        <v>6790488</v>
      </c>
      <c r="Q258" s="8">
        <v>30991561</v>
      </c>
      <c r="S258" s="8">
        <v>37782049</v>
      </c>
      <c r="U258" s="8">
        <v>12767208</v>
      </c>
      <c r="W258" s="8">
        <v>0</v>
      </c>
      <c r="Y258" s="8">
        <v>19162237</v>
      </c>
      <c r="AA258" s="14">
        <f t="shared" si="18"/>
        <v>31929445</v>
      </c>
      <c r="AC258" s="8">
        <f t="shared" si="19"/>
        <v>0</v>
      </c>
    </row>
    <row r="259" spans="1:29" hidden="1">
      <c r="A259" s="13" t="s">
        <v>464</v>
      </c>
      <c r="B259" s="13"/>
      <c r="C259" s="13" t="s">
        <v>41</v>
      </c>
      <c r="D259" s="13"/>
      <c r="E259" s="32">
        <v>47878</v>
      </c>
      <c r="G259" s="8">
        <v>0</v>
      </c>
      <c r="I259" s="8">
        <v>0</v>
      </c>
      <c r="K259" s="3">
        <f t="shared" si="16"/>
        <v>0</v>
      </c>
      <c r="M259" s="8">
        <v>0</v>
      </c>
      <c r="O259" s="3">
        <f t="shared" si="17"/>
        <v>0</v>
      </c>
      <c r="Q259" s="8">
        <v>0</v>
      </c>
      <c r="S259" s="8">
        <v>0</v>
      </c>
      <c r="U259" s="8">
        <v>0</v>
      </c>
      <c r="W259" s="8">
        <v>0</v>
      </c>
      <c r="Y259" s="8">
        <v>0</v>
      </c>
      <c r="AA259" s="14">
        <f t="shared" si="18"/>
        <v>0</v>
      </c>
      <c r="AC259" s="8">
        <f t="shared" si="19"/>
        <v>0</v>
      </c>
    </row>
    <row r="260" spans="1:29">
      <c r="A260" s="13" t="s">
        <v>688</v>
      </c>
      <c r="B260" s="13"/>
      <c r="C260" s="13" t="s">
        <v>64</v>
      </c>
      <c r="D260" s="13"/>
      <c r="E260" s="32">
        <v>50245</v>
      </c>
      <c r="G260" s="8">
        <v>6661791</v>
      </c>
      <c r="I260" s="8">
        <v>0</v>
      </c>
      <c r="K260" s="3">
        <f t="shared" si="16"/>
        <v>5325880</v>
      </c>
      <c r="M260" s="8">
        <v>11987671</v>
      </c>
      <c r="O260" s="3">
        <f t="shared" si="17"/>
        <v>1543264</v>
      </c>
      <c r="Q260" s="8">
        <v>4972096</v>
      </c>
      <c r="S260" s="8">
        <v>6515360</v>
      </c>
      <c r="U260" s="8">
        <v>472131</v>
      </c>
      <c r="W260" s="8">
        <v>0</v>
      </c>
      <c r="Y260" s="8">
        <v>5000180</v>
      </c>
      <c r="AA260" s="14">
        <f t="shared" si="18"/>
        <v>5472311</v>
      </c>
      <c r="AC260" s="8">
        <f t="shared" si="19"/>
        <v>0</v>
      </c>
    </row>
    <row r="261" spans="1:29">
      <c r="A261" s="13" t="s">
        <v>658</v>
      </c>
      <c r="B261" s="13"/>
      <c r="C261" s="13" t="s">
        <v>62</v>
      </c>
      <c r="D261" s="13"/>
      <c r="E261" s="32">
        <v>49866</v>
      </c>
      <c r="G261" s="8">
        <v>8581029</v>
      </c>
      <c r="I261" s="8">
        <v>0</v>
      </c>
      <c r="K261" s="3">
        <f t="shared" si="16"/>
        <v>14718530</v>
      </c>
      <c r="M261" s="8">
        <v>23299559</v>
      </c>
      <c r="O261" s="3">
        <f t="shared" si="17"/>
        <v>4314525</v>
      </c>
      <c r="Q261" s="8">
        <v>13867450</v>
      </c>
      <c r="S261" s="8">
        <v>18181975</v>
      </c>
      <c r="U261" s="8">
        <v>1308640</v>
      </c>
      <c r="W261" s="8">
        <v>0</v>
      </c>
      <c r="Y261" s="8">
        <v>3808944</v>
      </c>
      <c r="AA261" s="14">
        <f t="shared" si="18"/>
        <v>5117584</v>
      </c>
      <c r="AC261" s="8">
        <f t="shared" si="19"/>
        <v>0</v>
      </c>
    </row>
    <row r="262" spans="1:29">
      <c r="A262" s="13" t="s">
        <v>658</v>
      </c>
      <c r="B262" s="13"/>
      <c r="C262" s="13" t="s">
        <v>72</v>
      </c>
      <c r="D262" s="13"/>
      <c r="E262" s="32">
        <v>50690</v>
      </c>
      <c r="G262" s="8">
        <v>4662362</v>
      </c>
      <c r="I262" s="8">
        <v>0</v>
      </c>
      <c r="K262" s="3">
        <f t="shared" si="16"/>
        <v>9653863</v>
      </c>
      <c r="M262" s="8">
        <v>14316225</v>
      </c>
      <c r="O262" s="3">
        <f t="shared" si="17"/>
        <v>1338612</v>
      </c>
      <c r="Q262" s="8">
        <v>8120538</v>
      </c>
      <c r="S262" s="8">
        <v>9459150</v>
      </c>
      <c r="U262" s="8">
        <v>2282343</v>
      </c>
      <c r="W262" s="8">
        <v>0</v>
      </c>
      <c r="Y262" s="8">
        <v>2574732</v>
      </c>
      <c r="AA262" s="14">
        <f t="shared" si="18"/>
        <v>4857075</v>
      </c>
      <c r="AC262" s="8">
        <f t="shared" si="19"/>
        <v>0</v>
      </c>
    </row>
    <row r="263" spans="1:29">
      <c r="A263" s="13" t="s">
        <v>689</v>
      </c>
      <c r="B263" s="13"/>
      <c r="C263" s="13" t="s">
        <v>64</v>
      </c>
      <c r="D263" s="13"/>
      <c r="E263" s="32">
        <v>50187</v>
      </c>
      <c r="G263" s="8">
        <v>693823</v>
      </c>
      <c r="I263" s="8">
        <v>0</v>
      </c>
      <c r="K263" s="3">
        <f t="shared" si="16"/>
        <v>8654576</v>
      </c>
      <c r="M263" s="8">
        <v>9348399</v>
      </c>
      <c r="O263" s="3">
        <f t="shared" si="17"/>
        <v>2731402</v>
      </c>
      <c r="Q263" s="8">
        <v>8125240</v>
      </c>
      <c r="S263" s="8">
        <v>10856642</v>
      </c>
      <c r="U263" s="8">
        <v>527202</v>
      </c>
      <c r="W263" s="8">
        <v>0</v>
      </c>
      <c r="Y263" s="8">
        <v>-2035445</v>
      </c>
      <c r="AA263" s="14">
        <f t="shared" si="18"/>
        <v>-1508243</v>
      </c>
      <c r="AC263" s="8">
        <f t="shared" si="19"/>
        <v>0</v>
      </c>
    </row>
    <row r="264" spans="1:29">
      <c r="A264" s="13" t="s">
        <v>314</v>
      </c>
      <c r="B264" s="13"/>
      <c r="C264" s="13" t="s">
        <v>20</v>
      </c>
      <c r="D264" s="13"/>
      <c r="E264" s="32">
        <v>44198</v>
      </c>
      <c r="G264" s="8">
        <v>60348502</v>
      </c>
      <c r="I264" s="8">
        <v>0</v>
      </c>
      <c r="K264" s="3">
        <f t="shared" si="16"/>
        <v>49823935</v>
      </c>
      <c r="M264" s="8">
        <v>110172437</v>
      </c>
      <c r="O264" s="3">
        <f t="shared" si="17"/>
        <v>15748775</v>
      </c>
      <c r="Q264" s="8">
        <v>41065922</v>
      </c>
      <c r="S264" s="8">
        <v>56814697</v>
      </c>
      <c r="U264" s="8">
        <v>34953742</v>
      </c>
      <c r="W264" s="8">
        <v>0</v>
      </c>
      <c r="Y264" s="8">
        <v>18403998</v>
      </c>
      <c r="AA264" s="14">
        <f t="shared" si="18"/>
        <v>53357740</v>
      </c>
      <c r="AC264" s="8">
        <f t="shared" si="19"/>
        <v>0</v>
      </c>
    </row>
    <row r="265" spans="1:29">
      <c r="A265" s="13" t="s">
        <v>900</v>
      </c>
      <c r="B265" s="13"/>
      <c r="C265" s="13" t="s">
        <v>42</v>
      </c>
      <c r="D265" s="13"/>
      <c r="E265" s="32">
        <v>47993</v>
      </c>
      <c r="G265" s="8">
        <v>6610235</v>
      </c>
      <c r="I265" s="8">
        <v>0</v>
      </c>
      <c r="K265" s="3">
        <f t="shared" si="16"/>
        <v>11519764</v>
      </c>
      <c r="M265" s="8">
        <v>18129999</v>
      </c>
      <c r="O265" s="3">
        <f t="shared" si="17"/>
        <v>2150674</v>
      </c>
      <c r="Q265" s="8">
        <v>10244718</v>
      </c>
      <c r="S265" s="8">
        <v>12395392</v>
      </c>
      <c r="U265" s="8">
        <v>1436556</v>
      </c>
      <c r="W265" s="8">
        <v>204164</v>
      </c>
      <c r="Y265" s="8">
        <v>4093887</v>
      </c>
      <c r="AA265" s="14">
        <f t="shared" si="18"/>
        <v>5734607</v>
      </c>
      <c r="AC265" s="8">
        <f t="shared" si="19"/>
        <v>0</v>
      </c>
    </row>
    <row r="266" spans="1:29">
      <c r="A266" s="13" t="s">
        <v>249</v>
      </c>
      <c r="B266" s="13"/>
      <c r="C266" s="13" t="s">
        <v>246</v>
      </c>
      <c r="D266" s="13"/>
      <c r="E266" s="32">
        <v>46110</v>
      </c>
      <c r="G266" s="8">
        <v>79351684</v>
      </c>
      <c r="I266" s="8">
        <v>0</v>
      </c>
      <c r="K266" s="3">
        <f t="shared" si="16"/>
        <v>98242195</v>
      </c>
      <c r="M266" s="8">
        <v>177593879</v>
      </c>
      <c r="O266" s="3">
        <f t="shared" si="17"/>
        <v>25792745</v>
      </c>
      <c r="Q266" s="8">
        <v>94437247</v>
      </c>
      <c r="S266" s="8">
        <v>120229992</v>
      </c>
      <c r="U266" s="8">
        <v>16032158</v>
      </c>
      <c r="W266" s="8">
        <v>0</v>
      </c>
      <c r="Y266" s="8">
        <v>41331729</v>
      </c>
      <c r="AA266" s="14">
        <f t="shared" si="18"/>
        <v>57363887</v>
      </c>
      <c r="AC266" s="8">
        <f t="shared" si="19"/>
        <v>0</v>
      </c>
    </row>
    <row r="267" spans="1:29">
      <c r="A267" s="13" t="s">
        <v>249</v>
      </c>
      <c r="B267" s="13"/>
      <c r="C267" s="13" t="s">
        <v>79</v>
      </c>
      <c r="D267" s="13"/>
      <c r="E267" s="32">
        <v>49569</v>
      </c>
      <c r="G267" s="8">
        <v>20803024</v>
      </c>
      <c r="I267" s="8">
        <v>51330</v>
      </c>
      <c r="K267" s="3">
        <f t="shared" si="16"/>
        <v>20072271</v>
      </c>
      <c r="M267" s="8">
        <v>40926625</v>
      </c>
      <c r="O267" s="3">
        <f t="shared" si="17"/>
        <v>3718573</v>
      </c>
      <c r="Q267" s="8">
        <v>16488744</v>
      </c>
      <c r="S267" s="8">
        <v>20207317</v>
      </c>
      <c r="U267" s="8">
        <f>181434+3059+749253+60377+10497</f>
        <v>1004620</v>
      </c>
      <c r="W267" s="8">
        <v>0</v>
      </c>
      <c r="Y267" s="8">
        <f>-760795-24537+263373+20236647</f>
        <v>19714688</v>
      </c>
      <c r="AA267" s="14">
        <f t="shared" si="18"/>
        <v>20719308</v>
      </c>
      <c r="AC267" s="8">
        <f t="shared" si="19"/>
        <v>0</v>
      </c>
    </row>
    <row r="268" spans="1:29" ht="12" customHeight="1">
      <c r="A268" s="13" t="s">
        <v>351</v>
      </c>
      <c r="B268" s="13"/>
      <c r="C268" s="13" t="s">
        <v>25</v>
      </c>
      <c r="D268" s="13"/>
      <c r="E268" s="32">
        <v>44206</v>
      </c>
      <c r="G268" s="8">
        <v>20400088</v>
      </c>
      <c r="I268" s="8">
        <v>0</v>
      </c>
      <c r="K268" s="3">
        <f t="shared" si="16"/>
        <v>27747707</v>
      </c>
      <c r="M268" s="8">
        <v>48147795</v>
      </c>
      <c r="O268" s="3">
        <f t="shared" si="17"/>
        <v>7036397</v>
      </c>
      <c r="Q268" s="8">
        <v>20750128</v>
      </c>
      <c r="S268" s="8">
        <v>27786525</v>
      </c>
      <c r="U268" s="8">
        <f>1670290+2465721+12260</f>
        <v>4148271</v>
      </c>
      <c r="W268" s="8">
        <v>1005678</v>
      </c>
      <c r="Y268" s="8">
        <f>6001865+1350159+7855297</f>
        <v>15207321</v>
      </c>
      <c r="AA268" s="14">
        <f t="shared" si="18"/>
        <v>20361270</v>
      </c>
      <c r="AC268" s="8">
        <f t="shared" si="19"/>
        <v>0</v>
      </c>
    </row>
    <row r="269" spans="1:29" hidden="1">
      <c r="A269" s="13" t="s">
        <v>716</v>
      </c>
      <c r="B269" s="13"/>
      <c r="C269" s="13" t="s">
        <v>69</v>
      </c>
      <c r="D269" s="13"/>
      <c r="E269" s="32">
        <v>44214</v>
      </c>
      <c r="G269" s="8">
        <v>0</v>
      </c>
      <c r="I269" s="8">
        <v>0</v>
      </c>
      <c r="K269" s="3">
        <f t="shared" si="16"/>
        <v>0</v>
      </c>
      <c r="M269" s="8">
        <v>0</v>
      </c>
      <c r="O269" s="3">
        <f t="shared" si="17"/>
        <v>0</v>
      </c>
      <c r="Q269" s="8">
        <v>0</v>
      </c>
      <c r="S269" s="8">
        <v>0</v>
      </c>
      <c r="U269" s="8">
        <v>0</v>
      </c>
      <c r="W269" s="8">
        <v>0</v>
      </c>
      <c r="Y269" s="8">
        <v>0</v>
      </c>
      <c r="AA269" s="14">
        <f t="shared" si="18"/>
        <v>0</v>
      </c>
      <c r="AC269" s="8">
        <f t="shared" si="19"/>
        <v>0</v>
      </c>
    </row>
    <row r="270" spans="1:29" ht="12" customHeight="1">
      <c r="A270" s="13" t="s">
        <v>385</v>
      </c>
      <c r="B270" s="13"/>
      <c r="C270" s="13" t="s">
        <v>30</v>
      </c>
      <c r="D270" s="13"/>
      <c r="E270" s="32">
        <v>47209</v>
      </c>
      <c r="G270" s="8">
        <v>282291</v>
      </c>
      <c r="I270" s="8">
        <v>404350</v>
      </c>
      <c r="K270" s="3">
        <f t="shared" si="16"/>
        <v>2375541</v>
      </c>
      <c r="M270" s="8">
        <v>3062182</v>
      </c>
      <c r="O270" s="3">
        <f t="shared" si="17"/>
        <v>733438</v>
      </c>
      <c r="Q270" s="8">
        <v>1710258</v>
      </c>
      <c r="S270" s="8">
        <v>2443696</v>
      </c>
      <c r="U270" s="8">
        <f>184286+262603+385379+15566+423133+23784+10268</f>
        <v>1305019</v>
      </c>
      <c r="W270" s="8">
        <v>0</v>
      </c>
      <c r="Y270" s="8">
        <f>-908295+150292+63670+7800</f>
        <v>-686533</v>
      </c>
      <c r="AA270" s="14">
        <f t="shared" si="18"/>
        <v>618486</v>
      </c>
      <c r="AC270" s="8">
        <f t="shared" si="19"/>
        <v>0</v>
      </c>
    </row>
    <row r="271" spans="1:29" hidden="1">
      <c r="A271" s="13" t="s">
        <v>609</v>
      </c>
      <c r="B271" s="13"/>
      <c r="C271" s="13" t="s">
        <v>608</v>
      </c>
      <c r="D271" s="13"/>
      <c r="E271" s="32">
        <v>49353</v>
      </c>
      <c r="G271" s="8">
        <v>0</v>
      </c>
      <c r="I271" s="8">
        <v>0</v>
      </c>
      <c r="K271" s="3">
        <f t="shared" ref="K271:K336" si="20">M271-G271-I271</f>
        <v>0</v>
      </c>
      <c r="M271" s="8">
        <v>0</v>
      </c>
      <c r="O271" s="3">
        <f t="shared" ref="O271:O336" si="21">S271-Q271</f>
        <v>0</v>
      </c>
      <c r="Q271" s="8">
        <v>0</v>
      </c>
      <c r="S271" s="8">
        <v>0</v>
      </c>
      <c r="U271" s="8">
        <v>0</v>
      </c>
      <c r="W271" s="8">
        <v>0</v>
      </c>
      <c r="Y271" s="8">
        <v>0</v>
      </c>
      <c r="AA271" s="14">
        <f t="shared" ref="AA271:AA336" si="22">U271+W271+Y271</f>
        <v>0</v>
      </c>
      <c r="AC271" s="8">
        <f t="shared" ref="AC271:AC336" si="23">+G271+I271+K271-O271-Q271-Y271-W271-U271</f>
        <v>0</v>
      </c>
    </row>
    <row r="272" spans="1:29">
      <c r="A272" s="13" t="s">
        <v>615</v>
      </c>
      <c r="B272" s="13"/>
      <c r="C272" s="13" t="s">
        <v>113</v>
      </c>
      <c r="D272" s="13"/>
      <c r="E272" s="32">
        <v>49437</v>
      </c>
      <c r="G272" s="8">
        <v>4337244</v>
      </c>
      <c r="I272" s="8">
        <v>0</v>
      </c>
      <c r="K272" s="3">
        <f t="shared" si="20"/>
        <v>9878882</v>
      </c>
      <c r="M272" s="8">
        <v>14216126</v>
      </c>
      <c r="O272" s="3">
        <f t="shared" si="21"/>
        <v>3208683</v>
      </c>
      <c r="Q272" s="8">
        <v>7380953</v>
      </c>
      <c r="S272" s="8">
        <v>10589636</v>
      </c>
      <c r="U272" s="8">
        <v>2185694</v>
      </c>
      <c r="W272" s="8">
        <v>0</v>
      </c>
      <c r="Y272" s="8">
        <v>1440796</v>
      </c>
      <c r="AA272" s="14">
        <f t="shared" si="22"/>
        <v>3626490</v>
      </c>
      <c r="AC272" s="8">
        <f t="shared" si="23"/>
        <v>0</v>
      </c>
    </row>
    <row r="273" spans="1:29">
      <c r="A273" s="13" t="s">
        <v>436</v>
      </c>
      <c r="B273" s="13"/>
      <c r="C273" s="13" t="s">
        <v>34</v>
      </c>
      <c r="D273" s="13"/>
      <c r="E273" s="32">
        <v>47589</v>
      </c>
      <c r="G273" s="8">
        <v>3316292</v>
      </c>
      <c r="I273" s="8">
        <v>0</v>
      </c>
      <c r="K273" s="3">
        <f t="shared" si="20"/>
        <v>5836424</v>
      </c>
      <c r="M273" s="8">
        <v>9152716</v>
      </c>
      <c r="O273" s="3">
        <f t="shared" si="21"/>
        <v>1206955</v>
      </c>
      <c r="Q273" s="8">
        <v>4602546</v>
      </c>
      <c r="S273" s="8">
        <v>5809501</v>
      </c>
      <c r="U273" s="8">
        <v>582676</v>
      </c>
      <c r="W273" s="8">
        <v>0</v>
      </c>
      <c r="Y273" s="8">
        <v>2760539</v>
      </c>
      <c r="AA273" s="14">
        <f t="shared" si="22"/>
        <v>3343215</v>
      </c>
      <c r="AC273" s="8">
        <f t="shared" si="23"/>
        <v>0</v>
      </c>
    </row>
    <row r="274" spans="1:29">
      <c r="A274" s="13" t="s">
        <v>690</v>
      </c>
      <c r="B274" s="13"/>
      <c r="C274" s="13" t="s">
        <v>64</v>
      </c>
      <c r="D274" s="13"/>
      <c r="E274" s="32">
        <v>50195</v>
      </c>
      <c r="G274" s="8">
        <f>2045103+10462</f>
        <v>2055565</v>
      </c>
      <c r="I274" s="8">
        <v>234849</v>
      </c>
      <c r="K274" s="3">
        <f t="shared" si="20"/>
        <v>10734230</v>
      </c>
      <c r="M274" s="8">
        <v>13024644</v>
      </c>
      <c r="O274" s="3">
        <f t="shared" si="21"/>
        <v>13037536</v>
      </c>
      <c r="Q274" s="8">
        <v>1159639</v>
      </c>
      <c r="S274" s="8">
        <v>14197175</v>
      </c>
      <c r="U274" s="8">
        <f>428719+8501+82762+20018+214831+281668+42236+4269</f>
        <v>1083004</v>
      </c>
      <c r="W274" s="8">
        <v>0</v>
      </c>
      <c r="Y274" s="8">
        <f>-2689951+356081+78335</f>
        <v>-2255535</v>
      </c>
      <c r="AA274" s="14">
        <f t="shared" si="22"/>
        <v>-1172531</v>
      </c>
      <c r="AC274" s="8">
        <f t="shared" si="23"/>
        <v>0</v>
      </c>
    </row>
    <row r="275" spans="1:29">
      <c r="A275" s="13" t="s">
        <v>906</v>
      </c>
      <c r="B275" s="13"/>
      <c r="C275" s="13" t="s">
        <v>25</v>
      </c>
      <c r="D275" s="13"/>
      <c r="E275" s="32">
        <v>46888</v>
      </c>
      <c r="G275" s="8">
        <v>12856697</v>
      </c>
      <c r="I275" s="8">
        <v>0</v>
      </c>
      <c r="K275" s="3">
        <f t="shared" si="20"/>
        <v>4800356</v>
      </c>
      <c r="M275" s="8">
        <v>17657053</v>
      </c>
      <c r="O275" s="3">
        <f t="shared" si="21"/>
        <v>1369311</v>
      </c>
      <c r="Q275" s="8">
        <v>3351731</v>
      </c>
      <c r="S275" s="8">
        <v>4721042</v>
      </c>
      <c r="U275" s="8">
        <v>2121721</v>
      </c>
      <c r="W275" s="8">
        <v>0</v>
      </c>
      <c r="Y275" s="8">
        <v>10814290</v>
      </c>
      <c r="AA275" s="14">
        <f t="shared" si="22"/>
        <v>12936011</v>
      </c>
      <c r="AC275" s="8">
        <f t="shared" si="23"/>
        <v>0</v>
      </c>
    </row>
    <row r="276" spans="1:29">
      <c r="A276" s="13" t="s">
        <v>422</v>
      </c>
      <c r="B276" s="13"/>
      <c r="C276" s="13" t="s">
        <v>33</v>
      </c>
      <c r="D276" s="13"/>
      <c r="E276" s="32">
        <v>47449</v>
      </c>
      <c r="G276" s="8">
        <v>6696360</v>
      </c>
      <c r="I276" s="8">
        <v>0</v>
      </c>
      <c r="K276" s="3">
        <f t="shared" si="20"/>
        <v>4962975</v>
      </c>
      <c r="M276" s="8">
        <v>11659335</v>
      </c>
      <c r="O276" s="3">
        <f t="shared" si="21"/>
        <v>1555562</v>
      </c>
      <c r="Q276" s="8">
        <v>4096696</v>
      </c>
      <c r="S276" s="8">
        <v>5652258</v>
      </c>
      <c r="U276" s="8">
        <v>884823</v>
      </c>
      <c r="W276" s="8">
        <v>125061</v>
      </c>
      <c r="Y276" s="8">
        <v>4997193</v>
      </c>
      <c r="AA276" s="14">
        <f t="shared" si="22"/>
        <v>6007077</v>
      </c>
      <c r="AC276" s="8">
        <f t="shared" si="23"/>
        <v>0</v>
      </c>
    </row>
    <row r="277" spans="1:29">
      <c r="A277" s="13" t="s">
        <v>482</v>
      </c>
      <c r="B277" s="13"/>
      <c r="C277" s="13" t="s">
        <v>42</v>
      </c>
      <c r="D277" s="13"/>
      <c r="E277" s="32">
        <v>48009</v>
      </c>
      <c r="G277" s="8">
        <v>6833377</v>
      </c>
      <c r="I277" s="8">
        <v>0</v>
      </c>
      <c r="K277" s="3">
        <f t="shared" si="20"/>
        <v>33948320</v>
      </c>
      <c r="M277" s="8">
        <v>40781697</v>
      </c>
      <c r="O277" s="3">
        <f t="shared" si="21"/>
        <v>2661723</v>
      </c>
      <c r="Q277" s="8">
        <v>29604090</v>
      </c>
      <c r="S277" s="8">
        <v>32265813</v>
      </c>
      <c r="U277" s="8">
        <f>762870+4215183</f>
        <v>4978053</v>
      </c>
      <c r="W277" s="8">
        <v>0</v>
      </c>
      <c r="Y277" s="8">
        <f>-1279998+75965+2269145+2472719</f>
        <v>3537831</v>
      </c>
      <c r="AA277" s="14">
        <f t="shared" si="22"/>
        <v>8515884</v>
      </c>
      <c r="AC277" s="8">
        <f t="shared" si="23"/>
        <v>0</v>
      </c>
    </row>
    <row r="278" spans="1:29">
      <c r="A278" s="13" t="s">
        <v>483</v>
      </c>
      <c r="B278" s="13"/>
      <c r="C278" s="13" t="s">
        <v>42</v>
      </c>
      <c r="D278" s="13"/>
      <c r="E278" s="32">
        <v>48017</v>
      </c>
      <c r="G278" s="8">
        <v>13865267</v>
      </c>
      <c r="I278" s="8">
        <v>0</v>
      </c>
      <c r="K278" s="3">
        <f t="shared" si="20"/>
        <v>5869388</v>
      </c>
      <c r="M278" s="8">
        <v>19734655</v>
      </c>
      <c r="O278" s="3">
        <f t="shared" si="21"/>
        <v>4089310</v>
      </c>
      <c r="Q278" s="8">
        <v>4830405</v>
      </c>
      <c r="S278" s="8">
        <v>8919715</v>
      </c>
      <c r="U278" s="8">
        <v>939204</v>
      </c>
      <c r="W278" s="8">
        <v>0</v>
      </c>
      <c r="Y278" s="8">
        <v>9875736</v>
      </c>
      <c r="AA278" s="14">
        <f t="shared" si="22"/>
        <v>10814940</v>
      </c>
      <c r="AC278" s="8">
        <f t="shared" si="23"/>
        <v>0</v>
      </c>
    </row>
    <row r="279" spans="1:29">
      <c r="A279" s="13" t="s">
        <v>710</v>
      </c>
      <c r="B279" s="13"/>
      <c r="C279" s="13" t="s">
        <v>67</v>
      </c>
      <c r="D279" s="13"/>
      <c r="E279" s="32">
        <v>50369</v>
      </c>
      <c r="G279" s="8">
        <v>15256123</v>
      </c>
      <c r="I279" s="8">
        <v>0</v>
      </c>
      <c r="K279" s="3">
        <f t="shared" si="20"/>
        <v>4455635</v>
      </c>
      <c r="M279" s="8">
        <v>19711758</v>
      </c>
      <c r="O279" s="3">
        <f t="shared" si="21"/>
        <v>2086759</v>
      </c>
      <c r="Q279" s="8">
        <v>4075832</v>
      </c>
      <c r="S279" s="8">
        <v>6162591</v>
      </c>
      <c r="U279" s="8">
        <v>571420</v>
      </c>
      <c r="W279" s="8">
        <v>0</v>
      </c>
      <c r="Y279" s="8">
        <v>12977747</v>
      </c>
      <c r="AA279" s="14">
        <f t="shared" si="22"/>
        <v>13549167</v>
      </c>
      <c r="AC279" s="8">
        <f t="shared" si="23"/>
        <v>0</v>
      </c>
    </row>
    <row r="280" spans="1:29">
      <c r="A280" s="13" t="s">
        <v>287</v>
      </c>
      <c r="B280" s="13"/>
      <c r="C280" s="13" t="s">
        <v>115</v>
      </c>
      <c r="D280" s="13"/>
      <c r="E280" s="32">
        <v>45450</v>
      </c>
      <c r="G280" s="8">
        <v>4782096</v>
      </c>
      <c r="I280" s="8">
        <v>0</v>
      </c>
      <c r="K280" s="3">
        <f t="shared" si="20"/>
        <v>2398020</v>
      </c>
      <c r="M280" s="8">
        <v>7180116</v>
      </c>
      <c r="O280" s="3">
        <f t="shared" si="21"/>
        <v>948409</v>
      </c>
      <c r="Q280" s="8">
        <v>2209453</v>
      </c>
      <c r="S280" s="8">
        <v>3157862</v>
      </c>
      <c r="U280" s="8">
        <v>257173</v>
      </c>
      <c r="W280" s="8">
        <v>0</v>
      </c>
      <c r="Y280" s="8">
        <v>3765081</v>
      </c>
      <c r="AA280" s="14">
        <f t="shared" si="22"/>
        <v>4022254</v>
      </c>
      <c r="AC280" s="8">
        <f t="shared" si="23"/>
        <v>0</v>
      </c>
    </row>
    <row r="281" spans="1:29">
      <c r="A281" s="13" t="s">
        <v>717</v>
      </c>
      <c r="B281" s="13"/>
      <c r="C281" s="13" t="s">
        <v>69</v>
      </c>
      <c r="D281" s="13"/>
      <c r="E281" s="32">
        <v>50443</v>
      </c>
      <c r="G281" s="8">
        <v>36248428</v>
      </c>
      <c r="I281" s="8">
        <v>0</v>
      </c>
      <c r="K281" s="3">
        <f t="shared" si="20"/>
        <v>25086949</v>
      </c>
      <c r="M281" s="8">
        <v>61335377</v>
      </c>
      <c r="O281" s="3">
        <f t="shared" si="21"/>
        <v>12486297</v>
      </c>
      <c r="Q281" s="8">
        <v>23379655</v>
      </c>
      <c r="S281" s="8">
        <v>35865952</v>
      </c>
      <c r="U281" s="8">
        <v>23666893</v>
      </c>
      <c r="W281" s="8">
        <v>0</v>
      </c>
      <c r="Y281" s="8">
        <v>1802532</v>
      </c>
      <c r="AA281" s="14">
        <f t="shared" si="22"/>
        <v>25469425</v>
      </c>
      <c r="AC281" s="8">
        <f t="shared" si="23"/>
        <v>0</v>
      </c>
    </row>
    <row r="282" spans="1:29" hidden="1">
      <c r="A282" s="13" t="s">
        <v>401</v>
      </c>
      <c r="B282" s="13"/>
      <c r="C282" s="13" t="s">
        <v>32</v>
      </c>
      <c r="D282" s="13"/>
      <c r="E282" s="32">
        <v>44230</v>
      </c>
      <c r="G282" s="8">
        <v>0</v>
      </c>
      <c r="I282" s="8">
        <v>0</v>
      </c>
      <c r="K282" s="3">
        <f t="shared" si="20"/>
        <v>0</v>
      </c>
      <c r="M282" s="8">
        <v>0</v>
      </c>
      <c r="O282" s="3">
        <f t="shared" si="21"/>
        <v>0</v>
      </c>
      <c r="Q282" s="8">
        <v>0</v>
      </c>
      <c r="S282" s="8">
        <v>0</v>
      </c>
      <c r="U282" s="8">
        <v>0</v>
      </c>
      <c r="W282" s="8">
        <v>0</v>
      </c>
      <c r="Y282" s="8">
        <v>0</v>
      </c>
      <c r="AA282" s="14">
        <f t="shared" si="22"/>
        <v>0</v>
      </c>
      <c r="AC282" s="8">
        <f t="shared" si="23"/>
        <v>0</v>
      </c>
    </row>
    <row r="283" spans="1:29">
      <c r="A283" s="13" t="s">
        <v>589</v>
      </c>
      <c r="B283" s="13"/>
      <c r="C283" s="13" t="s">
        <v>54</v>
      </c>
      <c r="D283" s="13"/>
      <c r="E283" s="32">
        <v>49080</v>
      </c>
      <c r="G283" s="8">
        <v>6252894</v>
      </c>
      <c r="I283" s="8">
        <v>0</v>
      </c>
      <c r="K283" s="3">
        <f t="shared" si="20"/>
        <v>8548545</v>
      </c>
      <c r="M283" s="8">
        <v>14801439</v>
      </c>
      <c r="O283" s="3">
        <f t="shared" si="21"/>
        <v>2412466</v>
      </c>
      <c r="Q283" s="8">
        <v>6431993</v>
      </c>
      <c r="S283" s="8">
        <v>8844459</v>
      </c>
      <c r="U283" s="8">
        <v>1615492</v>
      </c>
      <c r="W283" s="8">
        <v>0</v>
      </c>
      <c r="Y283" s="8">
        <v>4341488</v>
      </c>
      <c r="AA283" s="14">
        <f t="shared" si="22"/>
        <v>5956980</v>
      </c>
      <c r="AC283" s="8">
        <f t="shared" si="23"/>
        <v>0</v>
      </c>
    </row>
    <row r="284" spans="1:29">
      <c r="A284" s="13" t="s">
        <v>445</v>
      </c>
      <c r="B284" s="13"/>
      <c r="C284" s="13" t="s">
        <v>35</v>
      </c>
      <c r="D284" s="13"/>
      <c r="E284" s="32">
        <v>44248</v>
      </c>
      <c r="G284" s="8">
        <v>35207448</v>
      </c>
      <c r="I284" s="8">
        <v>0</v>
      </c>
      <c r="K284" s="3">
        <f t="shared" si="20"/>
        <v>15124688</v>
      </c>
      <c r="M284" s="8">
        <v>50332136</v>
      </c>
      <c r="O284" s="3">
        <f t="shared" si="21"/>
        <v>4706455</v>
      </c>
      <c r="Q284" s="8">
        <v>12854430</v>
      </c>
      <c r="S284" s="8">
        <v>17560885</v>
      </c>
      <c r="U284" s="8">
        <v>38112277</v>
      </c>
      <c r="W284" s="8">
        <v>0</v>
      </c>
      <c r="Y284" s="8">
        <v>-5341026</v>
      </c>
      <c r="AA284" s="14">
        <f t="shared" si="22"/>
        <v>32771251</v>
      </c>
      <c r="AC284" s="8">
        <f t="shared" si="23"/>
        <v>0</v>
      </c>
    </row>
    <row r="285" spans="1:29">
      <c r="A285" s="13" t="s">
        <v>513</v>
      </c>
      <c r="B285" s="13"/>
      <c r="C285" s="13" t="s">
        <v>511</v>
      </c>
      <c r="D285" s="13"/>
      <c r="E285" s="32">
        <v>44255</v>
      </c>
      <c r="G285" s="8">
        <v>6175561</v>
      </c>
      <c r="I285" s="8">
        <v>0</v>
      </c>
      <c r="K285" s="3">
        <f t="shared" si="20"/>
        <v>10394390</v>
      </c>
      <c r="M285" s="8">
        <v>16569951</v>
      </c>
      <c r="O285" s="3">
        <f t="shared" si="21"/>
        <v>3903149</v>
      </c>
      <c r="Q285" s="8">
        <v>8832082</v>
      </c>
      <c r="S285" s="8">
        <v>12735231</v>
      </c>
      <c r="U285" s="8">
        <f>153185+171007</f>
        <v>324192</v>
      </c>
      <c r="W285" s="8">
        <v>0</v>
      </c>
      <c r="Y285" s="8">
        <f>1937277-303043+1837003+39291</f>
        <v>3510528</v>
      </c>
      <c r="AA285" s="14">
        <f t="shared" si="22"/>
        <v>3834720</v>
      </c>
      <c r="AC285" s="8">
        <f t="shared" si="23"/>
        <v>0</v>
      </c>
    </row>
    <row r="286" spans="1:29" s="52" customFormat="1">
      <c r="A286" s="51" t="s">
        <v>496</v>
      </c>
      <c r="B286" s="51"/>
      <c r="C286" s="51" t="s">
        <v>44</v>
      </c>
      <c r="D286" s="51"/>
      <c r="E286" s="51">
        <v>44263</v>
      </c>
      <c r="G286" s="8">
        <v>52274313</v>
      </c>
      <c r="H286" s="8"/>
      <c r="I286" s="8">
        <v>0</v>
      </c>
      <c r="J286" s="8"/>
      <c r="K286" s="3">
        <f t="shared" si="20"/>
        <v>112827785</v>
      </c>
      <c r="L286" s="8"/>
      <c r="M286" s="8">
        <v>165102098</v>
      </c>
      <c r="N286" s="8"/>
      <c r="O286" s="3">
        <f t="shared" si="21"/>
        <v>7964716</v>
      </c>
      <c r="P286" s="8"/>
      <c r="Q286" s="8">
        <v>107989413</v>
      </c>
      <c r="R286" s="8"/>
      <c r="S286" s="8">
        <v>115954129</v>
      </c>
      <c r="T286" s="8"/>
      <c r="U286" s="8">
        <v>7750200</v>
      </c>
      <c r="V286" s="8"/>
      <c r="W286" s="8">
        <v>0</v>
      </c>
      <c r="X286" s="8"/>
      <c r="Y286" s="8">
        <v>41397769</v>
      </c>
      <c r="Z286" s="8"/>
      <c r="AA286" s="14">
        <f t="shared" si="22"/>
        <v>49147969</v>
      </c>
      <c r="AB286" s="8"/>
      <c r="AC286" s="8">
        <f t="shared" si="23"/>
        <v>0</v>
      </c>
    </row>
    <row r="287" spans="1:29">
      <c r="A287" s="13" t="s">
        <v>691</v>
      </c>
      <c r="B287" s="13"/>
      <c r="C287" s="13" t="s">
        <v>64</v>
      </c>
      <c r="D287" s="13"/>
      <c r="E287" s="32">
        <v>50203</v>
      </c>
      <c r="G287" s="8">
        <v>4877330</v>
      </c>
      <c r="I287" s="8">
        <v>0</v>
      </c>
      <c r="K287" s="3">
        <f t="shared" si="20"/>
        <v>6311966</v>
      </c>
      <c r="M287" s="8">
        <v>11189296</v>
      </c>
      <c r="O287" s="3">
        <f t="shared" si="21"/>
        <v>881579</v>
      </c>
      <c r="Q287" s="8">
        <v>6185537</v>
      </c>
      <c r="S287" s="8">
        <v>7067116</v>
      </c>
      <c r="U287" s="8">
        <v>387212</v>
      </c>
      <c r="W287" s="8">
        <v>0</v>
      </c>
      <c r="Y287" s="8">
        <v>3734968</v>
      </c>
      <c r="AA287" s="14">
        <f t="shared" si="22"/>
        <v>4122180</v>
      </c>
      <c r="AC287" s="8">
        <f t="shared" si="23"/>
        <v>0</v>
      </c>
    </row>
    <row r="288" spans="1:29">
      <c r="A288" s="12" t="s">
        <v>907</v>
      </c>
      <c r="B288" s="13"/>
      <c r="C288" s="13" t="s">
        <v>11</v>
      </c>
      <c r="D288" s="13"/>
      <c r="E288" s="32">
        <v>45468</v>
      </c>
      <c r="G288" s="8">
        <v>3310641</v>
      </c>
      <c r="I288" s="8">
        <v>0</v>
      </c>
      <c r="K288" s="3">
        <f t="shared" si="20"/>
        <v>5756995</v>
      </c>
      <c r="M288" s="8">
        <v>9067636</v>
      </c>
      <c r="O288" s="3">
        <f t="shared" si="21"/>
        <v>1459017</v>
      </c>
      <c r="Q288" s="8">
        <v>4017962</v>
      </c>
      <c r="S288" s="8">
        <v>5476979</v>
      </c>
      <c r="U288" s="8">
        <v>1048869</v>
      </c>
      <c r="W288" s="8">
        <v>0</v>
      </c>
      <c r="Y288" s="8">
        <v>2541788</v>
      </c>
      <c r="AA288" s="14">
        <f t="shared" si="22"/>
        <v>3590657</v>
      </c>
      <c r="AC288" s="8">
        <f t="shared" si="23"/>
        <v>0</v>
      </c>
    </row>
    <row r="289" spans="1:29">
      <c r="A289" s="13" t="s">
        <v>659</v>
      </c>
      <c r="B289" s="13"/>
      <c r="C289" s="13" t="s">
        <v>62</v>
      </c>
      <c r="D289" s="13"/>
      <c r="E289" s="32">
        <v>49874</v>
      </c>
      <c r="G289" s="8">
        <v>6021058</v>
      </c>
      <c r="I289" s="8">
        <v>0</v>
      </c>
      <c r="K289" s="3">
        <f t="shared" si="20"/>
        <v>8320472</v>
      </c>
      <c r="M289" s="8">
        <v>14341530</v>
      </c>
      <c r="O289" s="3">
        <f t="shared" si="21"/>
        <v>2666102</v>
      </c>
      <c r="Q289" s="8">
        <v>7573704</v>
      </c>
      <c r="S289" s="8">
        <v>10239806</v>
      </c>
      <c r="U289" s="8">
        <v>774119</v>
      </c>
      <c r="W289" s="8">
        <v>0</v>
      </c>
      <c r="Y289" s="8">
        <v>3327605</v>
      </c>
      <c r="AA289" s="14">
        <f t="shared" si="22"/>
        <v>4101724</v>
      </c>
      <c r="AC289" s="8">
        <f t="shared" si="23"/>
        <v>0</v>
      </c>
    </row>
    <row r="290" spans="1:29">
      <c r="A290" s="13" t="s">
        <v>402</v>
      </c>
      <c r="B290" s="13"/>
      <c r="C290" s="13" t="s">
        <v>32</v>
      </c>
      <c r="D290" s="13"/>
      <c r="E290" s="13">
        <v>44271</v>
      </c>
      <c r="G290" s="8">
        <v>17475781</v>
      </c>
      <c r="I290" s="8">
        <v>0</v>
      </c>
      <c r="K290" s="3">
        <f t="shared" si="20"/>
        <v>27130922</v>
      </c>
      <c r="M290" s="8">
        <v>44606703</v>
      </c>
      <c r="O290" s="3">
        <f t="shared" si="21"/>
        <v>16336832</v>
      </c>
      <c r="Q290" s="8">
        <v>20383898</v>
      </c>
      <c r="S290" s="8">
        <v>36720730</v>
      </c>
      <c r="U290" s="8">
        <v>6830002</v>
      </c>
      <c r="W290" s="8">
        <v>0</v>
      </c>
      <c r="Y290" s="8">
        <v>1055971</v>
      </c>
      <c r="AA290" s="14">
        <f t="shared" si="22"/>
        <v>7885973</v>
      </c>
      <c r="AC290" s="8">
        <f t="shared" si="23"/>
        <v>0</v>
      </c>
    </row>
    <row r="291" spans="1:29">
      <c r="A291" s="13" t="s">
        <v>519</v>
      </c>
      <c r="B291" s="13"/>
      <c r="C291" s="13" t="s">
        <v>45</v>
      </c>
      <c r="D291" s="13"/>
      <c r="E291" s="32">
        <v>48330</v>
      </c>
      <c r="G291" s="8">
        <v>3096737</v>
      </c>
      <c r="I291" s="8">
        <v>195585</v>
      </c>
      <c r="K291" s="3">
        <f t="shared" si="20"/>
        <v>2064317</v>
      </c>
      <c r="M291" s="8">
        <v>5356639</v>
      </c>
      <c r="O291" s="3">
        <f t="shared" si="21"/>
        <v>2571452</v>
      </c>
      <c r="Q291" s="8">
        <v>86153</v>
      </c>
      <c r="S291" s="8">
        <v>2657605</v>
      </c>
      <c r="U291" s="8">
        <f>13452+4328+516957+122769+22184+50633+120941</f>
        <v>851264</v>
      </c>
      <c r="W291" s="8">
        <v>0</v>
      </c>
      <c r="Y291" s="8">
        <f>693871+703949+449950</f>
        <v>1847770</v>
      </c>
      <c r="AA291" s="14">
        <f t="shared" si="22"/>
        <v>2699034</v>
      </c>
      <c r="AC291" s="8">
        <f t="shared" si="23"/>
        <v>0</v>
      </c>
    </row>
    <row r="292" spans="1:29">
      <c r="A292" s="13" t="s">
        <v>616</v>
      </c>
      <c r="B292" s="13"/>
      <c r="C292" s="13" t="s">
        <v>113</v>
      </c>
      <c r="D292" s="13"/>
      <c r="E292" s="32">
        <v>49445</v>
      </c>
      <c r="G292" s="8">
        <v>2109412</v>
      </c>
      <c r="I292" s="8">
        <v>0</v>
      </c>
      <c r="K292" s="3">
        <f t="shared" si="20"/>
        <v>3255252</v>
      </c>
      <c r="M292" s="8">
        <v>5364664</v>
      </c>
      <c r="O292" s="3">
        <f t="shared" si="21"/>
        <v>585468</v>
      </c>
      <c r="Q292" s="8">
        <v>2295477</v>
      </c>
      <c r="S292" s="8">
        <v>2880945</v>
      </c>
      <c r="U292" s="8">
        <v>2007076</v>
      </c>
      <c r="W292" s="8">
        <v>0</v>
      </c>
      <c r="Y292" s="8">
        <v>476643</v>
      </c>
      <c r="AA292" s="14">
        <f t="shared" si="22"/>
        <v>2483719</v>
      </c>
      <c r="AC292" s="8">
        <f t="shared" si="23"/>
        <v>0</v>
      </c>
    </row>
    <row r="293" spans="1:29">
      <c r="A293" s="13"/>
      <c r="B293" s="13"/>
      <c r="C293" s="13"/>
      <c r="D293" s="13"/>
      <c r="E293" s="32"/>
      <c r="K293" s="3"/>
      <c r="O293" s="3"/>
      <c r="AA293" s="14"/>
    </row>
    <row r="294" spans="1:29">
      <c r="A294" s="13"/>
      <c r="B294" s="13"/>
      <c r="C294" s="13"/>
      <c r="D294" s="13"/>
      <c r="E294" s="32"/>
      <c r="K294" s="3"/>
      <c r="O294" s="3"/>
      <c r="AA294" s="90" t="s">
        <v>819</v>
      </c>
    </row>
    <row r="295" spans="1:29" s="35" customFormat="1">
      <c r="A295" s="34" t="s">
        <v>444</v>
      </c>
      <c r="B295" s="34"/>
      <c r="C295" s="34" t="s">
        <v>440</v>
      </c>
      <c r="D295" s="34"/>
      <c r="E295" s="34">
        <v>47639</v>
      </c>
      <c r="G295" s="35">
        <v>8773632</v>
      </c>
      <c r="I295" s="35">
        <v>0</v>
      </c>
      <c r="K295" s="42">
        <f t="shared" si="20"/>
        <v>2335535</v>
      </c>
      <c r="M295" s="35">
        <v>11109167</v>
      </c>
      <c r="O295" s="42">
        <f t="shared" si="21"/>
        <v>1490807</v>
      </c>
      <c r="Q295" s="35">
        <v>2023229</v>
      </c>
      <c r="S295" s="35">
        <v>3514036</v>
      </c>
      <c r="U295" s="35">
        <v>292049</v>
      </c>
      <c r="W295" s="35">
        <v>0</v>
      </c>
      <c r="Y295" s="35">
        <v>7303082</v>
      </c>
      <c r="AA295" s="71">
        <f t="shared" si="22"/>
        <v>7595131</v>
      </c>
      <c r="AC295" s="35">
        <f t="shared" si="23"/>
        <v>0</v>
      </c>
    </row>
    <row r="296" spans="1:29">
      <c r="A296" s="13" t="s">
        <v>558</v>
      </c>
      <c r="B296" s="13"/>
      <c r="C296" s="13" t="s">
        <v>50</v>
      </c>
      <c r="D296" s="13"/>
      <c r="E296" s="32">
        <v>48702</v>
      </c>
      <c r="G296" s="8">
        <v>20567968</v>
      </c>
      <c r="I296" s="8">
        <v>0</v>
      </c>
      <c r="K296" s="3">
        <f t="shared" si="20"/>
        <v>11247064</v>
      </c>
      <c r="M296" s="8">
        <v>31815032</v>
      </c>
      <c r="O296" s="3">
        <f t="shared" si="21"/>
        <v>5223602</v>
      </c>
      <c r="Q296" s="8">
        <v>9790245</v>
      </c>
      <c r="S296" s="8">
        <v>15013847</v>
      </c>
      <c r="U296" s="8">
        <f>379645+597768</f>
        <v>977413</v>
      </c>
      <c r="W296" s="8">
        <v>0</v>
      </c>
      <c r="Y296" s="8">
        <f>9967236+2127262+957814+2771460</f>
        <v>15823772</v>
      </c>
      <c r="AA296" s="14">
        <f t="shared" si="22"/>
        <v>16801185</v>
      </c>
      <c r="AC296" s="8">
        <f t="shared" si="23"/>
        <v>0</v>
      </c>
    </row>
    <row r="297" spans="1:29">
      <c r="A297" s="13" t="s">
        <v>403</v>
      </c>
      <c r="B297" s="13"/>
      <c r="C297" s="13" t="s">
        <v>32</v>
      </c>
      <c r="D297" s="13"/>
      <c r="E297" s="32">
        <v>44289</v>
      </c>
      <c r="G297" s="8">
        <v>6655231</v>
      </c>
      <c r="I297" s="8">
        <v>136968</v>
      </c>
      <c r="K297" s="3">
        <f t="shared" si="20"/>
        <v>13608170</v>
      </c>
      <c r="M297" s="8">
        <v>20400369</v>
      </c>
      <c r="O297" s="3">
        <f t="shared" si="21"/>
        <v>2681741</v>
      </c>
      <c r="Q297" s="8">
        <v>8912170</v>
      </c>
      <c r="S297" s="8">
        <v>11593911</v>
      </c>
      <c r="U297" s="8">
        <f>936246+4696000+113502</f>
        <v>5745748</v>
      </c>
      <c r="W297" s="8">
        <v>0</v>
      </c>
      <c r="Y297" s="8">
        <f>1528011+341823+1323855-132979</f>
        <v>3060710</v>
      </c>
      <c r="AA297" s="14">
        <f t="shared" si="22"/>
        <v>8806458</v>
      </c>
      <c r="AC297" s="8">
        <f t="shared" si="23"/>
        <v>0</v>
      </c>
    </row>
    <row r="298" spans="1:29">
      <c r="A298" s="13" t="s">
        <v>250</v>
      </c>
      <c r="B298" s="13"/>
      <c r="C298" s="13" t="s">
        <v>246</v>
      </c>
      <c r="D298" s="13"/>
      <c r="E298" s="32">
        <v>46128</v>
      </c>
      <c r="G298" s="8">
        <v>6261321</v>
      </c>
      <c r="I298" s="8">
        <v>0</v>
      </c>
      <c r="K298" s="3">
        <f t="shared" si="20"/>
        <v>23778834</v>
      </c>
      <c r="M298" s="8">
        <v>30040155</v>
      </c>
      <c r="O298" s="3">
        <f t="shared" si="21"/>
        <v>1234560</v>
      </c>
      <c r="Q298" s="8">
        <v>22229800</v>
      </c>
      <c r="S298" s="8">
        <v>23464360</v>
      </c>
      <c r="U298" s="8">
        <f>68142+956+299061+1095000</f>
        <v>1463159</v>
      </c>
      <c r="W298" s="8">
        <v>0</v>
      </c>
      <c r="Y298" s="8">
        <f>1560542+327982+3224112</f>
        <v>5112636</v>
      </c>
      <c r="AA298" s="14">
        <f t="shared" si="22"/>
        <v>6575795</v>
      </c>
      <c r="AC298" s="8">
        <f t="shared" si="23"/>
        <v>0</v>
      </c>
    </row>
    <row r="299" spans="1:29">
      <c r="A299" s="13" t="s">
        <v>250</v>
      </c>
      <c r="B299" s="13"/>
      <c r="C299" s="13" t="s">
        <v>113</v>
      </c>
      <c r="D299" s="13"/>
      <c r="E299" s="32">
        <v>49452</v>
      </c>
      <c r="G299" s="8">
        <v>9352444</v>
      </c>
      <c r="I299" s="8">
        <v>0</v>
      </c>
      <c r="K299" s="3">
        <f t="shared" si="20"/>
        <v>17366654</v>
      </c>
      <c r="M299" s="8">
        <v>26719098</v>
      </c>
      <c r="O299" s="3">
        <f t="shared" si="21"/>
        <v>14989316</v>
      </c>
      <c r="Q299" s="8">
        <v>2371492</v>
      </c>
      <c r="S299" s="8">
        <v>17360808</v>
      </c>
      <c r="U299" s="8">
        <f>65591+24478+2153663+566445+30093</f>
        <v>2840270</v>
      </c>
      <c r="W299" s="8">
        <v>0</v>
      </c>
      <c r="Y299" s="8">
        <f>6460060+57960</f>
        <v>6518020</v>
      </c>
      <c r="AA299" s="14">
        <f t="shared" si="22"/>
        <v>9358290</v>
      </c>
      <c r="AC299" s="8">
        <f t="shared" si="23"/>
        <v>0</v>
      </c>
    </row>
    <row r="300" spans="1:29">
      <c r="A300" s="13" t="s">
        <v>835</v>
      </c>
      <c r="B300" s="13"/>
      <c r="C300" s="13" t="s">
        <v>210</v>
      </c>
      <c r="D300" s="13"/>
      <c r="E300" s="32"/>
      <c r="G300" s="8">
        <v>7073054</v>
      </c>
      <c r="I300" s="8">
        <v>506113</v>
      </c>
      <c r="K300" s="3">
        <f t="shared" si="20"/>
        <v>7393223</v>
      </c>
      <c r="M300" s="8">
        <v>14972390</v>
      </c>
      <c r="O300" s="3">
        <f t="shared" si="21"/>
        <v>2457986</v>
      </c>
      <c r="Q300" s="8">
        <v>7007193</v>
      </c>
      <c r="S300" s="8">
        <v>9465179</v>
      </c>
      <c r="U300" s="8">
        <f>1180663+104531</f>
        <v>1285194</v>
      </c>
      <c r="W300" s="8">
        <v>0</v>
      </c>
      <c r="Y300" s="8">
        <f>1425405+156871+2391550+248191</f>
        <v>4222017</v>
      </c>
      <c r="AA300" s="14">
        <f t="shared" si="22"/>
        <v>5507211</v>
      </c>
      <c r="AC300" s="8">
        <f t="shared" si="23"/>
        <v>0</v>
      </c>
    </row>
    <row r="301" spans="1:29">
      <c r="A301" s="13" t="s">
        <v>617</v>
      </c>
      <c r="B301" s="13"/>
      <c r="C301" s="13" t="s">
        <v>113</v>
      </c>
      <c r="D301" s="13"/>
      <c r="E301" s="32">
        <v>44297</v>
      </c>
      <c r="G301" s="8">
        <f>20411573+9285</f>
        <v>20420858</v>
      </c>
      <c r="I301" s="8">
        <v>0</v>
      </c>
      <c r="K301" s="3">
        <f t="shared" si="20"/>
        <v>26189041</v>
      </c>
      <c r="M301" s="8">
        <v>46609899</v>
      </c>
      <c r="O301" s="3">
        <f t="shared" si="21"/>
        <v>22007352</v>
      </c>
      <c r="Q301" s="8">
        <v>6145486</v>
      </c>
      <c r="S301" s="8">
        <v>28152838</v>
      </c>
      <c r="U301" s="8">
        <f>1383947+141856+17287+3506165+10149139+93006</f>
        <v>15291400</v>
      </c>
      <c r="W301" s="8">
        <v>0</v>
      </c>
      <c r="Y301" s="8">
        <f>-4728795+2215809+5678647</f>
        <v>3165661</v>
      </c>
      <c r="AA301" s="14">
        <f t="shared" si="22"/>
        <v>18457061</v>
      </c>
      <c r="AC301" s="8">
        <f t="shared" si="23"/>
        <v>0</v>
      </c>
    </row>
    <row r="302" spans="1:29">
      <c r="A302" s="13" t="s">
        <v>315</v>
      </c>
      <c r="B302" s="13"/>
      <c r="C302" s="13" t="s">
        <v>20</v>
      </c>
      <c r="D302" s="13"/>
      <c r="E302" s="13">
        <v>44305</v>
      </c>
      <c r="G302" s="8">
        <v>9746117</v>
      </c>
      <c r="I302" s="8">
        <v>338718</v>
      </c>
      <c r="K302" s="3">
        <f t="shared" si="20"/>
        <v>16912476</v>
      </c>
      <c r="M302" s="8">
        <v>26997311</v>
      </c>
      <c r="O302" s="3">
        <f t="shared" si="21"/>
        <v>8596409</v>
      </c>
      <c r="Q302" s="8">
        <v>14143274</v>
      </c>
      <c r="S302" s="8">
        <v>22739683</v>
      </c>
      <c r="U302" s="8">
        <f>145246+2333539+338718</f>
        <v>2817503</v>
      </c>
      <c r="W302" s="8">
        <v>0</v>
      </c>
      <c r="Y302" s="8">
        <f>2090292+171211+147451-968829</f>
        <v>1440125</v>
      </c>
      <c r="AA302" s="14">
        <f t="shared" si="22"/>
        <v>4257628</v>
      </c>
      <c r="AC302" s="8">
        <f t="shared" si="23"/>
        <v>0</v>
      </c>
    </row>
    <row r="303" spans="1:29">
      <c r="A303" s="13" t="s">
        <v>218</v>
      </c>
      <c r="B303" s="13"/>
      <c r="C303" s="13" t="s">
        <v>11</v>
      </c>
      <c r="D303" s="13"/>
      <c r="E303" s="32">
        <v>45831</v>
      </c>
      <c r="G303" s="8">
        <f>2488876+19283</f>
        <v>2508159</v>
      </c>
      <c r="I303" s="8">
        <v>32439</v>
      </c>
      <c r="K303" s="3">
        <f t="shared" si="20"/>
        <v>3346889</v>
      </c>
      <c r="M303" s="8">
        <v>5887487</v>
      </c>
      <c r="O303" s="3">
        <f t="shared" si="21"/>
        <v>3587774</v>
      </c>
      <c r="Q303" s="8">
        <v>199306</v>
      </c>
      <c r="S303" s="8">
        <v>3787080</v>
      </c>
      <c r="U303" s="8">
        <f>55270+5242+7192+432204+379856+32439</f>
        <v>912203</v>
      </c>
      <c r="W303" s="8">
        <v>0</v>
      </c>
      <c r="Y303" s="8">
        <f>372144+29220+786840</f>
        <v>1188204</v>
      </c>
      <c r="AA303" s="14">
        <f t="shared" si="22"/>
        <v>2100407</v>
      </c>
      <c r="AC303" s="8">
        <f t="shared" si="23"/>
        <v>0</v>
      </c>
    </row>
    <row r="304" spans="1:29">
      <c r="A304" s="13" t="s">
        <v>692</v>
      </c>
      <c r="B304" s="13"/>
      <c r="C304" s="13" t="s">
        <v>64</v>
      </c>
      <c r="D304" s="13"/>
      <c r="E304" s="32">
        <v>50211</v>
      </c>
      <c r="G304" s="8">
        <v>2178564</v>
      </c>
      <c r="I304" s="8">
        <v>448253</v>
      </c>
      <c r="K304" s="3">
        <f t="shared" si="20"/>
        <v>2928672</v>
      </c>
      <c r="M304" s="8">
        <v>5555489</v>
      </c>
      <c r="O304" s="3">
        <f t="shared" si="21"/>
        <v>4535301</v>
      </c>
      <c r="Q304" s="8">
        <v>191084</v>
      </c>
      <c r="S304" s="8">
        <v>4726385</v>
      </c>
      <c r="U304" s="8">
        <f>6268+5009+12712+136656+448253</f>
        <v>608898</v>
      </c>
      <c r="W304" s="8">
        <v>0</v>
      </c>
      <c r="Y304" s="8">
        <f>-281131+23329+478008</f>
        <v>220206</v>
      </c>
      <c r="AA304" s="14">
        <f t="shared" si="22"/>
        <v>829104</v>
      </c>
      <c r="AC304" s="8">
        <f t="shared" si="23"/>
        <v>0</v>
      </c>
    </row>
    <row r="305" spans="1:29">
      <c r="A305" s="13" t="s">
        <v>343</v>
      </c>
      <c r="B305" s="13"/>
      <c r="C305" s="13" t="s">
        <v>24</v>
      </c>
      <c r="D305" s="13"/>
      <c r="E305" s="32">
        <v>46805</v>
      </c>
      <c r="G305" s="8">
        <f>2317836+2333633</f>
        <v>4651469</v>
      </c>
      <c r="I305" s="8">
        <v>0</v>
      </c>
      <c r="K305" s="3">
        <f t="shared" si="20"/>
        <v>6518301</v>
      </c>
      <c r="M305" s="8">
        <v>11169770</v>
      </c>
      <c r="O305" s="3">
        <f t="shared" si="21"/>
        <v>7001750</v>
      </c>
      <c r="Q305" s="8">
        <v>1230814</v>
      </c>
      <c r="S305" s="8">
        <v>8232564</v>
      </c>
      <c r="U305" s="8">
        <f>2614256+5827+457207</f>
        <v>3077290</v>
      </c>
      <c r="W305" s="8">
        <v>0</v>
      </c>
      <c r="Y305" s="8">
        <f>-74177-99794+33887</f>
        <v>-140084</v>
      </c>
      <c r="AA305" s="14">
        <f t="shared" si="22"/>
        <v>2937206</v>
      </c>
      <c r="AC305" s="8">
        <f t="shared" si="23"/>
        <v>0</v>
      </c>
    </row>
    <row r="306" spans="1:29">
      <c r="A306" s="13" t="s">
        <v>404</v>
      </c>
      <c r="B306" s="13"/>
      <c r="C306" s="13" t="s">
        <v>32</v>
      </c>
      <c r="D306" s="13"/>
      <c r="E306" s="32">
        <v>44313</v>
      </c>
      <c r="G306" s="8">
        <v>6721569</v>
      </c>
      <c r="I306" s="8">
        <v>140000</v>
      </c>
      <c r="K306" s="3">
        <f t="shared" si="20"/>
        <v>14627827</v>
      </c>
      <c r="M306" s="8">
        <v>21489396</v>
      </c>
      <c r="O306" s="3">
        <f t="shared" si="21"/>
        <v>2384868</v>
      </c>
      <c r="Q306" s="8">
        <v>10013051</v>
      </c>
      <c r="S306" s="8">
        <v>12397919</v>
      </c>
      <c r="U306" s="8">
        <f>4529800+13174+8230+140000</f>
        <v>4691204</v>
      </c>
      <c r="W306" s="8">
        <v>0</v>
      </c>
      <c r="Y306" s="8">
        <f>3657737+137007+511607+93922</f>
        <v>4400273</v>
      </c>
      <c r="AA306" s="14">
        <f t="shared" si="22"/>
        <v>9091477</v>
      </c>
      <c r="AC306" s="8">
        <f t="shared" si="23"/>
        <v>0</v>
      </c>
    </row>
    <row r="307" spans="1:29" hidden="1">
      <c r="A307" s="13" t="s">
        <v>724</v>
      </c>
      <c r="B307" s="13"/>
      <c r="C307" s="13" t="s">
        <v>70</v>
      </c>
      <c r="D307" s="13"/>
      <c r="E307" s="32">
        <v>44321</v>
      </c>
      <c r="G307" s="8">
        <v>0</v>
      </c>
      <c r="I307" s="8">
        <v>0</v>
      </c>
      <c r="K307" s="3">
        <f t="shared" si="20"/>
        <v>0</v>
      </c>
      <c r="M307" s="8">
        <v>0</v>
      </c>
      <c r="O307" s="3">
        <f t="shared" si="21"/>
        <v>0</v>
      </c>
      <c r="Q307" s="8">
        <v>0</v>
      </c>
      <c r="S307" s="8">
        <v>0</v>
      </c>
      <c r="U307" s="8">
        <v>0</v>
      </c>
      <c r="W307" s="8">
        <v>0</v>
      </c>
      <c r="Y307" s="8">
        <v>0</v>
      </c>
      <c r="AA307" s="14">
        <f t="shared" si="22"/>
        <v>0</v>
      </c>
      <c r="AC307" s="8">
        <f t="shared" si="23"/>
        <v>0</v>
      </c>
    </row>
    <row r="308" spans="1:29">
      <c r="A308" s="13" t="s">
        <v>527</v>
      </c>
      <c r="B308" s="13"/>
      <c r="C308" s="13" t="s">
        <v>46</v>
      </c>
      <c r="D308" s="13"/>
      <c r="E308" s="32">
        <v>44339</v>
      </c>
      <c r="G308" s="8">
        <v>12901104</v>
      </c>
      <c r="I308" s="8">
        <v>1955759</v>
      </c>
      <c r="K308" s="3">
        <f>M308-G308-I308</f>
        <v>13465164</v>
      </c>
      <c r="M308" s="8">
        <v>28322027</v>
      </c>
      <c r="O308" s="3">
        <f>S308-Q308</f>
        <v>5849503</v>
      </c>
      <c r="Q308" s="8">
        <v>9247939</v>
      </c>
      <c r="S308" s="8">
        <v>15097442</v>
      </c>
      <c r="U308" s="8">
        <f>3360354+1934682+21077+628657+2676</f>
        <v>5947446</v>
      </c>
      <c r="W308" s="8">
        <v>0</v>
      </c>
      <c r="Y308" s="8">
        <f>5707961+831133+527727+210318</f>
        <v>7277139</v>
      </c>
      <c r="AA308" s="14">
        <f>U308+W308+Y308</f>
        <v>13224585</v>
      </c>
      <c r="AC308" s="8">
        <f t="shared" si="23"/>
        <v>0</v>
      </c>
    </row>
    <row r="309" spans="1:29">
      <c r="A309" s="13" t="s">
        <v>660</v>
      </c>
      <c r="B309" s="13"/>
      <c r="C309" s="13" t="s">
        <v>62</v>
      </c>
      <c r="D309" s="13"/>
      <c r="E309" s="32">
        <v>49882</v>
      </c>
      <c r="G309" s="8">
        <v>6238654</v>
      </c>
      <c r="I309" s="8">
        <v>391928</v>
      </c>
      <c r="K309" s="3">
        <f t="shared" si="20"/>
        <v>10989211</v>
      </c>
      <c r="M309" s="8">
        <v>17619793</v>
      </c>
      <c r="O309" s="3">
        <f t="shared" si="21"/>
        <v>13095800</v>
      </c>
      <c r="Q309" s="8">
        <v>701641</v>
      </c>
      <c r="S309" s="8">
        <v>13797441</v>
      </c>
      <c r="U309" s="8">
        <f>356017+241326+128886+19822+515450+391928</f>
        <v>1653429</v>
      </c>
      <c r="W309" s="8">
        <v>476349</v>
      </c>
      <c r="Y309" s="8">
        <f>1528170+81654+82750</f>
        <v>1692574</v>
      </c>
      <c r="AA309" s="14">
        <f t="shared" si="22"/>
        <v>3822352</v>
      </c>
      <c r="AC309" s="8">
        <f t="shared" si="23"/>
        <v>0</v>
      </c>
    </row>
    <row r="310" spans="1:29">
      <c r="A310" s="13" t="s">
        <v>236</v>
      </c>
      <c r="B310" s="13"/>
      <c r="C310" s="13" t="s">
        <v>15</v>
      </c>
      <c r="D310" s="13"/>
      <c r="E310" s="32">
        <v>44347</v>
      </c>
      <c r="G310" s="8">
        <f>1344064+1346020</f>
        <v>2690084</v>
      </c>
      <c r="I310" s="8">
        <f>148111+479892</f>
        <v>628003</v>
      </c>
      <c r="K310" s="3">
        <f t="shared" si="20"/>
        <v>3945628</v>
      </c>
      <c r="M310" s="8">
        <v>7263715</v>
      </c>
      <c r="O310" s="3">
        <f t="shared" si="21"/>
        <v>2584525</v>
      </c>
      <c r="Q310" s="8">
        <v>3453279</v>
      </c>
      <c r="S310" s="8">
        <v>6037804</v>
      </c>
      <c r="U310" s="8">
        <f>1053917+162494</f>
        <v>1216411</v>
      </c>
      <c r="W310" s="8">
        <v>0</v>
      </c>
      <c r="Y310" s="8">
        <f>-1156268+122884+613694+429190</f>
        <v>9500</v>
      </c>
      <c r="AA310" s="14">
        <f t="shared" si="22"/>
        <v>1225911</v>
      </c>
      <c r="AC310" s="8">
        <f t="shared" si="23"/>
        <v>0</v>
      </c>
    </row>
    <row r="311" spans="1:29">
      <c r="A311" s="13" t="s">
        <v>708</v>
      </c>
      <c r="B311" s="13"/>
      <c r="C311" s="13" t="s">
        <v>66</v>
      </c>
      <c r="D311" s="13"/>
      <c r="E311" s="32">
        <v>45476</v>
      </c>
      <c r="G311" s="8">
        <f>13170447+7383315</f>
        <v>20553762</v>
      </c>
      <c r="I311" s="8">
        <v>0</v>
      </c>
      <c r="K311" s="3">
        <f t="shared" si="20"/>
        <v>27822593</v>
      </c>
      <c r="M311" s="8">
        <v>48376355</v>
      </c>
      <c r="O311" s="3">
        <f t="shared" si="21"/>
        <v>35261596</v>
      </c>
      <c r="Q311" s="8">
        <v>26519</v>
      </c>
      <c r="S311" s="8">
        <v>35288115</v>
      </c>
      <c r="U311" s="8">
        <f>8632414+50080+1571449+2057701</f>
        <v>12311644</v>
      </c>
      <c r="W311" s="8">
        <v>0</v>
      </c>
      <c r="Y311" s="8">
        <f>-5342879+405669+5713806</f>
        <v>776596</v>
      </c>
      <c r="AA311" s="14">
        <f t="shared" si="22"/>
        <v>13088240</v>
      </c>
      <c r="AC311" s="8">
        <f t="shared" si="23"/>
        <v>0</v>
      </c>
    </row>
    <row r="312" spans="1:29">
      <c r="A312" s="13" t="s">
        <v>718</v>
      </c>
      <c r="B312" s="13"/>
      <c r="C312" s="13" t="s">
        <v>69</v>
      </c>
      <c r="D312" s="13"/>
      <c r="E312" s="32">
        <v>50450</v>
      </c>
      <c r="G312" s="8">
        <f>87445546+4240425</f>
        <v>91685971</v>
      </c>
      <c r="I312" s="8">
        <v>85593</v>
      </c>
      <c r="K312" s="3">
        <f t="shared" si="20"/>
        <v>79510918</v>
      </c>
      <c r="M312" s="8">
        <v>171282482</v>
      </c>
      <c r="O312" s="3">
        <f t="shared" si="21"/>
        <v>28074325</v>
      </c>
      <c r="Q312" s="8">
        <v>71451833</v>
      </c>
      <c r="S312" s="8">
        <v>99526158</v>
      </c>
      <c r="U312" s="8">
        <f>24441640+46894+2615997+85593</f>
        <v>27190124</v>
      </c>
      <c r="W312" s="8">
        <v>0</v>
      </c>
      <c r="Y312" s="8">
        <f>34459374+3377932+8570237-1841343</f>
        <v>44566200</v>
      </c>
      <c r="AA312" s="14">
        <f t="shared" si="22"/>
        <v>71756324</v>
      </c>
      <c r="AC312" s="8">
        <f t="shared" si="23"/>
        <v>0</v>
      </c>
    </row>
    <row r="313" spans="1:29">
      <c r="A313" s="13" t="s">
        <v>661</v>
      </c>
      <c r="B313" s="13"/>
      <c r="C313" s="13" t="s">
        <v>62</v>
      </c>
      <c r="D313" s="13"/>
      <c r="E313" s="32">
        <v>44354</v>
      </c>
      <c r="G313" s="8">
        <v>16125664</v>
      </c>
      <c r="I313" s="8">
        <v>12755</v>
      </c>
      <c r="K313" s="3">
        <f t="shared" si="20"/>
        <v>18822073</v>
      </c>
      <c r="M313" s="8">
        <v>34960492</v>
      </c>
      <c r="O313" s="3">
        <f t="shared" si="21"/>
        <v>6031671</v>
      </c>
      <c r="Q313" s="8">
        <v>16817144</v>
      </c>
      <c r="S313" s="8">
        <v>22848815</v>
      </c>
      <c r="U313" s="8">
        <f>973670+936380+12755</f>
        <v>1922805</v>
      </c>
      <c r="W313" s="8">
        <v>0</v>
      </c>
      <c r="Y313" s="8">
        <f>4779739+1086201+1489101+2833831</f>
        <v>10188872</v>
      </c>
      <c r="AA313" s="14">
        <f t="shared" si="22"/>
        <v>12111677</v>
      </c>
      <c r="AC313" s="8">
        <f t="shared" si="23"/>
        <v>0</v>
      </c>
    </row>
    <row r="314" spans="1:29">
      <c r="A314" s="13" t="s">
        <v>693</v>
      </c>
      <c r="B314" s="13"/>
      <c r="C314" s="13" t="s">
        <v>64</v>
      </c>
      <c r="D314" s="13"/>
      <c r="E314" s="13">
        <v>50153</v>
      </c>
      <c r="G314" s="8">
        <v>2206804</v>
      </c>
      <c r="I314" s="8">
        <v>5802</v>
      </c>
      <c r="K314" s="3">
        <f t="shared" si="20"/>
        <v>4917840</v>
      </c>
      <c r="M314" s="8">
        <v>7130446</v>
      </c>
      <c r="O314" s="3">
        <f t="shared" si="21"/>
        <v>5537183</v>
      </c>
      <c r="Q314" s="8">
        <v>503687</v>
      </c>
      <c r="S314" s="8">
        <v>6040870</v>
      </c>
      <c r="U314" s="8">
        <f>196043+37739+31366+10292+5802</f>
        <v>281242</v>
      </c>
      <c r="W314" s="8">
        <v>0</v>
      </c>
      <c r="Y314" s="8">
        <f>758516+50110-292</f>
        <v>808334</v>
      </c>
      <c r="AA314" s="14">
        <f t="shared" si="22"/>
        <v>1089576</v>
      </c>
      <c r="AC314" s="8">
        <f t="shared" si="23"/>
        <v>0</v>
      </c>
    </row>
    <row r="315" spans="1:29">
      <c r="A315" s="13" t="s">
        <v>503</v>
      </c>
      <c r="B315" s="13"/>
      <c r="C315" s="13" t="s">
        <v>118</v>
      </c>
      <c r="D315" s="13"/>
      <c r="E315" s="32">
        <v>44362</v>
      </c>
      <c r="G315" s="8">
        <v>5184030</v>
      </c>
      <c r="I315" s="8">
        <v>163745</v>
      </c>
      <c r="K315" s="3">
        <f t="shared" si="20"/>
        <v>24048691</v>
      </c>
      <c r="M315" s="8">
        <v>29396466</v>
      </c>
      <c r="O315" s="3">
        <f t="shared" si="21"/>
        <v>23955063</v>
      </c>
      <c r="Q315" s="8">
        <v>2539957</v>
      </c>
      <c r="S315" s="8">
        <v>26495020</v>
      </c>
      <c r="U315" s="8">
        <f>247009+121957+41788+37326+1009491+26984+1421996</f>
        <v>2906551</v>
      </c>
      <c r="W315" s="8">
        <v>0</v>
      </c>
      <c r="Y315" s="8">
        <f>-912464+625272+282087</f>
        <v>-5105</v>
      </c>
      <c r="AA315" s="14">
        <f t="shared" si="22"/>
        <v>2901446</v>
      </c>
      <c r="AC315" s="8">
        <f t="shared" si="23"/>
        <v>0</v>
      </c>
    </row>
    <row r="316" spans="1:29">
      <c r="A316" s="13" t="s">
        <v>316</v>
      </c>
      <c r="B316" s="13"/>
      <c r="C316" s="13" t="s">
        <v>20</v>
      </c>
      <c r="D316" s="13"/>
      <c r="E316" s="32">
        <v>44370</v>
      </c>
      <c r="G316" s="8">
        <v>30836525</v>
      </c>
      <c r="I316" s="8">
        <v>0</v>
      </c>
      <c r="K316" s="3">
        <f t="shared" si="20"/>
        <v>45571099</v>
      </c>
      <c r="M316" s="8">
        <v>76407624</v>
      </c>
      <c r="O316" s="3">
        <f t="shared" si="21"/>
        <v>9598641</v>
      </c>
      <c r="Q316" s="8">
        <v>38678141</v>
      </c>
      <c r="S316" s="8">
        <v>48276782</v>
      </c>
      <c r="U316" s="8">
        <f>10411289+5913800</f>
        <v>16325089</v>
      </c>
      <c r="W316" s="8">
        <v>0</v>
      </c>
      <c r="Y316" s="8">
        <f>4467988+1814502+2217202+3306061</f>
        <v>11805753</v>
      </c>
      <c r="AA316" s="14">
        <f t="shared" si="22"/>
        <v>28130842</v>
      </c>
      <c r="AC316" s="8">
        <f t="shared" si="23"/>
        <v>0</v>
      </c>
    </row>
    <row r="317" spans="1:29">
      <c r="A317" s="13" t="s">
        <v>573</v>
      </c>
      <c r="B317" s="13"/>
      <c r="C317" s="13" t="s">
        <v>51</v>
      </c>
      <c r="D317" s="13"/>
      <c r="E317" s="32">
        <v>48850</v>
      </c>
      <c r="G317" s="8">
        <f>8446684+1546</f>
        <v>8448230</v>
      </c>
      <c r="I317" s="8">
        <v>59073</v>
      </c>
      <c r="K317" s="3">
        <f t="shared" si="20"/>
        <v>4732375</v>
      </c>
      <c r="M317" s="8">
        <v>13239678</v>
      </c>
      <c r="O317" s="3">
        <f t="shared" si="21"/>
        <v>3362888</v>
      </c>
      <c r="Q317" s="8">
        <v>4133002</v>
      </c>
      <c r="S317" s="8">
        <v>7495890</v>
      </c>
      <c r="U317" s="8">
        <f>584024+44593+22850+146691</f>
        <v>798158</v>
      </c>
      <c r="W317" s="8">
        <v>0</v>
      </c>
      <c r="Y317" s="8">
        <f>864162+1227539+368651+2485278</f>
        <v>4945630</v>
      </c>
      <c r="AA317" s="14">
        <f t="shared" si="22"/>
        <v>5743788</v>
      </c>
      <c r="AC317" s="8">
        <f t="shared" si="23"/>
        <v>0</v>
      </c>
    </row>
    <row r="318" spans="1:29" hidden="1">
      <c r="A318" s="13" t="s">
        <v>830</v>
      </c>
      <c r="B318" s="13"/>
      <c r="C318" s="13" t="s">
        <v>33</v>
      </c>
      <c r="D318" s="13"/>
      <c r="E318" s="32">
        <v>47456</v>
      </c>
      <c r="G318" s="8">
        <v>0</v>
      </c>
      <c r="I318" s="8">
        <v>0</v>
      </c>
      <c r="K318" s="3">
        <f t="shared" si="20"/>
        <v>0</v>
      </c>
      <c r="M318" s="8">
        <v>0</v>
      </c>
      <c r="O318" s="3">
        <f t="shared" si="21"/>
        <v>0</v>
      </c>
      <c r="Q318" s="8">
        <v>0</v>
      </c>
      <c r="S318" s="8">
        <v>0</v>
      </c>
      <c r="U318" s="8">
        <v>0</v>
      </c>
      <c r="W318" s="8">
        <v>0</v>
      </c>
      <c r="Y318" s="8">
        <v>0</v>
      </c>
      <c r="AA318" s="14">
        <f t="shared" si="22"/>
        <v>0</v>
      </c>
      <c r="AC318" s="8">
        <f t="shared" si="23"/>
        <v>0</v>
      </c>
    </row>
    <row r="319" spans="1:29">
      <c r="A319" s="13" t="s">
        <v>928</v>
      </c>
      <c r="B319" s="13"/>
      <c r="C319" s="13" t="s">
        <v>64</v>
      </c>
      <c r="D319" s="13"/>
      <c r="E319" s="32">
        <v>50229</v>
      </c>
      <c r="G319" s="8">
        <v>82124</v>
      </c>
      <c r="I319" s="8">
        <v>991</v>
      </c>
      <c r="K319" s="3">
        <f t="shared" si="20"/>
        <v>1688646</v>
      </c>
      <c r="M319" s="8">
        <v>1771761</v>
      </c>
      <c r="O319" s="3">
        <f t="shared" si="21"/>
        <v>3147546</v>
      </c>
      <c r="Q319" s="8">
        <v>154876</v>
      </c>
      <c r="S319" s="8">
        <v>3302422</v>
      </c>
      <c r="U319" s="8">
        <f>10216+180+27423+17703+991</f>
        <v>56513</v>
      </c>
      <c r="W319" s="8">
        <v>0</v>
      </c>
      <c r="Y319" s="8">
        <f>-1233371-236233-117570</f>
        <v>-1587174</v>
      </c>
      <c r="AA319" s="14">
        <f t="shared" si="22"/>
        <v>-1530661</v>
      </c>
      <c r="AC319" s="8">
        <f t="shared" si="23"/>
        <v>0</v>
      </c>
    </row>
    <row r="320" spans="1:29">
      <c r="A320" s="13" t="s">
        <v>260</v>
      </c>
      <c r="B320" s="13"/>
      <c r="C320" s="13" t="s">
        <v>259</v>
      </c>
      <c r="D320" s="13"/>
      <c r="E320" s="32">
        <v>45484</v>
      </c>
      <c r="G320" s="8">
        <f>3422828+433886</f>
        <v>3856714</v>
      </c>
      <c r="I320" s="8">
        <v>24392</v>
      </c>
      <c r="K320" s="3">
        <f t="shared" si="20"/>
        <v>3235644</v>
      </c>
      <c r="M320" s="8">
        <v>7116750</v>
      </c>
      <c r="O320" s="3">
        <f t="shared" si="21"/>
        <v>3717965</v>
      </c>
      <c r="Q320" s="8">
        <v>116883</v>
      </c>
      <c r="S320" s="8">
        <v>3834848</v>
      </c>
      <c r="U320" s="8">
        <f>131177+2436+3583+179028+24392+2000+240201</f>
        <v>582817</v>
      </c>
      <c r="W320" s="8">
        <v>0</v>
      </c>
      <c r="Y320" s="8">
        <f>1402403+207248+1089434</f>
        <v>2699085</v>
      </c>
      <c r="AA320" s="14">
        <f t="shared" si="22"/>
        <v>3281902</v>
      </c>
      <c r="AC320" s="8">
        <f t="shared" si="23"/>
        <v>0</v>
      </c>
    </row>
    <row r="321" spans="1:29">
      <c r="A321" s="13" t="s">
        <v>535</v>
      </c>
      <c r="B321" s="13"/>
      <c r="C321" s="13" t="s">
        <v>47</v>
      </c>
      <c r="D321" s="13"/>
      <c r="E321" s="32">
        <v>44388</v>
      </c>
      <c r="G321" s="8">
        <v>55182543</v>
      </c>
      <c r="I321" s="8">
        <v>0</v>
      </c>
      <c r="K321" s="3">
        <f t="shared" si="20"/>
        <v>58236824</v>
      </c>
      <c r="M321" s="8">
        <v>113419367</v>
      </c>
      <c r="O321" s="3">
        <f t="shared" si="21"/>
        <v>11411092</v>
      </c>
      <c r="Q321" s="8">
        <v>56023913</v>
      </c>
      <c r="S321" s="8">
        <v>67435005</v>
      </c>
      <c r="U321" s="8">
        <f>4409391+1146920</f>
        <v>5556311</v>
      </c>
      <c r="W321" s="8">
        <v>0</v>
      </c>
      <c r="Y321" s="8">
        <f>10724580+1538348+5579138+22585985</f>
        <v>40428051</v>
      </c>
      <c r="AA321" s="14">
        <f t="shared" si="22"/>
        <v>45984362</v>
      </c>
      <c r="AC321" s="8">
        <f t="shared" si="23"/>
        <v>0</v>
      </c>
    </row>
    <row r="322" spans="1:29">
      <c r="A322" s="13" t="s">
        <v>538</v>
      </c>
      <c r="B322" s="13"/>
      <c r="C322" s="13" t="s">
        <v>537</v>
      </c>
      <c r="D322" s="13"/>
      <c r="E322" s="13">
        <v>48520</v>
      </c>
      <c r="G322" s="8">
        <f>2082379+189687</f>
        <v>2272066</v>
      </c>
      <c r="I322" s="8">
        <v>82294</v>
      </c>
      <c r="K322" s="3">
        <f t="shared" si="20"/>
        <v>3239467</v>
      </c>
      <c r="M322" s="8">
        <v>5593827</v>
      </c>
      <c r="O322" s="3">
        <f t="shared" si="21"/>
        <v>2541217</v>
      </c>
      <c r="Q322" s="8">
        <v>2698869</v>
      </c>
      <c r="S322" s="8">
        <v>5240086</v>
      </c>
      <c r="U322" s="8">
        <f>382247+55375+68154+14140+17616</f>
        <v>537532</v>
      </c>
      <c r="W322" s="8">
        <v>0</v>
      </c>
      <c r="Y322" s="8">
        <f>-1839706-16260+608497+1063678</f>
        <v>-183791</v>
      </c>
      <c r="AA322" s="14">
        <f t="shared" si="22"/>
        <v>353741</v>
      </c>
      <c r="AC322" s="8">
        <f t="shared" si="23"/>
        <v>0</v>
      </c>
    </row>
    <row r="323" spans="1:29">
      <c r="A323" s="13" t="s">
        <v>465</v>
      </c>
      <c r="B323" s="13"/>
      <c r="C323" s="13" t="s">
        <v>41</v>
      </c>
      <c r="D323" s="13"/>
      <c r="E323" s="32">
        <v>45492</v>
      </c>
      <c r="G323" s="8">
        <v>52632179</v>
      </c>
      <c r="I323" s="8">
        <v>0</v>
      </c>
      <c r="K323" s="3">
        <f t="shared" si="20"/>
        <v>71044541</v>
      </c>
      <c r="M323" s="8">
        <v>123676720</v>
      </c>
      <c r="O323" s="3">
        <f t="shared" si="21"/>
        <v>12261624</v>
      </c>
      <c r="Q323" s="8">
        <v>65365798</v>
      </c>
      <c r="S323" s="8">
        <v>77627422</v>
      </c>
      <c r="U323" s="8">
        <f>306996+3213954+4677603+1042860</f>
        <v>9241413</v>
      </c>
      <c r="W323" s="8">
        <v>0</v>
      </c>
      <c r="Y323" s="8">
        <f>35148031+624947+1034907</f>
        <v>36807885</v>
      </c>
      <c r="AA323" s="14">
        <f t="shared" si="22"/>
        <v>46049298</v>
      </c>
      <c r="AC323" s="8">
        <f t="shared" si="23"/>
        <v>0</v>
      </c>
    </row>
    <row r="324" spans="1:29">
      <c r="A324" s="13" t="s">
        <v>545</v>
      </c>
      <c r="B324" s="13"/>
      <c r="C324" s="13" t="s">
        <v>48</v>
      </c>
      <c r="D324" s="13"/>
      <c r="E324" s="32">
        <v>48629</v>
      </c>
      <c r="G324" s="8">
        <f>1232975+49875</f>
        <v>1282850</v>
      </c>
      <c r="I324" s="8">
        <v>281188</v>
      </c>
      <c r="K324" s="3">
        <f t="shared" si="20"/>
        <v>5166518</v>
      </c>
      <c r="M324" s="8">
        <v>6730556</v>
      </c>
      <c r="O324" s="3">
        <f t="shared" si="21"/>
        <v>1246386</v>
      </c>
      <c r="Q324" s="8">
        <v>4107099</v>
      </c>
      <c r="S324" s="8">
        <v>5353485</v>
      </c>
      <c r="U324" s="8">
        <f>208894+164655+272035+9153</f>
        <v>654737</v>
      </c>
      <c r="W324" s="8">
        <v>0</v>
      </c>
      <c r="Y324" s="8">
        <f>-250573+189371+359272+424264</f>
        <v>722334</v>
      </c>
      <c r="AA324" s="14">
        <f t="shared" si="22"/>
        <v>1377071</v>
      </c>
      <c r="AC324" s="8">
        <f t="shared" si="23"/>
        <v>0</v>
      </c>
    </row>
    <row r="325" spans="1:29">
      <c r="A325" s="13" t="s">
        <v>354</v>
      </c>
      <c r="B325" s="13"/>
      <c r="C325" s="13" t="s">
        <v>26</v>
      </c>
      <c r="D325" s="13"/>
      <c r="E325" s="32">
        <v>46920</v>
      </c>
      <c r="G325" s="8">
        <v>17224389</v>
      </c>
      <c r="I325" s="8">
        <v>788210</v>
      </c>
      <c r="K325" s="3">
        <f t="shared" si="20"/>
        <v>11175882</v>
      </c>
      <c r="M325" s="8">
        <v>29188481</v>
      </c>
      <c r="O325" s="3">
        <f t="shared" si="21"/>
        <v>5906527</v>
      </c>
      <c r="Q325" s="8">
        <v>9351149</v>
      </c>
      <c r="S325" s="8">
        <v>15257676</v>
      </c>
      <c r="U325" s="8">
        <f>3819473+8337+812805+428979</f>
        <v>5069594</v>
      </c>
      <c r="W325" s="8">
        <v>0</v>
      </c>
      <c r="Y325" s="8">
        <f>2771014+730386+765382+4594429</f>
        <v>8861211</v>
      </c>
      <c r="AA325" s="14">
        <f t="shared" si="22"/>
        <v>13930805</v>
      </c>
      <c r="AC325" s="8">
        <f t="shared" si="23"/>
        <v>0</v>
      </c>
    </row>
    <row r="326" spans="1:29">
      <c r="A326" s="13" t="s">
        <v>559</v>
      </c>
      <c r="B326" s="13"/>
      <c r="C326" s="13" t="s">
        <v>50</v>
      </c>
      <c r="D326" s="13"/>
      <c r="E326" s="13">
        <v>44396</v>
      </c>
      <c r="G326" s="8">
        <v>8471199</v>
      </c>
      <c r="I326" s="8">
        <v>0</v>
      </c>
      <c r="K326" s="3">
        <f t="shared" si="20"/>
        <v>24875270</v>
      </c>
      <c r="M326" s="8">
        <v>33346469</v>
      </c>
      <c r="O326" s="3">
        <f t="shared" si="21"/>
        <v>6390873</v>
      </c>
      <c r="Q326" s="8">
        <v>23558390</v>
      </c>
      <c r="S326" s="8">
        <v>29949263</v>
      </c>
      <c r="U326" s="8">
        <f>303334+1004638</f>
        <v>1307972</v>
      </c>
      <c r="W326" s="8">
        <v>2089234</v>
      </c>
      <c r="Y326" s="8">
        <v>0</v>
      </c>
      <c r="AA326" s="14">
        <f t="shared" si="22"/>
        <v>3397206</v>
      </c>
      <c r="AC326" s="8">
        <f t="shared" si="23"/>
        <v>0</v>
      </c>
    </row>
    <row r="327" spans="1:29">
      <c r="A327" s="13" t="s">
        <v>251</v>
      </c>
      <c r="B327" s="13"/>
      <c r="C327" s="13" t="s">
        <v>246</v>
      </c>
      <c r="D327" s="13"/>
      <c r="E327" s="32">
        <v>44404</v>
      </c>
      <c r="F327" s="35"/>
      <c r="G327" s="8">
        <v>16592543</v>
      </c>
      <c r="I327" s="8">
        <v>68387</v>
      </c>
      <c r="K327" s="3">
        <f t="shared" si="20"/>
        <v>51867866</v>
      </c>
      <c r="M327" s="8">
        <v>68528796</v>
      </c>
      <c r="O327" s="3">
        <f t="shared" si="21"/>
        <v>12582710</v>
      </c>
      <c r="Q327" s="8">
        <v>49198084</v>
      </c>
      <c r="S327" s="8">
        <v>61780794</v>
      </c>
      <c r="U327" s="8">
        <f>7376375+2475+1406937</f>
        <v>8785787</v>
      </c>
      <c r="W327" s="8">
        <v>0</v>
      </c>
      <c r="Y327" s="8">
        <f>-3511819+3183607-1711469+1896</f>
        <v>-2037785</v>
      </c>
      <c r="AA327" s="14">
        <f t="shared" si="22"/>
        <v>6748002</v>
      </c>
      <c r="AC327" s="8">
        <f t="shared" si="23"/>
        <v>0</v>
      </c>
    </row>
    <row r="328" spans="1:29">
      <c r="A328" s="13" t="s">
        <v>497</v>
      </c>
      <c r="B328" s="13"/>
      <c r="C328" s="13" t="s">
        <v>44</v>
      </c>
      <c r="D328" s="13"/>
      <c r="E328" s="32">
        <v>48173</v>
      </c>
      <c r="G328" s="8">
        <f>3933+8528721</f>
        <v>8532654</v>
      </c>
      <c r="I328" s="8">
        <v>18706</v>
      </c>
      <c r="K328" s="3">
        <f t="shared" si="20"/>
        <v>15099501</v>
      </c>
      <c r="M328" s="8">
        <v>23650861</v>
      </c>
      <c r="O328" s="3">
        <f t="shared" si="21"/>
        <v>3585136</v>
      </c>
      <c r="Q328" s="8">
        <v>13414851</v>
      </c>
      <c r="S328" s="8">
        <v>16999987</v>
      </c>
      <c r="U328" s="8">
        <f>19227+362274+192793+1332890</f>
        <v>1907184</v>
      </c>
      <c r="W328" s="8">
        <v>0</v>
      </c>
      <c r="Y328" s="8">
        <f>865943-102449+2700+3977496</f>
        <v>4743690</v>
      </c>
      <c r="AA328" s="14">
        <f t="shared" si="22"/>
        <v>6650874</v>
      </c>
      <c r="AC328" s="8">
        <f t="shared" si="23"/>
        <v>0</v>
      </c>
    </row>
    <row r="329" spans="1:29">
      <c r="A329" s="13" t="s">
        <v>274</v>
      </c>
      <c r="B329" s="13"/>
      <c r="C329" s="13" t="s">
        <v>116</v>
      </c>
      <c r="D329" s="13"/>
      <c r="E329" s="32">
        <v>45500</v>
      </c>
      <c r="G329" s="8">
        <f>9996450+82689+10051</f>
        <v>10089190</v>
      </c>
      <c r="I329" s="8">
        <v>0</v>
      </c>
      <c r="K329" s="3">
        <f t="shared" si="20"/>
        <v>34376161</v>
      </c>
      <c r="M329" s="8">
        <v>44465351</v>
      </c>
      <c r="O329" s="3">
        <f t="shared" si="21"/>
        <v>10821192</v>
      </c>
      <c r="Q329" s="8">
        <v>30850725</v>
      </c>
      <c r="S329" s="8">
        <v>41671917</v>
      </c>
      <c r="U329" s="8">
        <f>63325+3047000+12072+76112</f>
        <v>3198509</v>
      </c>
      <c r="W329" s="8">
        <v>332441</v>
      </c>
      <c r="Y329" s="8">
        <f>-3525861+3029745+379377+142394-763171</f>
        <v>-737516</v>
      </c>
      <c r="AA329" s="14">
        <f t="shared" si="22"/>
        <v>2793434</v>
      </c>
      <c r="AC329" s="8">
        <f t="shared" si="23"/>
        <v>0</v>
      </c>
    </row>
    <row r="330" spans="1:29" hidden="1">
      <c r="A330" s="13" t="s">
        <v>736</v>
      </c>
      <c r="B330" s="13"/>
      <c r="C330" s="13" t="s">
        <v>733</v>
      </c>
      <c r="D330" s="13"/>
      <c r="E330" s="32">
        <v>50633</v>
      </c>
      <c r="G330" s="8">
        <v>0</v>
      </c>
      <c r="I330" s="8">
        <v>0</v>
      </c>
      <c r="K330" s="3">
        <f t="shared" si="20"/>
        <v>0</v>
      </c>
      <c r="M330" s="8">
        <v>0</v>
      </c>
      <c r="O330" s="3">
        <f t="shared" si="21"/>
        <v>0</v>
      </c>
      <c r="Q330" s="8">
        <v>0</v>
      </c>
      <c r="S330" s="8">
        <v>0</v>
      </c>
      <c r="U330" s="8">
        <v>0</v>
      </c>
      <c r="W330" s="8">
        <v>0</v>
      </c>
      <c r="Y330" s="8">
        <v>0</v>
      </c>
      <c r="AA330" s="14">
        <f t="shared" si="22"/>
        <v>0</v>
      </c>
      <c r="AC330" s="8">
        <f t="shared" si="23"/>
        <v>0</v>
      </c>
    </row>
    <row r="331" spans="1:29" hidden="1">
      <c r="A331" s="13" t="s">
        <v>610</v>
      </c>
      <c r="B331" s="13"/>
      <c r="C331" s="13" t="s">
        <v>608</v>
      </c>
      <c r="D331" s="13"/>
      <c r="E331" s="32">
        <v>49361</v>
      </c>
      <c r="G331" s="8">
        <v>0</v>
      </c>
      <c r="I331" s="8">
        <v>0</v>
      </c>
      <c r="K331" s="3">
        <f t="shared" si="20"/>
        <v>0</v>
      </c>
      <c r="M331" s="8">
        <v>0</v>
      </c>
      <c r="O331" s="3">
        <f t="shared" si="21"/>
        <v>0</v>
      </c>
      <c r="Q331" s="8">
        <v>0</v>
      </c>
      <c r="S331" s="8">
        <v>0</v>
      </c>
      <c r="U331" s="8">
        <v>0</v>
      </c>
      <c r="W331" s="8">
        <v>0</v>
      </c>
      <c r="Y331" s="8">
        <v>0</v>
      </c>
      <c r="AA331" s="14">
        <f t="shared" si="22"/>
        <v>0</v>
      </c>
      <c r="AC331" s="8">
        <f t="shared" si="23"/>
        <v>0</v>
      </c>
    </row>
    <row r="332" spans="1:29">
      <c r="A332" s="13" t="s">
        <v>546</v>
      </c>
      <c r="B332" s="13"/>
      <c r="C332" s="13" t="s">
        <v>48</v>
      </c>
      <c r="D332" s="13"/>
      <c r="E332" s="32">
        <v>45518</v>
      </c>
      <c r="G332" s="8">
        <f>1459761+4224819</f>
        <v>5684580</v>
      </c>
      <c r="I332" s="8">
        <v>0</v>
      </c>
      <c r="K332" s="3">
        <f t="shared" si="20"/>
        <v>5341176</v>
      </c>
      <c r="M332" s="8">
        <v>11025756</v>
      </c>
      <c r="O332" s="3">
        <f t="shared" si="21"/>
        <v>1958889</v>
      </c>
      <c r="Q332" s="8">
        <f>7167+5008343</f>
        <v>5015510</v>
      </c>
      <c r="S332" s="8">
        <v>6974399</v>
      </c>
      <c r="U332" s="8">
        <f>173869+26076+19429+219776</f>
        <v>439150</v>
      </c>
      <c r="W332" s="8">
        <v>0</v>
      </c>
      <c r="Y332" s="8">
        <f>2899234+304899+408074</f>
        <v>3612207</v>
      </c>
      <c r="AA332" s="14">
        <f t="shared" si="22"/>
        <v>4051357</v>
      </c>
      <c r="AC332" s="8">
        <f t="shared" si="23"/>
        <v>0</v>
      </c>
    </row>
    <row r="333" spans="1:29">
      <c r="A333" s="13" t="s">
        <v>662</v>
      </c>
      <c r="B333" s="13"/>
      <c r="C333" s="13" t="s">
        <v>62</v>
      </c>
      <c r="D333" s="13"/>
      <c r="E333" s="32">
        <v>49890</v>
      </c>
      <c r="G333" s="8">
        <v>14011454</v>
      </c>
      <c r="I333" s="8">
        <v>18803</v>
      </c>
      <c r="K333" s="3">
        <f t="shared" si="20"/>
        <v>13571851</v>
      </c>
      <c r="M333" s="8">
        <v>27602108</v>
      </c>
      <c r="O333" s="3">
        <f t="shared" si="21"/>
        <v>5207665</v>
      </c>
      <c r="Q333" s="8">
        <v>12783618</v>
      </c>
      <c r="S333" s="8">
        <v>17991283</v>
      </c>
      <c r="U333" s="8">
        <f>6970654+34200+631629+102430</f>
        <v>7738913</v>
      </c>
      <c r="W333" s="8">
        <v>0</v>
      </c>
      <c r="Y333" s="8">
        <f>-2411871+58044+454608+3771131</f>
        <v>1871912</v>
      </c>
      <c r="AA333" s="14">
        <f t="shared" si="22"/>
        <v>9610825</v>
      </c>
      <c r="AC333" s="8">
        <f t="shared" si="23"/>
        <v>0</v>
      </c>
    </row>
    <row r="334" spans="1:29">
      <c r="A334" s="13" t="s">
        <v>634</v>
      </c>
      <c r="B334" s="13"/>
      <c r="C334" s="13" t="s">
        <v>59</v>
      </c>
      <c r="D334" s="13"/>
      <c r="E334" s="32">
        <v>49627</v>
      </c>
      <c r="G334" s="8">
        <v>1265721</v>
      </c>
      <c r="I334" s="8">
        <v>305931</v>
      </c>
      <c r="K334" s="3">
        <f t="shared" si="20"/>
        <v>2272426</v>
      </c>
      <c r="M334" s="8">
        <v>3844078</v>
      </c>
      <c r="O334" s="3">
        <f t="shared" si="21"/>
        <v>1299261</v>
      </c>
      <c r="Q334" s="8">
        <v>2117030</v>
      </c>
      <c r="S334" s="8">
        <v>3416291</v>
      </c>
      <c r="U334" s="8">
        <f>200559+103506+305931</f>
        <v>609996</v>
      </c>
      <c r="W334" s="8">
        <v>0</v>
      </c>
      <c r="Y334" s="8">
        <f>-1074068+50935+654792+186132</f>
        <v>-182209</v>
      </c>
      <c r="AA334" s="14">
        <f t="shared" si="22"/>
        <v>427787</v>
      </c>
      <c r="AC334" s="8">
        <f t="shared" si="23"/>
        <v>0</v>
      </c>
    </row>
    <row r="335" spans="1:29" s="86" customFormat="1">
      <c r="A335" s="85" t="s">
        <v>229</v>
      </c>
      <c r="B335" s="85"/>
      <c r="C335" s="85" t="s">
        <v>14</v>
      </c>
      <c r="D335" s="85"/>
      <c r="E335" s="85">
        <v>45948</v>
      </c>
      <c r="G335" s="8">
        <v>1306596</v>
      </c>
      <c r="I335" s="8">
        <v>5092</v>
      </c>
      <c r="J335" s="8"/>
      <c r="K335" s="3">
        <f t="shared" si="20"/>
        <v>5435917</v>
      </c>
      <c r="L335" s="8"/>
      <c r="M335" s="8">
        <v>6747605</v>
      </c>
      <c r="N335" s="8"/>
      <c r="O335" s="3">
        <f t="shared" si="21"/>
        <v>1134921</v>
      </c>
      <c r="P335" s="8"/>
      <c r="Q335" s="8">
        <v>4815837</v>
      </c>
      <c r="R335" s="8"/>
      <c r="S335" s="8">
        <v>5950758</v>
      </c>
      <c r="T335" s="8"/>
      <c r="U335" s="8">
        <f>246955+2371+2721+49077</f>
        <v>301124</v>
      </c>
      <c r="V335" s="8"/>
      <c r="W335" s="8">
        <v>0</v>
      </c>
      <c r="X335" s="8"/>
      <c r="Y335" s="8">
        <f>44652+46423+372072+32576</f>
        <v>495723</v>
      </c>
      <c r="Z335" s="8"/>
      <c r="AA335" s="14">
        <f t="shared" si="22"/>
        <v>796847</v>
      </c>
      <c r="AC335" s="86">
        <f t="shared" si="23"/>
        <v>0</v>
      </c>
    </row>
    <row r="336" spans="1:29" s="86" customFormat="1" hidden="1">
      <c r="A336" s="85" t="s">
        <v>332</v>
      </c>
      <c r="B336" s="85"/>
      <c r="C336" s="85" t="s">
        <v>21</v>
      </c>
      <c r="D336" s="85"/>
      <c r="E336" s="85">
        <v>46672</v>
      </c>
      <c r="G336" s="86">
        <v>0</v>
      </c>
      <c r="I336" s="86">
        <v>0</v>
      </c>
      <c r="K336" s="91">
        <f t="shared" si="20"/>
        <v>0</v>
      </c>
      <c r="M336" s="86">
        <v>0</v>
      </c>
      <c r="O336" s="91">
        <f t="shared" si="21"/>
        <v>0</v>
      </c>
      <c r="Q336" s="86">
        <v>0</v>
      </c>
      <c r="S336" s="86">
        <v>0</v>
      </c>
      <c r="U336" s="86">
        <v>0</v>
      </c>
      <c r="W336" s="86">
        <v>0</v>
      </c>
      <c r="Y336" s="86">
        <v>0</v>
      </c>
      <c r="AA336" s="14">
        <f t="shared" si="22"/>
        <v>0</v>
      </c>
      <c r="AC336" s="86">
        <f t="shared" si="23"/>
        <v>0</v>
      </c>
    </row>
    <row r="337" spans="1:29">
      <c r="A337" s="13" t="s">
        <v>672</v>
      </c>
      <c r="B337" s="13"/>
      <c r="C337" s="13" t="s">
        <v>63</v>
      </c>
      <c r="D337" s="13"/>
      <c r="E337" s="32">
        <v>50039</v>
      </c>
      <c r="G337" s="8">
        <v>6902359</v>
      </c>
      <c r="I337" s="8">
        <v>31768</v>
      </c>
      <c r="K337" s="3">
        <f t="shared" ref="K337:K402" si="24">M337-G337-I337</f>
        <v>3882148</v>
      </c>
      <c r="M337" s="8">
        <v>10816275</v>
      </c>
      <c r="O337" s="3">
        <f t="shared" ref="O337:O402" si="25">S337-Q337</f>
        <v>1167058</v>
      </c>
      <c r="Q337" s="8">
        <v>3608998</v>
      </c>
      <c r="S337" s="8">
        <v>4776056</v>
      </c>
      <c r="U337" s="8">
        <f>373155+246337+31768</f>
        <v>651260</v>
      </c>
      <c r="W337" s="8">
        <v>0</v>
      </c>
      <c r="Y337" s="8">
        <f>4991196+111550+106924+179289</f>
        <v>5388959</v>
      </c>
      <c r="AA337" s="14">
        <f t="shared" ref="AA337:AA390" si="26">U337+W337+Y337</f>
        <v>6040219</v>
      </c>
      <c r="AC337" s="8">
        <f t="shared" ref="AC337:AC402" si="27">+G337+I337+K337-O337-Q337-Y337-W337-U337</f>
        <v>0</v>
      </c>
    </row>
    <row r="338" spans="1:29" hidden="1">
      <c r="A338" s="13" t="s">
        <v>748</v>
      </c>
      <c r="B338" s="13"/>
      <c r="C338" s="13" t="s">
        <v>747</v>
      </c>
      <c r="D338" s="13"/>
      <c r="E338" s="32">
        <v>50740</v>
      </c>
      <c r="G338" s="8">
        <v>0</v>
      </c>
      <c r="I338" s="8">
        <v>0</v>
      </c>
      <c r="K338" s="3">
        <f t="shared" si="24"/>
        <v>0</v>
      </c>
      <c r="M338" s="8">
        <v>0</v>
      </c>
      <c r="O338" s="3">
        <f t="shared" si="25"/>
        <v>0</v>
      </c>
      <c r="Q338" s="8">
        <v>0</v>
      </c>
      <c r="S338" s="8">
        <v>0</v>
      </c>
      <c r="U338" s="8">
        <v>0</v>
      </c>
      <c r="W338" s="8">
        <v>0</v>
      </c>
      <c r="Y338" s="8">
        <v>0</v>
      </c>
      <c r="AA338" s="14">
        <f t="shared" si="26"/>
        <v>0</v>
      </c>
      <c r="AC338" s="8">
        <f t="shared" si="27"/>
        <v>0</v>
      </c>
    </row>
    <row r="339" spans="1:29">
      <c r="A339" s="13" t="s">
        <v>252</v>
      </c>
      <c r="B339" s="13"/>
      <c r="C339" s="13" t="s">
        <v>246</v>
      </c>
      <c r="D339" s="13"/>
      <c r="E339" s="32">
        <v>139303</v>
      </c>
      <c r="G339" s="8">
        <v>2069225</v>
      </c>
      <c r="I339" s="8">
        <v>0</v>
      </c>
      <c r="K339" s="3">
        <f t="shared" si="24"/>
        <v>13826859</v>
      </c>
      <c r="M339" s="8">
        <v>15896084</v>
      </c>
      <c r="O339" s="3">
        <f t="shared" si="25"/>
        <v>3615994</v>
      </c>
      <c r="Q339" s="8">
        <v>11191220</v>
      </c>
      <c r="S339" s="8">
        <v>14807214</v>
      </c>
      <c r="U339" s="8">
        <f>353007+380046+164552</f>
        <v>897605</v>
      </c>
      <c r="W339" s="8">
        <v>0</v>
      </c>
      <c r="Y339" s="8">
        <f>-1462836+1112980+2036814-1495693</f>
        <v>191265</v>
      </c>
      <c r="AA339" s="14">
        <f t="shared" si="26"/>
        <v>1088870</v>
      </c>
      <c r="AC339" s="8">
        <f t="shared" si="27"/>
        <v>0</v>
      </c>
    </row>
    <row r="340" spans="1:29">
      <c r="A340" s="13" t="s">
        <v>449</v>
      </c>
      <c r="B340" s="13"/>
      <c r="C340" s="13" t="s">
        <v>37</v>
      </c>
      <c r="D340" s="13"/>
      <c r="E340" s="32">
        <v>47712</v>
      </c>
      <c r="G340" s="8">
        <v>2134794</v>
      </c>
      <c r="I340" s="8">
        <v>25648</v>
      </c>
      <c r="K340" s="3">
        <f t="shared" si="24"/>
        <v>2509655</v>
      </c>
      <c r="M340" s="8">
        <v>4670097</v>
      </c>
      <c r="O340" s="3">
        <f t="shared" si="25"/>
        <v>2743874</v>
      </c>
      <c r="Q340" s="8">
        <v>234239</v>
      </c>
      <c r="S340" s="8">
        <v>2978113</v>
      </c>
      <c r="U340" s="8">
        <f>70547+5220+3510+289512+7313+18335</f>
        <v>394437</v>
      </c>
      <c r="W340" s="8">
        <v>0</v>
      </c>
      <c r="Y340" s="8">
        <f>1100140+75743+121664</f>
        <v>1297547</v>
      </c>
      <c r="AA340" s="14">
        <f t="shared" si="26"/>
        <v>1691984</v>
      </c>
      <c r="AC340" s="8">
        <f t="shared" si="27"/>
        <v>0</v>
      </c>
    </row>
    <row r="341" spans="1:29">
      <c r="A341" s="13" t="s">
        <v>737</v>
      </c>
      <c r="B341" s="13"/>
      <c r="C341" s="13" t="s">
        <v>733</v>
      </c>
      <c r="D341" s="13"/>
      <c r="E341" s="32">
        <v>45526</v>
      </c>
      <c r="G341" s="8">
        <f>3293243+1594910</f>
        <v>4888153</v>
      </c>
      <c r="I341" s="8">
        <v>0</v>
      </c>
      <c r="K341" s="3">
        <f t="shared" si="24"/>
        <v>3234267</v>
      </c>
      <c r="M341" s="8">
        <v>8122420</v>
      </c>
      <c r="O341" s="3">
        <f t="shared" si="25"/>
        <v>0</v>
      </c>
      <c r="Q341" s="8">
        <v>3990508</v>
      </c>
      <c r="S341" s="8">
        <v>3990508</v>
      </c>
      <c r="U341" s="8">
        <f>62936+12021+1601+89142</f>
        <v>165700</v>
      </c>
      <c r="W341" s="8">
        <v>0</v>
      </c>
      <c r="Y341" s="8">
        <f>1427245+534959+342125+1661883</f>
        <v>3966212</v>
      </c>
      <c r="AA341" s="14">
        <f t="shared" si="26"/>
        <v>4131912</v>
      </c>
      <c r="AC341" s="8">
        <f t="shared" si="27"/>
        <v>0</v>
      </c>
    </row>
    <row r="342" spans="1:29">
      <c r="A342" s="13" t="s">
        <v>566</v>
      </c>
      <c r="B342" s="13"/>
      <c r="C342" s="13" t="s">
        <v>567</v>
      </c>
      <c r="D342" s="13"/>
      <c r="E342" s="32">
        <v>48777</v>
      </c>
      <c r="G342" s="8">
        <f>13539841+253</f>
        <v>13540094</v>
      </c>
      <c r="I342" s="8">
        <v>580071</v>
      </c>
      <c r="K342" s="3">
        <f t="shared" si="24"/>
        <v>20628551</v>
      </c>
      <c r="M342" s="8">
        <v>34748716</v>
      </c>
      <c r="O342" s="3">
        <f t="shared" si="25"/>
        <v>2763122</v>
      </c>
      <c r="Q342" s="8">
        <v>19947267</v>
      </c>
      <c r="S342" s="8">
        <v>22710389</v>
      </c>
      <c r="U342" s="8">
        <f>2493175+236613+76683+403949+285706+5000</f>
        <v>3501126</v>
      </c>
      <c r="W342" s="8">
        <v>0</v>
      </c>
      <c r="Y342" s="8">
        <f>912934-46410+614689+7054844+1144</f>
        <v>8537201</v>
      </c>
      <c r="AA342" s="14">
        <f t="shared" si="26"/>
        <v>12038327</v>
      </c>
      <c r="AC342" s="8">
        <f t="shared" si="27"/>
        <v>0</v>
      </c>
    </row>
    <row r="343" spans="1:29">
      <c r="A343" s="13" t="s">
        <v>894</v>
      </c>
      <c r="B343" s="13"/>
      <c r="C343" s="13" t="s">
        <v>78</v>
      </c>
      <c r="D343" s="13"/>
      <c r="E343" s="32">
        <v>45534</v>
      </c>
      <c r="G343" s="8">
        <v>12995143</v>
      </c>
      <c r="I343" s="8">
        <v>47692</v>
      </c>
      <c r="K343" s="3">
        <f t="shared" si="24"/>
        <v>17371874</v>
      </c>
      <c r="M343" s="8">
        <v>30414709</v>
      </c>
      <c r="O343" s="3">
        <f t="shared" si="25"/>
        <v>5718181</v>
      </c>
      <c r="Q343" s="8">
        <v>11897126</v>
      </c>
      <c r="S343" s="8">
        <v>17615307</v>
      </c>
      <c r="U343" s="8">
        <f>2627663+7373+10929+903790+47692+1124754</f>
        <v>4722201</v>
      </c>
      <c r="W343" s="8">
        <v>0</v>
      </c>
      <c r="Y343" s="8">
        <f>1728385+227667+6121149</f>
        <v>8077201</v>
      </c>
      <c r="AA343" s="14">
        <f t="shared" si="26"/>
        <v>12799402</v>
      </c>
      <c r="AC343" s="8">
        <f t="shared" si="27"/>
        <v>0</v>
      </c>
    </row>
    <row r="344" spans="1:29">
      <c r="A344" s="13" t="s">
        <v>462</v>
      </c>
      <c r="B344" s="13"/>
      <c r="C344" s="13" t="s">
        <v>40</v>
      </c>
      <c r="D344" s="13"/>
      <c r="E344" s="32">
        <v>44420</v>
      </c>
      <c r="G344" s="8">
        <v>12556609</v>
      </c>
      <c r="I344" s="8">
        <v>83455</v>
      </c>
      <c r="K344" s="3">
        <f t="shared" si="24"/>
        <v>17367212</v>
      </c>
      <c r="M344" s="8">
        <v>30007276</v>
      </c>
      <c r="O344" s="3">
        <f t="shared" si="25"/>
        <v>3282176</v>
      </c>
      <c r="Q344" s="8">
        <v>12806534</v>
      </c>
      <c r="S344" s="8">
        <v>16088710</v>
      </c>
      <c r="U344" s="8">
        <f>754447+3715696+83455</f>
        <v>4553598</v>
      </c>
      <c r="W344" s="8">
        <v>0</v>
      </c>
      <c r="Y344" s="8">
        <f>5362234+248425+2012180+1742129</f>
        <v>9364968</v>
      </c>
      <c r="AA344" s="14">
        <f t="shared" si="26"/>
        <v>13918566</v>
      </c>
      <c r="AC344" s="8">
        <f t="shared" si="27"/>
        <v>0</v>
      </c>
    </row>
    <row r="345" spans="1:29">
      <c r="A345" s="13" t="s">
        <v>898</v>
      </c>
      <c r="B345" s="13"/>
      <c r="C345" s="13" t="s">
        <v>32</v>
      </c>
      <c r="D345" s="13"/>
      <c r="E345" s="32">
        <v>44412</v>
      </c>
      <c r="G345" s="8">
        <v>40816476</v>
      </c>
      <c r="I345" s="8">
        <v>876968</v>
      </c>
      <c r="K345" s="3">
        <f t="shared" si="24"/>
        <v>16375237</v>
      </c>
      <c r="M345" s="8">
        <v>58068681</v>
      </c>
      <c r="O345" s="3">
        <f t="shared" si="25"/>
        <v>6072028</v>
      </c>
      <c r="Q345" s="8">
        <v>10524915</v>
      </c>
      <c r="S345" s="8">
        <v>16596943</v>
      </c>
      <c r="U345" s="8">
        <f>4707189+13899+5126000+876968</f>
        <v>10724056</v>
      </c>
      <c r="W345" s="8">
        <v>0</v>
      </c>
      <c r="Y345" s="8">
        <f>-2840732-802810+528315+33862909</f>
        <v>30747682</v>
      </c>
      <c r="AA345" s="14">
        <f t="shared" si="26"/>
        <v>41471738</v>
      </c>
      <c r="AC345" s="8">
        <f t="shared" si="27"/>
        <v>0</v>
      </c>
    </row>
    <row r="346" spans="1:29">
      <c r="A346" s="13" t="s">
        <v>437</v>
      </c>
      <c r="B346" s="13"/>
      <c r="C346" s="13" t="s">
        <v>34</v>
      </c>
      <c r="D346" s="13"/>
      <c r="E346" s="32">
        <v>44438</v>
      </c>
      <c r="G346" s="8">
        <v>10300780</v>
      </c>
      <c r="I346" s="8">
        <v>0</v>
      </c>
      <c r="K346" s="3">
        <f t="shared" si="24"/>
        <v>11884710</v>
      </c>
      <c r="M346" s="8">
        <v>22185490</v>
      </c>
      <c r="O346" s="3">
        <f t="shared" si="25"/>
        <v>3256957</v>
      </c>
      <c r="Q346" s="8">
        <v>10240653</v>
      </c>
      <c r="S346" s="8">
        <v>13497610</v>
      </c>
      <c r="U346" s="8">
        <v>2104400</v>
      </c>
      <c r="W346" s="8">
        <v>200815</v>
      </c>
      <c r="Y346" s="8">
        <v>6382665</v>
      </c>
      <c r="AA346" s="14">
        <f t="shared" si="26"/>
        <v>8687880</v>
      </c>
      <c r="AC346" s="8">
        <f t="shared" si="27"/>
        <v>0</v>
      </c>
    </row>
    <row r="347" spans="1:29">
      <c r="A347" s="13" t="s">
        <v>227</v>
      </c>
      <c r="B347" s="13"/>
      <c r="C347" s="13" t="s">
        <v>13</v>
      </c>
      <c r="D347" s="13"/>
      <c r="E347" s="32">
        <v>44446</v>
      </c>
      <c r="G347" s="8">
        <v>13897037</v>
      </c>
      <c r="I347" s="8">
        <v>0</v>
      </c>
      <c r="K347" s="3">
        <f t="shared" si="24"/>
        <v>6592474</v>
      </c>
      <c r="M347" s="8">
        <v>20489511</v>
      </c>
      <c r="O347" s="3">
        <f t="shared" si="25"/>
        <v>2524475</v>
      </c>
      <c r="Q347" s="8">
        <v>6395188</v>
      </c>
      <c r="S347" s="8">
        <v>8919663</v>
      </c>
      <c r="U347" s="8">
        <v>13860256</v>
      </c>
      <c r="W347" s="8">
        <v>0</v>
      </c>
      <c r="Y347" s="8">
        <v>-2290408</v>
      </c>
      <c r="AA347" s="14">
        <f t="shared" si="26"/>
        <v>11569848</v>
      </c>
      <c r="AC347" s="8">
        <f t="shared" si="27"/>
        <v>0</v>
      </c>
    </row>
    <row r="348" spans="1:29">
      <c r="A348" s="13" t="s">
        <v>844</v>
      </c>
      <c r="B348" s="13"/>
      <c r="C348" s="13" t="s">
        <v>27</v>
      </c>
      <c r="D348" s="13"/>
      <c r="E348" s="32">
        <v>44461</v>
      </c>
      <c r="G348" s="8">
        <v>17558024</v>
      </c>
      <c r="I348" s="8">
        <v>0</v>
      </c>
      <c r="K348" s="3">
        <f t="shared" si="24"/>
        <v>41969795</v>
      </c>
      <c r="M348" s="8">
        <v>59527819</v>
      </c>
      <c r="O348" s="3">
        <f t="shared" si="25"/>
        <v>6303369</v>
      </c>
      <c r="Q348" s="8">
        <v>27160000</v>
      </c>
      <c r="S348" s="8">
        <v>33463369</v>
      </c>
      <c r="U348" s="8">
        <f>14280162+292918+25259</f>
        <v>14598339</v>
      </c>
      <c r="W348" s="8">
        <v>0</v>
      </c>
      <c r="Y348" s="8">
        <f>6477635+785213+2538592+1664671</f>
        <v>11466111</v>
      </c>
      <c r="AA348" s="14">
        <f t="shared" si="26"/>
        <v>26064450</v>
      </c>
      <c r="AC348" s="8">
        <f t="shared" si="27"/>
        <v>0</v>
      </c>
    </row>
    <row r="349" spans="1:29">
      <c r="A349" s="13" t="s">
        <v>635</v>
      </c>
      <c r="B349" s="13"/>
      <c r="C349" s="13" t="s">
        <v>59</v>
      </c>
      <c r="D349" s="13"/>
      <c r="E349" s="32">
        <v>44461</v>
      </c>
      <c r="G349" s="8">
        <v>689931</v>
      </c>
      <c r="I349" s="8">
        <v>0</v>
      </c>
      <c r="K349" s="3">
        <f t="shared" si="24"/>
        <v>2163040</v>
      </c>
      <c r="M349" s="8">
        <v>2852971</v>
      </c>
      <c r="O349" s="3">
        <f t="shared" si="25"/>
        <v>920929</v>
      </c>
      <c r="Q349" s="8">
        <v>1351325</v>
      </c>
      <c r="S349" s="8">
        <v>2272254</v>
      </c>
      <c r="U349" s="8">
        <v>303322</v>
      </c>
      <c r="W349" s="8">
        <v>0</v>
      </c>
      <c r="Y349" s="8">
        <v>277395</v>
      </c>
      <c r="AA349" s="14">
        <f t="shared" si="26"/>
        <v>580717</v>
      </c>
      <c r="AC349" s="8">
        <f t="shared" si="27"/>
        <v>0</v>
      </c>
    </row>
    <row r="350" spans="1:29">
      <c r="A350" s="13" t="s">
        <v>230</v>
      </c>
      <c r="B350" s="13"/>
      <c r="C350" s="13" t="s">
        <v>14</v>
      </c>
      <c r="D350" s="13"/>
      <c r="E350" s="32">
        <v>45955</v>
      </c>
      <c r="G350" s="8">
        <v>5086170</v>
      </c>
      <c r="I350" s="8">
        <v>0</v>
      </c>
      <c r="K350" s="3">
        <f t="shared" si="24"/>
        <v>4029243</v>
      </c>
      <c r="M350" s="8">
        <v>9115413</v>
      </c>
      <c r="O350" s="3">
        <f t="shared" si="25"/>
        <v>1063196</v>
      </c>
      <c r="Q350" s="8">
        <v>2964511</v>
      </c>
      <c r="S350" s="8">
        <v>4027707</v>
      </c>
      <c r="U350" s="8">
        <v>307036</v>
      </c>
      <c r="W350" s="8">
        <v>0</v>
      </c>
      <c r="Y350" s="8">
        <v>4780670</v>
      </c>
      <c r="AA350" s="14">
        <f t="shared" si="26"/>
        <v>5087706</v>
      </c>
      <c r="AC350" s="8">
        <f t="shared" si="27"/>
        <v>0</v>
      </c>
    </row>
    <row r="351" spans="1:29" hidden="1">
      <c r="A351" s="13" t="s">
        <v>231</v>
      </c>
      <c r="B351" s="13"/>
      <c r="C351" s="13" t="s">
        <v>14</v>
      </c>
      <c r="D351" s="13"/>
      <c r="E351" s="32">
        <v>45963</v>
      </c>
      <c r="G351" s="8">
        <v>0</v>
      </c>
      <c r="I351" s="8">
        <v>0</v>
      </c>
      <c r="K351" s="3">
        <f t="shared" si="24"/>
        <v>0</v>
      </c>
      <c r="M351" s="8">
        <v>0</v>
      </c>
      <c r="O351" s="3">
        <f t="shared" si="25"/>
        <v>0</v>
      </c>
      <c r="Q351" s="8">
        <v>0</v>
      </c>
      <c r="S351" s="8">
        <v>0</v>
      </c>
      <c r="U351" s="8">
        <v>0</v>
      </c>
      <c r="W351" s="8">
        <v>0</v>
      </c>
      <c r="Y351" s="8">
        <v>0</v>
      </c>
      <c r="AA351" s="14">
        <f t="shared" si="26"/>
        <v>0</v>
      </c>
      <c r="AC351" s="8">
        <f t="shared" si="27"/>
        <v>0</v>
      </c>
    </row>
    <row r="352" spans="1:29">
      <c r="A352" s="13" t="s">
        <v>560</v>
      </c>
      <c r="B352" s="13"/>
      <c r="C352" s="13" t="s">
        <v>50</v>
      </c>
      <c r="D352" s="13"/>
      <c r="E352" s="32">
        <v>48710</v>
      </c>
      <c r="G352" s="8">
        <v>3844251</v>
      </c>
      <c r="I352" s="8">
        <v>20616</v>
      </c>
      <c r="K352" s="3">
        <f t="shared" si="24"/>
        <v>3803468</v>
      </c>
      <c r="M352" s="8">
        <v>7668335</v>
      </c>
      <c r="O352" s="3">
        <f t="shared" si="25"/>
        <v>3974854</v>
      </c>
      <c r="Q352" s="8">
        <v>179825</v>
      </c>
      <c r="S352" s="8">
        <v>4154679</v>
      </c>
      <c r="U352" s="8">
        <f>257321+11904+220417+20616+326666</f>
        <v>836924</v>
      </c>
      <c r="W352" s="8">
        <v>0</v>
      </c>
      <c r="Y352" s="8">
        <f>1871241+246770+558721</f>
        <v>2676732</v>
      </c>
      <c r="AA352" s="14">
        <f t="shared" si="26"/>
        <v>3513656</v>
      </c>
      <c r="AC352" s="8">
        <f t="shared" si="27"/>
        <v>0</v>
      </c>
    </row>
    <row r="353" spans="1:29" hidden="1">
      <c r="A353" s="13" t="s">
        <v>587</v>
      </c>
      <c r="B353" s="13"/>
      <c r="C353" s="13" t="s">
        <v>586</v>
      </c>
      <c r="D353" s="13"/>
      <c r="E353" s="32">
        <v>44479</v>
      </c>
      <c r="G353" s="8">
        <v>0</v>
      </c>
      <c r="I353" s="8">
        <v>0</v>
      </c>
      <c r="K353" s="3">
        <f t="shared" si="24"/>
        <v>0</v>
      </c>
      <c r="M353" s="8">
        <v>0</v>
      </c>
      <c r="O353" s="3">
        <f t="shared" si="25"/>
        <v>0</v>
      </c>
      <c r="Q353" s="8">
        <v>0</v>
      </c>
      <c r="S353" s="8">
        <v>0</v>
      </c>
      <c r="U353" s="8">
        <v>0</v>
      </c>
      <c r="W353" s="8">
        <v>0</v>
      </c>
      <c r="Y353" s="8">
        <v>0</v>
      </c>
      <c r="AA353" s="14">
        <f t="shared" si="26"/>
        <v>0</v>
      </c>
      <c r="AC353" s="8">
        <f t="shared" si="27"/>
        <v>0</v>
      </c>
    </row>
    <row r="354" spans="1:29">
      <c r="A354" s="13" t="s">
        <v>450</v>
      </c>
      <c r="B354" s="13"/>
      <c r="C354" s="13" t="s">
        <v>37</v>
      </c>
      <c r="D354" s="13"/>
      <c r="E354" s="32">
        <v>47720</v>
      </c>
      <c r="G354" s="8">
        <v>3273959</v>
      </c>
      <c r="I354" s="8">
        <v>0</v>
      </c>
      <c r="K354" s="3">
        <f t="shared" si="24"/>
        <v>2848012</v>
      </c>
      <c r="M354" s="8">
        <v>6121971</v>
      </c>
      <c r="O354" s="3">
        <f t="shared" si="25"/>
        <v>1313934</v>
      </c>
      <c r="Q354" s="8">
        <v>2087828</v>
      </c>
      <c r="S354" s="8">
        <v>3401762</v>
      </c>
      <c r="U354" s="8">
        <v>861314</v>
      </c>
      <c r="W354" s="8">
        <v>0</v>
      </c>
      <c r="Y354" s="8">
        <v>1858895</v>
      </c>
      <c r="AA354" s="14">
        <f t="shared" si="26"/>
        <v>2720209</v>
      </c>
      <c r="AC354" s="8">
        <f t="shared" si="27"/>
        <v>0</v>
      </c>
    </row>
    <row r="355" spans="1:29">
      <c r="A355" s="13" t="s">
        <v>253</v>
      </c>
      <c r="B355" s="13"/>
      <c r="C355" s="13" t="s">
        <v>246</v>
      </c>
      <c r="D355" s="13"/>
      <c r="E355" s="32">
        <v>46136</v>
      </c>
      <c r="G355" s="8">
        <v>2643122</v>
      </c>
      <c r="I355" s="8">
        <v>0</v>
      </c>
      <c r="K355" s="3">
        <f t="shared" si="24"/>
        <v>1948236</v>
      </c>
      <c r="M355" s="8">
        <v>4591358</v>
      </c>
      <c r="O355" s="3">
        <f t="shared" si="25"/>
        <v>898736</v>
      </c>
      <c r="Q355" s="8">
        <v>1473809</v>
      </c>
      <c r="S355" s="8">
        <v>2372545</v>
      </c>
      <c r="U355" s="8">
        <v>314041</v>
      </c>
      <c r="W355" s="8">
        <v>0</v>
      </c>
      <c r="Y355" s="8">
        <v>1904772</v>
      </c>
      <c r="AA355" s="14">
        <f t="shared" si="26"/>
        <v>2218813</v>
      </c>
      <c r="AC355" s="8">
        <f t="shared" si="27"/>
        <v>0</v>
      </c>
    </row>
    <row r="356" spans="1:29">
      <c r="A356" s="13" t="s">
        <v>703</v>
      </c>
      <c r="B356" s="13"/>
      <c r="C356" s="13" t="s">
        <v>65</v>
      </c>
      <c r="D356" s="13"/>
      <c r="E356" s="32">
        <v>44487</v>
      </c>
      <c r="G356" s="8">
        <v>7415600</v>
      </c>
      <c r="I356" s="8">
        <v>0</v>
      </c>
      <c r="K356" s="3">
        <f t="shared" si="24"/>
        <v>13697566</v>
      </c>
      <c r="M356" s="8">
        <v>21113166</v>
      </c>
      <c r="O356" s="3">
        <f t="shared" si="25"/>
        <v>3025992</v>
      </c>
      <c r="Q356" s="8">
        <v>12405533</v>
      </c>
      <c r="S356" s="8">
        <v>15431525</v>
      </c>
      <c r="U356" s="8">
        <f>205870+53036+19279+1012237</f>
        <v>1290422</v>
      </c>
      <c r="W356" s="8">
        <v>0</v>
      </c>
      <c r="Y356" s="8">
        <f>2880684+379017+631132+500386</f>
        <v>4391219</v>
      </c>
      <c r="AA356" s="14">
        <f t="shared" si="26"/>
        <v>5681641</v>
      </c>
      <c r="AC356" s="8">
        <f t="shared" si="27"/>
        <v>0</v>
      </c>
    </row>
    <row r="357" spans="1:29">
      <c r="A357" s="13" t="s">
        <v>275</v>
      </c>
      <c r="B357" s="13"/>
      <c r="C357" s="13" t="s">
        <v>116</v>
      </c>
      <c r="D357" s="13"/>
      <c r="E357" s="32">
        <v>45559</v>
      </c>
      <c r="G357" s="8">
        <v>20900378</v>
      </c>
      <c r="I357" s="8">
        <v>0</v>
      </c>
      <c r="K357" s="3">
        <f t="shared" si="24"/>
        <v>9920588</v>
      </c>
      <c r="M357" s="8">
        <v>30820966</v>
      </c>
      <c r="O357" s="3">
        <f t="shared" si="25"/>
        <v>2453426</v>
      </c>
      <c r="Q357" s="8">
        <v>12332559</v>
      </c>
      <c r="S357" s="8">
        <v>14785985</v>
      </c>
      <c r="U357" s="8">
        <v>1339132</v>
      </c>
      <c r="W357" s="8">
        <v>0</v>
      </c>
      <c r="Y357" s="8">
        <v>14695849</v>
      </c>
      <c r="AA357" s="14">
        <f t="shared" si="26"/>
        <v>16034981</v>
      </c>
      <c r="AC357" s="8">
        <f t="shared" si="27"/>
        <v>0</v>
      </c>
    </row>
    <row r="358" spans="1:29" hidden="1">
      <c r="A358" s="13" t="s">
        <v>642</v>
      </c>
      <c r="B358" s="13"/>
      <c r="C358" s="13" t="s">
        <v>60</v>
      </c>
      <c r="D358" s="13"/>
      <c r="E358" s="32">
        <v>49718</v>
      </c>
      <c r="G358" s="8">
        <v>0</v>
      </c>
      <c r="I358" s="8">
        <v>0</v>
      </c>
      <c r="K358" s="3">
        <f t="shared" si="24"/>
        <v>0</v>
      </c>
      <c r="M358" s="8">
        <v>0</v>
      </c>
      <c r="O358" s="3">
        <f t="shared" si="25"/>
        <v>0</v>
      </c>
      <c r="Q358" s="8">
        <v>0</v>
      </c>
      <c r="S358" s="8">
        <v>0</v>
      </c>
      <c r="U358" s="8">
        <v>0</v>
      </c>
      <c r="W358" s="8">
        <v>0</v>
      </c>
      <c r="Y358" s="8">
        <v>0</v>
      </c>
      <c r="AA358" s="14">
        <f t="shared" si="26"/>
        <v>0</v>
      </c>
      <c r="AC358" s="8">
        <f t="shared" si="27"/>
        <v>0</v>
      </c>
    </row>
    <row r="359" spans="1:29">
      <c r="A359" s="13" t="s">
        <v>484</v>
      </c>
      <c r="B359" s="13"/>
      <c r="C359" s="13" t="s">
        <v>42</v>
      </c>
      <c r="D359" s="13"/>
      <c r="E359" s="32">
        <v>44453</v>
      </c>
      <c r="G359" s="8">
        <v>31629720</v>
      </c>
      <c r="I359" s="8">
        <v>0</v>
      </c>
      <c r="K359" s="3">
        <f t="shared" si="24"/>
        <v>26329226</v>
      </c>
      <c r="M359" s="8">
        <v>57958946</v>
      </c>
      <c r="O359" s="3">
        <f t="shared" si="25"/>
        <v>8814591</v>
      </c>
      <c r="Q359" s="8">
        <v>21061277</v>
      </c>
      <c r="S359" s="8">
        <v>29875868</v>
      </c>
      <c r="U359" s="8">
        <v>15633994</v>
      </c>
      <c r="W359" s="8">
        <v>669981</v>
      </c>
      <c r="Y359" s="8">
        <v>11779103</v>
      </c>
      <c r="AA359" s="14">
        <f t="shared" si="26"/>
        <v>28083078</v>
      </c>
      <c r="AC359" s="8">
        <f t="shared" si="27"/>
        <v>0</v>
      </c>
    </row>
    <row r="360" spans="1:29">
      <c r="A360" s="13" t="s">
        <v>386</v>
      </c>
      <c r="B360" s="13"/>
      <c r="C360" s="13" t="s">
        <v>30</v>
      </c>
      <c r="D360" s="13"/>
      <c r="E360" s="32">
        <v>47217</v>
      </c>
      <c r="G360" s="8">
        <v>1351351</v>
      </c>
      <c r="I360" s="8">
        <v>0</v>
      </c>
      <c r="K360" s="3">
        <f t="shared" si="24"/>
        <v>5229374</v>
      </c>
      <c r="M360" s="8">
        <v>6580725</v>
      </c>
      <c r="O360" s="3">
        <f t="shared" si="25"/>
        <v>799848</v>
      </c>
      <c r="Q360" s="8">
        <v>4316397</v>
      </c>
      <c r="S360" s="8">
        <v>5116245</v>
      </c>
      <c r="U360" s="8">
        <v>941657</v>
      </c>
      <c r="W360" s="8">
        <v>0</v>
      </c>
      <c r="Y360" s="8">
        <v>522823</v>
      </c>
      <c r="AA360" s="14">
        <f t="shared" si="26"/>
        <v>1464480</v>
      </c>
      <c r="AC360" s="8">
        <f t="shared" si="27"/>
        <v>0</v>
      </c>
    </row>
    <row r="361" spans="1:29">
      <c r="A361" s="13" t="s">
        <v>704</v>
      </c>
      <c r="B361" s="13"/>
      <c r="C361" s="13" t="s">
        <v>65</v>
      </c>
      <c r="D361" s="13"/>
      <c r="E361" s="32">
        <v>45542</v>
      </c>
      <c r="G361" s="8">
        <v>2095729</v>
      </c>
      <c r="I361" s="8">
        <v>230049</v>
      </c>
      <c r="K361" s="3">
        <f t="shared" si="24"/>
        <v>3881468</v>
      </c>
      <c r="M361" s="8">
        <v>6207246</v>
      </c>
      <c r="O361" s="3">
        <f t="shared" si="25"/>
        <v>4878819</v>
      </c>
      <c r="Q361" s="8">
        <v>280627</v>
      </c>
      <c r="S361" s="8">
        <v>5159446</v>
      </c>
      <c r="U361" s="8">
        <f>288412+17790+305903+343977+193301+36748</f>
        <v>1186131</v>
      </c>
      <c r="W361" s="8">
        <v>0</v>
      </c>
      <c r="Y361" s="8">
        <f>-98283-159672+111984+7640</f>
        <v>-138331</v>
      </c>
      <c r="AA361" s="14">
        <f t="shared" si="26"/>
        <v>1047800</v>
      </c>
      <c r="AC361" s="8">
        <f t="shared" si="27"/>
        <v>0</v>
      </c>
    </row>
    <row r="362" spans="1:29">
      <c r="A362" s="13" t="s">
        <v>695</v>
      </c>
      <c r="B362" s="13"/>
      <c r="C362" s="13" t="s">
        <v>64</v>
      </c>
      <c r="D362" s="13"/>
      <c r="E362" s="32">
        <v>45567</v>
      </c>
      <c r="G362" s="8">
        <v>3526055</v>
      </c>
      <c r="I362" s="8">
        <v>0</v>
      </c>
      <c r="K362" s="3">
        <f t="shared" si="24"/>
        <v>4799240</v>
      </c>
      <c r="M362" s="8">
        <v>8325295</v>
      </c>
      <c r="O362" s="3">
        <f t="shared" si="25"/>
        <v>1291864</v>
      </c>
      <c r="Q362" s="8">
        <v>4603238</v>
      </c>
      <c r="S362" s="8">
        <v>5895102</v>
      </c>
      <c r="U362" s="8">
        <v>393182</v>
      </c>
      <c r="W362" s="8">
        <v>0</v>
      </c>
      <c r="Y362" s="8">
        <v>2037011</v>
      </c>
      <c r="AA362" s="14">
        <f t="shared" si="26"/>
        <v>2430193</v>
      </c>
      <c r="AC362" s="8">
        <f t="shared" si="27"/>
        <v>0</v>
      </c>
    </row>
    <row r="363" spans="1:29">
      <c r="A363" s="13" t="s">
        <v>547</v>
      </c>
      <c r="B363" s="13"/>
      <c r="C363" s="13" t="s">
        <v>48</v>
      </c>
      <c r="D363" s="13"/>
      <c r="E363" s="32">
        <v>48637</v>
      </c>
      <c r="G363" s="8">
        <v>10278586</v>
      </c>
      <c r="I363" s="8">
        <v>0</v>
      </c>
      <c r="K363" s="3">
        <f t="shared" si="24"/>
        <v>11065893</v>
      </c>
      <c r="M363" s="8">
        <v>21344479</v>
      </c>
      <c r="O363" s="3">
        <f t="shared" si="25"/>
        <v>564584</v>
      </c>
      <c r="Q363" s="8">
        <v>10522607</v>
      </c>
      <c r="S363" s="8">
        <v>11087191</v>
      </c>
      <c r="U363" s="8">
        <v>389199</v>
      </c>
      <c r="W363" s="8">
        <v>0</v>
      </c>
      <c r="Y363" s="8">
        <v>9868089</v>
      </c>
      <c r="AA363" s="14">
        <f t="shared" si="26"/>
        <v>10257288</v>
      </c>
      <c r="AC363" s="8">
        <f t="shared" si="27"/>
        <v>0</v>
      </c>
    </row>
    <row r="364" spans="1:29">
      <c r="A364" s="13" t="s">
        <v>836</v>
      </c>
      <c r="B364" s="13"/>
      <c r="C364" s="13" t="s">
        <v>64</v>
      </c>
      <c r="D364" s="13"/>
      <c r="E364" s="32"/>
      <c r="G364" s="8">
        <v>3107802</v>
      </c>
      <c r="I364" s="8">
        <v>0</v>
      </c>
      <c r="K364" s="3">
        <f t="shared" si="24"/>
        <v>10819189</v>
      </c>
      <c r="M364" s="8">
        <v>13926991</v>
      </c>
      <c r="O364" s="3">
        <f t="shared" si="25"/>
        <v>12259108</v>
      </c>
      <c r="Q364" s="8">
        <v>1082439</v>
      </c>
      <c r="S364" s="8">
        <v>13341547</v>
      </c>
      <c r="U364" s="8">
        <f>354152+3526+1310994+219472+95452+31703+739041</f>
        <v>2754340</v>
      </c>
      <c r="W364" s="8">
        <v>0</v>
      </c>
      <c r="Y364" s="8">
        <f>-3939624+610101+1160627</f>
        <v>-2168896</v>
      </c>
      <c r="AA364" s="14">
        <f t="shared" si="26"/>
        <v>585444</v>
      </c>
      <c r="AC364" s="8">
        <f t="shared" si="27"/>
        <v>0</v>
      </c>
    </row>
    <row r="365" spans="1:29">
      <c r="A365" s="13" t="s">
        <v>578</v>
      </c>
      <c r="B365" s="13"/>
      <c r="C365" s="13" t="s">
        <v>52</v>
      </c>
      <c r="D365" s="13"/>
      <c r="E365" s="32">
        <v>48900</v>
      </c>
      <c r="G365" s="8">
        <v>1428960</v>
      </c>
      <c r="I365" s="8">
        <v>0</v>
      </c>
      <c r="K365" s="3">
        <f t="shared" si="24"/>
        <v>3073439</v>
      </c>
      <c r="M365" s="8">
        <v>4502399</v>
      </c>
      <c r="O365" s="3">
        <f t="shared" si="25"/>
        <v>1235150</v>
      </c>
      <c r="Q365" s="8">
        <v>2437206</v>
      </c>
      <c r="S365" s="8">
        <v>3672356</v>
      </c>
      <c r="U365" s="8">
        <v>469908</v>
      </c>
      <c r="W365" s="8">
        <v>0</v>
      </c>
      <c r="Y365" s="8">
        <v>360135</v>
      </c>
      <c r="AA365" s="14">
        <f t="shared" si="26"/>
        <v>830043</v>
      </c>
      <c r="AC365" s="8">
        <f t="shared" si="27"/>
        <v>0</v>
      </c>
    </row>
    <row r="366" spans="1:29">
      <c r="A366" s="13" t="s">
        <v>673</v>
      </c>
      <c r="B366" s="13"/>
      <c r="C366" s="13" t="s">
        <v>63</v>
      </c>
      <c r="D366" s="13"/>
      <c r="E366" s="32">
        <v>50047</v>
      </c>
      <c r="G366" s="8">
        <v>15224508</v>
      </c>
      <c r="I366" s="8">
        <v>0</v>
      </c>
      <c r="K366" s="3">
        <f t="shared" si="24"/>
        <v>34076790</v>
      </c>
      <c r="M366" s="8">
        <v>49301298</v>
      </c>
      <c r="O366" s="3">
        <f t="shared" si="25"/>
        <v>5101704</v>
      </c>
      <c r="Q366" s="8">
        <v>29530920</v>
      </c>
      <c r="S366" s="8">
        <v>34632624</v>
      </c>
      <c r="U366" s="8">
        <v>1614922</v>
      </c>
      <c r="W366" s="8">
        <v>52345</v>
      </c>
      <c r="Y366" s="8">
        <v>13001407</v>
      </c>
      <c r="AA366" s="14">
        <f t="shared" si="26"/>
        <v>14668674</v>
      </c>
      <c r="AC366" s="8">
        <f t="shared" si="27"/>
        <v>0</v>
      </c>
    </row>
    <row r="367" spans="1:29">
      <c r="A367" s="13" t="s">
        <v>741</v>
      </c>
      <c r="B367" s="13"/>
      <c r="C367" s="13" t="s">
        <v>72</v>
      </c>
      <c r="D367" s="13"/>
      <c r="E367" s="32">
        <v>50708</v>
      </c>
      <c r="G367" s="8">
        <v>2322114</v>
      </c>
      <c r="I367" s="8">
        <v>0</v>
      </c>
      <c r="K367" s="3">
        <f t="shared" si="24"/>
        <v>3331023</v>
      </c>
      <c r="M367" s="8">
        <v>5653137</v>
      </c>
      <c r="O367" s="3">
        <f t="shared" si="25"/>
        <v>2819249</v>
      </c>
      <c r="Q367" s="8">
        <v>2840582</v>
      </c>
      <c r="S367" s="8">
        <v>5659831</v>
      </c>
      <c r="U367" s="8">
        <v>399246</v>
      </c>
      <c r="W367" s="8">
        <v>0</v>
      </c>
      <c r="Y367" s="8">
        <v>-405940</v>
      </c>
      <c r="AA367" s="14">
        <f t="shared" si="26"/>
        <v>-6694</v>
      </c>
      <c r="AC367" s="8">
        <f t="shared" si="27"/>
        <v>0</v>
      </c>
    </row>
    <row r="368" spans="1:29" hidden="1">
      <c r="A368" s="13" t="s">
        <v>581</v>
      </c>
      <c r="B368" s="13"/>
      <c r="C368" s="13" t="s">
        <v>53</v>
      </c>
      <c r="D368" s="13"/>
      <c r="E368" s="32">
        <v>48967</v>
      </c>
      <c r="G368" s="8">
        <v>0</v>
      </c>
      <c r="I368" s="8">
        <v>0</v>
      </c>
      <c r="K368" s="3">
        <f t="shared" si="24"/>
        <v>0</v>
      </c>
      <c r="M368" s="8">
        <v>0</v>
      </c>
      <c r="O368" s="3">
        <f t="shared" si="25"/>
        <v>0</v>
      </c>
      <c r="Q368" s="8">
        <v>0</v>
      </c>
      <c r="S368" s="8">
        <v>0</v>
      </c>
      <c r="U368" s="8">
        <v>0</v>
      </c>
      <c r="W368" s="8">
        <v>0</v>
      </c>
      <c r="Y368" s="8">
        <v>0</v>
      </c>
      <c r="AA368" s="14">
        <f t="shared" si="26"/>
        <v>0</v>
      </c>
      <c r="AC368" s="8">
        <f t="shared" si="27"/>
        <v>0</v>
      </c>
    </row>
    <row r="369" spans="1:29">
      <c r="A369" s="13" t="s">
        <v>663</v>
      </c>
      <c r="B369" s="13"/>
      <c r="C369" s="13" t="s">
        <v>62</v>
      </c>
      <c r="D369" s="13"/>
      <c r="E369" s="32">
        <v>44503</v>
      </c>
      <c r="G369" s="8">
        <v>5631719</v>
      </c>
      <c r="I369" s="8">
        <v>0</v>
      </c>
      <c r="K369" s="3">
        <f t="shared" si="24"/>
        <v>23694163</v>
      </c>
      <c r="M369" s="8">
        <v>29325882</v>
      </c>
      <c r="O369" s="3">
        <f t="shared" si="25"/>
        <v>6842368</v>
      </c>
      <c r="Q369" s="8">
        <v>22262998</v>
      </c>
      <c r="S369" s="8">
        <v>29105366</v>
      </c>
      <c r="U369" s="8">
        <v>3206754</v>
      </c>
      <c r="W369" s="8">
        <v>0</v>
      </c>
      <c r="Y369" s="8">
        <v>-2986238</v>
      </c>
      <c r="AA369" s="14">
        <f t="shared" si="26"/>
        <v>220516</v>
      </c>
      <c r="AC369" s="8">
        <f t="shared" si="27"/>
        <v>0</v>
      </c>
    </row>
    <row r="370" spans="1:29" hidden="1">
      <c r="A370" s="13" t="s">
        <v>728</v>
      </c>
      <c r="B370" s="13"/>
      <c r="C370" s="13" t="s">
        <v>733</v>
      </c>
      <c r="D370" s="13"/>
      <c r="E370" s="32">
        <v>50641</v>
      </c>
      <c r="G370" s="8">
        <v>0</v>
      </c>
      <c r="I370" s="8">
        <v>0</v>
      </c>
      <c r="K370" s="3">
        <f t="shared" si="24"/>
        <v>0</v>
      </c>
      <c r="M370" s="8">
        <v>0</v>
      </c>
      <c r="O370" s="3">
        <f t="shared" si="25"/>
        <v>0</v>
      </c>
      <c r="Q370" s="8">
        <v>0</v>
      </c>
      <c r="S370" s="8">
        <v>0</v>
      </c>
      <c r="U370" s="8">
        <v>0</v>
      </c>
      <c r="W370" s="8">
        <v>0</v>
      </c>
      <c r="Y370" s="8">
        <v>0</v>
      </c>
      <c r="AA370" s="14">
        <f t="shared" si="26"/>
        <v>0</v>
      </c>
      <c r="AC370" s="8">
        <f t="shared" si="27"/>
        <v>0</v>
      </c>
    </row>
    <row r="371" spans="1:29" hidden="1">
      <c r="A371" s="13" t="s">
        <v>406</v>
      </c>
      <c r="B371" s="13"/>
      <c r="C371" s="13" t="s">
        <v>32</v>
      </c>
      <c r="D371" s="13"/>
      <c r="E371" s="32">
        <v>44511</v>
      </c>
      <c r="G371" s="8">
        <v>0</v>
      </c>
      <c r="I371" s="8">
        <v>0</v>
      </c>
      <c r="K371" s="3">
        <f t="shared" si="24"/>
        <v>0</v>
      </c>
      <c r="M371" s="8">
        <v>0</v>
      </c>
      <c r="O371" s="3">
        <f t="shared" si="25"/>
        <v>0</v>
      </c>
      <c r="Q371" s="8">
        <v>0</v>
      </c>
      <c r="S371" s="8">
        <v>0</v>
      </c>
      <c r="U371" s="8">
        <v>0</v>
      </c>
      <c r="W371" s="8">
        <v>0</v>
      </c>
      <c r="Y371" s="8">
        <v>0</v>
      </c>
      <c r="AA371" s="14">
        <f t="shared" si="26"/>
        <v>0</v>
      </c>
      <c r="AC371" s="8">
        <f t="shared" si="27"/>
        <v>0</v>
      </c>
    </row>
    <row r="372" spans="1:29">
      <c r="A372" s="13" t="s">
        <v>485</v>
      </c>
      <c r="B372" s="13"/>
      <c r="C372" s="13" t="s">
        <v>42</v>
      </c>
      <c r="D372" s="13"/>
      <c r="E372" s="32">
        <v>48025</v>
      </c>
      <c r="G372" s="8">
        <v>6536073</v>
      </c>
      <c r="I372" s="8">
        <v>0</v>
      </c>
      <c r="K372" s="3">
        <f t="shared" si="24"/>
        <v>6417007</v>
      </c>
      <c r="M372" s="8">
        <v>12953080</v>
      </c>
      <c r="O372" s="3">
        <f t="shared" si="25"/>
        <v>1854742</v>
      </c>
      <c r="Q372" s="8">
        <v>5900511</v>
      </c>
      <c r="S372" s="8">
        <v>7755253</v>
      </c>
      <c r="U372" s="8">
        <v>4320696</v>
      </c>
      <c r="W372" s="8">
        <v>0</v>
      </c>
      <c r="Y372" s="8">
        <v>877131</v>
      </c>
      <c r="AA372" s="14">
        <f t="shared" si="26"/>
        <v>5197827</v>
      </c>
      <c r="AC372" s="8">
        <f t="shared" si="27"/>
        <v>0</v>
      </c>
    </row>
    <row r="373" spans="1:29">
      <c r="A373" s="13" t="s">
        <v>317</v>
      </c>
      <c r="B373" s="13"/>
      <c r="C373" s="13" t="s">
        <v>20</v>
      </c>
      <c r="D373" s="13"/>
      <c r="E373" s="32">
        <v>44529</v>
      </c>
      <c r="G373" s="8">
        <v>12433145</v>
      </c>
      <c r="I373" s="8">
        <v>223073</v>
      </c>
      <c r="K373" s="3">
        <f t="shared" si="24"/>
        <v>39734388</v>
      </c>
      <c r="M373" s="8">
        <v>52390606</v>
      </c>
      <c r="O373" s="3">
        <f t="shared" si="25"/>
        <v>7946790</v>
      </c>
      <c r="Q373" s="8">
        <f>31034904+1460062</f>
        <v>32494966</v>
      </c>
      <c r="S373" s="8">
        <v>40441756</v>
      </c>
      <c r="U373" s="8">
        <f>223073+127050+5417242+847712</f>
        <v>6615077</v>
      </c>
      <c r="W373" s="8">
        <v>216000</v>
      </c>
      <c r="Y373" s="8">
        <f>3942609+369786+52650+752728</f>
        <v>5117773</v>
      </c>
      <c r="AA373" s="14">
        <f t="shared" si="26"/>
        <v>11948850</v>
      </c>
      <c r="AC373" s="8">
        <f t="shared" si="27"/>
        <v>0</v>
      </c>
    </row>
    <row r="374" spans="1:29">
      <c r="A374" s="13" t="s">
        <v>498</v>
      </c>
      <c r="B374" s="13"/>
      <c r="C374" s="13" t="s">
        <v>44</v>
      </c>
      <c r="D374" s="13"/>
      <c r="E374" s="32">
        <v>44537</v>
      </c>
      <c r="G374" s="8">
        <v>7521218</v>
      </c>
      <c r="I374" s="8">
        <v>0</v>
      </c>
      <c r="K374" s="3">
        <f t="shared" si="24"/>
        <v>23958505</v>
      </c>
      <c r="M374" s="8">
        <v>31479723</v>
      </c>
      <c r="O374" s="3">
        <f t="shared" si="25"/>
        <v>6262727</v>
      </c>
      <c r="Q374" s="8">
        <v>20038408</v>
      </c>
      <c r="S374" s="8">
        <v>26301135</v>
      </c>
      <c r="U374" s="8">
        <v>3278972</v>
      </c>
      <c r="W374" s="8">
        <v>0</v>
      </c>
      <c r="Y374" s="8">
        <v>1899616</v>
      </c>
      <c r="AA374" s="14">
        <f t="shared" si="26"/>
        <v>5178588</v>
      </c>
      <c r="AC374" s="8">
        <f t="shared" si="27"/>
        <v>0</v>
      </c>
    </row>
    <row r="375" spans="1:29">
      <c r="A375" s="13" t="s">
        <v>318</v>
      </c>
      <c r="B375" s="13"/>
      <c r="C375" s="13" t="s">
        <v>20</v>
      </c>
      <c r="D375" s="13"/>
      <c r="E375" s="32">
        <v>44545</v>
      </c>
      <c r="G375" s="8">
        <v>10671364</v>
      </c>
      <c r="I375" s="8">
        <v>0</v>
      </c>
      <c r="K375" s="3">
        <f t="shared" si="24"/>
        <v>35424892</v>
      </c>
      <c r="M375" s="8">
        <v>46096256</v>
      </c>
      <c r="O375" s="3">
        <f t="shared" si="25"/>
        <v>6443058</v>
      </c>
      <c r="Q375" s="8">
        <v>30034572</v>
      </c>
      <c r="S375" s="8">
        <v>36477630</v>
      </c>
      <c r="U375" s="8">
        <v>5206475</v>
      </c>
      <c r="W375" s="8">
        <v>0</v>
      </c>
      <c r="Y375" s="8">
        <v>4412151</v>
      </c>
      <c r="AA375" s="14">
        <f t="shared" si="26"/>
        <v>9618626</v>
      </c>
      <c r="AC375" s="8">
        <f t="shared" si="27"/>
        <v>0</v>
      </c>
    </row>
    <row r="376" spans="1:29">
      <c r="A376" s="13" t="s">
        <v>709</v>
      </c>
      <c r="B376" s="13"/>
      <c r="C376" s="13" t="s">
        <v>66</v>
      </c>
      <c r="D376" s="13"/>
      <c r="E376" s="32">
        <v>50336</v>
      </c>
      <c r="G376" s="8">
        <v>27878753</v>
      </c>
      <c r="I376" s="8">
        <v>0</v>
      </c>
      <c r="K376" s="3">
        <f t="shared" si="24"/>
        <v>8385372</v>
      </c>
      <c r="M376" s="8">
        <v>36264125</v>
      </c>
      <c r="O376" s="3">
        <f t="shared" si="25"/>
        <v>4092491</v>
      </c>
      <c r="Q376" s="8">
        <v>7207972</v>
      </c>
      <c r="S376" s="8">
        <v>11300463</v>
      </c>
      <c r="U376" s="8">
        <v>5673750</v>
      </c>
      <c r="W376" s="8">
        <v>0</v>
      </c>
      <c r="Y376" s="8">
        <v>19289912</v>
      </c>
      <c r="AA376" s="14">
        <f t="shared" si="26"/>
        <v>24963662</v>
      </c>
      <c r="AC376" s="8">
        <f t="shared" si="27"/>
        <v>0</v>
      </c>
    </row>
    <row r="377" spans="1:29">
      <c r="A377" s="13" t="s">
        <v>266</v>
      </c>
      <c r="B377" s="13"/>
      <c r="C377" s="13" t="s">
        <v>17</v>
      </c>
      <c r="D377" s="13"/>
      <c r="E377" s="32">
        <v>46250</v>
      </c>
      <c r="G377" s="8">
        <v>8608478</v>
      </c>
      <c r="I377" s="8">
        <v>0</v>
      </c>
      <c r="K377" s="3">
        <f t="shared" si="24"/>
        <v>14172660</v>
      </c>
      <c r="M377" s="8">
        <v>22781138</v>
      </c>
      <c r="O377" s="3">
        <f t="shared" si="25"/>
        <v>3967837</v>
      </c>
      <c r="Q377" s="8">
        <v>11774732</v>
      </c>
      <c r="S377" s="8">
        <v>15742569</v>
      </c>
      <c r="U377" s="8">
        <f>224721+118142+2159620</f>
        <v>2502483</v>
      </c>
      <c r="W377" s="8">
        <v>0</v>
      </c>
      <c r="Y377" s="8">
        <f>2761502+215276+921633+637675</f>
        <v>4536086</v>
      </c>
      <c r="AA377" s="14">
        <f t="shared" si="26"/>
        <v>7038569</v>
      </c>
      <c r="AC377" s="8">
        <f t="shared" si="27"/>
        <v>0</v>
      </c>
    </row>
    <row r="378" spans="1:29" s="35" customFormat="1" hidden="1">
      <c r="A378" s="34" t="s">
        <v>266</v>
      </c>
      <c r="B378" s="34"/>
      <c r="C378" s="34" t="s">
        <v>22</v>
      </c>
      <c r="D378" s="34"/>
      <c r="E378" s="34">
        <v>46722</v>
      </c>
      <c r="G378" s="8">
        <v>0</v>
      </c>
      <c r="H378" s="8"/>
      <c r="I378" s="8">
        <v>0</v>
      </c>
      <c r="J378" s="8"/>
      <c r="K378" s="3">
        <f t="shared" si="24"/>
        <v>0</v>
      </c>
      <c r="L378" s="8"/>
      <c r="M378" s="8">
        <v>0</v>
      </c>
      <c r="N378" s="8"/>
      <c r="O378" s="3">
        <f t="shared" si="25"/>
        <v>0</v>
      </c>
      <c r="P378" s="8"/>
      <c r="Q378" s="8">
        <v>0</v>
      </c>
      <c r="R378" s="8"/>
      <c r="S378" s="8">
        <v>0</v>
      </c>
      <c r="T378" s="8"/>
      <c r="U378" s="8">
        <v>0</v>
      </c>
      <c r="V378" s="8"/>
      <c r="W378" s="8">
        <v>0</v>
      </c>
      <c r="X378" s="8"/>
      <c r="Y378" s="8">
        <v>0</v>
      </c>
      <c r="Z378" s="8"/>
      <c r="AA378" s="14">
        <f t="shared" si="26"/>
        <v>0</v>
      </c>
      <c r="AB378" s="8"/>
      <c r="AC378" s="8">
        <f t="shared" si="27"/>
        <v>0</v>
      </c>
    </row>
    <row r="379" spans="1:29">
      <c r="A379" s="13" t="s">
        <v>561</v>
      </c>
      <c r="B379" s="13"/>
      <c r="C379" s="13" t="s">
        <v>50</v>
      </c>
      <c r="D379" s="13"/>
      <c r="E379" s="32">
        <v>48728</v>
      </c>
      <c r="G379" s="8">
        <v>12256255</v>
      </c>
      <c r="I379" s="8">
        <v>0</v>
      </c>
      <c r="K379" s="3">
        <f t="shared" si="24"/>
        <v>23852446</v>
      </c>
      <c r="M379" s="8">
        <v>36108701</v>
      </c>
      <c r="O379" s="3">
        <f t="shared" si="25"/>
        <v>7443792</v>
      </c>
      <c r="Q379" s="8">
        <v>22077420</v>
      </c>
      <c r="S379" s="8">
        <v>29521212</v>
      </c>
      <c r="U379" s="8">
        <f>1042932+1530679</f>
        <v>2573611</v>
      </c>
      <c r="W379" s="8">
        <v>0</v>
      </c>
      <c r="Y379" s="8">
        <f>2810876+472477+386+730139</f>
        <v>4013878</v>
      </c>
      <c r="AA379" s="14">
        <f t="shared" si="26"/>
        <v>6587489</v>
      </c>
      <c r="AC379" s="8">
        <f t="shared" si="27"/>
        <v>0</v>
      </c>
    </row>
    <row r="380" spans="1:29">
      <c r="A380" s="13" t="s">
        <v>570</v>
      </c>
      <c r="B380" s="13"/>
      <c r="C380" s="13" t="s">
        <v>78</v>
      </c>
      <c r="D380" s="13"/>
      <c r="E380" s="32">
        <v>48819</v>
      </c>
      <c r="G380" s="8">
        <v>15851609</v>
      </c>
      <c r="I380" s="8">
        <v>0</v>
      </c>
      <c r="K380" s="3">
        <f t="shared" si="24"/>
        <v>5619318</v>
      </c>
      <c r="M380" s="8">
        <v>21470927</v>
      </c>
      <c r="O380" s="3">
        <f t="shared" si="25"/>
        <v>1327048</v>
      </c>
      <c r="Q380" s="8">
        <v>4029003</v>
      </c>
      <c r="S380" s="8">
        <v>5356051</v>
      </c>
      <c r="U380" s="8">
        <v>898715</v>
      </c>
      <c r="W380" s="8">
        <v>0</v>
      </c>
      <c r="Y380" s="8">
        <v>15216161</v>
      </c>
      <c r="AA380" s="14">
        <f t="shared" si="26"/>
        <v>16114876</v>
      </c>
      <c r="AC380" s="8">
        <f t="shared" si="27"/>
        <v>0</v>
      </c>
    </row>
    <row r="381" spans="1:29">
      <c r="A381" s="13" t="s">
        <v>486</v>
      </c>
      <c r="B381" s="13"/>
      <c r="C381" s="12" t="s">
        <v>50</v>
      </c>
      <c r="D381" s="13"/>
      <c r="E381" s="32">
        <v>48033</v>
      </c>
      <c r="G381" s="8">
        <v>8517636</v>
      </c>
      <c r="I381" s="8">
        <v>0</v>
      </c>
      <c r="K381" s="3">
        <f t="shared" si="24"/>
        <v>9021633</v>
      </c>
      <c r="M381" s="8">
        <v>17539269</v>
      </c>
      <c r="O381" s="3">
        <f t="shared" si="25"/>
        <v>2058939</v>
      </c>
      <c r="Q381" s="8">
        <v>7493316</v>
      </c>
      <c r="S381" s="8">
        <v>9552255</v>
      </c>
      <c r="U381" s="8">
        <v>1973878</v>
      </c>
      <c r="W381" s="8">
        <v>0</v>
      </c>
      <c r="Y381" s="8">
        <v>6013136</v>
      </c>
      <c r="AA381" s="14">
        <f t="shared" si="26"/>
        <v>7987014</v>
      </c>
      <c r="AC381" s="8">
        <f t="shared" si="27"/>
        <v>0</v>
      </c>
    </row>
    <row r="382" spans="1:29">
      <c r="A382" s="13" t="s">
        <v>486</v>
      </c>
      <c r="B382" s="13"/>
      <c r="C382" s="13" t="s">
        <v>42</v>
      </c>
      <c r="D382" s="13"/>
      <c r="E382" s="32">
        <v>48736</v>
      </c>
      <c r="G382" s="8">
        <v>1056770</v>
      </c>
      <c r="I382" s="8">
        <v>0</v>
      </c>
      <c r="K382" s="3">
        <f t="shared" si="24"/>
        <v>5847001</v>
      </c>
      <c r="M382" s="8">
        <v>6903771</v>
      </c>
      <c r="O382" s="3">
        <f t="shared" si="25"/>
        <v>1175383</v>
      </c>
      <c r="Q382" s="8">
        <v>4704340</v>
      </c>
      <c r="S382" s="8">
        <v>5879723</v>
      </c>
      <c r="U382" s="8">
        <v>374841</v>
      </c>
      <c r="W382" s="8">
        <v>0</v>
      </c>
      <c r="Y382" s="8">
        <v>649207</v>
      </c>
      <c r="AA382" s="14">
        <f t="shared" si="26"/>
        <v>1024048</v>
      </c>
      <c r="AC382" s="8">
        <f t="shared" si="27"/>
        <v>0</v>
      </c>
    </row>
    <row r="383" spans="1:29">
      <c r="A383" s="13" t="s">
        <v>407</v>
      </c>
      <c r="B383" s="13"/>
      <c r="C383" s="13" t="s">
        <v>32</v>
      </c>
      <c r="D383" s="13"/>
      <c r="E383" s="13">
        <v>47365</v>
      </c>
      <c r="G383" s="8">
        <v>15824393</v>
      </c>
      <c r="I383" s="8">
        <v>0</v>
      </c>
      <c r="K383" s="3">
        <f t="shared" si="24"/>
        <v>51222709</v>
      </c>
      <c r="M383" s="8">
        <v>67047102</v>
      </c>
      <c r="O383" s="3">
        <f t="shared" si="25"/>
        <v>11070969</v>
      </c>
      <c r="Q383" s="8">
        <v>32872610</v>
      </c>
      <c r="S383" s="8">
        <v>43943579</v>
      </c>
      <c r="U383" s="8">
        <v>17264937</v>
      </c>
      <c r="W383" s="8">
        <v>0</v>
      </c>
      <c r="Y383" s="8">
        <v>5838586</v>
      </c>
      <c r="AA383" s="14">
        <f t="shared" si="26"/>
        <v>23103523</v>
      </c>
      <c r="AC383" s="8">
        <f t="shared" si="27"/>
        <v>0</v>
      </c>
    </row>
    <row r="384" spans="1:29">
      <c r="A384" s="13" t="s">
        <v>407</v>
      </c>
      <c r="B384" s="13"/>
      <c r="C384" s="13" t="s">
        <v>59</v>
      </c>
      <c r="D384" s="13"/>
      <c r="E384" s="32">
        <v>49635</v>
      </c>
      <c r="G384" s="8">
        <v>5083513</v>
      </c>
      <c r="I384" s="8">
        <v>0</v>
      </c>
      <c r="K384" s="3">
        <f t="shared" si="24"/>
        <v>2870855</v>
      </c>
      <c r="M384" s="8">
        <v>7954368</v>
      </c>
      <c r="O384" s="3">
        <f t="shared" si="25"/>
        <v>2259230</v>
      </c>
      <c r="Q384" s="8">
        <v>2491474</v>
      </c>
      <c r="S384" s="8">
        <v>4750704</v>
      </c>
      <c r="U384" s="8">
        <v>301296</v>
      </c>
      <c r="W384" s="8">
        <v>0</v>
      </c>
      <c r="Y384" s="8">
        <v>2902368</v>
      </c>
      <c r="AA384" s="14">
        <f t="shared" si="26"/>
        <v>3203664</v>
      </c>
      <c r="AC384" s="8">
        <f t="shared" si="27"/>
        <v>0</v>
      </c>
    </row>
    <row r="385" spans="1:29">
      <c r="A385" s="13" t="s">
        <v>407</v>
      </c>
      <c r="B385" s="13"/>
      <c r="C385" s="13" t="s">
        <v>62</v>
      </c>
      <c r="D385" s="13"/>
      <c r="E385" s="32">
        <v>49908</v>
      </c>
      <c r="G385" s="8">
        <v>93432</v>
      </c>
      <c r="I385" s="8">
        <v>0</v>
      </c>
      <c r="K385" s="3">
        <f t="shared" si="24"/>
        <v>10416907</v>
      </c>
      <c r="M385" s="8">
        <v>10510339</v>
      </c>
      <c r="O385" s="3">
        <f t="shared" si="25"/>
        <v>4738414</v>
      </c>
      <c r="Q385" s="8">
        <v>7990197</v>
      </c>
      <c r="S385" s="8">
        <v>12728611</v>
      </c>
      <c r="U385" s="8">
        <v>1752829</v>
      </c>
      <c r="W385" s="8">
        <v>0</v>
      </c>
      <c r="Y385" s="8">
        <v>-3971101</v>
      </c>
      <c r="AA385" s="14">
        <f t="shared" si="26"/>
        <v>-2218272</v>
      </c>
      <c r="AC385" s="8">
        <f t="shared" si="27"/>
        <v>0</v>
      </c>
    </row>
    <row r="386" spans="1:29">
      <c r="A386" s="13" t="s">
        <v>267</v>
      </c>
      <c r="B386" s="13"/>
      <c r="C386" s="13" t="s">
        <v>17</v>
      </c>
      <c r="D386" s="13"/>
      <c r="E386" s="32">
        <v>46268</v>
      </c>
      <c r="G386" s="8">
        <v>4510057</v>
      </c>
      <c r="I386" s="8">
        <v>0</v>
      </c>
      <c r="K386" s="3">
        <f t="shared" si="24"/>
        <v>5449131</v>
      </c>
      <c r="M386" s="8">
        <v>9959188</v>
      </c>
      <c r="O386" s="3">
        <f t="shared" si="25"/>
        <v>1761921</v>
      </c>
      <c r="Q386" s="8">
        <v>4730500</v>
      </c>
      <c r="S386" s="8">
        <v>6492421</v>
      </c>
      <c r="U386" s="8">
        <v>694376</v>
      </c>
      <c r="W386" s="8">
        <v>162113</v>
      </c>
      <c r="Y386" s="8">
        <v>2610278</v>
      </c>
      <c r="AA386" s="14">
        <f t="shared" si="26"/>
        <v>3466767</v>
      </c>
      <c r="AC386" s="8">
        <f t="shared" si="27"/>
        <v>0</v>
      </c>
    </row>
    <row r="387" spans="1:29">
      <c r="A387" s="13" t="s">
        <v>742</v>
      </c>
      <c r="B387" s="13"/>
      <c r="C387" s="13" t="s">
        <v>72</v>
      </c>
      <c r="D387" s="13"/>
      <c r="E387" s="32">
        <v>50716</v>
      </c>
      <c r="G387" s="8">
        <v>1966327</v>
      </c>
      <c r="I387" s="8">
        <v>0</v>
      </c>
      <c r="K387" s="3">
        <f t="shared" si="24"/>
        <v>8529264</v>
      </c>
      <c r="M387" s="8">
        <v>10495591</v>
      </c>
      <c r="O387" s="3">
        <f t="shared" si="25"/>
        <v>1123372</v>
      </c>
      <c r="Q387" s="8">
        <v>7633219</v>
      </c>
      <c r="S387" s="8">
        <v>8756591</v>
      </c>
      <c r="U387" s="8">
        <v>975810</v>
      </c>
      <c r="W387" s="8">
        <v>0</v>
      </c>
      <c r="Y387" s="8">
        <v>763190</v>
      </c>
      <c r="AA387" s="14">
        <f t="shared" si="26"/>
        <v>1739000</v>
      </c>
      <c r="AC387" s="8">
        <f t="shared" si="27"/>
        <v>0</v>
      </c>
    </row>
    <row r="388" spans="1:29">
      <c r="A388" s="13" t="s">
        <v>674</v>
      </c>
      <c r="B388" s="13"/>
      <c r="C388" s="13" t="s">
        <v>63</v>
      </c>
      <c r="D388" s="13"/>
      <c r="E388" s="32">
        <v>44552</v>
      </c>
      <c r="G388" s="8">
        <v>7394624</v>
      </c>
      <c r="I388" s="8">
        <v>0</v>
      </c>
      <c r="K388" s="3">
        <f t="shared" si="24"/>
        <v>10487293</v>
      </c>
      <c r="M388" s="8">
        <v>17881917</v>
      </c>
      <c r="O388" s="3">
        <f t="shared" si="25"/>
        <v>2286389</v>
      </c>
      <c r="Q388" s="8">
        <v>9113854</v>
      </c>
      <c r="S388" s="8">
        <v>11400243</v>
      </c>
      <c r="U388" s="8">
        <v>1634934</v>
      </c>
      <c r="W388" s="8">
        <v>0</v>
      </c>
      <c r="Y388" s="8">
        <v>4846740</v>
      </c>
      <c r="AA388" s="14">
        <f t="shared" si="26"/>
        <v>6481674</v>
      </c>
      <c r="AC388" s="8">
        <f t="shared" si="27"/>
        <v>0</v>
      </c>
    </row>
    <row r="389" spans="1:29">
      <c r="A389" s="13" t="s">
        <v>451</v>
      </c>
      <c r="B389" s="13"/>
      <c r="C389" s="13" t="s">
        <v>37</v>
      </c>
      <c r="D389" s="13"/>
      <c r="E389" s="32">
        <v>44560</v>
      </c>
      <c r="G389" s="8">
        <v>15786804</v>
      </c>
      <c r="I389" s="8">
        <v>0</v>
      </c>
      <c r="K389" s="3">
        <f t="shared" si="24"/>
        <v>10837519</v>
      </c>
      <c r="M389" s="8">
        <v>26624323</v>
      </c>
      <c r="O389" s="3">
        <f t="shared" si="25"/>
        <v>2914631</v>
      </c>
      <c r="Q389" s="8">
        <v>7548010</v>
      </c>
      <c r="S389" s="8">
        <v>10462641</v>
      </c>
      <c r="U389" s="8">
        <v>3201413</v>
      </c>
      <c r="W389" s="8">
        <v>0</v>
      </c>
      <c r="Y389" s="8">
        <v>12960269</v>
      </c>
      <c r="AA389" s="14">
        <f t="shared" si="26"/>
        <v>16161682</v>
      </c>
      <c r="AC389" s="8">
        <f t="shared" si="27"/>
        <v>0</v>
      </c>
    </row>
    <row r="390" spans="1:29">
      <c r="A390" s="13" t="s">
        <v>902</v>
      </c>
      <c r="B390" s="13"/>
      <c r="C390" s="13" t="s">
        <v>32</v>
      </c>
      <c r="D390" s="13"/>
      <c r="E390" s="32">
        <v>44578</v>
      </c>
      <c r="G390" s="8">
        <v>6450787</v>
      </c>
      <c r="I390" s="8">
        <v>0</v>
      </c>
      <c r="K390" s="3">
        <f t="shared" si="24"/>
        <v>13234069</v>
      </c>
      <c r="M390" s="8">
        <v>19684856</v>
      </c>
      <c r="O390" s="3">
        <f t="shared" si="25"/>
        <v>3220621</v>
      </c>
      <c r="Q390" s="8">
        <v>8220378</v>
      </c>
      <c r="S390" s="8">
        <v>11440999</v>
      </c>
      <c r="U390" s="8">
        <v>4976416</v>
      </c>
      <c r="W390" s="8">
        <v>0</v>
      </c>
      <c r="Y390" s="8">
        <v>3267441</v>
      </c>
      <c r="AA390" s="14">
        <f t="shared" si="26"/>
        <v>8243857</v>
      </c>
      <c r="AC390" s="8">
        <f t="shared" si="27"/>
        <v>0</v>
      </c>
    </row>
    <row r="391" spans="1:29">
      <c r="A391" s="13"/>
      <c r="B391" s="13"/>
      <c r="C391" s="13"/>
      <c r="D391" s="13"/>
      <c r="E391" s="32"/>
      <c r="K391" s="3"/>
      <c r="O391" s="3"/>
      <c r="AA391" s="14"/>
    </row>
    <row r="392" spans="1:29">
      <c r="A392" s="13"/>
      <c r="B392" s="13"/>
      <c r="C392" s="13"/>
      <c r="D392" s="13"/>
      <c r="E392" s="32"/>
      <c r="K392" s="3"/>
      <c r="O392" s="3"/>
      <c r="AA392" s="90" t="s">
        <v>819</v>
      </c>
    </row>
    <row r="393" spans="1:29" s="35" customFormat="1">
      <c r="A393" s="34" t="s">
        <v>409</v>
      </c>
      <c r="B393" s="34"/>
      <c r="C393" s="34" t="s">
        <v>32</v>
      </c>
      <c r="D393" s="34"/>
      <c r="E393" s="34">
        <v>47373</v>
      </c>
      <c r="G393" s="35">
        <v>31377001</v>
      </c>
      <c r="I393" s="35">
        <v>0</v>
      </c>
      <c r="K393" s="42">
        <f t="shared" si="24"/>
        <v>36614298</v>
      </c>
      <c r="M393" s="35">
        <v>67991299</v>
      </c>
      <c r="O393" s="42">
        <f t="shared" si="25"/>
        <v>8854427</v>
      </c>
      <c r="Q393" s="35">
        <v>24898317</v>
      </c>
      <c r="S393" s="35">
        <v>33752744</v>
      </c>
      <c r="U393" s="35">
        <v>11994450</v>
      </c>
      <c r="W393" s="35">
        <v>0</v>
      </c>
      <c r="Y393" s="35">
        <v>22244105</v>
      </c>
      <c r="AA393" s="71">
        <f t="shared" ref="AA393:AA405" si="28">Y393+W393+U393</f>
        <v>34238555</v>
      </c>
      <c r="AC393" s="35">
        <f t="shared" si="27"/>
        <v>0</v>
      </c>
    </row>
    <row r="394" spans="1:29">
      <c r="A394" s="13" t="s">
        <v>562</v>
      </c>
      <c r="B394" s="13"/>
      <c r="C394" s="13" t="s">
        <v>50</v>
      </c>
      <c r="D394" s="13"/>
      <c r="E394" s="32">
        <v>44586</v>
      </c>
      <c r="G394" s="8">
        <v>4419894</v>
      </c>
      <c r="I394" s="8">
        <v>0</v>
      </c>
      <c r="K394" s="3">
        <f t="shared" si="24"/>
        <v>15955474</v>
      </c>
      <c r="M394" s="8">
        <v>20375368</v>
      </c>
      <c r="O394" s="3">
        <f t="shared" si="25"/>
        <v>5568873</v>
      </c>
      <c r="Q394" s="8">
        <v>14941324</v>
      </c>
      <c r="S394" s="8">
        <v>20510197</v>
      </c>
      <c r="U394" s="8">
        <f>914542+398309+20000</f>
        <v>1332851</v>
      </c>
      <c r="W394" s="8">
        <v>0</v>
      </c>
      <c r="Y394" s="8">
        <f>282466+282976+113201-561646-1584677</f>
        <v>-1467680</v>
      </c>
      <c r="AA394" s="14">
        <f t="shared" si="28"/>
        <v>-134829</v>
      </c>
      <c r="AC394" s="8">
        <f t="shared" si="27"/>
        <v>0</v>
      </c>
    </row>
    <row r="395" spans="1:29">
      <c r="A395" s="13" t="s">
        <v>499</v>
      </c>
      <c r="B395" s="13"/>
      <c r="C395" s="13" t="s">
        <v>44</v>
      </c>
      <c r="D395" s="13"/>
      <c r="E395" s="32">
        <v>44594</v>
      </c>
      <c r="G395" s="8">
        <v>814177</v>
      </c>
      <c r="I395" s="8">
        <v>0</v>
      </c>
      <c r="K395" s="3">
        <f t="shared" si="24"/>
        <v>6025841</v>
      </c>
      <c r="M395" s="8">
        <v>6840018</v>
      </c>
      <c r="O395" s="3">
        <f t="shared" si="25"/>
        <v>2050113</v>
      </c>
      <c r="Q395" s="8">
        <v>3917604</v>
      </c>
      <c r="S395" s="8">
        <v>5967717</v>
      </c>
      <c r="U395" s="8">
        <f>6163+722990+176488</f>
        <v>905641</v>
      </c>
      <c r="W395" s="8">
        <v>0</v>
      </c>
      <c r="Y395" s="8">
        <f>12303+125529-171172</f>
        <v>-33340</v>
      </c>
      <c r="AA395" s="14">
        <f t="shared" si="28"/>
        <v>872301</v>
      </c>
      <c r="AC395" s="8">
        <f t="shared" si="27"/>
        <v>0</v>
      </c>
    </row>
    <row r="396" spans="1:29" hidden="1">
      <c r="A396" s="13" t="s">
        <v>643</v>
      </c>
      <c r="B396" s="13"/>
      <c r="C396" s="13" t="s">
        <v>60</v>
      </c>
      <c r="D396" s="13"/>
      <c r="E396" s="32">
        <v>49726</v>
      </c>
      <c r="G396" s="8">
        <v>0</v>
      </c>
      <c r="I396" s="8">
        <v>0</v>
      </c>
      <c r="K396" s="3">
        <f t="shared" si="24"/>
        <v>0</v>
      </c>
      <c r="M396" s="8">
        <v>0</v>
      </c>
      <c r="O396" s="3">
        <f t="shared" si="25"/>
        <v>0</v>
      </c>
      <c r="Q396" s="8">
        <v>0</v>
      </c>
      <c r="S396" s="8">
        <v>0</v>
      </c>
      <c r="U396" s="8">
        <v>0</v>
      </c>
      <c r="W396" s="8">
        <v>0</v>
      </c>
      <c r="Y396" s="8">
        <v>0</v>
      </c>
      <c r="AA396" s="14">
        <f t="shared" si="28"/>
        <v>0</v>
      </c>
      <c r="AC396" s="8">
        <f t="shared" si="27"/>
        <v>0</v>
      </c>
    </row>
    <row r="397" spans="1:29">
      <c r="A397" s="13" t="s">
        <v>339</v>
      </c>
      <c r="B397" s="13"/>
      <c r="C397" s="13" t="s">
        <v>23</v>
      </c>
      <c r="D397" s="13"/>
      <c r="E397" s="32">
        <v>46763</v>
      </c>
      <c r="G397" s="8">
        <v>101682963</v>
      </c>
      <c r="I397" s="8">
        <v>0</v>
      </c>
      <c r="K397" s="3">
        <f t="shared" si="24"/>
        <v>125566482</v>
      </c>
      <c r="M397" s="8">
        <v>227249445</v>
      </c>
      <c r="O397" s="3">
        <f t="shared" si="25"/>
        <v>15591953</v>
      </c>
      <c r="Q397" s="8">
        <v>106160122</v>
      </c>
      <c r="S397" s="8">
        <v>121752075</v>
      </c>
      <c r="U397" s="8">
        <f>25222297+37050+17980000</f>
        <v>43239347</v>
      </c>
      <c r="W397" s="8">
        <v>0</v>
      </c>
      <c r="Y397" s="8">
        <f>7230616+2934440+14483257+37609710</f>
        <v>62258023</v>
      </c>
      <c r="AA397" s="14">
        <f t="shared" si="28"/>
        <v>105497370</v>
      </c>
      <c r="AC397" s="8">
        <f t="shared" si="27"/>
        <v>0</v>
      </c>
    </row>
    <row r="398" spans="1:29">
      <c r="A398" s="13" t="s">
        <v>319</v>
      </c>
      <c r="B398" s="13"/>
      <c r="C398" s="13" t="s">
        <v>20</v>
      </c>
      <c r="D398" s="13"/>
      <c r="E398" s="32">
        <v>46573</v>
      </c>
      <c r="G398" s="8">
        <v>30215276</v>
      </c>
      <c r="I398" s="8">
        <v>0</v>
      </c>
      <c r="K398" s="3">
        <f t="shared" si="24"/>
        <v>21923379</v>
      </c>
      <c r="M398" s="8">
        <v>52138655</v>
      </c>
      <c r="O398" s="3">
        <f t="shared" si="25"/>
        <v>6104182</v>
      </c>
      <c r="Q398" s="8">
        <v>18746470</v>
      </c>
      <c r="S398" s="8">
        <v>24850652</v>
      </c>
      <c r="U398" s="8">
        <f>4079601+2448108+223918</f>
        <v>6751627</v>
      </c>
      <c r="W398" s="8">
        <v>0</v>
      </c>
      <c r="Y398" s="8">
        <f>2206092+503024+3370410+14456850</f>
        <v>20536376</v>
      </c>
      <c r="AA398" s="14">
        <f t="shared" si="28"/>
        <v>27288003</v>
      </c>
      <c r="AC398" s="8">
        <f t="shared" si="27"/>
        <v>0</v>
      </c>
    </row>
    <row r="399" spans="1:29">
      <c r="A399" s="13" t="s">
        <v>618</v>
      </c>
      <c r="B399" s="13"/>
      <c r="C399" s="13" t="s">
        <v>113</v>
      </c>
      <c r="D399" s="13"/>
      <c r="E399" s="13">
        <v>49478</v>
      </c>
      <c r="G399" s="8">
        <v>8048277</v>
      </c>
      <c r="I399" s="8">
        <v>0</v>
      </c>
      <c r="K399" s="3">
        <f t="shared" si="24"/>
        <v>12399612</v>
      </c>
      <c r="M399" s="8">
        <v>20447889</v>
      </c>
      <c r="O399" s="3">
        <f t="shared" si="25"/>
        <v>2160453</v>
      </c>
      <c r="Q399" s="8">
        <f>9056756+780152</f>
        <v>9836908</v>
      </c>
      <c r="S399" s="8">
        <f>11997361</f>
        <v>11997361</v>
      </c>
      <c r="U399" s="8">
        <f>14006+236533+8241+2032940+1995732+6728</f>
        <v>4294180</v>
      </c>
      <c r="W399" s="8">
        <v>0</v>
      </c>
      <c r="Y399" s="8">
        <f>4046008+56229+54111</f>
        <v>4156348</v>
      </c>
      <c r="AA399" s="14">
        <f t="shared" si="28"/>
        <v>8450528</v>
      </c>
      <c r="AC399" s="8">
        <f t="shared" si="27"/>
        <v>0</v>
      </c>
    </row>
    <row r="400" spans="1:29">
      <c r="A400" s="13" t="s">
        <v>320</v>
      </c>
      <c r="B400" s="13"/>
      <c r="C400" s="13" t="s">
        <v>20</v>
      </c>
      <c r="D400" s="13"/>
      <c r="E400" s="32">
        <v>46581</v>
      </c>
      <c r="G400" s="8">
        <v>37635372</v>
      </c>
      <c r="I400" s="8">
        <v>0</v>
      </c>
      <c r="K400" s="3">
        <f t="shared" si="24"/>
        <v>43530257</v>
      </c>
      <c r="M400" s="8">
        <v>81165629</v>
      </c>
      <c r="O400" s="3">
        <f t="shared" si="25"/>
        <v>5922487</v>
      </c>
      <c r="Q400" s="8">
        <f>4590614+32906954</f>
        <v>37497568</v>
      </c>
      <c r="S400" s="8">
        <v>43420055</v>
      </c>
      <c r="U400" s="8">
        <f>697204+5132981+2075864</f>
        <v>7906049</v>
      </c>
      <c r="W400" s="8">
        <v>0</v>
      </c>
      <c r="Y400" s="8">
        <f>26035339+521337+3282849</f>
        <v>29839525</v>
      </c>
      <c r="AA400" s="14">
        <f t="shared" si="28"/>
        <v>37745574</v>
      </c>
      <c r="AC400" s="8">
        <f t="shared" si="27"/>
        <v>0</v>
      </c>
    </row>
    <row r="401" spans="1:29">
      <c r="A401" s="13" t="s">
        <v>504</v>
      </c>
      <c r="B401" s="13"/>
      <c r="C401" s="13" t="s">
        <v>118</v>
      </c>
      <c r="D401" s="13"/>
      <c r="E401" s="32">
        <v>44602</v>
      </c>
      <c r="G401" s="8">
        <v>13025604</v>
      </c>
      <c r="I401" s="8">
        <f>41795041-13025604</f>
        <v>28769437</v>
      </c>
      <c r="K401" s="3">
        <f t="shared" si="24"/>
        <v>0</v>
      </c>
      <c r="M401" s="8">
        <v>41795041</v>
      </c>
      <c r="O401" s="3">
        <f t="shared" si="25"/>
        <v>6875483</v>
      </c>
      <c r="Q401" s="8">
        <f>3804162+23779536</f>
        <v>27583698</v>
      </c>
      <c r="S401" s="8">
        <v>34459181</v>
      </c>
      <c r="U401" s="8">
        <f>278976+201560+18194+307469+61389+1256710</f>
        <v>2124298</v>
      </c>
      <c r="W401" s="8">
        <v>0</v>
      </c>
      <c r="Y401" s="8">
        <f>626524+7578571-2993533</f>
        <v>5211562</v>
      </c>
      <c r="AA401" s="14">
        <f t="shared" si="28"/>
        <v>7335860</v>
      </c>
      <c r="AC401" s="8">
        <f t="shared" si="27"/>
        <v>0</v>
      </c>
    </row>
    <row r="402" spans="1:29">
      <c r="A402" s="13" t="s">
        <v>729</v>
      </c>
      <c r="B402" s="13"/>
      <c r="C402" s="13" t="s">
        <v>71</v>
      </c>
      <c r="D402" s="13"/>
      <c r="E402" s="32">
        <v>44610</v>
      </c>
      <c r="G402" s="8">
        <f>18558878+82648+1600106</f>
        <v>20241632</v>
      </c>
      <c r="I402" s="8">
        <v>0</v>
      </c>
      <c r="K402" s="3">
        <f t="shared" si="24"/>
        <v>8667629</v>
      </c>
      <c r="M402" s="8">
        <v>28909261</v>
      </c>
      <c r="O402" s="3">
        <f t="shared" si="25"/>
        <v>2421123</v>
      </c>
      <c r="Q402" s="8">
        <v>8106997</v>
      </c>
      <c r="S402" s="8">
        <v>10528120</v>
      </c>
      <c r="U402" s="8">
        <f>1365355+5146+270+529999</f>
        <v>1900770</v>
      </c>
      <c r="W402" s="8">
        <v>0</v>
      </c>
      <c r="Y402" s="8">
        <f>20430+135352+398703+15925886</f>
        <v>16480371</v>
      </c>
      <c r="AA402" s="14">
        <f t="shared" si="28"/>
        <v>18381141</v>
      </c>
      <c r="AC402" s="8">
        <f t="shared" si="27"/>
        <v>0</v>
      </c>
    </row>
    <row r="403" spans="1:29">
      <c r="A403" s="13" t="s">
        <v>664</v>
      </c>
      <c r="B403" s="13"/>
      <c r="C403" s="13" t="s">
        <v>62</v>
      </c>
      <c r="D403" s="13"/>
      <c r="E403" s="32">
        <v>49916</v>
      </c>
      <c r="G403" s="8">
        <f>14484043+4492515</f>
        <v>18976558</v>
      </c>
      <c r="I403" s="8">
        <v>0</v>
      </c>
      <c r="K403" s="3">
        <f>M403-G403-I403</f>
        <v>12121369</v>
      </c>
      <c r="M403" s="8">
        <v>31097927</v>
      </c>
      <c r="O403" s="3">
        <f>S403-Q403</f>
        <v>1316382</v>
      </c>
      <c r="Q403" s="8">
        <f>8996288+2665942</f>
        <v>11662230</v>
      </c>
      <c r="S403" s="8">
        <v>12978612</v>
      </c>
      <c r="U403" s="8">
        <f>1572635+4392+19564+174280+17165+26956</f>
        <v>1814992</v>
      </c>
      <c r="W403" s="8">
        <v>0</v>
      </c>
      <c r="Y403" s="8">
        <f>3264411+123047-78431+12995296</f>
        <v>16304323</v>
      </c>
      <c r="AA403" s="14">
        <f t="shared" si="28"/>
        <v>18119315</v>
      </c>
      <c r="AC403" s="8">
        <f t="shared" ref="AC403:AC466" si="29">+G403+I403+K403-O403-Q403-Y403-W403-U403</f>
        <v>0</v>
      </c>
    </row>
    <row r="404" spans="1:29">
      <c r="A404" s="13" t="s">
        <v>743</v>
      </c>
      <c r="B404" s="13"/>
      <c r="C404" s="13" t="s">
        <v>72</v>
      </c>
      <c r="D404" s="13"/>
      <c r="E404" s="32">
        <v>50724</v>
      </c>
      <c r="G404" s="8">
        <f>2054285+71</f>
        <v>2054356</v>
      </c>
      <c r="I404" s="8">
        <v>0</v>
      </c>
      <c r="K404" s="3">
        <f>M404-G404-I404</f>
        <v>6555025</v>
      </c>
      <c r="M404" s="8">
        <v>8609381</v>
      </c>
      <c r="O404" s="3">
        <f>S404-Q404</f>
        <v>1503085</v>
      </c>
      <c r="Q404" s="8">
        <v>4758079</v>
      </c>
      <c r="S404" s="8">
        <v>6261164</v>
      </c>
      <c r="U404" s="8">
        <f>722840+28121+76119</f>
        <v>827080</v>
      </c>
      <c r="W404" s="8">
        <v>0</v>
      </c>
      <c r="Y404" s="8">
        <f>350757+24421+494042+651917</f>
        <v>1521137</v>
      </c>
      <c r="AA404" s="14">
        <f t="shared" si="28"/>
        <v>2348217</v>
      </c>
      <c r="AC404" s="8">
        <f t="shared" si="29"/>
        <v>0</v>
      </c>
    </row>
    <row r="405" spans="1:29">
      <c r="A405" s="13" t="s">
        <v>505</v>
      </c>
      <c r="B405" s="13"/>
      <c r="C405" s="13" t="s">
        <v>118</v>
      </c>
      <c r="D405" s="13"/>
      <c r="E405" s="32">
        <v>48215</v>
      </c>
      <c r="G405" s="8">
        <f>4126704+3366926</f>
        <v>7493630</v>
      </c>
      <c r="I405" s="8">
        <v>0</v>
      </c>
      <c r="K405" s="3">
        <f>M405-G405-I405</f>
        <v>9870630</v>
      </c>
      <c r="M405" s="8">
        <v>17364260</v>
      </c>
      <c r="O405" s="3">
        <f>S405-Q405</f>
        <v>1237979</v>
      </c>
      <c r="Q405" s="8">
        <f>9383557+5761</f>
        <v>9389318</v>
      </c>
      <c r="S405" s="8">
        <v>10627297</v>
      </c>
      <c r="U405" s="8">
        <f>258090+90342+850404+377415</f>
        <v>1576251</v>
      </c>
      <c r="W405" s="8">
        <v>0</v>
      </c>
      <c r="Y405" s="8">
        <f>4990521+166806+3385</f>
        <v>5160712</v>
      </c>
      <c r="AA405" s="14">
        <f t="shared" si="28"/>
        <v>6736963</v>
      </c>
      <c r="AC405" s="8">
        <f t="shared" si="29"/>
        <v>0</v>
      </c>
    </row>
    <row r="406" spans="1:29" hidden="1">
      <c r="A406" s="13" t="s">
        <v>611</v>
      </c>
      <c r="B406" s="13"/>
      <c r="C406" s="13" t="s">
        <v>608</v>
      </c>
      <c r="D406" s="13"/>
      <c r="E406" s="32">
        <v>49379</v>
      </c>
      <c r="F406" s="35"/>
      <c r="G406" s="8">
        <v>0</v>
      </c>
      <c r="I406" s="8">
        <v>0</v>
      </c>
      <c r="K406" s="3">
        <f t="shared" ref="K406:K455" si="30">M406-G406-I406</f>
        <v>0</v>
      </c>
      <c r="M406" s="8">
        <v>0</v>
      </c>
      <c r="O406" s="3">
        <f t="shared" ref="O406:O455" si="31">S406-Q406</f>
        <v>0</v>
      </c>
      <c r="Q406" s="8">
        <v>0</v>
      </c>
      <c r="S406" s="8">
        <v>0</v>
      </c>
      <c r="U406" s="8">
        <v>0</v>
      </c>
      <c r="W406" s="8">
        <v>0</v>
      </c>
      <c r="Y406" s="8">
        <v>0</v>
      </c>
      <c r="AA406" s="14">
        <f t="shared" ref="AA406:AA455" si="32">U406+W406+Y406</f>
        <v>0</v>
      </c>
      <c r="AC406" s="8">
        <f t="shared" si="29"/>
        <v>0</v>
      </c>
    </row>
    <row r="407" spans="1:29" hidden="1">
      <c r="A407" s="13" t="s">
        <v>612</v>
      </c>
      <c r="B407" s="13"/>
      <c r="C407" s="13" t="s">
        <v>608</v>
      </c>
      <c r="D407" s="13"/>
      <c r="E407" s="32">
        <v>49387</v>
      </c>
      <c r="G407" s="8">
        <v>0</v>
      </c>
      <c r="I407" s="8">
        <v>0</v>
      </c>
      <c r="K407" s="3">
        <f t="shared" si="30"/>
        <v>0</v>
      </c>
      <c r="M407" s="8">
        <v>0</v>
      </c>
      <c r="O407" s="3">
        <f t="shared" si="31"/>
        <v>0</v>
      </c>
      <c r="Q407" s="8">
        <v>0</v>
      </c>
      <c r="S407" s="8">
        <v>0</v>
      </c>
      <c r="U407" s="8">
        <v>0</v>
      </c>
      <c r="W407" s="8">
        <v>0</v>
      </c>
      <c r="Y407" s="8">
        <v>0</v>
      </c>
      <c r="AA407" s="14">
        <f t="shared" si="32"/>
        <v>0</v>
      </c>
      <c r="AC407" s="8">
        <f t="shared" si="29"/>
        <v>0</v>
      </c>
    </row>
    <row r="408" spans="1:29">
      <c r="A408" s="13" t="s">
        <v>466</v>
      </c>
      <c r="B408" s="13"/>
      <c r="C408" s="13" t="s">
        <v>41</v>
      </c>
      <c r="D408" s="13"/>
      <c r="E408" s="32">
        <v>44628</v>
      </c>
      <c r="G408" s="8">
        <v>32095686</v>
      </c>
      <c r="I408" s="8">
        <v>0</v>
      </c>
      <c r="K408" s="3">
        <f t="shared" si="30"/>
        <v>10019029</v>
      </c>
      <c r="M408" s="8">
        <v>42114715</v>
      </c>
      <c r="O408" s="3">
        <f t="shared" si="31"/>
        <v>8477902</v>
      </c>
      <c r="Q408" s="8">
        <v>8732519</v>
      </c>
      <c r="S408" s="8">
        <v>17210421</v>
      </c>
      <c r="U408" s="8">
        <v>4259480</v>
      </c>
      <c r="W408" s="8">
        <v>433222</v>
      </c>
      <c r="Y408" s="8">
        <v>20211592</v>
      </c>
      <c r="AA408" s="14">
        <f t="shared" si="32"/>
        <v>24904294</v>
      </c>
      <c r="AC408" s="8">
        <f t="shared" si="29"/>
        <v>0</v>
      </c>
    </row>
    <row r="409" spans="1:29" hidden="1">
      <c r="A409" s="13" t="s">
        <v>467</v>
      </c>
      <c r="B409" s="13"/>
      <c r="C409" s="13" t="s">
        <v>41</v>
      </c>
      <c r="D409" s="13"/>
      <c r="E409" s="32">
        <v>47894</v>
      </c>
      <c r="G409" s="8">
        <v>0</v>
      </c>
      <c r="I409" s="8">
        <v>0</v>
      </c>
      <c r="K409" s="3">
        <f t="shared" si="30"/>
        <v>0</v>
      </c>
      <c r="M409" s="8">
        <v>0</v>
      </c>
      <c r="O409" s="3">
        <f t="shared" si="31"/>
        <v>0</v>
      </c>
      <c r="Q409" s="8">
        <v>0</v>
      </c>
      <c r="S409" s="8">
        <v>0</v>
      </c>
      <c r="U409" s="8">
        <v>0</v>
      </c>
      <c r="W409" s="8">
        <v>0</v>
      </c>
      <c r="Y409" s="8">
        <v>0</v>
      </c>
      <c r="AA409" s="14">
        <f t="shared" si="32"/>
        <v>0</v>
      </c>
      <c r="AC409" s="8">
        <f t="shared" si="29"/>
        <v>0</v>
      </c>
    </row>
    <row r="410" spans="1:29">
      <c r="A410" s="13" t="s">
        <v>624</v>
      </c>
      <c r="B410" s="13"/>
      <c r="C410" s="13" t="s">
        <v>58</v>
      </c>
      <c r="D410" s="13"/>
      <c r="E410" s="32">
        <v>49510</v>
      </c>
      <c r="G410" s="8">
        <v>3396809</v>
      </c>
      <c r="I410" s="8">
        <v>0</v>
      </c>
      <c r="K410" s="3">
        <f t="shared" si="30"/>
        <v>1958160</v>
      </c>
      <c r="M410" s="8">
        <v>5354969</v>
      </c>
      <c r="O410" s="3">
        <f t="shared" si="31"/>
        <v>1179421</v>
      </c>
      <c r="Q410" s="8">
        <v>1707546</v>
      </c>
      <c r="S410" s="8">
        <v>2886967</v>
      </c>
      <c r="U410" s="8">
        <v>870945</v>
      </c>
      <c r="W410" s="8">
        <v>0</v>
      </c>
      <c r="Y410" s="8">
        <v>1597057</v>
      </c>
      <c r="AA410" s="14">
        <f t="shared" si="32"/>
        <v>2468002</v>
      </c>
      <c r="AC410" s="8">
        <f t="shared" si="29"/>
        <v>0</v>
      </c>
    </row>
    <row r="411" spans="1:29" hidden="1">
      <c r="A411" s="13" t="s">
        <v>613</v>
      </c>
      <c r="B411" s="13"/>
      <c r="C411" s="13" t="s">
        <v>608</v>
      </c>
      <c r="D411" s="13"/>
      <c r="E411" s="32">
        <v>49395</v>
      </c>
      <c r="G411" s="8">
        <v>0</v>
      </c>
      <c r="I411" s="8">
        <v>0</v>
      </c>
      <c r="K411" s="3">
        <f t="shared" si="30"/>
        <v>0</v>
      </c>
      <c r="M411" s="8">
        <v>0</v>
      </c>
      <c r="O411" s="3">
        <f t="shared" si="31"/>
        <v>0</v>
      </c>
      <c r="Q411" s="8">
        <v>0</v>
      </c>
      <c r="S411" s="8">
        <v>0</v>
      </c>
      <c r="U411" s="8">
        <v>0</v>
      </c>
      <c r="W411" s="8">
        <v>0</v>
      </c>
      <c r="Y411" s="8">
        <v>0</v>
      </c>
      <c r="AA411" s="14">
        <f t="shared" si="32"/>
        <v>0</v>
      </c>
      <c r="AC411" s="8">
        <f t="shared" si="29"/>
        <v>0</v>
      </c>
    </row>
    <row r="412" spans="1:29" hidden="1">
      <c r="A412" s="13" t="s">
        <v>541</v>
      </c>
      <c r="B412" s="13"/>
      <c r="C412" s="13" t="s">
        <v>540</v>
      </c>
      <c r="D412" s="13"/>
      <c r="E412" s="32">
        <v>48579</v>
      </c>
      <c r="G412" s="8">
        <v>0</v>
      </c>
      <c r="I412" s="8">
        <v>0</v>
      </c>
      <c r="K412" s="3">
        <f t="shared" si="30"/>
        <v>0</v>
      </c>
      <c r="M412" s="8">
        <v>0</v>
      </c>
      <c r="O412" s="3">
        <f t="shared" si="31"/>
        <v>0</v>
      </c>
      <c r="Q412" s="8">
        <v>0</v>
      </c>
      <c r="S412" s="8">
        <v>0</v>
      </c>
      <c r="U412" s="8">
        <v>0</v>
      </c>
      <c r="W412" s="8">
        <v>0</v>
      </c>
      <c r="Y412" s="8">
        <v>0</v>
      </c>
      <c r="AA412" s="14">
        <f t="shared" si="32"/>
        <v>0</v>
      </c>
      <c r="AC412" s="8">
        <f t="shared" si="29"/>
        <v>0</v>
      </c>
    </row>
    <row r="413" spans="1:29">
      <c r="A413" s="13" t="s">
        <v>321</v>
      </c>
      <c r="B413" s="13"/>
      <c r="C413" s="13" t="s">
        <v>20</v>
      </c>
      <c r="D413" s="13"/>
      <c r="E413" s="13">
        <v>44636</v>
      </c>
      <c r="G413" s="8">
        <v>19264775</v>
      </c>
      <c r="I413" s="8">
        <v>0</v>
      </c>
      <c r="K413" s="3">
        <f t="shared" si="30"/>
        <v>100337069</v>
      </c>
      <c r="M413" s="8">
        <v>119601844</v>
      </c>
      <c r="O413" s="3">
        <f t="shared" si="31"/>
        <v>20329872</v>
      </c>
      <c r="Q413" s="8">
        <v>81592175</v>
      </c>
      <c r="S413" s="8">
        <v>101922047</v>
      </c>
      <c r="U413" s="8">
        <v>14460802</v>
      </c>
      <c r="W413" s="8">
        <v>0</v>
      </c>
      <c r="Y413" s="8">
        <v>3218995</v>
      </c>
      <c r="AA413" s="14">
        <f t="shared" si="32"/>
        <v>17679797</v>
      </c>
      <c r="AC413" s="8">
        <f t="shared" si="29"/>
        <v>0</v>
      </c>
    </row>
    <row r="414" spans="1:29">
      <c r="A414" s="13" t="s">
        <v>438</v>
      </c>
      <c r="B414" s="13"/>
      <c r="C414" s="13" t="s">
        <v>34</v>
      </c>
      <c r="D414" s="13"/>
      <c r="E414" s="32">
        <v>47597</v>
      </c>
      <c r="G414" s="8">
        <v>3186263</v>
      </c>
      <c r="I414" s="8">
        <v>0</v>
      </c>
      <c r="K414" s="3">
        <f t="shared" si="30"/>
        <v>5622198</v>
      </c>
      <c r="M414" s="8">
        <v>8808461</v>
      </c>
      <c r="O414" s="3">
        <f t="shared" si="31"/>
        <v>930893</v>
      </c>
      <c r="Q414" s="8">
        <v>4812815</v>
      </c>
      <c r="S414" s="8">
        <v>5743708</v>
      </c>
      <c r="U414" s="8">
        <v>645341</v>
      </c>
      <c r="W414" s="8">
        <v>0</v>
      </c>
      <c r="Y414" s="8">
        <v>2419412</v>
      </c>
      <c r="AA414" s="14">
        <f t="shared" si="32"/>
        <v>3064753</v>
      </c>
      <c r="AC414" s="8">
        <f t="shared" si="29"/>
        <v>0</v>
      </c>
    </row>
    <row r="415" spans="1:29" hidden="1">
      <c r="A415" s="13" t="s">
        <v>584</v>
      </c>
      <c r="B415" s="13"/>
      <c r="C415" s="13" t="s">
        <v>583</v>
      </c>
      <c r="D415" s="13"/>
      <c r="E415" s="32">
        <v>45575</v>
      </c>
      <c r="G415" s="8">
        <v>0</v>
      </c>
      <c r="I415" s="8">
        <v>0</v>
      </c>
      <c r="K415" s="3">
        <f t="shared" si="30"/>
        <v>0</v>
      </c>
      <c r="M415" s="8">
        <v>0</v>
      </c>
      <c r="O415" s="3">
        <f t="shared" si="31"/>
        <v>0</v>
      </c>
      <c r="Q415" s="8">
        <v>0</v>
      </c>
      <c r="S415" s="8">
        <v>0</v>
      </c>
      <c r="U415" s="8">
        <v>0</v>
      </c>
      <c r="W415" s="8">
        <v>0</v>
      </c>
      <c r="Y415" s="8">
        <v>0</v>
      </c>
      <c r="AA415" s="14">
        <f t="shared" si="32"/>
        <v>0</v>
      </c>
      <c r="AC415" s="8">
        <f t="shared" si="29"/>
        <v>0</v>
      </c>
    </row>
    <row r="416" spans="1:29">
      <c r="A416" s="13" t="s">
        <v>344</v>
      </c>
      <c r="B416" s="13"/>
      <c r="C416" s="13" t="s">
        <v>24</v>
      </c>
      <c r="D416" s="13"/>
      <c r="E416" s="32">
        <v>46813</v>
      </c>
      <c r="G416" s="8">
        <v>8869529</v>
      </c>
      <c r="I416" s="8">
        <v>0</v>
      </c>
      <c r="K416" s="3">
        <f t="shared" si="30"/>
        <v>12130334</v>
      </c>
      <c r="M416" s="8">
        <v>20999863</v>
      </c>
      <c r="O416" s="3">
        <f t="shared" si="31"/>
        <v>3024436</v>
      </c>
      <c r="Q416" s="8">
        <v>10601676</v>
      </c>
      <c r="S416" s="8">
        <v>13626112</v>
      </c>
      <c r="U416" s="8">
        <v>2212746</v>
      </c>
      <c r="W416" s="8">
        <v>0</v>
      </c>
      <c r="Y416" s="8">
        <v>5161005</v>
      </c>
      <c r="AA416" s="14">
        <f t="shared" si="32"/>
        <v>7373751</v>
      </c>
      <c r="AC416" s="8">
        <f t="shared" si="29"/>
        <v>0</v>
      </c>
    </row>
    <row r="417" spans="1:29">
      <c r="A417" s="13" t="s">
        <v>213</v>
      </c>
      <c r="B417" s="13"/>
      <c r="C417" s="13" t="s">
        <v>41</v>
      </c>
      <c r="D417" s="13"/>
      <c r="E417" s="32">
        <v>47902</v>
      </c>
      <c r="G417" s="8">
        <v>29019945</v>
      </c>
      <c r="I417" s="8">
        <v>0</v>
      </c>
      <c r="K417" s="3">
        <f t="shared" si="30"/>
        <v>25779077</v>
      </c>
      <c r="M417" s="8">
        <v>54799022</v>
      </c>
      <c r="O417" s="3">
        <f t="shared" si="31"/>
        <v>2755084</v>
      </c>
      <c r="Q417" s="8">
        <v>24847238</v>
      </c>
      <c r="S417" s="8">
        <v>27602322</v>
      </c>
      <c r="U417" s="8">
        <v>537070</v>
      </c>
      <c r="W417" s="8">
        <v>0</v>
      </c>
      <c r="Y417" s="8">
        <v>26659630</v>
      </c>
      <c r="AA417" s="14">
        <f t="shared" si="32"/>
        <v>27196700</v>
      </c>
      <c r="AC417" s="8">
        <f t="shared" si="29"/>
        <v>0</v>
      </c>
    </row>
    <row r="418" spans="1:29">
      <c r="A418" s="13" t="s">
        <v>213</v>
      </c>
      <c r="B418" s="13"/>
      <c r="C418" s="13" t="s">
        <v>62</v>
      </c>
      <c r="D418" s="13"/>
      <c r="E418" s="32">
        <v>49924</v>
      </c>
      <c r="G418" s="8">
        <v>28899766</v>
      </c>
      <c r="I418" s="8">
        <v>0</v>
      </c>
      <c r="K418" s="3">
        <f t="shared" si="30"/>
        <v>20758169</v>
      </c>
      <c r="M418" s="8">
        <v>49657935</v>
      </c>
      <c r="O418" s="3">
        <f t="shared" si="31"/>
        <v>6157540</v>
      </c>
      <c r="Q418" s="8">
        <v>19208346</v>
      </c>
      <c r="S418" s="8">
        <v>25365886</v>
      </c>
      <c r="U418" s="8">
        <v>1189357</v>
      </c>
      <c r="W418" s="8">
        <v>0</v>
      </c>
      <c r="Y418" s="8">
        <v>23102692</v>
      </c>
      <c r="AA418" s="14">
        <f t="shared" si="32"/>
        <v>24292049</v>
      </c>
      <c r="AC418" s="8">
        <f t="shared" si="29"/>
        <v>0</v>
      </c>
    </row>
    <row r="419" spans="1:29">
      <c r="A419" s="13" t="s">
        <v>744</v>
      </c>
      <c r="B419" s="13"/>
      <c r="C419" s="13" t="s">
        <v>72</v>
      </c>
      <c r="D419" s="13"/>
      <c r="E419" s="32">
        <v>45583</v>
      </c>
      <c r="G419" s="8">
        <v>4791127</v>
      </c>
      <c r="I419" s="8">
        <v>0</v>
      </c>
      <c r="K419" s="3">
        <f t="shared" si="30"/>
        <v>28844590</v>
      </c>
      <c r="M419" s="8">
        <v>33635717</v>
      </c>
      <c r="O419" s="3">
        <f t="shared" si="31"/>
        <v>5984683</v>
      </c>
      <c r="Q419" s="8">
        <v>22531706</v>
      </c>
      <c r="S419" s="8">
        <v>28516389</v>
      </c>
      <c r="U419" s="8">
        <v>5412110</v>
      </c>
      <c r="W419" s="8">
        <v>0</v>
      </c>
      <c r="Y419" s="8">
        <v>-292782</v>
      </c>
      <c r="AA419" s="14">
        <f t="shared" si="32"/>
        <v>5119328</v>
      </c>
      <c r="AC419" s="8">
        <f t="shared" si="29"/>
        <v>0</v>
      </c>
    </row>
    <row r="420" spans="1:29">
      <c r="A420" s="13" t="s">
        <v>375</v>
      </c>
      <c r="B420" s="13"/>
      <c r="C420" s="13" t="s">
        <v>28</v>
      </c>
      <c r="D420" s="13"/>
      <c r="E420" s="32">
        <v>47076</v>
      </c>
      <c r="G420" s="8">
        <v>1493657</v>
      </c>
      <c r="I420" s="8">
        <v>0</v>
      </c>
      <c r="K420" s="3">
        <f t="shared" si="30"/>
        <v>1545266</v>
      </c>
      <c r="M420" s="8">
        <v>3038923</v>
      </c>
      <c r="O420" s="3">
        <f t="shared" si="31"/>
        <v>660877</v>
      </c>
      <c r="Q420" s="8">
        <v>1252343</v>
      </c>
      <c r="S420" s="8">
        <v>1913220</v>
      </c>
      <c r="U420" s="8">
        <v>107714</v>
      </c>
      <c r="W420" s="8">
        <v>0</v>
      </c>
      <c r="Y420" s="8">
        <v>1017989</v>
      </c>
      <c r="AA420" s="14">
        <f t="shared" si="32"/>
        <v>1125703</v>
      </c>
      <c r="AC420" s="8">
        <f t="shared" si="29"/>
        <v>0</v>
      </c>
    </row>
    <row r="421" spans="1:29">
      <c r="A421" s="13" t="s">
        <v>353</v>
      </c>
      <c r="B421" s="13"/>
      <c r="C421" s="13" t="s">
        <v>25</v>
      </c>
      <c r="D421" s="13"/>
      <c r="E421" s="32">
        <v>46896</v>
      </c>
      <c r="G421" s="8">
        <v>62582061</v>
      </c>
      <c r="I421" s="8">
        <v>0</v>
      </c>
      <c r="K421" s="3">
        <f t="shared" si="30"/>
        <v>67189359</v>
      </c>
      <c r="M421" s="8">
        <v>129771420</v>
      </c>
      <c r="O421" s="3">
        <f t="shared" si="31"/>
        <v>14939663</v>
      </c>
      <c r="Q421" s="8">
        <v>37792956</v>
      </c>
      <c r="S421" s="8">
        <v>52732619</v>
      </c>
      <c r="U421" s="8">
        <v>52182829</v>
      </c>
      <c r="W421" s="8">
        <v>2627993</v>
      </c>
      <c r="Y421" s="8">
        <v>22227979</v>
      </c>
      <c r="AA421" s="14">
        <f t="shared" si="32"/>
        <v>77038801</v>
      </c>
      <c r="AC421" s="8">
        <f t="shared" si="29"/>
        <v>0</v>
      </c>
    </row>
    <row r="422" spans="1:29">
      <c r="A422" s="13" t="s">
        <v>376</v>
      </c>
      <c r="B422" s="13"/>
      <c r="C422" s="13" t="s">
        <v>28</v>
      </c>
      <c r="D422" s="13"/>
      <c r="E422" s="32">
        <v>47084</v>
      </c>
      <c r="G422" s="8">
        <v>6311570</v>
      </c>
      <c r="I422" s="8">
        <v>0</v>
      </c>
      <c r="K422" s="3">
        <f t="shared" si="30"/>
        <v>7016422</v>
      </c>
      <c r="M422" s="8">
        <v>13327992</v>
      </c>
      <c r="O422" s="3">
        <f t="shared" si="31"/>
        <v>1750221</v>
      </c>
      <c r="Q422" s="8">
        <v>5717292</v>
      </c>
      <c r="S422" s="8">
        <v>7467513</v>
      </c>
      <c r="U422" s="8">
        <v>579598</v>
      </c>
      <c r="W422" s="8">
        <v>0</v>
      </c>
      <c r="Y422" s="8">
        <v>5280881</v>
      </c>
      <c r="AA422" s="14">
        <f t="shared" si="32"/>
        <v>5860479</v>
      </c>
      <c r="AC422" s="8">
        <f t="shared" si="29"/>
        <v>0</v>
      </c>
    </row>
    <row r="423" spans="1:29">
      <c r="A423" s="13" t="s">
        <v>548</v>
      </c>
      <c r="B423" s="13"/>
      <c r="C423" s="13" t="s">
        <v>48</v>
      </c>
      <c r="D423" s="13"/>
      <c r="E423" s="32">
        <v>44644</v>
      </c>
      <c r="G423" s="8">
        <v>3916439</v>
      </c>
      <c r="I423" s="8">
        <v>0</v>
      </c>
      <c r="K423" s="3">
        <f t="shared" si="30"/>
        <v>18621812</v>
      </c>
      <c r="M423" s="8">
        <v>22538251</v>
      </c>
      <c r="O423" s="3">
        <f t="shared" si="31"/>
        <v>3656679</v>
      </c>
      <c r="Q423" s="8">
        <v>13942777</v>
      </c>
      <c r="S423" s="8">
        <v>17599456</v>
      </c>
      <c r="U423" s="8">
        <v>2061401</v>
      </c>
      <c r="W423" s="8">
        <v>0</v>
      </c>
      <c r="Y423" s="8">
        <v>2877394</v>
      </c>
      <c r="AA423" s="14">
        <f t="shared" si="32"/>
        <v>4938795</v>
      </c>
      <c r="AC423" s="8">
        <f t="shared" si="29"/>
        <v>0</v>
      </c>
    </row>
    <row r="424" spans="1:29" hidden="1">
      <c r="A424" s="13" t="s">
        <v>365</v>
      </c>
      <c r="B424" s="13"/>
      <c r="C424" s="13" t="s">
        <v>27</v>
      </c>
      <c r="D424" s="13"/>
      <c r="E424" s="32">
        <v>46995</v>
      </c>
      <c r="G424" s="8">
        <v>0</v>
      </c>
      <c r="I424" s="8">
        <v>0</v>
      </c>
      <c r="K424" s="3">
        <f t="shared" si="30"/>
        <v>0</v>
      </c>
      <c r="M424" s="8">
        <v>0</v>
      </c>
      <c r="O424" s="3">
        <f t="shared" si="31"/>
        <v>0</v>
      </c>
      <c r="Q424" s="8">
        <v>0</v>
      </c>
      <c r="S424" s="8">
        <v>0</v>
      </c>
      <c r="U424" s="8">
        <v>0</v>
      </c>
      <c r="W424" s="8">
        <v>0</v>
      </c>
      <c r="Y424" s="8">
        <v>0</v>
      </c>
      <c r="AA424" s="14">
        <f t="shared" si="32"/>
        <v>0</v>
      </c>
      <c r="AC424" s="8">
        <f t="shared" si="29"/>
        <v>0</v>
      </c>
    </row>
    <row r="425" spans="1:29">
      <c r="A425" s="13" t="s">
        <v>365</v>
      </c>
      <c r="B425" s="13"/>
      <c r="C425" s="13" t="s">
        <v>62</v>
      </c>
      <c r="D425" s="13"/>
      <c r="E425" s="13">
        <v>49932</v>
      </c>
      <c r="G425" s="8">
        <v>17626212</v>
      </c>
      <c r="I425" s="8">
        <v>0</v>
      </c>
      <c r="K425" s="3">
        <f t="shared" si="30"/>
        <v>28432843</v>
      </c>
      <c r="M425" s="8">
        <v>46059055</v>
      </c>
      <c r="O425" s="3">
        <f t="shared" si="31"/>
        <v>7225860</v>
      </c>
      <c r="Q425" s="8">
        <v>27255285</v>
      </c>
      <c r="S425" s="8">
        <v>34481145</v>
      </c>
      <c r="U425" s="8">
        <v>5183001</v>
      </c>
      <c r="W425" s="8">
        <v>1485274</v>
      </c>
      <c r="Y425" s="8">
        <v>4909635</v>
      </c>
      <c r="AA425" s="14">
        <f t="shared" si="32"/>
        <v>11577910</v>
      </c>
      <c r="AC425" s="8">
        <f t="shared" si="29"/>
        <v>0</v>
      </c>
    </row>
    <row r="426" spans="1:29">
      <c r="A426" s="13" t="s">
        <v>528</v>
      </c>
      <c r="B426" s="13"/>
      <c r="C426" s="13" t="s">
        <v>46</v>
      </c>
      <c r="D426" s="13"/>
      <c r="E426" s="13">
        <v>48421</v>
      </c>
      <c r="G426" s="8">
        <v>5063554</v>
      </c>
      <c r="I426" s="8">
        <v>0</v>
      </c>
      <c r="K426" s="3">
        <f t="shared" si="30"/>
        <v>5046163</v>
      </c>
      <c r="M426" s="8">
        <v>10109717</v>
      </c>
      <c r="O426" s="3">
        <f t="shared" si="31"/>
        <v>1503925</v>
      </c>
      <c r="Q426" s="8">
        <v>3269135</v>
      </c>
      <c r="S426" s="8">
        <v>4773060</v>
      </c>
      <c r="U426" s="8">
        <v>1806240</v>
      </c>
      <c r="W426" s="8">
        <v>0</v>
      </c>
      <c r="Y426" s="8">
        <v>3530417</v>
      </c>
      <c r="AA426" s="14">
        <f t="shared" si="32"/>
        <v>5336657</v>
      </c>
      <c r="AC426" s="8">
        <f t="shared" si="29"/>
        <v>0</v>
      </c>
    </row>
    <row r="427" spans="1:29">
      <c r="A427" s="13" t="s">
        <v>619</v>
      </c>
      <c r="B427" s="13"/>
      <c r="C427" s="13" t="s">
        <v>113</v>
      </c>
      <c r="D427" s="13"/>
      <c r="E427" s="13">
        <v>49460</v>
      </c>
      <c r="G427" s="8">
        <v>4911834</v>
      </c>
      <c r="I427" s="8">
        <v>0</v>
      </c>
      <c r="K427" s="3">
        <f t="shared" si="30"/>
        <v>5246077</v>
      </c>
      <c r="M427" s="8">
        <v>10157911</v>
      </c>
      <c r="O427" s="3">
        <f t="shared" si="31"/>
        <v>1356625</v>
      </c>
      <c r="Q427" s="8">
        <v>3560965</v>
      </c>
      <c r="S427" s="8">
        <v>4917590</v>
      </c>
      <c r="U427" s="8">
        <v>3855854</v>
      </c>
      <c r="W427" s="8">
        <v>0</v>
      </c>
      <c r="Y427" s="8">
        <v>1384467</v>
      </c>
      <c r="AA427" s="14">
        <f t="shared" si="32"/>
        <v>5240321</v>
      </c>
      <c r="AC427" s="8">
        <f t="shared" si="29"/>
        <v>0</v>
      </c>
    </row>
    <row r="428" spans="1:29">
      <c r="A428" s="13" t="s">
        <v>520</v>
      </c>
      <c r="B428" s="13"/>
      <c r="C428" s="13" t="s">
        <v>45</v>
      </c>
      <c r="D428" s="13"/>
      <c r="E428" s="32">
        <v>48348</v>
      </c>
      <c r="G428" s="8">
        <v>5396673</v>
      </c>
      <c r="I428" s="8">
        <v>0</v>
      </c>
      <c r="K428" s="3">
        <f t="shared" si="30"/>
        <v>13737734</v>
      </c>
      <c r="M428" s="8">
        <v>19134407</v>
      </c>
      <c r="O428" s="3">
        <f t="shared" si="31"/>
        <v>4024685</v>
      </c>
      <c r="Q428" s="8">
        <v>13547651</v>
      </c>
      <c r="S428" s="8">
        <v>17572336</v>
      </c>
      <c r="U428" s="8">
        <v>1253287</v>
      </c>
      <c r="W428" s="8">
        <v>255198</v>
      </c>
      <c r="Y428" s="8">
        <v>53586</v>
      </c>
      <c r="AA428" s="14">
        <f t="shared" si="32"/>
        <v>1562071</v>
      </c>
      <c r="AC428" s="8">
        <f t="shared" si="29"/>
        <v>0</v>
      </c>
    </row>
    <row r="429" spans="1:29">
      <c r="A429" s="13" t="s">
        <v>582</v>
      </c>
      <c r="B429" s="13"/>
      <c r="C429" s="13" t="s">
        <v>53</v>
      </c>
      <c r="D429" s="13"/>
      <c r="E429" s="32">
        <v>44651</v>
      </c>
      <c r="G429" s="8">
        <f>5675664+4500+5164613</f>
        <v>10844777</v>
      </c>
      <c r="I429" s="8">
        <v>117490</v>
      </c>
      <c r="K429" s="3">
        <f t="shared" si="30"/>
        <v>15546032</v>
      </c>
      <c r="M429" s="8">
        <v>26508299</v>
      </c>
      <c r="O429" s="3">
        <f t="shared" si="31"/>
        <v>2282065</v>
      </c>
      <c r="Q429" s="8">
        <v>13766700</v>
      </c>
      <c r="S429" s="8">
        <v>16048765</v>
      </c>
      <c r="U429" s="8">
        <f>1049816+151473+1527571+31104+86386</f>
        <v>2846350</v>
      </c>
      <c r="W429" s="8">
        <v>805063</v>
      </c>
      <c r="Y429" s="8">
        <f>4160211+2357142+141080+149688</f>
        <v>6808121</v>
      </c>
      <c r="AA429" s="14">
        <f t="shared" si="32"/>
        <v>10459534</v>
      </c>
      <c r="AC429" s="8">
        <f t="shared" si="29"/>
        <v>0</v>
      </c>
    </row>
    <row r="430" spans="1:29">
      <c r="A430" s="13" t="s">
        <v>636</v>
      </c>
      <c r="B430" s="13"/>
      <c r="C430" s="13" t="s">
        <v>59</v>
      </c>
      <c r="D430" s="13"/>
      <c r="E430" s="32">
        <v>44669</v>
      </c>
      <c r="G430" s="8">
        <v>7737973</v>
      </c>
      <c r="I430" s="8">
        <v>0</v>
      </c>
      <c r="K430" s="3">
        <f t="shared" si="30"/>
        <v>7992047</v>
      </c>
      <c r="M430" s="8">
        <v>15730020</v>
      </c>
      <c r="O430" s="3">
        <f t="shared" si="31"/>
        <v>2789493</v>
      </c>
      <c r="Q430" s="8">
        <v>6938888</v>
      </c>
      <c r="S430" s="8">
        <v>9728381</v>
      </c>
      <c r="U430" s="8">
        <v>472499</v>
      </c>
      <c r="W430" s="8">
        <v>115237</v>
      </c>
      <c r="Y430" s="8">
        <v>5413903</v>
      </c>
      <c r="AA430" s="14">
        <f t="shared" si="32"/>
        <v>6001639</v>
      </c>
      <c r="AC430" s="8">
        <f t="shared" si="29"/>
        <v>0</v>
      </c>
    </row>
    <row r="431" spans="1:29" hidden="1">
      <c r="A431" s="13" t="s">
        <v>605</v>
      </c>
      <c r="B431" s="13"/>
      <c r="C431" s="13" t="s">
        <v>57</v>
      </c>
      <c r="D431" s="13"/>
      <c r="E431" s="32">
        <v>49288</v>
      </c>
      <c r="G431" s="8">
        <v>0</v>
      </c>
      <c r="I431" s="8">
        <v>0</v>
      </c>
      <c r="K431" s="3">
        <v>0</v>
      </c>
      <c r="M431" s="8">
        <v>0</v>
      </c>
      <c r="O431" s="3">
        <f t="shared" si="31"/>
        <v>0</v>
      </c>
      <c r="Q431" s="8">
        <v>0</v>
      </c>
      <c r="S431" s="8">
        <v>0</v>
      </c>
      <c r="U431" s="8">
        <v>398324</v>
      </c>
      <c r="W431" s="8">
        <v>0</v>
      </c>
      <c r="Y431" s="8">
        <v>0</v>
      </c>
      <c r="AA431" s="14">
        <v>0</v>
      </c>
      <c r="AC431" s="8">
        <f t="shared" si="29"/>
        <v>-398324</v>
      </c>
    </row>
    <row r="432" spans="1:29">
      <c r="A432" s="13" t="s">
        <v>410</v>
      </c>
      <c r="B432" s="13"/>
      <c r="C432" s="13" t="s">
        <v>32</v>
      </c>
      <c r="D432" s="13"/>
      <c r="E432" s="32">
        <v>44677</v>
      </c>
      <c r="G432" s="8">
        <v>32099972</v>
      </c>
      <c r="I432" s="8">
        <v>0</v>
      </c>
      <c r="K432" s="3">
        <f t="shared" si="30"/>
        <v>71980047</v>
      </c>
      <c r="M432" s="8">
        <v>104080019</v>
      </c>
      <c r="O432" s="3">
        <f t="shared" si="31"/>
        <v>13784760</v>
      </c>
      <c r="Q432" s="8">
        <v>50678951</v>
      </c>
      <c r="S432" s="8">
        <v>64463711</v>
      </c>
      <c r="U432" s="8">
        <v>18752128</v>
      </c>
      <c r="W432" s="8">
        <v>0</v>
      </c>
      <c r="Y432" s="8">
        <v>20864180</v>
      </c>
      <c r="AA432" s="14">
        <f t="shared" si="32"/>
        <v>39616308</v>
      </c>
      <c r="AC432" s="8">
        <f t="shared" si="29"/>
        <v>0</v>
      </c>
    </row>
    <row r="433" spans="1:29">
      <c r="A433" s="13" t="s">
        <v>224</v>
      </c>
      <c r="B433" s="13"/>
      <c r="C433" s="13" t="s">
        <v>12</v>
      </c>
      <c r="D433" s="13"/>
      <c r="E433" s="32">
        <v>45880</v>
      </c>
      <c r="G433" s="8">
        <v>2386188</v>
      </c>
      <c r="I433" s="8">
        <v>0</v>
      </c>
      <c r="K433" s="3">
        <f t="shared" si="30"/>
        <v>5301496</v>
      </c>
      <c r="M433" s="8">
        <v>7687684</v>
      </c>
      <c r="O433" s="3">
        <f t="shared" si="31"/>
        <v>1334648</v>
      </c>
      <c r="Q433" s="8">
        <v>3465790</v>
      </c>
      <c r="S433" s="8">
        <v>4800438</v>
      </c>
      <c r="U433" s="8">
        <v>1861982</v>
      </c>
      <c r="W433" s="8">
        <v>11000</v>
      </c>
      <c r="Y433" s="8">
        <v>1014264</v>
      </c>
      <c r="AA433" s="14">
        <f t="shared" si="32"/>
        <v>2887246</v>
      </c>
      <c r="AC433" s="8">
        <f t="shared" si="29"/>
        <v>0</v>
      </c>
    </row>
    <row r="434" spans="1:29">
      <c r="A434" s="12" t="s">
        <v>903</v>
      </c>
      <c r="B434" s="12"/>
      <c r="C434" s="12" t="s">
        <v>56</v>
      </c>
      <c r="D434" s="12"/>
      <c r="E434" s="32"/>
      <c r="G434" s="8">
        <f>8304936+23600000</f>
        <v>31904936</v>
      </c>
      <c r="I434" s="8">
        <v>180940</v>
      </c>
      <c r="K434" s="3">
        <f t="shared" si="30"/>
        <v>15230832</v>
      </c>
      <c r="M434" s="8">
        <v>47316708</v>
      </c>
      <c r="O434" s="3">
        <f t="shared" si="31"/>
        <v>4310746</v>
      </c>
      <c r="Q434" s="8">
        <v>14005663</v>
      </c>
      <c r="S434" s="8">
        <v>18316409</v>
      </c>
      <c r="U434" s="8">
        <f>1974638+506292+180940</f>
        <v>2661870</v>
      </c>
      <c r="W434" s="8">
        <v>0</v>
      </c>
      <c r="Y434" s="8">
        <f>-360072+510892+25567778+73323+546508</f>
        <v>26338429</v>
      </c>
      <c r="AA434" s="14">
        <f t="shared" si="32"/>
        <v>29000299</v>
      </c>
      <c r="AC434" s="8">
        <f t="shared" si="29"/>
        <v>0</v>
      </c>
    </row>
    <row r="435" spans="1:29">
      <c r="A435" s="13" t="s">
        <v>411</v>
      </c>
      <c r="B435" s="13"/>
      <c r="C435" s="13" t="s">
        <v>32</v>
      </c>
      <c r="D435" s="13"/>
      <c r="E435" s="32">
        <v>44693</v>
      </c>
      <c r="G435" s="8">
        <v>1772234</v>
      </c>
      <c r="I435" s="8">
        <v>0</v>
      </c>
      <c r="K435" s="3">
        <f t="shared" si="30"/>
        <v>7711217</v>
      </c>
      <c r="M435" s="8">
        <v>9483451</v>
      </c>
      <c r="O435" s="3">
        <f t="shared" si="31"/>
        <v>1250264</v>
      </c>
      <c r="Q435" s="8">
        <v>5006282</v>
      </c>
      <c r="S435" s="8">
        <v>6256546</v>
      </c>
      <c r="U435" s="8">
        <f>270072+2501630+111979</f>
        <v>2883681</v>
      </c>
      <c r="W435" s="8">
        <v>0</v>
      </c>
      <c r="Y435" s="8">
        <f>-114716+158815+299125</f>
        <v>343224</v>
      </c>
      <c r="AA435" s="14">
        <f t="shared" si="32"/>
        <v>3226905</v>
      </c>
      <c r="AC435" s="8">
        <f t="shared" si="29"/>
        <v>0</v>
      </c>
    </row>
    <row r="436" spans="1:29">
      <c r="A436" s="13" t="s">
        <v>675</v>
      </c>
      <c r="B436" s="13"/>
      <c r="C436" s="13" t="s">
        <v>63</v>
      </c>
      <c r="D436" s="13"/>
      <c r="E436" s="32">
        <v>50054</v>
      </c>
      <c r="G436" s="8">
        <v>17215591</v>
      </c>
      <c r="I436" s="8">
        <v>0</v>
      </c>
      <c r="K436" s="3">
        <f t="shared" si="30"/>
        <v>25850971</v>
      </c>
      <c r="M436" s="8">
        <v>43066562</v>
      </c>
      <c r="O436" s="3">
        <f t="shared" si="31"/>
        <v>3876330</v>
      </c>
      <c r="Q436" s="8">
        <v>23462068</v>
      </c>
      <c r="S436" s="8">
        <v>27338398</v>
      </c>
      <c r="U436" s="8">
        <v>3411842</v>
      </c>
      <c r="W436" s="8">
        <v>0</v>
      </c>
      <c r="Y436" s="8">
        <v>12316322</v>
      </c>
      <c r="AA436" s="14">
        <f t="shared" si="32"/>
        <v>15728164</v>
      </c>
      <c r="AC436" s="8">
        <f t="shared" si="29"/>
        <v>0</v>
      </c>
    </row>
    <row r="437" spans="1:29">
      <c r="A437" s="13" t="s">
        <v>366</v>
      </c>
      <c r="B437" s="13"/>
      <c r="C437" s="13" t="s">
        <v>27</v>
      </c>
      <c r="D437" s="13"/>
      <c r="E437" s="32">
        <v>47001</v>
      </c>
      <c r="G437" s="8">
        <f>11924791+55951031</f>
        <v>67875822</v>
      </c>
      <c r="I437" s="8">
        <v>172006</v>
      </c>
      <c r="K437" s="3">
        <f t="shared" si="30"/>
        <v>27136729</v>
      </c>
      <c r="M437" s="8">
        <v>95184557</v>
      </c>
      <c r="O437" s="3">
        <f t="shared" si="31"/>
        <v>27301482</v>
      </c>
      <c r="Q437" s="8">
        <v>1610074</v>
      </c>
      <c r="S437" s="8">
        <v>28911556</v>
      </c>
      <c r="U437" s="8">
        <f>1655843+206927+1033176+5047941+25000+172006</f>
        <v>8140893</v>
      </c>
      <c r="W437" s="8">
        <v>1170609</v>
      </c>
      <c r="Y437" s="8">
        <f>802703+471321+55683593+3882</f>
        <v>56961499</v>
      </c>
      <c r="AA437" s="14">
        <f t="shared" si="32"/>
        <v>66273001</v>
      </c>
      <c r="AC437" s="8">
        <f t="shared" si="29"/>
        <v>0</v>
      </c>
    </row>
    <row r="438" spans="1:29" hidden="1">
      <c r="A438" s="13" t="s">
        <v>322</v>
      </c>
      <c r="B438" s="13"/>
      <c r="C438" s="13" t="s">
        <v>20</v>
      </c>
      <c r="D438" s="13"/>
      <c r="E438" s="32">
        <v>46599</v>
      </c>
      <c r="G438" s="8">
        <v>0</v>
      </c>
      <c r="I438" s="8">
        <v>0</v>
      </c>
      <c r="K438" s="3">
        <f t="shared" si="30"/>
        <v>0</v>
      </c>
      <c r="M438" s="8">
        <v>0</v>
      </c>
      <c r="O438" s="3">
        <f t="shared" si="31"/>
        <v>0</v>
      </c>
      <c r="Q438" s="8">
        <v>0</v>
      </c>
      <c r="S438" s="8">
        <v>0</v>
      </c>
      <c r="U438" s="8">
        <v>0</v>
      </c>
      <c r="W438" s="8">
        <v>0</v>
      </c>
      <c r="Y438" s="8">
        <v>0</v>
      </c>
      <c r="AA438" s="14">
        <f t="shared" si="32"/>
        <v>0</v>
      </c>
      <c r="AC438" s="8">
        <f t="shared" si="29"/>
        <v>0</v>
      </c>
    </row>
    <row r="439" spans="1:29" ht="13.5" customHeight="1">
      <c r="A439" s="13" t="s">
        <v>529</v>
      </c>
      <c r="B439" s="13"/>
      <c r="C439" s="13" t="s">
        <v>46</v>
      </c>
      <c r="D439" s="13"/>
      <c r="E439" s="32">
        <v>48439</v>
      </c>
      <c r="G439" s="8">
        <v>1921497</v>
      </c>
      <c r="I439" s="8">
        <v>0</v>
      </c>
      <c r="K439" s="3">
        <f t="shared" si="30"/>
        <v>3086593</v>
      </c>
      <c r="M439" s="8">
        <v>5008090</v>
      </c>
      <c r="O439" s="3">
        <f t="shared" si="31"/>
        <v>807995</v>
      </c>
      <c r="Q439" s="8">
        <v>1958969</v>
      </c>
      <c r="S439" s="8">
        <v>2766964</v>
      </c>
      <c r="U439" s="8">
        <v>1185949</v>
      </c>
      <c r="W439" s="8">
        <v>0</v>
      </c>
      <c r="Y439" s="8">
        <v>1055177</v>
      </c>
      <c r="AA439" s="14">
        <f t="shared" si="32"/>
        <v>2241126</v>
      </c>
      <c r="AC439" s="8">
        <f t="shared" si="29"/>
        <v>0</v>
      </c>
    </row>
    <row r="440" spans="1:29">
      <c r="A440" s="13" t="s">
        <v>429</v>
      </c>
      <c r="B440" s="13"/>
      <c r="C440" s="13" t="s">
        <v>426</v>
      </c>
      <c r="D440" s="13"/>
      <c r="E440" s="32">
        <v>47506</v>
      </c>
      <c r="G440" s="8">
        <v>1435892</v>
      </c>
      <c r="I440" s="8">
        <v>0</v>
      </c>
      <c r="K440" s="3">
        <f t="shared" si="30"/>
        <v>1422447</v>
      </c>
      <c r="M440" s="8">
        <v>2858339</v>
      </c>
      <c r="O440" s="3">
        <f t="shared" si="31"/>
        <v>514545</v>
      </c>
      <c r="Q440" s="8">
        <v>1057356</v>
      </c>
      <c r="S440" s="8">
        <v>1571901</v>
      </c>
      <c r="U440" s="8">
        <f>31042+106415+7102</f>
        <v>144559</v>
      </c>
      <c r="W440" s="8">
        <v>0</v>
      </c>
      <c r="Y440" s="8">
        <f>995082-45599+164953+27443</f>
        <v>1141879</v>
      </c>
      <c r="AA440" s="14">
        <f t="shared" si="32"/>
        <v>1286438</v>
      </c>
      <c r="AC440" s="8">
        <f t="shared" si="29"/>
        <v>0</v>
      </c>
    </row>
    <row r="441" spans="1:29">
      <c r="A441" s="13" t="s">
        <v>292</v>
      </c>
      <c r="B441" s="13"/>
      <c r="C441" s="13" t="s">
        <v>19</v>
      </c>
      <c r="D441" s="13"/>
      <c r="E441" s="32">
        <v>46474</v>
      </c>
      <c r="G441" s="8">
        <v>5195591</v>
      </c>
      <c r="I441" s="8">
        <v>0</v>
      </c>
      <c r="K441" s="3">
        <f t="shared" si="30"/>
        <v>3252988</v>
      </c>
      <c r="M441" s="8">
        <v>8448579</v>
      </c>
      <c r="O441" s="3">
        <f t="shared" si="31"/>
        <v>1262120</v>
      </c>
      <c r="Q441" s="8">
        <v>2949336</v>
      </c>
      <c r="S441" s="8">
        <v>4211456</v>
      </c>
      <c r="U441" s="8">
        <v>736496</v>
      </c>
      <c r="W441" s="8">
        <v>54777</v>
      </c>
      <c r="Y441" s="8">
        <v>3445850</v>
      </c>
      <c r="AA441" s="14">
        <f t="shared" si="32"/>
        <v>4237123</v>
      </c>
      <c r="AC441" s="8">
        <f t="shared" si="29"/>
        <v>0</v>
      </c>
    </row>
    <row r="442" spans="1:29">
      <c r="A442" s="13" t="s">
        <v>904</v>
      </c>
      <c r="B442" s="13"/>
      <c r="C442" s="13" t="s">
        <v>77</v>
      </c>
      <c r="D442" s="13"/>
      <c r="E442" s="32">
        <v>46078</v>
      </c>
      <c r="G442" s="8">
        <v>3972697</v>
      </c>
      <c r="I442" s="8">
        <v>0</v>
      </c>
      <c r="K442" s="3">
        <f t="shared" si="30"/>
        <v>3005426</v>
      </c>
      <c r="M442" s="8">
        <v>6978123</v>
      </c>
      <c r="O442" s="3">
        <f t="shared" si="31"/>
        <v>1323582</v>
      </c>
      <c r="Q442" s="8">
        <v>2231041</v>
      </c>
      <c r="S442" s="8">
        <v>3554623</v>
      </c>
      <c r="U442" s="8">
        <v>569359</v>
      </c>
      <c r="W442" s="8">
        <v>0</v>
      </c>
      <c r="Y442" s="8">
        <v>2854141</v>
      </c>
      <c r="AA442" s="14">
        <f t="shared" si="32"/>
        <v>3423500</v>
      </c>
      <c r="AC442" s="8">
        <f t="shared" si="29"/>
        <v>0</v>
      </c>
    </row>
    <row r="443" spans="1:29">
      <c r="A443" s="13" t="s">
        <v>730</v>
      </c>
      <c r="B443" s="13"/>
      <c r="C443" s="13" t="s">
        <v>71</v>
      </c>
      <c r="D443" s="13"/>
      <c r="E443" s="32">
        <v>45591</v>
      </c>
      <c r="G443" s="8">
        <v>2871414</v>
      </c>
      <c r="I443" s="8">
        <v>0</v>
      </c>
      <c r="K443" s="3">
        <f t="shared" si="30"/>
        <v>6199907</v>
      </c>
      <c r="M443" s="8">
        <v>9071321</v>
      </c>
      <c r="O443" s="3">
        <f t="shared" si="31"/>
        <v>1370180</v>
      </c>
      <c r="Q443" s="8">
        <v>3732343</v>
      </c>
      <c r="S443" s="8">
        <v>5102523</v>
      </c>
      <c r="U443" s="8">
        <v>540826</v>
      </c>
      <c r="W443" s="8">
        <v>0</v>
      </c>
      <c r="Y443" s="8">
        <v>3427972</v>
      </c>
      <c r="AA443" s="14">
        <f t="shared" si="32"/>
        <v>3968798</v>
      </c>
      <c r="AC443" s="8">
        <f t="shared" si="29"/>
        <v>0</v>
      </c>
    </row>
    <row r="444" spans="1:29">
      <c r="A444" s="13" t="s">
        <v>530</v>
      </c>
      <c r="B444" s="13"/>
      <c r="C444" s="13" t="s">
        <v>46</v>
      </c>
      <c r="D444" s="13"/>
      <c r="E444" s="32">
        <v>48447</v>
      </c>
      <c r="G444" s="8">
        <v>5637072</v>
      </c>
      <c r="I444" s="8">
        <v>0</v>
      </c>
      <c r="K444" s="3">
        <f t="shared" si="30"/>
        <v>11401698</v>
      </c>
      <c r="M444" s="8">
        <v>17038770</v>
      </c>
      <c r="O444" s="3">
        <f t="shared" si="31"/>
        <v>2074759</v>
      </c>
      <c r="Q444" s="8">
        <v>8491441</v>
      </c>
      <c r="S444" s="8">
        <v>10566200</v>
      </c>
      <c r="U444" s="8">
        <v>2582319</v>
      </c>
      <c r="W444" s="8">
        <v>85600</v>
      </c>
      <c r="Y444" s="8">
        <v>3804651</v>
      </c>
      <c r="AA444" s="14">
        <f t="shared" si="32"/>
        <v>6472570</v>
      </c>
      <c r="AC444" s="8">
        <f t="shared" si="29"/>
        <v>0</v>
      </c>
    </row>
    <row r="445" spans="1:29">
      <c r="A445" s="13" t="s">
        <v>293</v>
      </c>
      <c r="B445" s="13"/>
      <c r="C445" s="13" t="s">
        <v>19</v>
      </c>
      <c r="D445" s="13"/>
      <c r="E445" s="32">
        <v>46482</v>
      </c>
      <c r="G445" s="8">
        <v>6803085</v>
      </c>
      <c r="I445" s="8">
        <v>0</v>
      </c>
      <c r="K445" s="3">
        <f t="shared" si="30"/>
        <v>8976691</v>
      </c>
      <c r="M445" s="8">
        <v>15779776</v>
      </c>
      <c r="O445" s="3">
        <f t="shared" si="31"/>
        <v>2203275</v>
      </c>
      <c r="Q445" s="8">
        <v>7971068</v>
      </c>
      <c r="S445" s="8">
        <v>10174343</v>
      </c>
      <c r="U445" s="8">
        <v>870113</v>
      </c>
      <c r="W445" s="8">
        <v>80351</v>
      </c>
      <c r="Y445" s="8">
        <v>4654969</v>
      </c>
      <c r="AA445" s="14">
        <f t="shared" si="32"/>
        <v>5605433</v>
      </c>
      <c r="AC445" s="8">
        <f t="shared" si="29"/>
        <v>0</v>
      </c>
    </row>
    <row r="446" spans="1:29">
      <c r="A446" s="13" t="s">
        <v>430</v>
      </c>
      <c r="B446" s="13"/>
      <c r="C446" s="13" t="s">
        <v>426</v>
      </c>
      <c r="D446" s="13"/>
      <c r="E446" s="32">
        <v>47514</v>
      </c>
      <c r="G446" s="8">
        <v>2247861</v>
      </c>
      <c r="I446" s="8">
        <v>0</v>
      </c>
      <c r="K446" s="3">
        <f t="shared" si="30"/>
        <v>4195062</v>
      </c>
      <c r="M446" s="8">
        <v>6442923</v>
      </c>
      <c r="O446" s="3">
        <f t="shared" si="31"/>
        <v>1102088</v>
      </c>
      <c r="Q446" s="8">
        <v>1629920</v>
      </c>
      <c r="S446" s="8">
        <v>2732008</v>
      </c>
      <c r="U446" s="8">
        <v>315671</v>
      </c>
      <c r="W446" s="8">
        <v>0</v>
      </c>
      <c r="Y446" s="8">
        <v>3395244</v>
      </c>
      <c r="AA446" s="14">
        <f t="shared" si="32"/>
        <v>3710915</v>
      </c>
      <c r="AC446" s="8">
        <f t="shared" si="29"/>
        <v>0</v>
      </c>
    </row>
    <row r="447" spans="1:29">
      <c r="A447" s="13" t="s">
        <v>488</v>
      </c>
      <c r="B447" s="13"/>
      <c r="C447" s="13" t="s">
        <v>41</v>
      </c>
      <c r="D447" s="13"/>
      <c r="E447" s="32"/>
      <c r="G447" s="8">
        <v>8208809</v>
      </c>
      <c r="I447" s="8">
        <v>0</v>
      </c>
      <c r="K447" s="3">
        <f t="shared" si="30"/>
        <v>34384311</v>
      </c>
      <c r="M447" s="8">
        <v>42593120</v>
      </c>
      <c r="O447" s="3">
        <f t="shared" si="31"/>
        <v>4683218</v>
      </c>
      <c r="Q447" s="8">
        <v>30698531</v>
      </c>
      <c r="S447" s="8">
        <v>35381749</v>
      </c>
      <c r="U447" s="8">
        <v>3420864</v>
      </c>
      <c r="W447" s="8">
        <v>585565</v>
      </c>
      <c r="Y447" s="8">
        <v>3204942</v>
      </c>
      <c r="AA447" s="14">
        <f t="shared" si="32"/>
        <v>7211371</v>
      </c>
      <c r="AC447" s="8">
        <f t="shared" si="29"/>
        <v>0</v>
      </c>
    </row>
    <row r="448" spans="1:29">
      <c r="A448" s="13" t="s">
        <v>488</v>
      </c>
      <c r="B448" s="13"/>
      <c r="C448" s="13" t="s">
        <v>43</v>
      </c>
      <c r="D448" s="13"/>
      <c r="E448" s="32">
        <v>48090</v>
      </c>
      <c r="G448" s="8">
        <v>1196903</v>
      </c>
      <c r="I448" s="8">
        <v>0</v>
      </c>
      <c r="K448" s="3">
        <f t="shared" si="30"/>
        <v>2208929</v>
      </c>
      <c r="M448" s="8">
        <v>3405832</v>
      </c>
      <c r="O448" s="3">
        <f t="shared" si="31"/>
        <v>670381</v>
      </c>
      <c r="Q448" s="8">
        <v>1862451</v>
      </c>
      <c r="S448" s="8">
        <v>2532832</v>
      </c>
      <c r="U448" s="8">
        <v>275588</v>
      </c>
      <c r="W448" s="8">
        <v>0</v>
      </c>
      <c r="Y448" s="8">
        <v>597412</v>
      </c>
      <c r="AA448" s="14">
        <f t="shared" si="32"/>
        <v>873000</v>
      </c>
      <c r="AC448" s="8">
        <f t="shared" si="29"/>
        <v>0</v>
      </c>
    </row>
    <row r="449" spans="1:29">
      <c r="A449" s="13" t="s">
        <v>475</v>
      </c>
      <c r="B449" s="13"/>
      <c r="C449" s="13" t="s">
        <v>471</v>
      </c>
      <c r="D449" s="13"/>
      <c r="E449" s="32">
        <v>47944</v>
      </c>
      <c r="G449" s="8">
        <v>9054396</v>
      </c>
      <c r="I449" s="8">
        <v>0</v>
      </c>
      <c r="K449" s="3">
        <f t="shared" si="30"/>
        <v>6381928</v>
      </c>
      <c r="M449" s="8">
        <v>15436324</v>
      </c>
      <c r="O449" s="3">
        <f t="shared" si="31"/>
        <v>2507124</v>
      </c>
      <c r="Q449" s="8">
        <v>5545299</v>
      </c>
      <c r="S449" s="8">
        <v>8052423</v>
      </c>
      <c r="U449" s="8">
        <v>1577050</v>
      </c>
      <c r="W449" s="8">
        <v>0</v>
      </c>
      <c r="Y449" s="8">
        <v>5806851</v>
      </c>
      <c r="AA449" s="14">
        <f t="shared" si="32"/>
        <v>7383901</v>
      </c>
      <c r="AC449" s="8">
        <f t="shared" si="29"/>
        <v>0</v>
      </c>
    </row>
    <row r="450" spans="1:29">
      <c r="A450" s="13" t="s">
        <v>323</v>
      </c>
      <c r="B450" s="13"/>
      <c r="C450" s="13" t="s">
        <v>20</v>
      </c>
      <c r="D450" s="13"/>
      <c r="E450" s="32">
        <v>44701</v>
      </c>
      <c r="G450" s="8">
        <v>3705151</v>
      </c>
      <c r="I450" s="8">
        <v>0</v>
      </c>
      <c r="K450" s="3">
        <f t="shared" si="30"/>
        <v>29088581</v>
      </c>
      <c r="M450" s="8">
        <v>32793732</v>
      </c>
      <c r="O450" s="3">
        <f t="shared" si="31"/>
        <v>5515111</v>
      </c>
      <c r="Q450" s="8">
        <v>24940684</v>
      </c>
      <c r="S450" s="8">
        <v>30455795</v>
      </c>
      <c r="U450" s="8">
        <v>7566947</v>
      </c>
      <c r="W450" s="8">
        <v>0</v>
      </c>
      <c r="Y450" s="8">
        <v>-5229010</v>
      </c>
      <c r="AA450" s="14">
        <f t="shared" si="32"/>
        <v>2337937</v>
      </c>
      <c r="AC450" s="8">
        <f t="shared" si="29"/>
        <v>0</v>
      </c>
    </row>
    <row r="451" spans="1:29">
      <c r="A451" s="13" t="s">
        <v>395</v>
      </c>
      <c r="B451" s="13"/>
      <c r="C451" s="13" t="s">
        <v>31</v>
      </c>
      <c r="D451" s="13"/>
      <c r="E451" s="32">
        <v>47308</v>
      </c>
      <c r="G451" s="8">
        <v>1825988</v>
      </c>
      <c r="I451" s="8">
        <v>0</v>
      </c>
      <c r="K451" s="3">
        <f t="shared" si="30"/>
        <v>7190673</v>
      </c>
      <c r="M451" s="8">
        <v>9016661</v>
      </c>
      <c r="O451" s="3">
        <f t="shared" si="31"/>
        <v>2233828</v>
      </c>
      <c r="Q451" s="8">
        <v>4646771</v>
      </c>
      <c r="S451" s="8">
        <v>6880599</v>
      </c>
      <c r="U451" s="8">
        <f>339332+579436+149913+1369478+25906</f>
        <v>2464065</v>
      </c>
      <c r="W451" s="8">
        <v>0</v>
      </c>
      <c r="Y451" s="8">
        <f>-1243577+604008+303301+8265</f>
        <v>-328003</v>
      </c>
      <c r="AA451" s="14">
        <f t="shared" si="32"/>
        <v>2136062</v>
      </c>
      <c r="AC451" s="8">
        <f t="shared" si="29"/>
        <v>0</v>
      </c>
    </row>
    <row r="452" spans="1:29">
      <c r="A452" s="13" t="s">
        <v>600</v>
      </c>
      <c r="B452" s="13"/>
      <c r="C452" s="13" t="s">
        <v>56</v>
      </c>
      <c r="D452" s="13"/>
      <c r="E452" s="32">
        <v>49213</v>
      </c>
      <c r="G452" s="8">
        <v>840632</v>
      </c>
      <c r="I452" s="8">
        <v>0</v>
      </c>
      <c r="K452" s="3">
        <f t="shared" si="30"/>
        <v>5501867</v>
      </c>
      <c r="M452" s="8">
        <v>6342499</v>
      </c>
      <c r="O452" s="3">
        <f t="shared" si="31"/>
        <v>1403389</v>
      </c>
      <c r="Q452" s="8">
        <v>5240272</v>
      </c>
      <c r="S452" s="8">
        <v>6643661</v>
      </c>
      <c r="U452" s="8">
        <v>265622</v>
      </c>
      <c r="W452" s="8">
        <v>0</v>
      </c>
      <c r="Y452" s="8">
        <v>-566784</v>
      </c>
      <c r="AA452" s="14">
        <f t="shared" si="32"/>
        <v>-301162</v>
      </c>
      <c r="AC452" s="8">
        <f t="shared" si="29"/>
        <v>0</v>
      </c>
    </row>
    <row r="453" spans="1:29">
      <c r="A453" s="13" t="s">
        <v>254</v>
      </c>
      <c r="B453" s="13"/>
      <c r="C453" s="13" t="s">
        <v>246</v>
      </c>
      <c r="D453" s="13"/>
      <c r="E453" s="32">
        <v>46144</v>
      </c>
      <c r="G453" s="8">
        <v>5007238</v>
      </c>
      <c r="I453" s="8">
        <v>0</v>
      </c>
      <c r="K453" s="3">
        <f t="shared" si="30"/>
        <v>13081756</v>
      </c>
      <c r="M453" s="8">
        <v>18088994</v>
      </c>
      <c r="O453" s="3">
        <f t="shared" si="31"/>
        <v>2562094</v>
      </c>
      <c r="Q453" s="8">
        <v>11180127</v>
      </c>
      <c r="S453" s="8">
        <v>13742221</v>
      </c>
      <c r="U453" s="8">
        <v>747698</v>
      </c>
      <c r="W453" s="8">
        <v>392800</v>
      </c>
      <c r="Y453" s="8">
        <v>3206275</v>
      </c>
      <c r="AA453" s="14">
        <f t="shared" si="32"/>
        <v>4346773</v>
      </c>
      <c r="AC453" s="8">
        <f t="shared" si="29"/>
        <v>0</v>
      </c>
    </row>
    <row r="454" spans="1:29">
      <c r="A454" s="13" t="s">
        <v>745</v>
      </c>
      <c r="B454" s="13"/>
      <c r="C454" s="13" t="s">
        <v>72</v>
      </c>
      <c r="D454" s="13"/>
      <c r="E454" s="13">
        <v>45609</v>
      </c>
      <c r="G454" s="8">
        <v>10153079</v>
      </c>
      <c r="I454" s="8">
        <v>0</v>
      </c>
      <c r="K454" s="3">
        <f t="shared" si="30"/>
        <v>41246116</v>
      </c>
      <c r="M454" s="8">
        <v>51399195</v>
      </c>
      <c r="O454" s="3">
        <f t="shared" si="31"/>
        <v>3257099</v>
      </c>
      <c r="Q454" s="8">
        <v>38388135</v>
      </c>
      <c r="S454" s="8">
        <v>41645234</v>
      </c>
      <c r="U454" s="8">
        <v>3289031</v>
      </c>
      <c r="W454" s="8">
        <v>0</v>
      </c>
      <c r="Y454" s="8">
        <v>6464930</v>
      </c>
      <c r="AA454" s="14">
        <f t="shared" si="32"/>
        <v>9753961</v>
      </c>
      <c r="AC454" s="8">
        <f t="shared" si="29"/>
        <v>0</v>
      </c>
    </row>
    <row r="455" spans="1:29">
      <c r="A455" s="13" t="s">
        <v>651</v>
      </c>
      <c r="B455" s="13"/>
      <c r="C455" s="13" t="s">
        <v>61</v>
      </c>
      <c r="D455" s="13"/>
      <c r="E455" s="32">
        <v>49817</v>
      </c>
      <c r="G455" s="8">
        <v>1779512</v>
      </c>
      <c r="I455" s="8">
        <v>0</v>
      </c>
      <c r="K455" s="3">
        <f t="shared" si="30"/>
        <v>1355523</v>
      </c>
      <c r="M455" s="8">
        <v>3135035</v>
      </c>
      <c r="O455" s="3">
        <f t="shared" si="31"/>
        <v>432661</v>
      </c>
      <c r="Q455" s="8">
        <v>1112679</v>
      </c>
      <c r="S455" s="8">
        <v>1545340</v>
      </c>
      <c r="U455" s="8">
        <v>122979</v>
      </c>
      <c r="W455" s="8">
        <v>0</v>
      </c>
      <c r="Y455" s="8">
        <v>1466716</v>
      </c>
      <c r="AA455" s="14">
        <f t="shared" si="32"/>
        <v>1589695</v>
      </c>
      <c r="AC455" s="8">
        <f t="shared" si="29"/>
        <v>0</v>
      </c>
    </row>
    <row r="456" spans="1:29">
      <c r="A456" s="12" t="s">
        <v>839</v>
      </c>
      <c r="B456" s="12"/>
      <c r="C456" s="12" t="s">
        <v>115</v>
      </c>
      <c r="D456" s="12"/>
      <c r="E456" s="32"/>
      <c r="G456" s="8">
        <v>2125348</v>
      </c>
      <c r="I456" s="8">
        <v>0</v>
      </c>
      <c r="K456" s="3">
        <f t="shared" ref="K456:K506" si="33">M456-G456-I456</f>
        <v>12397803</v>
      </c>
      <c r="M456" s="8">
        <v>14523151</v>
      </c>
      <c r="O456" s="3">
        <f t="shared" ref="O456:O506" si="34">S456-Q456</f>
        <v>12846324</v>
      </c>
      <c r="Q456" s="8">
        <v>1083721</v>
      </c>
      <c r="S456" s="8">
        <v>13930045</v>
      </c>
      <c r="U456" s="8">
        <f>208820+11000+7486+337346+11879+3033</f>
        <v>579564</v>
      </c>
      <c r="W456" s="8">
        <v>0</v>
      </c>
      <c r="Y456" s="8">
        <f>-997376+87499+923419</f>
        <v>13542</v>
      </c>
      <c r="AA456" s="14">
        <f t="shared" ref="AA456:AA506" si="35">U456+W456+Y456</f>
        <v>593106</v>
      </c>
      <c r="AC456" s="8">
        <f t="shared" si="29"/>
        <v>0</v>
      </c>
    </row>
    <row r="457" spans="1:29">
      <c r="A457" s="13" t="s">
        <v>345</v>
      </c>
      <c r="B457" s="13"/>
      <c r="C457" s="13" t="s">
        <v>24</v>
      </c>
      <c r="D457" s="13"/>
      <c r="E457" s="32">
        <v>44743</v>
      </c>
      <c r="G457" s="8">
        <v>7917229</v>
      </c>
      <c r="I457" s="8">
        <v>0</v>
      </c>
      <c r="K457" s="3">
        <f t="shared" si="33"/>
        <v>21949940</v>
      </c>
      <c r="M457" s="8">
        <v>29867169</v>
      </c>
      <c r="O457" s="3">
        <f t="shared" si="34"/>
        <v>24465477</v>
      </c>
      <c r="Q457" s="8">
        <v>2915609</v>
      </c>
      <c r="S457" s="8">
        <v>27381086</v>
      </c>
      <c r="U457" s="8">
        <f>378215+248335+10618+1714773+15319</f>
        <v>2367260</v>
      </c>
      <c r="W457" s="8">
        <v>0</v>
      </c>
      <c r="Y457" s="8">
        <f>-340751-135860+269920+235258+90256</f>
        <v>118823</v>
      </c>
      <c r="AA457" s="14">
        <f t="shared" si="35"/>
        <v>2486083</v>
      </c>
      <c r="AC457" s="8">
        <f t="shared" si="29"/>
        <v>0</v>
      </c>
    </row>
    <row r="458" spans="1:29">
      <c r="A458" s="13" t="s">
        <v>665</v>
      </c>
      <c r="B458" s="13"/>
      <c r="C458" s="13" t="s">
        <v>62</v>
      </c>
      <c r="D458" s="13"/>
      <c r="E458" s="32">
        <v>49940</v>
      </c>
      <c r="G458" s="8">
        <f>17707039+284244</f>
        <v>17991283</v>
      </c>
      <c r="I458" s="8">
        <v>25788</v>
      </c>
      <c r="K458" s="3">
        <f t="shared" si="33"/>
        <v>6588611</v>
      </c>
      <c r="M458" s="8">
        <v>24605682</v>
      </c>
      <c r="O458" s="3">
        <f t="shared" si="34"/>
        <v>8445991</v>
      </c>
      <c r="Q458" s="8">
        <v>1768453</v>
      </c>
      <c r="S458" s="8">
        <v>10214444</v>
      </c>
      <c r="U458" s="8">
        <f>9475413+9999+401123+8453+407953+25788</f>
        <v>10328729</v>
      </c>
      <c r="W458" s="8">
        <v>0</v>
      </c>
      <c r="Y458" s="8">
        <f>425244+466590+3170675</f>
        <v>4062509</v>
      </c>
      <c r="AA458" s="14">
        <f t="shared" si="35"/>
        <v>14391238</v>
      </c>
      <c r="AC458" s="8">
        <f t="shared" si="29"/>
        <v>0</v>
      </c>
    </row>
    <row r="459" spans="1:29">
      <c r="A459" s="13" t="s">
        <v>592</v>
      </c>
      <c r="B459" s="13"/>
      <c r="C459" s="13" t="s">
        <v>55</v>
      </c>
      <c r="D459" s="13"/>
      <c r="E459" s="32">
        <v>49130</v>
      </c>
      <c r="G459" s="8">
        <f>9116795+20000</f>
        <v>9136795</v>
      </c>
      <c r="I459" s="8">
        <v>230226</v>
      </c>
      <c r="K459" s="3">
        <f t="shared" si="33"/>
        <v>3865523</v>
      </c>
      <c r="M459" s="8">
        <v>13232544</v>
      </c>
      <c r="O459" s="3">
        <f t="shared" si="34"/>
        <v>1932866</v>
      </c>
      <c r="Q459" s="8">
        <v>3352954</v>
      </c>
      <c r="S459" s="8">
        <v>5285820</v>
      </c>
      <c r="U459" s="8">
        <f>423419+175288+230226</f>
        <v>828933</v>
      </c>
      <c r="W459" s="8">
        <v>0</v>
      </c>
      <c r="Y459" s="8">
        <f>5812075+379289+853452+72975</f>
        <v>7117791</v>
      </c>
      <c r="AA459" s="14">
        <f t="shared" si="35"/>
        <v>7946724</v>
      </c>
      <c r="AC459" s="8">
        <f t="shared" si="29"/>
        <v>0</v>
      </c>
    </row>
    <row r="460" spans="1:29">
      <c r="A460" s="13" t="s">
        <v>521</v>
      </c>
      <c r="B460" s="13"/>
      <c r="C460" s="13" t="s">
        <v>45</v>
      </c>
      <c r="D460" s="13"/>
      <c r="E460" s="32">
        <v>48355</v>
      </c>
      <c r="G460" s="8">
        <v>1538850</v>
      </c>
      <c r="I460" s="8">
        <v>25876</v>
      </c>
      <c r="K460" s="3">
        <f t="shared" si="33"/>
        <v>1915747</v>
      </c>
      <c r="M460" s="8">
        <v>3480473</v>
      </c>
      <c r="O460" s="3">
        <f t="shared" si="34"/>
        <v>516704</v>
      </c>
      <c r="Q460" s="8">
        <v>1713840</v>
      </c>
      <c r="S460" s="8">
        <v>2230544</v>
      </c>
      <c r="U460" s="8">
        <f>135770+1869+24007</f>
        <v>161646</v>
      </c>
      <c r="W460" s="8">
        <v>0</v>
      </c>
      <c r="Y460" s="8">
        <f>469785+109970+345618+162910</f>
        <v>1088283</v>
      </c>
      <c r="AA460" s="14">
        <f t="shared" si="35"/>
        <v>1249929</v>
      </c>
      <c r="AC460" s="8">
        <f t="shared" si="29"/>
        <v>0</v>
      </c>
    </row>
    <row r="461" spans="1:29">
      <c r="A461" s="13" t="s">
        <v>644</v>
      </c>
      <c r="B461" s="13"/>
      <c r="C461" s="13" t="s">
        <v>60</v>
      </c>
      <c r="D461" s="13"/>
      <c r="E461" s="32">
        <v>49684</v>
      </c>
      <c r="G461" s="8">
        <f>3149623+288+67234</f>
        <v>3217145</v>
      </c>
      <c r="I461" s="8">
        <v>0</v>
      </c>
      <c r="K461" s="3">
        <f t="shared" si="33"/>
        <v>2576800</v>
      </c>
      <c r="M461" s="8">
        <v>5793945</v>
      </c>
      <c r="O461" s="3">
        <f t="shared" si="34"/>
        <v>3105800</v>
      </c>
      <c r="Q461" s="8">
        <v>56086</v>
      </c>
      <c r="S461" s="8">
        <v>3161886</v>
      </c>
      <c r="U461" s="8">
        <f>673323+9677+42158+450681+133275</f>
        <v>1309114</v>
      </c>
      <c r="W461" s="8">
        <v>0</v>
      </c>
      <c r="Y461" s="8">
        <f>365118+171557+786270</f>
        <v>1322945</v>
      </c>
      <c r="AA461" s="14">
        <f t="shared" si="35"/>
        <v>2632059</v>
      </c>
      <c r="AC461" s="8">
        <f t="shared" si="29"/>
        <v>0</v>
      </c>
    </row>
    <row r="462" spans="1:29">
      <c r="A462" s="13" t="s">
        <v>237</v>
      </c>
      <c r="B462" s="13"/>
      <c r="C462" s="13" t="s">
        <v>15</v>
      </c>
      <c r="D462" s="13"/>
      <c r="E462" s="32">
        <v>46003</v>
      </c>
      <c r="G462" s="8">
        <v>1803105</v>
      </c>
      <c r="I462" s="8">
        <v>7997</v>
      </c>
      <c r="K462" s="3">
        <f t="shared" si="33"/>
        <v>3201587</v>
      </c>
      <c r="M462" s="8">
        <v>5012689</v>
      </c>
      <c r="O462" s="3">
        <f t="shared" si="34"/>
        <v>890374</v>
      </c>
      <c r="Q462" s="8">
        <v>2828656</v>
      </c>
      <c r="S462" s="8">
        <v>3719030</v>
      </c>
      <c r="U462" s="8">
        <f>25990+234723+7997</f>
        <v>268710</v>
      </c>
      <c r="W462" s="8">
        <v>0</v>
      </c>
      <c r="Y462" s="8">
        <f>520163+500+506330-2044</f>
        <v>1024949</v>
      </c>
      <c r="AA462" s="14">
        <f t="shared" si="35"/>
        <v>1293659</v>
      </c>
      <c r="AC462" s="8">
        <f t="shared" si="29"/>
        <v>0</v>
      </c>
    </row>
    <row r="463" spans="1:29">
      <c r="A463" s="13" t="s">
        <v>324</v>
      </c>
      <c r="B463" s="13"/>
      <c r="C463" s="13" t="s">
        <v>20</v>
      </c>
      <c r="D463" s="13"/>
      <c r="E463" s="32">
        <v>44750</v>
      </c>
      <c r="G463" s="8">
        <v>35533536</v>
      </c>
      <c r="I463" s="8">
        <v>353070</v>
      </c>
      <c r="K463" s="3">
        <f t="shared" si="33"/>
        <v>76802843</v>
      </c>
      <c r="M463" s="8">
        <v>112689449</v>
      </c>
      <c r="O463" s="3">
        <f t="shared" si="34"/>
        <v>12117867</v>
      </c>
      <c r="Q463" s="8">
        <v>65942720</v>
      </c>
      <c r="S463" s="8">
        <v>78060587</v>
      </c>
      <c r="U463" s="8">
        <f>4828164+8289177+353070</f>
        <v>13470411</v>
      </c>
      <c r="W463" s="8">
        <v>0</v>
      </c>
      <c r="Y463" s="8">
        <f>12978966+125845+1996267+6057373</f>
        <v>21158451</v>
      </c>
      <c r="AA463" s="14">
        <f t="shared" si="35"/>
        <v>34628862</v>
      </c>
      <c r="AC463" s="8">
        <f t="shared" si="29"/>
        <v>0</v>
      </c>
    </row>
    <row r="464" spans="1:29">
      <c r="A464" s="13" t="s">
        <v>500</v>
      </c>
      <c r="B464" s="13"/>
      <c r="C464" s="13" t="s">
        <v>44</v>
      </c>
      <c r="D464" s="13"/>
      <c r="E464" s="32">
        <v>44768</v>
      </c>
      <c r="G464" s="8">
        <v>9320449</v>
      </c>
      <c r="I464" s="8">
        <v>0</v>
      </c>
      <c r="K464" s="3">
        <f t="shared" si="33"/>
        <v>12969498</v>
      </c>
      <c r="M464" s="8">
        <v>22289947</v>
      </c>
      <c r="O464" s="3">
        <f t="shared" si="34"/>
        <v>2637981</v>
      </c>
      <c r="Q464" s="8">
        <v>11320220</v>
      </c>
      <c r="S464" s="8">
        <v>13958201</v>
      </c>
      <c r="U464" s="8">
        <f>44726+1551078+472493</f>
        <v>2068297</v>
      </c>
      <c r="W464" s="8">
        <f>5227700+86745+949004</f>
        <v>6263449</v>
      </c>
      <c r="Y464" s="8">
        <v>0</v>
      </c>
      <c r="AA464" s="14">
        <f t="shared" si="35"/>
        <v>8331746</v>
      </c>
      <c r="AC464" s="8">
        <f t="shared" si="29"/>
        <v>0</v>
      </c>
    </row>
    <row r="465" spans="1:29">
      <c r="A465" s="13" t="s">
        <v>620</v>
      </c>
      <c r="B465" s="13"/>
      <c r="C465" s="13" t="s">
        <v>113</v>
      </c>
      <c r="D465" s="13"/>
      <c r="E465" s="32">
        <v>44776</v>
      </c>
      <c r="G465" s="8">
        <v>3811824</v>
      </c>
      <c r="I465" s="8">
        <v>0</v>
      </c>
      <c r="K465" s="3">
        <f t="shared" si="33"/>
        <v>7817183</v>
      </c>
      <c r="M465" s="8">
        <v>11629007</v>
      </c>
      <c r="O465" s="3">
        <f t="shared" si="34"/>
        <v>2780802</v>
      </c>
      <c r="Q465" s="8">
        <v>5701589</v>
      </c>
      <c r="S465" s="8">
        <v>8482391</v>
      </c>
      <c r="U465" s="8">
        <f>480694+1111080</f>
        <v>1591774</v>
      </c>
      <c r="W465" s="8">
        <v>0</v>
      </c>
      <c r="Y465" s="8">
        <f>1142517+340050+72275</f>
        <v>1554842</v>
      </c>
      <c r="AA465" s="14">
        <f t="shared" si="35"/>
        <v>3146616</v>
      </c>
      <c r="AC465" s="8">
        <f t="shared" si="29"/>
        <v>0</v>
      </c>
    </row>
    <row r="466" spans="1:29">
      <c r="A466" s="13" t="s">
        <v>652</v>
      </c>
      <c r="B466" s="13"/>
      <c r="C466" s="13" t="s">
        <v>61</v>
      </c>
      <c r="D466" s="13"/>
      <c r="E466" s="32">
        <v>44784</v>
      </c>
      <c r="G466" s="8">
        <v>1783537</v>
      </c>
      <c r="I466" s="8">
        <v>112838</v>
      </c>
      <c r="K466" s="3">
        <f t="shared" si="33"/>
        <v>1549522</v>
      </c>
      <c r="M466" s="8">
        <v>3445897</v>
      </c>
      <c r="O466" s="3">
        <f t="shared" si="34"/>
        <v>1243055</v>
      </c>
      <c r="Q466" s="8">
        <v>1300159</v>
      </c>
      <c r="S466" s="8">
        <v>2543214</v>
      </c>
      <c r="U466" s="8">
        <f>89547+49649+14353+84734+10723+3028</f>
        <v>252034</v>
      </c>
      <c r="W466" s="8">
        <v>0</v>
      </c>
      <c r="Y466" s="8">
        <f>-108055+127915+372908+257881</f>
        <v>650649</v>
      </c>
      <c r="AA466" s="14">
        <f t="shared" si="35"/>
        <v>902683</v>
      </c>
      <c r="AC466" s="8">
        <f t="shared" si="29"/>
        <v>0</v>
      </c>
    </row>
    <row r="467" spans="1:29">
      <c r="A467" s="13" t="s">
        <v>325</v>
      </c>
      <c r="B467" s="13"/>
      <c r="C467" s="13" t="s">
        <v>20</v>
      </c>
      <c r="D467" s="13"/>
      <c r="E467" s="32">
        <v>46607</v>
      </c>
      <c r="G467" s="8">
        <v>24265821</v>
      </c>
      <c r="I467" s="8">
        <v>0</v>
      </c>
      <c r="K467" s="3">
        <f t="shared" si="33"/>
        <v>51334181</v>
      </c>
      <c r="M467" s="8">
        <v>75600002</v>
      </c>
      <c r="O467" s="3">
        <f t="shared" si="34"/>
        <v>8126557</v>
      </c>
      <c r="Q467" s="8">
        <v>44046260</v>
      </c>
      <c r="S467" s="8">
        <v>52172817</v>
      </c>
      <c r="U467" s="8">
        <f>6858420+540265+31279+60303</f>
        <v>7490267</v>
      </c>
      <c r="W467" s="8">
        <v>0</v>
      </c>
      <c r="Y467" s="8">
        <f>3961117+1589538+1766795+8619468</f>
        <v>15936918</v>
      </c>
      <c r="AA467" s="14">
        <f t="shared" si="35"/>
        <v>23427185</v>
      </c>
      <c r="AC467" s="8">
        <f t="shared" ref="AC467:AC534" si="36">+G467+I467+K467-O467-Q467-Y467-W467-U467</f>
        <v>0</v>
      </c>
    </row>
    <row r="468" spans="1:29">
      <c r="A468" s="13" t="s">
        <v>905</v>
      </c>
      <c r="B468" s="13"/>
      <c r="C468" s="13" t="s">
        <v>37</v>
      </c>
      <c r="D468" s="13"/>
      <c r="E468" s="32"/>
      <c r="G468" s="8">
        <v>4137160</v>
      </c>
      <c r="I468" s="8">
        <v>0</v>
      </c>
      <c r="K468" s="3">
        <f t="shared" si="33"/>
        <v>2794919</v>
      </c>
      <c r="M468" s="8">
        <v>6932079</v>
      </c>
      <c r="O468" s="3">
        <f t="shared" si="34"/>
        <v>2154965</v>
      </c>
      <c r="Q468" s="8">
        <v>251637</v>
      </c>
      <c r="S468" s="8">
        <v>2406602</v>
      </c>
      <c r="U468" s="8">
        <f>579357+72749+11322+214548+323562+143854+168961+22136+368837</f>
        <v>1905326</v>
      </c>
      <c r="W468" s="8">
        <v>447010</v>
      </c>
      <c r="Y468" s="8">
        <f>2209252+14070-50181</f>
        <v>2173141</v>
      </c>
      <c r="AA468" s="14">
        <f t="shared" si="35"/>
        <v>4525477</v>
      </c>
      <c r="AC468" s="8">
        <f t="shared" si="36"/>
        <v>0</v>
      </c>
    </row>
    <row r="469" spans="1:29">
      <c r="A469" s="13" t="s">
        <v>326</v>
      </c>
      <c r="B469" s="13"/>
      <c r="C469" s="13" t="s">
        <v>20</v>
      </c>
      <c r="D469" s="13"/>
      <c r="E469" s="32">
        <v>44792</v>
      </c>
      <c r="G469" s="8">
        <v>7998166</v>
      </c>
      <c r="I469" s="8">
        <v>534738</v>
      </c>
      <c r="K469" s="3">
        <f t="shared" si="33"/>
        <v>52123292</v>
      </c>
      <c r="M469" s="8">
        <v>60656196</v>
      </c>
      <c r="O469" s="3">
        <f t="shared" si="34"/>
        <v>7572074</v>
      </c>
      <c r="Q469" s="8">
        <v>39450681</v>
      </c>
      <c r="S469" s="8">
        <v>47022755</v>
      </c>
      <c r="U469" s="8">
        <f>1941159+5104809+534738</f>
        <v>7580706</v>
      </c>
      <c r="W469" s="8">
        <v>0</v>
      </c>
      <c r="Y469" s="8">
        <f>3363411+650552+1784234+254538</f>
        <v>6052735</v>
      </c>
      <c r="AA469" s="14">
        <f t="shared" si="35"/>
        <v>13633441</v>
      </c>
      <c r="AC469" s="8">
        <f t="shared" si="36"/>
        <v>0</v>
      </c>
    </row>
    <row r="470" spans="1:29" hidden="1">
      <c r="A470" s="13" t="s">
        <v>476</v>
      </c>
      <c r="B470" s="13"/>
      <c r="C470" s="13" t="s">
        <v>471</v>
      </c>
      <c r="D470" s="13"/>
      <c r="E470" s="32">
        <v>47951</v>
      </c>
      <c r="G470" s="8">
        <v>0</v>
      </c>
      <c r="I470" s="8">
        <v>0</v>
      </c>
      <c r="K470" s="3">
        <f t="shared" si="33"/>
        <v>0</v>
      </c>
      <c r="M470" s="8">
        <v>0</v>
      </c>
      <c r="O470" s="3">
        <f t="shared" si="34"/>
        <v>0</v>
      </c>
      <c r="Q470" s="8">
        <v>0</v>
      </c>
      <c r="S470" s="8">
        <v>0</v>
      </c>
      <c r="U470" s="8">
        <v>0</v>
      </c>
      <c r="W470" s="8">
        <v>0</v>
      </c>
      <c r="Y470" s="8">
        <v>0</v>
      </c>
      <c r="AA470" s="14">
        <f t="shared" si="35"/>
        <v>0</v>
      </c>
      <c r="AC470" s="8">
        <f t="shared" si="36"/>
        <v>0</v>
      </c>
    </row>
    <row r="471" spans="1:29">
      <c r="A471" s="13" t="s">
        <v>522</v>
      </c>
      <c r="B471" s="13"/>
      <c r="C471" s="13" t="s">
        <v>45</v>
      </c>
      <c r="D471" s="13"/>
      <c r="E471" s="32">
        <v>48363</v>
      </c>
      <c r="G471" s="8">
        <v>26246163</v>
      </c>
      <c r="I471" s="8">
        <v>33542</v>
      </c>
      <c r="K471" s="3">
        <f t="shared" si="33"/>
        <v>24954903</v>
      </c>
      <c r="M471" s="8">
        <v>51234608</v>
      </c>
      <c r="O471" s="3">
        <f t="shared" si="34"/>
        <v>8040375</v>
      </c>
      <c r="Q471" s="8">
        <v>18711876</v>
      </c>
      <c r="S471" s="8">
        <v>26752251</v>
      </c>
      <c r="U471" s="8">
        <f>1553265+14701+459980+33542</f>
        <v>2061488</v>
      </c>
      <c r="W471" s="8">
        <v>0</v>
      </c>
      <c r="Y471" s="8">
        <f>1831181+9534+20580154</f>
        <v>22420869</v>
      </c>
      <c r="AA471" s="14">
        <f t="shared" si="35"/>
        <v>24482357</v>
      </c>
      <c r="AC471" s="8">
        <f t="shared" si="36"/>
        <v>0</v>
      </c>
    </row>
    <row r="472" spans="1:29">
      <c r="A472" s="13" t="s">
        <v>601</v>
      </c>
      <c r="B472" s="13"/>
      <c r="C472" s="13" t="s">
        <v>56</v>
      </c>
      <c r="D472" s="13"/>
      <c r="E472" s="32">
        <v>49221</v>
      </c>
      <c r="G472" s="8">
        <v>4631018</v>
      </c>
      <c r="I472" s="8">
        <v>281859</v>
      </c>
      <c r="K472" s="3">
        <f t="shared" si="33"/>
        <v>6821650</v>
      </c>
      <c r="M472" s="8">
        <v>11734527</v>
      </c>
      <c r="O472" s="3">
        <f t="shared" si="34"/>
        <v>2353172</v>
      </c>
      <c r="Q472" s="8">
        <v>6289570</v>
      </c>
      <c r="S472" s="8">
        <v>8642742</v>
      </c>
      <c r="U472" s="8">
        <f>52184+312206+281859</f>
        <v>646249</v>
      </c>
      <c r="W472" s="8">
        <v>0</v>
      </c>
      <c r="Y472" s="8">
        <f>1109257+810412+251258+274609</f>
        <v>2445536</v>
      </c>
      <c r="AA472" s="14">
        <f t="shared" si="35"/>
        <v>3091785</v>
      </c>
      <c r="AC472" s="8">
        <f t="shared" si="36"/>
        <v>0</v>
      </c>
    </row>
    <row r="473" spans="1:29" s="35" customFormat="1">
      <c r="A473" s="34" t="s">
        <v>601</v>
      </c>
      <c r="B473" s="34"/>
      <c r="C473" s="34" t="s">
        <v>71</v>
      </c>
      <c r="D473" s="34"/>
      <c r="E473" s="34">
        <v>50583</v>
      </c>
      <c r="G473" s="8">
        <v>3328985</v>
      </c>
      <c r="H473" s="8"/>
      <c r="I473" s="8">
        <v>0</v>
      </c>
      <c r="J473" s="8"/>
      <c r="K473" s="3">
        <f t="shared" si="33"/>
        <v>5816311</v>
      </c>
      <c r="L473" s="8"/>
      <c r="M473" s="8">
        <v>9145296</v>
      </c>
      <c r="N473" s="8"/>
      <c r="O473" s="3">
        <f t="shared" si="34"/>
        <v>2025887</v>
      </c>
      <c r="P473" s="8"/>
      <c r="Q473" s="8">
        <v>5359140</v>
      </c>
      <c r="R473" s="8"/>
      <c r="S473" s="8">
        <v>7385027</v>
      </c>
      <c r="T473" s="8"/>
      <c r="U473" s="8">
        <f>64429+155408+240107</f>
        <v>459944</v>
      </c>
      <c r="V473" s="8"/>
      <c r="W473" s="8">
        <v>0</v>
      </c>
      <c r="X473" s="8"/>
      <c r="Y473" s="8">
        <f>662403+289803+348119</f>
        <v>1300325</v>
      </c>
      <c r="Z473" s="8"/>
      <c r="AA473" s="14">
        <f t="shared" si="35"/>
        <v>1760269</v>
      </c>
      <c r="AB473" s="8"/>
      <c r="AC473" s="8">
        <f t="shared" si="36"/>
        <v>0</v>
      </c>
    </row>
    <row r="474" spans="1:29">
      <c r="A474" s="13" t="s">
        <v>268</v>
      </c>
      <c r="B474" s="13"/>
      <c r="C474" s="13" t="s">
        <v>17</v>
      </c>
      <c r="D474" s="13"/>
      <c r="E474" s="32">
        <v>46276</v>
      </c>
      <c r="G474" s="8">
        <f>5213174+1225</f>
        <v>5214399</v>
      </c>
      <c r="I474" s="8">
        <v>104317</v>
      </c>
      <c r="K474" s="3">
        <f t="shared" si="33"/>
        <v>2739514</v>
      </c>
      <c r="M474" s="8">
        <v>8058230</v>
      </c>
      <c r="O474" s="3">
        <f t="shared" si="34"/>
        <v>925448</v>
      </c>
      <c r="Q474" s="8">
        <v>1972047</v>
      </c>
      <c r="S474" s="8">
        <v>2897495</v>
      </c>
      <c r="U474" s="8">
        <f>29585+238140+81481+19052+3784</f>
        <v>372042</v>
      </c>
      <c r="W474" s="8">
        <v>83786</v>
      </c>
      <c r="Y474" s="8">
        <f>3594797+63484+1046626</f>
        <v>4704907</v>
      </c>
      <c r="AA474" s="14">
        <f t="shared" si="35"/>
        <v>5160735</v>
      </c>
      <c r="AC474" s="8">
        <f t="shared" si="36"/>
        <v>0</v>
      </c>
    </row>
    <row r="475" spans="1:29">
      <c r="A475" s="13" t="s">
        <v>268</v>
      </c>
      <c r="B475" s="13"/>
      <c r="C475" s="13" t="s">
        <v>58</v>
      </c>
      <c r="D475" s="13"/>
      <c r="E475" s="32">
        <v>49528</v>
      </c>
      <c r="G475" s="8">
        <v>5935769</v>
      </c>
      <c r="I475" s="8">
        <v>0</v>
      </c>
      <c r="K475" s="3">
        <f t="shared" si="33"/>
        <v>2011309</v>
      </c>
      <c r="M475" s="8">
        <v>7947078</v>
      </c>
      <c r="O475" s="3">
        <f t="shared" si="34"/>
        <v>1213431</v>
      </c>
      <c r="Q475" s="8">
        <v>1666258</v>
      </c>
      <c r="S475" s="8">
        <v>2879689</v>
      </c>
      <c r="U475" s="8">
        <f>295186+187205</f>
        <v>482391</v>
      </c>
      <c r="W475" s="8">
        <v>0</v>
      </c>
      <c r="Y475" s="8">
        <f>3215118+123841+397698+848341</f>
        <v>4584998</v>
      </c>
      <c r="AA475" s="14">
        <f t="shared" si="35"/>
        <v>5067389</v>
      </c>
      <c r="AC475" s="8">
        <f t="shared" si="36"/>
        <v>0</v>
      </c>
    </row>
    <row r="476" spans="1:29">
      <c r="A476" s="13" t="s">
        <v>288</v>
      </c>
      <c r="B476" s="13"/>
      <c r="C476" s="13" t="s">
        <v>115</v>
      </c>
      <c r="D476" s="13"/>
      <c r="E476" s="32">
        <v>46441</v>
      </c>
      <c r="G476" s="8">
        <v>1260238</v>
      </c>
      <c r="I476" s="8">
        <v>373701</v>
      </c>
      <c r="K476" s="3">
        <f>M476-G476-I476</f>
        <v>2118190</v>
      </c>
      <c r="M476" s="8">
        <v>3752129</v>
      </c>
      <c r="O476" s="3">
        <f>S476-Q476</f>
        <v>2478218</v>
      </c>
      <c r="Q476" s="8">
        <v>238700</v>
      </c>
      <c r="S476" s="8">
        <v>2716918</v>
      </c>
      <c r="U476" s="8">
        <f>29427+5863+68+70327+24797+348904+392162</f>
        <v>871548</v>
      </c>
      <c r="W476" s="8">
        <v>0</v>
      </c>
      <c r="Y476" s="8">
        <f>10542+33892+119229</f>
        <v>163663</v>
      </c>
      <c r="AA476" s="14">
        <f>U476+W476+Y476</f>
        <v>1035211</v>
      </c>
      <c r="AC476" s="8">
        <f t="shared" si="36"/>
        <v>0</v>
      </c>
    </row>
    <row r="477" spans="1:29">
      <c r="A477" s="13" t="s">
        <v>288</v>
      </c>
      <c r="B477" s="13"/>
      <c r="C477" s="13" t="s">
        <v>537</v>
      </c>
      <c r="D477" s="13"/>
      <c r="E477" s="32">
        <v>46441</v>
      </c>
      <c r="G477" s="8">
        <v>1581952</v>
      </c>
      <c r="I477" s="8">
        <v>14919</v>
      </c>
      <c r="K477" s="3">
        <f t="shared" si="33"/>
        <v>2804391</v>
      </c>
      <c r="M477" s="8">
        <v>4401262</v>
      </c>
      <c r="O477" s="3">
        <f t="shared" si="34"/>
        <v>872186</v>
      </c>
      <c r="Q477" s="8">
        <v>2408268</v>
      </c>
      <c r="S477" s="8">
        <v>3280454</v>
      </c>
      <c r="U477" s="8">
        <f>32284+441+26486+17135</f>
        <v>76346</v>
      </c>
      <c r="W477" s="8">
        <v>0</v>
      </c>
      <c r="Y477" s="8">
        <f>642950+82248+307133+12131</f>
        <v>1044462</v>
      </c>
      <c r="AA477" s="14">
        <f t="shared" si="35"/>
        <v>1120808</v>
      </c>
      <c r="AC477" s="8">
        <f t="shared" si="36"/>
        <v>0</v>
      </c>
    </row>
    <row r="478" spans="1:29">
      <c r="A478" s="13" t="s">
        <v>696</v>
      </c>
      <c r="B478" s="13"/>
      <c r="C478" s="13" t="s">
        <v>64</v>
      </c>
      <c r="D478" s="13"/>
      <c r="E478" s="32">
        <v>50237</v>
      </c>
      <c r="G478" s="8">
        <v>10698444</v>
      </c>
      <c r="I478" s="8">
        <v>472533</v>
      </c>
      <c r="K478" s="3">
        <f t="shared" si="33"/>
        <v>16237950</v>
      </c>
      <c r="M478" s="8">
        <v>27408927</v>
      </c>
      <c r="O478" s="3">
        <f t="shared" si="34"/>
        <v>614562</v>
      </c>
      <c r="Q478" s="8">
        <v>15989049</v>
      </c>
      <c r="S478" s="8">
        <v>16603611</v>
      </c>
      <c r="U478" s="8">
        <f>209833+168573+5033+19406+8808+275746</f>
        <v>687399</v>
      </c>
      <c r="W478" s="8">
        <v>0</v>
      </c>
      <c r="Y478" s="8">
        <f>418178+179861+227999+9291879</f>
        <v>10117917</v>
      </c>
      <c r="AA478" s="14">
        <f t="shared" si="35"/>
        <v>10805316</v>
      </c>
      <c r="AC478" s="8">
        <f t="shared" si="36"/>
        <v>0</v>
      </c>
    </row>
    <row r="479" spans="1:29">
      <c r="A479" s="13" t="s">
        <v>487</v>
      </c>
      <c r="B479" s="13"/>
      <c r="C479" s="13" t="s">
        <v>42</v>
      </c>
      <c r="D479" s="13"/>
      <c r="E479" s="32">
        <v>48041</v>
      </c>
      <c r="G479" s="8">
        <f>9063402+1000000+392</f>
        <v>10063794</v>
      </c>
      <c r="I479" s="8">
        <v>3897</v>
      </c>
      <c r="K479" s="3">
        <f t="shared" si="33"/>
        <v>18565613</v>
      </c>
      <c r="M479" s="8">
        <v>28633304</v>
      </c>
      <c r="O479" s="3">
        <f t="shared" si="34"/>
        <v>4187146</v>
      </c>
      <c r="Q479" s="8">
        <v>15639371</v>
      </c>
      <c r="S479" s="8">
        <v>19826517</v>
      </c>
      <c r="U479" s="8">
        <f>115506+3897+53330+943703+61410</f>
        <v>1177846</v>
      </c>
      <c r="W479" s="8">
        <v>1100000</v>
      </c>
      <c r="Y479" s="8">
        <f>3891321+85609+2598769-46758</f>
        <v>6528941</v>
      </c>
      <c r="AA479" s="14">
        <f t="shared" si="35"/>
        <v>8806787</v>
      </c>
      <c r="AC479" s="8">
        <f t="shared" si="36"/>
        <v>0</v>
      </c>
    </row>
    <row r="480" spans="1:29">
      <c r="A480" s="13" t="s">
        <v>412</v>
      </c>
      <c r="B480" s="13"/>
      <c r="C480" s="13" t="s">
        <v>32</v>
      </c>
      <c r="D480" s="13"/>
      <c r="E480" s="32">
        <v>47381</v>
      </c>
      <c r="G480" s="8">
        <v>3925608</v>
      </c>
      <c r="I480" s="8">
        <v>177561</v>
      </c>
      <c r="K480" s="3">
        <f t="shared" si="33"/>
        <v>14114466</v>
      </c>
      <c r="M480" s="8">
        <v>18217635</v>
      </c>
      <c r="O480" s="3">
        <f t="shared" si="34"/>
        <v>5139119</v>
      </c>
      <c r="Q480" s="8">
        <v>8939288</v>
      </c>
      <c r="S480" s="8">
        <v>14078407</v>
      </c>
      <c r="U480" s="8">
        <f>118817+4054000+177561</f>
        <v>4350378</v>
      </c>
      <c r="W480" s="8">
        <v>0</v>
      </c>
      <c r="Y480" s="8">
        <f>-3083158+533516+2218615+119877</f>
        <v>-211150</v>
      </c>
      <c r="AA480" s="14">
        <f t="shared" si="35"/>
        <v>4139228</v>
      </c>
      <c r="AC480" s="8">
        <f t="shared" si="36"/>
        <v>0</v>
      </c>
    </row>
    <row r="481" spans="1:29">
      <c r="A481" s="13" t="s">
        <v>367</v>
      </c>
      <c r="B481" s="13"/>
      <c r="C481" s="13" t="s">
        <v>27</v>
      </c>
      <c r="D481" s="13"/>
      <c r="E481" s="13">
        <v>44800</v>
      </c>
      <c r="G481" s="8">
        <v>3511403</v>
      </c>
      <c r="I481" s="8">
        <v>0</v>
      </c>
      <c r="K481" s="3">
        <f t="shared" si="33"/>
        <v>4505011</v>
      </c>
      <c r="M481" s="8">
        <v>8016414</v>
      </c>
      <c r="O481" s="3">
        <f t="shared" si="34"/>
        <v>2780406</v>
      </c>
      <c r="Q481" s="8">
        <v>1639257</v>
      </c>
      <c r="S481" s="8">
        <v>4419663</v>
      </c>
      <c r="U481" s="8">
        <v>280925</v>
      </c>
      <c r="W481" s="8">
        <v>0</v>
      </c>
      <c r="Y481" s="8">
        <v>3315826</v>
      </c>
      <c r="AA481" s="14">
        <f t="shared" si="35"/>
        <v>3596751</v>
      </c>
      <c r="AC481" s="8">
        <f t="shared" si="36"/>
        <v>0</v>
      </c>
    </row>
    <row r="482" spans="1:29" hidden="1">
      <c r="A482" s="13" t="s">
        <v>214</v>
      </c>
      <c r="B482" s="13"/>
      <c r="C482" s="13" t="s">
        <v>10</v>
      </c>
      <c r="D482" s="13"/>
      <c r="E482" s="32">
        <v>45807</v>
      </c>
      <c r="G482" s="8">
        <v>0</v>
      </c>
      <c r="I482" s="8">
        <v>0</v>
      </c>
      <c r="K482" s="3">
        <f t="shared" si="33"/>
        <v>0</v>
      </c>
      <c r="M482" s="8">
        <v>0</v>
      </c>
      <c r="O482" s="3">
        <f t="shared" si="34"/>
        <v>0</v>
      </c>
      <c r="Q482" s="8">
        <v>0</v>
      </c>
      <c r="S482" s="8">
        <v>0</v>
      </c>
      <c r="U482" s="8">
        <v>0</v>
      </c>
      <c r="W482" s="8">
        <v>0</v>
      </c>
      <c r="Y482" s="8">
        <v>0</v>
      </c>
      <c r="AA482" s="14">
        <f t="shared" si="35"/>
        <v>0</v>
      </c>
      <c r="AC482" s="8">
        <f t="shared" si="36"/>
        <v>0</v>
      </c>
    </row>
    <row r="483" spans="1:29">
      <c r="A483" s="13" t="s">
        <v>719</v>
      </c>
      <c r="B483" s="13"/>
      <c r="C483" s="13" t="s">
        <v>69</v>
      </c>
      <c r="D483" s="13"/>
      <c r="E483" s="32">
        <v>50427</v>
      </c>
      <c r="G483" s="8">
        <v>10212837</v>
      </c>
      <c r="I483" s="8">
        <f>296373+9672179</f>
        <v>9968552</v>
      </c>
      <c r="K483" s="3">
        <f t="shared" si="33"/>
        <v>38689078</v>
      </c>
      <c r="M483" s="8">
        <v>58870467</v>
      </c>
      <c r="O483" s="3">
        <f t="shared" si="34"/>
        <v>6347915</v>
      </c>
      <c r="Q483" s="8">
        <v>37187255</v>
      </c>
      <c r="S483" s="8">
        <v>43535170</v>
      </c>
      <c r="U483" s="8">
        <f>820743+1224063+96355</f>
        <v>2141161</v>
      </c>
      <c r="W483" s="8">
        <v>0</v>
      </c>
      <c r="Y483" s="8">
        <f>-1470571+437120+5139353+9088234</f>
        <v>13194136</v>
      </c>
      <c r="AA483" s="14">
        <f t="shared" si="35"/>
        <v>15335297</v>
      </c>
      <c r="AC483" s="8">
        <f t="shared" si="36"/>
        <v>0</v>
      </c>
    </row>
    <row r="484" spans="1:29">
      <c r="A484" s="12" t="s">
        <v>899</v>
      </c>
      <c r="B484" s="12"/>
      <c r="C484" s="12" t="s">
        <v>17</v>
      </c>
      <c r="D484" s="12"/>
      <c r="E484" s="32"/>
      <c r="G484" s="8">
        <v>31116071</v>
      </c>
      <c r="I484" s="8">
        <f>813448+2295925+9116+5796685</f>
        <v>8915174</v>
      </c>
      <c r="K484" s="3">
        <f t="shared" si="33"/>
        <v>38937370</v>
      </c>
      <c r="M484" s="8">
        <v>78968615</v>
      </c>
      <c r="O484" s="3">
        <f t="shared" si="34"/>
        <v>21548819</v>
      </c>
      <c r="Q484" s="8">
        <v>33703041</v>
      </c>
      <c r="S484" s="8">
        <v>55251860</v>
      </c>
      <c r="U484" s="8">
        <f>8663327+4032216+726007+87441</f>
        <v>13508991</v>
      </c>
      <c r="W484" s="8">
        <v>0</v>
      </c>
      <c r="Y484" s="8">
        <f>-1379067+3675599+6637702+1273530</f>
        <v>10207764</v>
      </c>
      <c r="AA484" s="14">
        <f t="shared" si="35"/>
        <v>23716755</v>
      </c>
      <c r="AC484" s="8">
        <f t="shared" si="36"/>
        <v>0</v>
      </c>
    </row>
    <row r="485" spans="1:29">
      <c r="A485" s="13" t="s">
        <v>506</v>
      </c>
      <c r="B485" s="13"/>
      <c r="C485" s="13" t="s">
        <v>118</v>
      </c>
      <c r="D485" s="13"/>
      <c r="E485" s="32">
        <v>48223</v>
      </c>
      <c r="G485" s="8">
        <v>8531789</v>
      </c>
      <c r="I485" s="8">
        <v>127901</v>
      </c>
      <c r="K485" s="3">
        <f t="shared" si="33"/>
        <v>27278649</v>
      </c>
      <c r="M485" s="8">
        <v>35938339</v>
      </c>
      <c r="O485" s="3">
        <f t="shared" si="34"/>
        <v>6058252</v>
      </c>
      <c r="Q485" s="8">
        <v>25726523</v>
      </c>
      <c r="S485" s="8">
        <v>31784775</v>
      </c>
      <c r="U485" s="8">
        <f>2220167+10867+867890+127901</f>
        <v>3226825</v>
      </c>
      <c r="W485" s="8">
        <v>0</v>
      </c>
      <c r="Y485" s="8">
        <f>-3062241+11202+3668259+309519</f>
        <v>926739</v>
      </c>
      <c r="AA485" s="14">
        <f t="shared" si="35"/>
        <v>4153564</v>
      </c>
      <c r="AC485" s="8">
        <f t="shared" si="36"/>
        <v>0</v>
      </c>
    </row>
    <row r="486" spans="1:29">
      <c r="A486" s="13" t="s">
        <v>506</v>
      </c>
      <c r="B486" s="13"/>
      <c r="C486" s="13" t="s">
        <v>45</v>
      </c>
      <c r="D486" s="13"/>
      <c r="E486" s="32">
        <v>48371</v>
      </c>
      <c r="G486" s="8">
        <v>3589572</v>
      </c>
      <c r="I486" s="8">
        <v>64874</v>
      </c>
      <c r="K486" s="3">
        <f t="shared" si="33"/>
        <v>4685155</v>
      </c>
      <c r="M486" s="8">
        <v>8339601</v>
      </c>
      <c r="O486" s="3">
        <f t="shared" si="34"/>
        <v>4772931</v>
      </c>
      <c r="Q486" s="8">
        <v>161454</v>
      </c>
      <c r="S486" s="8">
        <v>4934385</v>
      </c>
      <c r="U486" s="8">
        <f>250563+6820+1033262+57162+7712</f>
        <v>1355519</v>
      </c>
      <c r="W486" s="8">
        <v>0</v>
      </c>
      <c r="Y486" s="8">
        <f>1901456+57438+90803</f>
        <v>2049697</v>
      </c>
      <c r="AA486" s="14">
        <f t="shared" si="35"/>
        <v>3405216</v>
      </c>
      <c r="AC486" s="8">
        <f t="shared" si="36"/>
        <v>0</v>
      </c>
    </row>
    <row r="487" spans="1:29">
      <c r="A487" s="13" t="s">
        <v>506</v>
      </c>
      <c r="B487" s="13"/>
      <c r="C487" s="13" t="s">
        <v>63</v>
      </c>
      <c r="D487" s="13"/>
      <c r="E487" s="32">
        <v>50062</v>
      </c>
      <c r="G487" s="8">
        <v>1799692</v>
      </c>
      <c r="I487" s="8">
        <v>107978</v>
      </c>
      <c r="K487" s="3">
        <f t="shared" si="33"/>
        <v>12455405</v>
      </c>
      <c r="M487" s="8">
        <v>14363075</v>
      </c>
      <c r="O487" s="3">
        <f t="shared" si="34"/>
        <v>4331754</v>
      </c>
      <c r="Q487" s="8">
        <v>11267243</v>
      </c>
      <c r="S487" s="8">
        <v>15598997</v>
      </c>
      <c r="U487" s="8">
        <f>355750+971688+107978</f>
        <v>1435416</v>
      </c>
      <c r="W487" s="8">
        <v>0</v>
      </c>
      <c r="Y487" s="8">
        <f>-3122125+40208+1678+408901</f>
        <v>-2671338</v>
      </c>
      <c r="AA487" s="14">
        <f t="shared" si="35"/>
        <v>-1235922</v>
      </c>
      <c r="AC487" s="8">
        <f t="shared" si="36"/>
        <v>0</v>
      </c>
    </row>
    <row r="488" spans="1:29">
      <c r="A488" s="13"/>
      <c r="B488" s="13"/>
      <c r="C488" s="13"/>
      <c r="D488" s="13"/>
      <c r="E488" s="32"/>
      <c r="K488" s="3"/>
      <c r="O488" s="3"/>
      <c r="AA488" s="14"/>
    </row>
    <row r="489" spans="1:29">
      <c r="A489" s="13"/>
      <c r="B489" s="13"/>
      <c r="C489" s="13"/>
      <c r="D489" s="13"/>
      <c r="E489" s="32"/>
      <c r="K489" s="3"/>
      <c r="O489" s="3"/>
      <c r="AA489" s="90" t="s">
        <v>819</v>
      </c>
    </row>
    <row r="490" spans="1:29" s="35" customFormat="1">
      <c r="A490" s="34" t="s">
        <v>909</v>
      </c>
      <c r="B490" s="34"/>
      <c r="C490" s="34" t="s">
        <v>32</v>
      </c>
      <c r="D490" s="34"/>
      <c r="E490" s="34">
        <v>44719</v>
      </c>
      <c r="G490" s="35">
        <f>4269678+98164</f>
        <v>4367842</v>
      </c>
      <c r="I490" s="35">
        <v>0</v>
      </c>
      <c r="K490" s="42">
        <f t="shared" si="33"/>
        <v>9975147</v>
      </c>
      <c r="M490" s="35">
        <v>14342989</v>
      </c>
      <c r="O490" s="42">
        <f t="shared" si="34"/>
        <v>2085775</v>
      </c>
      <c r="Q490" s="35">
        <v>8109040</v>
      </c>
      <c r="S490" s="35">
        <v>10194815</v>
      </c>
      <c r="U490" s="35">
        <f>36399+6043+1535000</f>
        <v>1577442</v>
      </c>
      <c r="W490" s="35">
        <v>0</v>
      </c>
      <c r="Y490" s="35">
        <f>1886082+361251+130962+192437</f>
        <v>2570732</v>
      </c>
      <c r="AA490" s="71">
        <f t="shared" si="35"/>
        <v>4148174</v>
      </c>
      <c r="AC490" s="35">
        <f t="shared" si="36"/>
        <v>0</v>
      </c>
    </row>
    <row r="491" spans="1:29">
      <c r="A491" s="13" t="s">
        <v>910</v>
      </c>
      <c r="B491" s="13"/>
      <c r="C491" s="13" t="s">
        <v>15</v>
      </c>
      <c r="D491" s="13"/>
      <c r="E491" s="32">
        <v>45997</v>
      </c>
      <c r="G491" s="8">
        <f>4582737+148245</f>
        <v>4730982</v>
      </c>
      <c r="I491" s="8">
        <v>146919</v>
      </c>
      <c r="K491" s="3">
        <f t="shared" si="33"/>
        <v>8385402</v>
      </c>
      <c r="M491" s="8">
        <v>13263303</v>
      </c>
      <c r="O491" s="3">
        <f t="shared" si="34"/>
        <v>1845001</v>
      </c>
      <c r="Q491" s="8">
        <v>7294091</v>
      </c>
      <c r="S491" s="8">
        <v>9139092</v>
      </c>
      <c r="U491" s="8">
        <f>547955+780852+70232+11000</f>
        <v>1410039</v>
      </c>
      <c r="W491" s="8">
        <v>0</v>
      </c>
      <c r="Y491" s="8">
        <f>1542401+95592+800362+275817</f>
        <v>2714172</v>
      </c>
      <c r="AA491" s="14">
        <f t="shared" si="35"/>
        <v>4124211</v>
      </c>
      <c r="AC491" s="8">
        <f t="shared" si="36"/>
        <v>0</v>
      </c>
    </row>
    <row r="492" spans="1:29" hidden="1">
      <c r="A492" s="13" t="s">
        <v>542</v>
      </c>
      <c r="B492" s="13"/>
      <c r="C492" s="13" t="s">
        <v>540</v>
      </c>
      <c r="D492" s="13"/>
      <c r="E492" s="32">
        <v>48587</v>
      </c>
      <c r="G492" s="8">
        <v>0</v>
      </c>
      <c r="I492" s="8">
        <v>0</v>
      </c>
      <c r="K492" s="3">
        <f t="shared" si="33"/>
        <v>0</v>
      </c>
      <c r="M492" s="8">
        <v>0</v>
      </c>
      <c r="O492" s="3">
        <f t="shared" si="34"/>
        <v>0</v>
      </c>
      <c r="Q492" s="8">
        <v>0</v>
      </c>
      <c r="S492" s="8">
        <v>0</v>
      </c>
      <c r="U492" s="8">
        <v>0</v>
      </c>
      <c r="W492" s="8">
        <v>0</v>
      </c>
      <c r="Y492" s="8">
        <v>0</v>
      </c>
      <c r="AA492" s="14">
        <f t="shared" si="35"/>
        <v>0</v>
      </c>
      <c r="AC492" s="8">
        <f t="shared" si="36"/>
        <v>0</v>
      </c>
    </row>
    <row r="493" spans="1:29" hidden="1">
      <c r="A493" s="13" t="s">
        <v>232</v>
      </c>
      <c r="B493" s="13"/>
      <c r="C493" s="13" t="s">
        <v>14</v>
      </c>
      <c r="D493" s="13"/>
      <c r="E493" s="32">
        <v>44727</v>
      </c>
      <c r="G493" s="8">
        <v>0</v>
      </c>
      <c r="I493" s="8">
        <v>0</v>
      </c>
      <c r="K493" s="3">
        <f t="shared" si="33"/>
        <v>0</v>
      </c>
      <c r="M493" s="8">
        <v>0</v>
      </c>
      <c r="O493" s="3">
        <f t="shared" si="34"/>
        <v>0</v>
      </c>
      <c r="Q493" s="8">
        <v>0</v>
      </c>
      <c r="S493" s="8">
        <v>0</v>
      </c>
      <c r="U493" s="8">
        <v>0</v>
      </c>
      <c r="W493" s="8">
        <v>0</v>
      </c>
      <c r="Y493" s="8">
        <v>0</v>
      </c>
      <c r="AA493" s="14">
        <f t="shared" si="35"/>
        <v>0</v>
      </c>
      <c r="AC493" s="8">
        <f t="shared" si="36"/>
        <v>0</v>
      </c>
    </row>
    <row r="494" spans="1:29">
      <c r="A494" s="13" t="s">
        <v>457</v>
      </c>
      <c r="B494" s="13"/>
      <c r="C494" s="13" t="s">
        <v>39</v>
      </c>
      <c r="D494" s="13"/>
      <c r="E494" s="32">
        <v>44826</v>
      </c>
      <c r="G494" s="8">
        <f>4943187+10374447</f>
        <v>15317634</v>
      </c>
      <c r="I494" s="8">
        <f>469911+1535373</f>
        <v>2005284</v>
      </c>
      <c r="K494" s="3">
        <f t="shared" si="33"/>
        <v>6554745</v>
      </c>
      <c r="M494" s="8">
        <v>23877663</v>
      </c>
      <c r="O494" s="3">
        <f t="shared" si="34"/>
        <v>2741385</v>
      </c>
      <c r="Q494" s="8">
        <v>5933617</v>
      </c>
      <c r="S494" s="8">
        <v>8675002</v>
      </c>
      <c r="U494" s="8">
        <f>5264076+459444+85496+77501</f>
        <v>5886517</v>
      </c>
      <c r="W494" s="8">
        <f>240065+785613+39900</f>
        <v>1065578</v>
      </c>
      <c r="Y494" s="8">
        <f>630955+2159456+3006835+2453320</f>
        <v>8250566</v>
      </c>
      <c r="AA494" s="14">
        <f t="shared" si="35"/>
        <v>15202661</v>
      </c>
      <c r="AC494" s="8">
        <f t="shared" si="36"/>
        <v>0</v>
      </c>
    </row>
    <row r="495" spans="1:29">
      <c r="A495" s="13" t="s">
        <v>676</v>
      </c>
      <c r="B495" s="13"/>
      <c r="C495" s="13" t="s">
        <v>63</v>
      </c>
      <c r="D495" s="13"/>
      <c r="E495" s="32">
        <v>44834</v>
      </c>
      <c r="G495" s="8">
        <v>11502837</v>
      </c>
      <c r="I495" s="8">
        <v>175062</v>
      </c>
      <c r="K495" s="3">
        <f t="shared" si="33"/>
        <v>31985966</v>
      </c>
      <c r="M495" s="8">
        <v>43663865</v>
      </c>
      <c r="O495" s="3">
        <f t="shared" si="34"/>
        <v>35173227</v>
      </c>
      <c r="Q495" s="8">
        <v>1328810</v>
      </c>
      <c r="S495" s="8">
        <v>36502037</v>
      </c>
      <c r="U495" s="8">
        <f>1043792+101552+175062+12508+1902357+211264</f>
        <v>3446535</v>
      </c>
      <c r="W495" s="8">
        <v>0</v>
      </c>
      <c r="Y495" s="8">
        <f>3281668+322657+110968</f>
        <v>3715293</v>
      </c>
      <c r="AA495" s="14">
        <f t="shared" si="35"/>
        <v>7161828</v>
      </c>
      <c r="AC495" s="8">
        <f t="shared" si="36"/>
        <v>0</v>
      </c>
    </row>
    <row r="496" spans="1:29" hidden="1">
      <c r="A496" s="13" t="s">
        <v>705</v>
      </c>
      <c r="B496" s="13"/>
      <c r="C496" s="13" t="s">
        <v>65</v>
      </c>
      <c r="D496" s="13"/>
      <c r="E496" s="32">
        <v>50294</v>
      </c>
      <c r="G496" s="8">
        <v>0</v>
      </c>
      <c r="I496" s="8">
        <v>0</v>
      </c>
      <c r="K496" s="3">
        <f t="shared" si="33"/>
        <v>0</v>
      </c>
      <c r="M496" s="8">
        <v>0</v>
      </c>
      <c r="O496" s="3">
        <f t="shared" si="34"/>
        <v>0</v>
      </c>
      <c r="Q496" s="8">
        <v>0</v>
      </c>
      <c r="S496" s="8">
        <v>0</v>
      </c>
      <c r="U496" s="8">
        <v>0</v>
      </c>
      <c r="W496" s="8">
        <v>0</v>
      </c>
      <c r="Y496" s="8">
        <v>0</v>
      </c>
      <c r="AA496" s="14">
        <f t="shared" si="35"/>
        <v>0</v>
      </c>
      <c r="AC496" s="8">
        <f t="shared" si="36"/>
        <v>0</v>
      </c>
    </row>
    <row r="497" spans="1:29">
      <c r="A497" s="13" t="s">
        <v>602</v>
      </c>
      <c r="B497" s="13"/>
      <c r="C497" s="13" t="s">
        <v>56</v>
      </c>
      <c r="D497" s="13"/>
      <c r="E497" s="13">
        <v>49239</v>
      </c>
      <c r="G497" s="8">
        <v>2302560</v>
      </c>
      <c r="I497" s="8">
        <v>0</v>
      </c>
      <c r="K497" s="3">
        <f t="shared" si="33"/>
        <v>14442475</v>
      </c>
      <c r="M497" s="8">
        <v>16745035</v>
      </c>
      <c r="O497" s="3">
        <f t="shared" si="34"/>
        <v>3149166</v>
      </c>
      <c r="Q497" s="8">
        <v>13274506</v>
      </c>
      <c r="S497" s="8">
        <v>16423672</v>
      </c>
      <c r="U497" s="8">
        <f>391139+864800</f>
        <v>1255939</v>
      </c>
      <c r="W497" s="8">
        <v>0</v>
      </c>
      <c r="Y497" s="8">
        <f>292250+281540+123722-1632088</f>
        <v>-934576</v>
      </c>
      <c r="AA497" s="14">
        <f t="shared" si="35"/>
        <v>321363</v>
      </c>
      <c r="AC497" s="8">
        <f t="shared" si="36"/>
        <v>0</v>
      </c>
    </row>
    <row r="498" spans="1:29">
      <c r="A498" s="13" t="s">
        <v>327</v>
      </c>
      <c r="B498" s="13"/>
      <c r="C498" s="13" t="s">
        <v>20</v>
      </c>
      <c r="D498" s="13"/>
      <c r="E498" s="32">
        <v>44842</v>
      </c>
      <c r="G498" s="8">
        <v>5919817</v>
      </c>
      <c r="I498" s="8">
        <v>957022</v>
      </c>
      <c r="K498" s="3">
        <f t="shared" si="33"/>
        <v>56035607</v>
      </c>
      <c r="M498" s="8">
        <v>62912446</v>
      </c>
      <c r="O498" s="3">
        <f t="shared" si="34"/>
        <v>58157220</v>
      </c>
      <c r="Q498" s="8">
        <v>0</v>
      </c>
      <c r="S498" s="8">
        <v>58157220</v>
      </c>
      <c r="U498" s="8">
        <f>5874283+1978698+303562+140764</f>
        <v>8297307</v>
      </c>
      <c r="W498" s="8">
        <v>0</v>
      </c>
      <c r="Y498" s="8">
        <f>-8993358+646463+4738499+66315</f>
        <v>-3542081</v>
      </c>
      <c r="AA498" s="14">
        <f t="shared" si="35"/>
        <v>4755226</v>
      </c>
      <c r="AC498" s="8">
        <f t="shared" si="36"/>
        <v>0</v>
      </c>
    </row>
    <row r="499" spans="1:29">
      <c r="A499" s="13" t="s">
        <v>523</v>
      </c>
      <c r="B499" s="13"/>
      <c r="C499" s="13" t="s">
        <v>45</v>
      </c>
      <c r="D499" s="13"/>
      <c r="E499" s="32">
        <v>44859</v>
      </c>
      <c r="G499" s="8">
        <v>4255903</v>
      </c>
      <c r="I499" s="8">
        <v>31365</v>
      </c>
      <c r="K499" s="3">
        <f t="shared" si="33"/>
        <v>6545994</v>
      </c>
      <c r="M499" s="8">
        <v>10833262</v>
      </c>
      <c r="O499" s="3">
        <f t="shared" si="34"/>
        <v>2158890</v>
      </c>
      <c r="Q499" s="8">
        <v>6339017</v>
      </c>
      <c r="S499" s="8">
        <v>8497907</v>
      </c>
      <c r="U499" s="8">
        <f>364977+31365</f>
        <v>396342</v>
      </c>
      <c r="W499" s="8">
        <v>0</v>
      </c>
      <c r="Y499" s="8">
        <f>-538568+836718+1615809+25054</f>
        <v>1939013</v>
      </c>
      <c r="AA499" s="14">
        <f t="shared" si="35"/>
        <v>2335355</v>
      </c>
      <c r="AC499" s="8">
        <f t="shared" si="36"/>
        <v>0</v>
      </c>
    </row>
    <row r="500" spans="1:29">
      <c r="A500" s="13" t="s">
        <v>738</v>
      </c>
      <c r="B500" s="13"/>
      <c r="C500" s="13" t="s">
        <v>733</v>
      </c>
      <c r="D500" s="13"/>
      <c r="E500" s="32">
        <v>50658</v>
      </c>
      <c r="G500" s="8">
        <v>10226215</v>
      </c>
      <c r="I500" s="8">
        <v>0</v>
      </c>
      <c r="K500" s="3">
        <f t="shared" si="33"/>
        <v>1824188</v>
      </c>
      <c r="M500" s="8">
        <v>12050403</v>
      </c>
      <c r="O500" s="3">
        <f t="shared" si="34"/>
        <v>656048</v>
      </c>
      <c r="Q500" s="8">
        <v>1302332</v>
      </c>
      <c r="S500" s="8">
        <v>1958380</v>
      </c>
      <c r="U500" s="8">
        <f>685180+4636+823+117260</f>
        <v>807899</v>
      </c>
      <c r="W500" s="8">
        <v>0</v>
      </c>
      <c r="Y500" s="8">
        <f>631817+30347+281483+8340477</f>
        <v>9284124</v>
      </c>
      <c r="AA500" s="14">
        <f t="shared" si="35"/>
        <v>10092023</v>
      </c>
      <c r="AC500" s="8">
        <f t="shared" si="36"/>
        <v>0</v>
      </c>
    </row>
    <row r="501" spans="1:29">
      <c r="A501" s="13" t="s">
        <v>391</v>
      </c>
      <c r="B501" s="13"/>
      <c r="C501" s="13" t="s">
        <v>117</v>
      </c>
      <c r="D501" s="13"/>
      <c r="E501" s="32">
        <v>47274</v>
      </c>
      <c r="G501" s="8">
        <v>2593934</v>
      </c>
      <c r="I501" s="8">
        <v>62480</v>
      </c>
      <c r="K501" s="3">
        <f t="shared" si="33"/>
        <v>18759937</v>
      </c>
      <c r="M501" s="8">
        <v>21416351</v>
      </c>
      <c r="O501" s="3">
        <f t="shared" si="34"/>
        <v>3771825</v>
      </c>
      <c r="Q501" s="8">
        <v>15738975</v>
      </c>
      <c r="S501" s="8">
        <v>19510800</v>
      </c>
      <c r="U501" s="8">
        <f>2272492+665343</f>
        <v>2937835</v>
      </c>
      <c r="W501" s="8">
        <v>0</v>
      </c>
      <c r="Y501" s="8">
        <f>-2671312+218904+1496732-76608</f>
        <v>-1032284</v>
      </c>
      <c r="AA501" s="14">
        <f t="shared" si="35"/>
        <v>1905551</v>
      </c>
      <c r="AC501" s="8">
        <f t="shared" si="36"/>
        <v>0</v>
      </c>
    </row>
    <row r="502" spans="1:29">
      <c r="A502" s="13" t="s">
        <v>377</v>
      </c>
      <c r="B502" s="13"/>
      <c r="C502" s="13" t="s">
        <v>28</v>
      </c>
      <c r="D502" s="13"/>
      <c r="E502" s="32">
        <v>47092</v>
      </c>
      <c r="G502" s="8">
        <f>9427247+1484331</f>
        <v>10911578</v>
      </c>
      <c r="I502" s="8">
        <v>30214</v>
      </c>
      <c r="K502" s="3">
        <f t="shared" si="33"/>
        <v>10424249</v>
      </c>
      <c r="M502" s="8">
        <v>21366041</v>
      </c>
      <c r="O502" s="3">
        <f t="shared" si="34"/>
        <v>2087371</v>
      </c>
      <c r="Q502" s="8">
        <v>8764868</v>
      </c>
      <c r="S502" s="8">
        <v>10852239</v>
      </c>
      <c r="U502" s="8">
        <f>431314+30214+362835</f>
        <v>824363</v>
      </c>
      <c r="W502" s="8">
        <v>0</v>
      </c>
      <c r="Y502" s="8">
        <f>7769646+189222+1481641+248930</f>
        <v>9689439</v>
      </c>
      <c r="AA502" s="14">
        <f t="shared" si="35"/>
        <v>10513802</v>
      </c>
      <c r="AC502" s="8">
        <f t="shared" si="36"/>
        <v>0</v>
      </c>
    </row>
    <row r="503" spans="1:29">
      <c r="A503" s="13" t="s">
        <v>897</v>
      </c>
      <c r="B503" s="13"/>
      <c r="C503" s="13" t="s">
        <v>49</v>
      </c>
      <c r="D503" s="13"/>
      <c r="E503" s="32">
        <v>48652</v>
      </c>
      <c r="G503" s="8">
        <v>2044429</v>
      </c>
      <c r="I503" s="8">
        <v>5982</v>
      </c>
      <c r="K503" s="3">
        <f t="shared" si="33"/>
        <v>7436213</v>
      </c>
      <c r="M503" s="8">
        <v>9486624</v>
      </c>
      <c r="O503" s="3">
        <f t="shared" si="34"/>
        <v>9844453</v>
      </c>
      <c r="Q503" s="8">
        <v>50051</v>
      </c>
      <c r="S503" s="8">
        <v>9894504</v>
      </c>
      <c r="U503" s="8">
        <f>290278+5982+17108+187995</f>
        <v>501363</v>
      </c>
      <c r="W503" s="8">
        <v>0</v>
      </c>
      <c r="Y503" s="8">
        <f>-1381148-262791+734696</f>
        <v>-909243</v>
      </c>
      <c r="AA503" s="14">
        <f t="shared" si="35"/>
        <v>-407880</v>
      </c>
      <c r="AC503" s="8">
        <f t="shared" si="36"/>
        <v>0</v>
      </c>
    </row>
    <row r="504" spans="1:29">
      <c r="A504" s="13" t="s">
        <v>414</v>
      </c>
      <c r="B504" s="13"/>
      <c r="C504" s="13" t="s">
        <v>32</v>
      </c>
      <c r="D504" s="13"/>
      <c r="E504" s="32">
        <v>44867</v>
      </c>
      <c r="G504" s="8">
        <f>49095408+999834</f>
        <v>50095242</v>
      </c>
      <c r="I504" s="8">
        <v>468958</v>
      </c>
      <c r="K504" s="3">
        <f t="shared" si="33"/>
        <v>54931456</v>
      </c>
      <c r="M504" s="8">
        <v>105495656</v>
      </c>
      <c r="O504" s="3">
        <f t="shared" si="34"/>
        <v>10212181</v>
      </c>
      <c r="Q504" s="8">
        <v>37935430</v>
      </c>
      <c r="S504" s="8">
        <v>48147611</v>
      </c>
      <c r="U504" s="8">
        <f>754168+66689+20671000+999834+468958</f>
        <v>22960649</v>
      </c>
      <c r="W504" s="8">
        <v>0</v>
      </c>
      <c r="Y504" s="8">
        <f>27910847+696422+5732413+47714</f>
        <v>34387396</v>
      </c>
      <c r="AA504" s="14">
        <f t="shared" si="35"/>
        <v>57348045</v>
      </c>
      <c r="AC504" s="8">
        <f t="shared" si="36"/>
        <v>0</v>
      </c>
    </row>
    <row r="505" spans="1:29">
      <c r="A505" s="13" t="s">
        <v>507</v>
      </c>
      <c r="B505" s="13"/>
      <c r="C505" s="13" t="s">
        <v>118</v>
      </c>
      <c r="D505" s="13"/>
      <c r="E505" s="32">
        <v>44875</v>
      </c>
      <c r="G505" s="8">
        <v>21878190</v>
      </c>
      <c r="I505" s="8">
        <v>0</v>
      </c>
      <c r="K505" s="3">
        <f t="shared" si="33"/>
        <v>57350156</v>
      </c>
      <c r="M505" s="8">
        <v>79228346</v>
      </c>
      <c r="O505" s="3">
        <f t="shared" si="34"/>
        <v>64486510</v>
      </c>
      <c r="Q505" s="8">
        <v>1936442</v>
      </c>
      <c r="S505" s="8">
        <v>66422952</v>
      </c>
      <c r="U505" s="8">
        <f>1749307+22071+1597242</f>
        <v>3368620</v>
      </c>
      <c r="W505" s="8">
        <v>0</v>
      </c>
      <c r="Y505" s="8">
        <f>7630532+837338+1017917-49013</f>
        <v>9436774</v>
      </c>
      <c r="AA505" s="14">
        <f t="shared" si="35"/>
        <v>12805394</v>
      </c>
      <c r="AC505" s="8">
        <f t="shared" si="36"/>
        <v>0</v>
      </c>
    </row>
    <row r="506" spans="1:29">
      <c r="A506" s="13" t="s">
        <v>477</v>
      </c>
      <c r="B506" s="13"/>
      <c r="C506" s="13" t="s">
        <v>471</v>
      </c>
      <c r="D506" s="13"/>
      <c r="E506" s="32">
        <v>47969</v>
      </c>
      <c r="G506" s="8">
        <v>6384911</v>
      </c>
      <c r="I506" s="8">
        <v>238260</v>
      </c>
      <c r="K506" s="3">
        <f t="shared" si="33"/>
        <v>1466708</v>
      </c>
      <c r="M506" s="8">
        <v>8089879</v>
      </c>
      <c r="O506" s="3">
        <f t="shared" si="34"/>
        <v>1144097</v>
      </c>
      <c r="Q506" s="8">
        <v>1266417</v>
      </c>
      <c r="S506" s="8">
        <v>2410514</v>
      </c>
      <c r="U506" s="8">
        <f>111727+136848+185333+9986+42941</f>
        <v>486835</v>
      </c>
      <c r="W506" s="8">
        <v>0</v>
      </c>
      <c r="Y506" s="8">
        <f>4054839+403857+330552+403282</f>
        <v>5192530</v>
      </c>
      <c r="AA506" s="14">
        <f t="shared" si="35"/>
        <v>5679365</v>
      </c>
      <c r="AC506" s="8">
        <f t="shared" si="36"/>
        <v>0</v>
      </c>
    </row>
    <row r="507" spans="1:29">
      <c r="A507" s="13" t="s">
        <v>255</v>
      </c>
      <c r="B507" s="13"/>
      <c r="C507" s="13" t="s">
        <v>246</v>
      </c>
      <c r="D507" s="13"/>
      <c r="E507" s="13">
        <v>46151</v>
      </c>
      <c r="G507" s="8">
        <v>13644937</v>
      </c>
      <c r="I507" s="8">
        <v>0</v>
      </c>
      <c r="K507" s="3">
        <f t="shared" ref="K507:K534" si="37">M507-G507-I507</f>
        <v>20462001</v>
      </c>
      <c r="M507" s="8">
        <v>34106938</v>
      </c>
      <c r="O507" s="3">
        <f t="shared" ref="O507:O534" si="38">S507-Q507</f>
        <v>4087428</v>
      </c>
      <c r="Q507" s="8">
        <v>16877959</v>
      </c>
      <c r="S507" s="8">
        <v>20965387</v>
      </c>
      <c r="U507" s="8">
        <v>1827556</v>
      </c>
      <c r="W507" s="8">
        <v>0</v>
      </c>
      <c r="Y507" s="8">
        <v>11313995</v>
      </c>
      <c r="AA507" s="14">
        <f t="shared" ref="AA507:AA534" si="39">U507+W507+Y507</f>
        <v>13141551</v>
      </c>
      <c r="AC507" s="8">
        <f t="shared" si="36"/>
        <v>0</v>
      </c>
    </row>
    <row r="508" spans="1:29">
      <c r="A508" s="13" t="s">
        <v>677</v>
      </c>
      <c r="B508" s="13"/>
      <c r="C508" s="13" t="s">
        <v>63</v>
      </c>
      <c r="D508" s="13"/>
      <c r="E508" s="32">
        <v>44883</v>
      </c>
      <c r="G508" s="8">
        <v>10928607</v>
      </c>
      <c r="I508" s="8">
        <v>0</v>
      </c>
      <c r="K508" s="3">
        <f t="shared" si="37"/>
        <v>16964584</v>
      </c>
      <c r="M508" s="8">
        <v>27893191</v>
      </c>
      <c r="O508" s="3">
        <f t="shared" si="38"/>
        <v>3140145</v>
      </c>
      <c r="Q508" s="8">
        <v>15006626</v>
      </c>
      <c r="S508" s="8">
        <v>18146771</v>
      </c>
      <c r="U508" s="8">
        <v>3250452</v>
      </c>
      <c r="W508" s="8">
        <v>0</v>
      </c>
      <c r="Y508" s="8">
        <v>6495968</v>
      </c>
      <c r="AA508" s="14">
        <f t="shared" si="39"/>
        <v>9746420</v>
      </c>
      <c r="AC508" s="8">
        <f t="shared" si="36"/>
        <v>0</v>
      </c>
    </row>
    <row r="509" spans="1:29">
      <c r="A509" s="13" t="s">
        <v>590</v>
      </c>
      <c r="B509" s="13"/>
      <c r="C509" s="13" t="s">
        <v>54</v>
      </c>
      <c r="D509" s="13"/>
      <c r="E509" s="32">
        <v>49098</v>
      </c>
      <c r="G509" s="8">
        <v>46007331</v>
      </c>
      <c r="I509" s="8">
        <v>0</v>
      </c>
      <c r="K509" s="3">
        <f t="shared" si="37"/>
        <v>48464691</v>
      </c>
      <c r="M509" s="8">
        <v>94472022</v>
      </c>
      <c r="O509" s="3">
        <f t="shared" si="38"/>
        <v>7758723</v>
      </c>
      <c r="Q509" s="8">
        <v>45771511</v>
      </c>
      <c r="S509" s="8">
        <v>53530234</v>
      </c>
      <c r="U509" s="8">
        <v>7554521</v>
      </c>
      <c r="W509" s="8">
        <v>0</v>
      </c>
      <c r="Y509" s="8">
        <v>33387267</v>
      </c>
      <c r="AA509" s="14">
        <f t="shared" si="39"/>
        <v>40941788</v>
      </c>
      <c r="AC509" s="8">
        <f t="shared" si="36"/>
        <v>0</v>
      </c>
    </row>
    <row r="510" spans="1:29">
      <c r="A510" s="13" t="s">
        <v>269</v>
      </c>
      <c r="B510" s="13"/>
      <c r="C510" s="13" t="s">
        <v>17</v>
      </c>
      <c r="D510" s="13"/>
      <c r="E510" s="32">
        <v>46243</v>
      </c>
      <c r="G510" s="8">
        <v>9846338</v>
      </c>
      <c r="I510" s="8">
        <v>0</v>
      </c>
      <c r="K510" s="3">
        <f t="shared" si="37"/>
        <v>11070231</v>
      </c>
      <c r="M510" s="8">
        <v>20916569</v>
      </c>
      <c r="O510" s="3">
        <f t="shared" si="38"/>
        <v>5258466</v>
      </c>
      <c r="Q510" s="8">
        <v>9020563</v>
      </c>
      <c r="S510" s="8">
        <v>14279029</v>
      </c>
      <c r="U510" s="8">
        <v>2979558</v>
      </c>
      <c r="W510" s="8">
        <v>0</v>
      </c>
      <c r="Y510" s="8">
        <v>3657982</v>
      </c>
      <c r="AA510" s="14">
        <f t="shared" si="39"/>
        <v>6637540</v>
      </c>
      <c r="AC510" s="8">
        <f t="shared" si="36"/>
        <v>0</v>
      </c>
    </row>
    <row r="511" spans="1:29">
      <c r="A511" s="13" t="s">
        <v>415</v>
      </c>
      <c r="B511" s="13"/>
      <c r="C511" s="13" t="s">
        <v>32</v>
      </c>
      <c r="D511" s="13"/>
      <c r="E511" s="32">
        <v>47399</v>
      </c>
      <c r="G511" s="8">
        <v>6147129</v>
      </c>
      <c r="I511" s="8">
        <v>0</v>
      </c>
      <c r="K511" s="3">
        <f t="shared" si="37"/>
        <v>13049338</v>
      </c>
      <c r="M511" s="8">
        <v>19196467</v>
      </c>
      <c r="O511" s="3">
        <f t="shared" si="38"/>
        <v>2758312</v>
      </c>
      <c r="Q511" s="8">
        <v>8054683</v>
      </c>
      <c r="S511" s="8">
        <v>10812995</v>
      </c>
      <c r="U511" s="8">
        <v>4937849</v>
      </c>
      <c r="W511" s="8">
        <v>0</v>
      </c>
      <c r="Y511" s="8">
        <v>3445623</v>
      </c>
      <c r="AA511" s="14">
        <f t="shared" si="39"/>
        <v>8383472</v>
      </c>
      <c r="AC511" s="8">
        <f t="shared" si="36"/>
        <v>0</v>
      </c>
    </row>
    <row r="512" spans="1:29" hidden="1">
      <c r="A512" s="13" t="s">
        <v>645</v>
      </c>
      <c r="B512" s="13"/>
      <c r="C512" s="13" t="s">
        <v>60</v>
      </c>
      <c r="D512" s="13"/>
      <c r="E512" s="32">
        <v>44891</v>
      </c>
      <c r="G512" s="8">
        <v>0</v>
      </c>
      <c r="I512" s="8">
        <v>0</v>
      </c>
      <c r="K512" s="3">
        <f t="shared" si="37"/>
        <v>0</v>
      </c>
      <c r="M512" s="8">
        <v>0</v>
      </c>
      <c r="O512" s="3">
        <f t="shared" si="38"/>
        <v>0</v>
      </c>
      <c r="Q512" s="8">
        <v>0</v>
      </c>
      <c r="S512" s="8">
        <v>0</v>
      </c>
      <c r="U512" s="8">
        <v>0</v>
      </c>
      <c r="W512" s="8">
        <v>0</v>
      </c>
      <c r="Y512" s="8">
        <v>0</v>
      </c>
      <c r="AA512" s="14">
        <f t="shared" si="39"/>
        <v>0</v>
      </c>
      <c r="AC512" s="8">
        <f t="shared" si="36"/>
        <v>0</v>
      </c>
    </row>
    <row r="513" spans="1:31">
      <c r="A513" s="13" t="s">
        <v>645</v>
      </c>
      <c r="B513" s="13"/>
      <c r="C513" s="13" t="s">
        <v>60</v>
      </c>
      <c r="D513" s="13"/>
      <c r="E513" s="32">
        <v>47399</v>
      </c>
      <c r="G513" s="8">
        <f>4563007+994</f>
        <v>4564001</v>
      </c>
      <c r="I513" s="8">
        <v>235434</v>
      </c>
      <c r="K513" s="3">
        <f>M513-G513-I513</f>
        <v>12037096</v>
      </c>
      <c r="M513" s="8">
        <v>16836531</v>
      </c>
      <c r="O513" s="3">
        <f>S513-Q513</f>
        <v>11658208</v>
      </c>
      <c r="Q513" s="8">
        <v>815909</v>
      </c>
      <c r="S513" s="8">
        <v>12474117</v>
      </c>
      <c r="U513" s="8">
        <f>437518+235434+18858+653694+2294488+100236</f>
        <v>3740228</v>
      </c>
      <c r="W513" s="8">
        <v>0</v>
      </c>
      <c r="Y513" s="8">
        <f>289471+165787+166928</f>
        <v>622186</v>
      </c>
      <c r="AA513" s="14">
        <f>U513+W513+Y513</f>
        <v>4362414</v>
      </c>
      <c r="AC513" s="8">
        <f>+G513+I513+K513-O513-Q513-Y513-W513-U513</f>
        <v>0</v>
      </c>
    </row>
    <row r="514" spans="1:31">
      <c r="A514" s="13" t="s">
        <v>549</v>
      </c>
      <c r="B514" s="13"/>
      <c r="C514" s="13" t="s">
        <v>48</v>
      </c>
      <c r="D514" s="13"/>
      <c r="E514" s="32">
        <v>45617</v>
      </c>
      <c r="G514" s="8">
        <v>3203540</v>
      </c>
      <c r="I514" s="8">
        <v>0</v>
      </c>
      <c r="K514" s="3">
        <f t="shared" si="37"/>
        <v>11663166</v>
      </c>
      <c r="M514" s="8">
        <v>14866706</v>
      </c>
      <c r="O514" s="3">
        <f t="shared" si="38"/>
        <v>6792102</v>
      </c>
      <c r="Q514" s="8">
        <v>6705804</v>
      </c>
      <c r="S514" s="8">
        <v>13497906</v>
      </c>
      <c r="U514" s="8">
        <v>1785907</v>
      </c>
      <c r="W514" s="8">
        <v>0</v>
      </c>
      <c r="Y514" s="8">
        <v>-417107</v>
      </c>
      <c r="AA514" s="14">
        <f t="shared" si="39"/>
        <v>1368800</v>
      </c>
      <c r="AC514" s="8">
        <f t="shared" si="36"/>
        <v>0</v>
      </c>
    </row>
    <row r="515" spans="1:31">
      <c r="A515" s="13" t="s">
        <v>508</v>
      </c>
      <c r="B515" s="13"/>
      <c r="C515" s="13" t="s">
        <v>118</v>
      </c>
      <c r="D515" s="13"/>
      <c r="E515" s="32">
        <v>44909</v>
      </c>
      <c r="G515" s="8">
        <v>202265000</v>
      </c>
      <c r="I515" s="8">
        <v>0</v>
      </c>
      <c r="K515" s="3">
        <f t="shared" si="37"/>
        <v>486281864</v>
      </c>
      <c r="M515" s="8">
        <v>688546864</v>
      </c>
      <c r="O515" s="3">
        <f t="shared" si="38"/>
        <v>126343160</v>
      </c>
      <c r="Q515" s="8">
        <v>465140657</v>
      </c>
      <c r="S515" s="8">
        <v>591483817</v>
      </c>
      <c r="U515" s="8">
        <v>85526089</v>
      </c>
      <c r="W515" s="8">
        <v>0</v>
      </c>
      <c r="Y515" s="8">
        <v>11536958</v>
      </c>
      <c r="AA515" s="14">
        <f t="shared" si="39"/>
        <v>97063047</v>
      </c>
      <c r="AC515" s="8">
        <f t="shared" si="36"/>
        <v>0</v>
      </c>
    </row>
    <row r="516" spans="1:31">
      <c r="A516" s="13" t="s">
        <v>458</v>
      </c>
      <c r="B516" s="13"/>
      <c r="C516" s="13" t="s">
        <v>39</v>
      </c>
      <c r="D516" s="13"/>
      <c r="E516" s="32">
        <v>44917</v>
      </c>
      <c r="G516" s="8">
        <v>897410</v>
      </c>
      <c r="I516" s="8">
        <v>0</v>
      </c>
      <c r="K516" s="3">
        <f t="shared" si="37"/>
        <v>5283884</v>
      </c>
      <c r="M516" s="8">
        <v>6181294</v>
      </c>
      <c r="O516" s="3">
        <f t="shared" si="38"/>
        <v>882249</v>
      </c>
      <c r="Q516" s="8">
        <v>2168156</v>
      </c>
      <c r="S516" s="8">
        <v>3050405</v>
      </c>
      <c r="U516" s="8">
        <f>226861+17051+149241+66828</f>
        <v>459981</v>
      </c>
      <c r="W516" s="8">
        <v>0</v>
      </c>
      <c r="Y516" s="8">
        <f>2499534+48725+122649</f>
        <v>2670908</v>
      </c>
      <c r="AA516" s="14">
        <f t="shared" si="39"/>
        <v>3130889</v>
      </c>
      <c r="AC516" s="8">
        <f t="shared" si="36"/>
        <v>0</v>
      </c>
    </row>
    <row r="517" spans="1:31">
      <c r="A517" s="13" t="s">
        <v>261</v>
      </c>
      <c r="B517" s="13"/>
      <c r="C517" s="13" t="s">
        <v>259</v>
      </c>
      <c r="D517" s="13"/>
      <c r="E517" s="32">
        <v>46201</v>
      </c>
      <c r="G517" s="8">
        <v>1860025</v>
      </c>
      <c r="I517" s="8">
        <v>0</v>
      </c>
      <c r="K517" s="3">
        <f t="shared" si="37"/>
        <v>2718021</v>
      </c>
      <c r="M517" s="8">
        <v>4578046</v>
      </c>
      <c r="O517" s="3">
        <f t="shared" si="38"/>
        <v>1004048</v>
      </c>
      <c r="Q517" s="8">
        <v>1485214</v>
      </c>
      <c r="S517" s="8">
        <v>2489262</v>
      </c>
      <c r="U517" s="8">
        <v>753449</v>
      </c>
      <c r="W517" s="8">
        <v>0</v>
      </c>
      <c r="Y517" s="8">
        <v>1335335</v>
      </c>
      <c r="AA517" s="14">
        <f t="shared" si="39"/>
        <v>2088784</v>
      </c>
      <c r="AC517" s="8">
        <f t="shared" si="36"/>
        <v>0</v>
      </c>
    </row>
    <row r="518" spans="1:31">
      <c r="A518" s="13" t="s">
        <v>606</v>
      </c>
      <c r="B518" s="13"/>
      <c r="C518" s="13" t="s">
        <v>57</v>
      </c>
      <c r="D518" s="13"/>
      <c r="E518" s="32">
        <v>91397</v>
      </c>
      <c r="G518" s="8">
        <v>5514357</v>
      </c>
      <c r="I518" s="8">
        <v>0</v>
      </c>
      <c r="K518" s="3">
        <f t="shared" si="37"/>
        <v>5481362</v>
      </c>
      <c r="M518" s="8">
        <v>10995719</v>
      </c>
      <c r="O518" s="3">
        <f t="shared" si="38"/>
        <v>1301319</v>
      </c>
      <c r="Q518" s="8">
        <v>4838001</v>
      </c>
      <c r="S518" s="8">
        <v>6139320</v>
      </c>
      <c r="U518" s="8">
        <v>693679</v>
      </c>
      <c r="W518" s="8">
        <v>0</v>
      </c>
      <c r="Y518" s="8">
        <v>4162720</v>
      </c>
      <c r="AA518" s="14">
        <f t="shared" si="39"/>
        <v>4856399</v>
      </c>
      <c r="AC518" s="8">
        <f t="shared" si="36"/>
        <v>0</v>
      </c>
    </row>
    <row r="519" spans="1:31">
      <c r="A519" s="13" t="s">
        <v>228</v>
      </c>
      <c r="B519" s="13"/>
      <c r="C519" s="13" t="s">
        <v>13</v>
      </c>
      <c r="D519" s="13"/>
      <c r="E519" s="32">
        <v>45922</v>
      </c>
      <c r="G519" s="8">
        <v>825683</v>
      </c>
      <c r="I519" s="8">
        <v>0</v>
      </c>
      <c r="K519" s="3">
        <f t="shared" si="37"/>
        <v>1564080</v>
      </c>
      <c r="M519" s="8">
        <v>2389763</v>
      </c>
      <c r="O519" s="3">
        <f t="shared" si="38"/>
        <v>1230644</v>
      </c>
      <c r="Q519" s="8">
        <v>1323452</v>
      </c>
      <c r="S519" s="8">
        <v>2554096</v>
      </c>
      <c r="U519" s="8">
        <v>91757</v>
      </c>
      <c r="W519" s="8">
        <v>1959</v>
      </c>
      <c r="Y519" s="8">
        <v>-258049</v>
      </c>
      <c r="AA519" s="14">
        <f t="shared" si="39"/>
        <v>-164333</v>
      </c>
      <c r="AC519" s="8">
        <f t="shared" si="36"/>
        <v>0</v>
      </c>
      <c r="AE519" s="10"/>
    </row>
    <row r="520" spans="1:31">
      <c r="A520" s="13" t="s">
        <v>574</v>
      </c>
      <c r="B520" s="13"/>
      <c r="C520" s="13" t="s">
        <v>51</v>
      </c>
      <c r="D520" s="13"/>
      <c r="E520" s="32">
        <v>48876</v>
      </c>
      <c r="G520" s="8">
        <v>10464194</v>
      </c>
      <c r="I520" s="8">
        <v>0</v>
      </c>
      <c r="K520" s="3">
        <f t="shared" si="37"/>
        <v>13564053</v>
      </c>
      <c r="M520" s="8">
        <v>24028247</v>
      </c>
      <c r="O520" s="3">
        <f t="shared" si="38"/>
        <v>4969859</v>
      </c>
      <c r="Q520" s="8">
        <v>12026509</v>
      </c>
      <c r="S520" s="8">
        <v>16996368</v>
      </c>
      <c r="U520" s="8">
        <v>2823097</v>
      </c>
      <c r="W520" s="8">
        <v>0</v>
      </c>
      <c r="Y520" s="8">
        <v>4208782</v>
      </c>
      <c r="AA520" s="14">
        <f t="shared" si="39"/>
        <v>7031879</v>
      </c>
      <c r="AC520" s="8">
        <f t="shared" si="36"/>
        <v>0</v>
      </c>
    </row>
    <row r="521" spans="1:31" hidden="1">
      <c r="A521" s="13" t="s">
        <v>333</v>
      </c>
      <c r="B521" s="13"/>
      <c r="C521" s="13" t="s">
        <v>21</v>
      </c>
      <c r="D521" s="13"/>
      <c r="E521" s="32">
        <v>46680</v>
      </c>
      <c r="G521" s="8">
        <v>0</v>
      </c>
      <c r="I521" s="8">
        <v>0</v>
      </c>
      <c r="K521" s="3">
        <f t="shared" si="37"/>
        <v>0</v>
      </c>
      <c r="M521" s="8">
        <v>0</v>
      </c>
      <c r="O521" s="3">
        <f t="shared" si="38"/>
        <v>0</v>
      </c>
      <c r="Q521" s="8">
        <v>0</v>
      </c>
      <c r="S521" s="8">
        <v>0</v>
      </c>
      <c r="U521" s="8">
        <v>0</v>
      </c>
      <c r="W521" s="8">
        <v>0</v>
      </c>
      <c r="Y521" s="8">
        <v>0</v>
      </c>
      <c r="AA521" s="14">
        <f t="shared" si="39"/>
        <v>0</v>
      </c>
      <c r="AC521" s="8">
        <f t="shared" si="36"/>
        <v>0</v>
      </c>
    </row>
    <row r="522" spans="1:31">
      <c r="A522" s="13" t="s">
        <v>731</v>
      </c>
      <c r="B522" s="13"/>
      <c r="C522" s="13" t="s">
        <v>71</v>
      </c>
      <c r="D522" s="13"/>
      <c r="E522" s="32">
        <v>50591</v>
      </c>
      <c r="G522" s="8">
        <v>3496163</v>
      </c>
      <c r="I522" s="8">
        <v>0</v>
      </c>
      <c r="K522" s="3">
        <f t="shared" si="37"/>
        <v>6063877</v>
      </c>
      <c r="M522" s="8">
        <v>9560040</v>
      </c>
      <c r="O522" s="3">
        <f t="shared" si="38"/>
        <v>2218721</v>
      </c>
      <c r="Q522" s="8">
        <v>5590887</v>
      </c>
      <c r="S522" s="8">
        <v>7809608</v>
      </c>
      <c r="U522" s="8">
        <v>579373</v>
      </c>
      <c r="W522" s="8">
        <v>0</v>
      </c>
      <c r="Y522" s="8">
        <v>1171059</v>
      </c>
      <c r="AA522" s="14">
        <f t="shared" si="39"/>
        <v>1750432</v>
      </c>
      <c r="AC522" s="8">
        <f t="shared" si="36"/>
        <v>0</v>
      </c>
    </row>
    <row r="523" spans="1:31">
      <c r="A523" s="13" t="s">
        <v>563</v>
      </c>
      <c r="B523" s="13"/>
      <c r="C523" s="13" t="s">
        <v>50</v>
      </c>
      <c r="D523" s="13"/>
      <c r="E523" s="32">
        <v>48694</v>
      </c>
      <c r="G523" s="8">
        <v>27678123</v>
      </c>
      <c r="I523" s="8">
        <v>0</v>
      </c>
      <c r="K523" s="3">
        <f t="shared" si="37"/>
        <v>15032458</v>
      </c>
      <c r="M523" s="8">
        <v>42710581</v>
      </c>
      <c r="O523" s="3">
        <f t="shared" si="38"/>
        <v>5722351</v>
      </c>
      <c r="Q523" s="8">
        <v>13152630</v>
      </c>
      <c r="S523" s="8">
        <v>18874981</v>
      </c>
      <c r="U523" s="8">
        <v>9199357</v>
      </c>
      <c r="W523" s="8">
        <v>0</v>
      </c>
      <c r="Y523" s="8">
        <v>14636243</v>
      </c>
      <c r="AA523" s="14">
        <f t="shared" si="39"/>
        <v>23835600</v>
      </c>
      <c r="AC523" s="8">
        <f t="shared" si="36"/>
        <v>0</v>
      </c>
    </row>
    <row r="524" spans="1:31">
      <c r="A524" s="13" t="s">
        <v>550</v>
      </c>
      <c r="B524" s="13"/>
      <c r="C524" s="13" t="s">
        <v>48</v>
      </c>
      <c r="D524" s="13"/>
      <c r="E524" s="32">
        <v>44925</v>
      </c>
      <c r="G524" s="8">
        <v>12798310</v>
      </c>
      <c r="I524" s="8">
        <v>0</v>
      </c>
      <c r="K524" s="3">
        <f t="shared" si="37"/>
        <v>20984830</v>
      </c>
      <c r="M524" s="8">
        <v>33783140</v>
      </c>
      <c r="O524" s="3">
        <f t="shared" si="38"/>
        <v>5070527</v>
      </c>
      <c r="Q524" s="8">
        <v>16189551</v>
      </c>
      <c r="S524" s="8">
        <v>21260078</v>
      </c>
      <c r="U524" s="8">
        <v>2100355</v>
      </c>
      <c r="W524" s="8">
        <v>0</v>
      </c>
      <c r="Y524" s="8">
        <v>10422707</v>
      </c>
      <c r="AA524" s="14">
        <f t="shared" si="39"/>
        <v>12523062</v>
      </c>
      <c r="AC524" s="8">
        <f t="shared" si="36"/>
        <v>0</v>
      </c>
    </row>
    <row r="525" spans="1:31">
      <c r="A525" s="13" t="s">
        <v>706</v>
      </c>
      <c r="B525" s="13"/>
      <c r="C525" s="13" t="s">
        <v>65</v>
      </c>
      <c r="D525" s="13"/>
      <c r="E525" s="13">
        <v>50302</v>
      </c>
      <c r="G525" s="8">
        <v>2924290</v>
      </c>
      <c r="I525" s="8">
        <v>0</v>
      </c>
      <c r="K525" s="3">
        <f t="shared" si="37"/>
        <v>7058290</v>
      </c>
      <c r="M525" s="8">
        <v>9982580</v>
      </c>
      <c r="O525" s="3">
        <f t="shared" si="38"/>
        <v>1679562</v>
      </c>
      <c r="Q525" s="8">
        <v>6339810</v>
      </c>
      <c r="S525" s="8">
        <v>8019372</v>
      </c>
      <c r="U525" s="8">
        <v>1314772</v>
      </c>
      <c r="W525" s="8">
        <v>0</v>
      </c>
      <c r="Y525" s="8">
        <v>648436</v>
      </c>
      <c r="AA525" s="14">
        <f t="shared" si="39"/>
        <v>1963208</v>
      </c>
      <c r="AC525" s="8">
        <f t="shared" si="36"/>
        <v>0</v>
      </c>
    </row>
    <row r="526" spans="1:31">
      <c r="A526" s="13" t="s">
        <v>666</v>
      </c>
      <c r="B526" s="13"/>
      <c r="C526" s="13" t="s">
        <v>62</v>
      </c>
      <c r="D526" s="13"/>
      <c r="E526" s="13">
        <v>49957</v>
      </c>
      <c r="G526" s="8">
        <v>3107193</v>
      </c>
      <c r="I526" s="8">
        <v>0</v>
      </c>
      <c r="K526" s="3">
        <f t="shared" si="37"/>
        <v>4934952</v>
      </c>
      <c r="M526" s="8">
        <v>8042145</v>
      </c>
      <c r="O526" s="3">
        <f t="shared" si="38"/>
        <v>1419194</v>
      </c>
      <c r="Q526" s="8">
        <v>4613320</v>
      </c>
      <c r="S526" s="8">
        <v>6032514</v>
      </c>
      <c r="U526" s="8">
        <v>443735</v>
      </c>
      <c r="W526" s="8">
        <v>0</v>
      </c>
      <c r="Y526" s="8">
        <v>1565896</v>
      </c>
      <c r="AA526" s="14">
        <f t="shared" si="39"/>
        <v>2009631</v>
      </c>
      <c r="AC526" s="8">
        <f t="shared" si="36"/>
        <v>0</v>
      </c>
    </row>
    <row r="527" spans="1:31" hidden="1">
      <c r="A527" s="13" t="s">
        <v>607</v>
      </c>
      <c r="B527" s="13"/>
      <c r="C527" s="13" t="s">
        <v>57</v>
      </c>
      <c r="D527" s="13"/>
      <c r="E527" s="32">
        <v>49296</v>
      </c>
      <c r="G527" s="8">
        <v>0</v>
      </c>
      <c r="I527" s="8">
        <v>0</v>
      </c>
      <c r="K527" s="3">
        <f t="shared" si="37"/>
        <v>0</v>
      </c>
      <c r="M527" s="8">
        <v>0</v>
      </c>
      <c r="O527" s="3">
        <f t="shared" si="38"/>
        <v>0</v>
      </c>
      <c r="Q527" s="8">
        <v>0</v>
      </c>
      <c r="S527" s="8">
        <v>0</v>
      </c>
      <c r="U527" s="8">
        <v>0</v>
      </c>
      <c r="W527" s="8">
        <v>0</v>
      </c>
      <c r="Y527" s="8">
        <v>0</v>
      </c>
      <c r="AA527" s="14">
        <f t="shared" si="39"/>
        <v>0</v>
      </c>
      <c r="AC527" s="8">
        <f t="shared" si="36"/>
        <v>0</v>
      </c>
    </row>
    <row r="528" spans="1:31">
      <c r="A528" s="13" t="s">
        <v>678</v>
      </c>
      <c r="B528" s="13"/>
      <c r="C528" s="13" t="s">
        <v>63</v>
      </c>
      <c r="D528" s="13"/>
      <c r="E528" s="32">
        <v>50070</v>
      </c>
      <c r="G528" s="8">
        <v>27106786</v>
      </c>
      <c r="I528" s="8">
        <v>0</v>
      </c>
      <c r="K528" s="3">
        <f t="shared" si="37"/>
        <v>30176794</v>
      </c>
      <c r="M528" s="8">
        <v>57283580</v>
      </c>
      <c r="O528" s="3">
        <f t="shared" si="38"/>
        <v>5563218</v>
      </c>
      <c r="Q528" s="8">
        <v>26616999</v>
      </c>
      <c r="S528" s="8">
        <v>32180217</v>
      </c>
      <c r="U528" s="8">
        <v>689410</v>
      </c>
      <c r="W528" s="8">
        <v>0</v>
      </c>
      <c r="Y528" s="8">
        <f>19627307+1246070+1946772+1576918+16886</f>
        <v>24413953</v>
      </c>
      <c r="AA528" s="14">
        <f t="shared" si="39"/>
        <v>25103363</v>
      </c>
      <c r="AC528" s="8">
        <f t="shared" si="36"/>
        <v>0</v>
      </c>
      <c r="AE528" s="10"/>
    </row>
    <row r="529" spans="1:29">
      <c r="A529" s="13" t="s">
        <v>239</v>
      </c>
      <c r="B529" s="13"/>
      <c r="C529" s="13" t="s">
        <v>15</v>
      </c>
      <c r="D529" s="13"/>
      <c r="E529" s="32">
        <v>46011</v>
      </c>
      <c r="G529" s="8">
        <v>1615249</v>
      </c>
      <c r="I529" s="8">
        <v>0</v>
      </c>
      <c r="K529" s="3">
        <f t="shared" si="37"/>
        <v>2722968</v>
      </c>
      <c r="M529" s="8">
        <v>4338217</v>
      </c>
      <c r="O529" s="3">
        <f t="shared" si="38"/>
        <v>1568720</v>
      </c>
      <c r="Q529" s="8">
        <v>2202963</v>
      </c>
      <c r="S529" s="8">
        <v>3771683</v>
      </c>
      <c r="U529" s="8">
        <v>495509</v>
      </c>
      <c r="W529" s="8">
        <v>0</v>
      </c>
      <c r="Y529" s="8">
        <v>71025</v>
      </c>
      <c r="AA529" s="14">
        <f t="shared" si="39"/>
        <v>566534</v>
      </c>
      <c r="AC529" s="8">
        <f t="shared" si="36"/>
        <v>0</v>
      </c>
    </row>
    <row r="530" spans="1:29">
      <c r="A530" s="13" t="s">
        <v>625</v>
      </c>
      <c r="B530" s="13"/>
      <c r="C530" s="13" t="s">
        <v>58</v>
      </c>
      <c r="D530" s="13"/>
      <c r="E530" s="32">
        <v>49536</v>
      </c>
      <c r="G530" s="8">
        <v>8917252</v>
      </c>
      <c r="I530" s="8">
        <v>0</v>
      </c>
      <c r="K530" s="3">
        <f t="shared" si="37"/>
        <v>4054567</v>
      </c>
      <c r="M530" s="8">
        <v>12971819</v>
      </c>
      <c r="O530" s="3">
        <f t="shared" si="38"/>
        <v>2221335</v>
      </c>
      <c r="Q530" s="8">
        <v>2997318</v>
      </c>
      <c r="S530" s="8">
        <v>5218653</v>
      </c>
      <c r="U530" s="8">
        <v>708869</v>
      </c>
      <c r="W530" s="8">
        <v>0</v>
      </c>
      <c r="Y530" s="8">
        <v>7044297</v>
      </c>
      <c r="AA530" s="14">
        <f t="shared" si="39"/>
        <v>7753166</v>
      </c>
      <c r="AC530" s="8">
        <f t="shared" si="36"/>
        <v>0</v>
      </c>
    </row>
    <row r="531" spans="1:29" hidden="1">
      <c r="A531" s="13" t="s">
        <v>289</v>
      </c>
      <c r="B531" s="13"/>
      <c r="C531" s="13" t="s">
        <v>115</v>
      </c>
      <c r="D531" s="13"/>
      <c r="E531" s="32">
        <v>46458</v>
      </c>
      <c r="G531" s="8">
        <v>0</v>
      </c>
      <c r="I531" s="8">
        <v>0</v>
      </c>
      <c r="K531" s="3">
        <f t="shared" si="37"/>
        <v>0</v>
      </c>
      <c r="M531" s="8">
        <v>0</v>
      </c>
      <c r="O531" s="3">
        <f t="shared" si="38"/>
        <v>0</v>
      </c>
      <c r="Q531" s="8">
        <v>0</v>
      </c>
      <c r="S531" s="8">
        <v>0</v>
      </c>
      <c r="U531" s="8">
        <v>0</v>
      </c>
      <c r="W531" s="8">
        <v>0</v>
      </c>
      <c r="Y531" s="8">
        <v>0</v>
      </c>
      <c r="AA531" s="14">
        <f t="shared" si="39"/>
        <v>0</v>
      </c>
      <c r="AC531" s="8">
        <f t="shared" si="36"/>
        <v>0</v>
      </c>
    </row>
    <row r="532" spans="1:29">
      <c r="A532" s="13" t="s">
        <v>368</v>
      </c>
      <c r="B532" s="13"/>
      <c r="C532" s="13" t="s">
        <v>27</v>
      </c>
      <c r="D532" s="13"/>
      <c r="E532" s="32">
        <v>44933</v>
      </c>
      <c r="G532" s="8">
        <v>51365057</v>
      </c>
      <c r="I532" s="8">
        <v>0</v>
      </c>
      <c r="K532" s="3">
        <f t="shared" si="37"/>
        <v>53846329</v>
      </c>
      <c r="M532" s="8">
        <v>105211386</v>
      </c>
      <c r="O532" s="3">
        <f t="shared" si="38"/>
        <v>11919945</v>
      </c>
      <c r="Q532" s="8">
        <v>45996933</v>
      </c>
      <c r="S532" s="8">
        <v>57916878</v>
      </c>
      <c r="U532" s="8">
        <v>23403904</v>
      </c>
      <c r="W532" s="8">
        <v>926016</v>
      </c>
      <c r="Y532" s="8">
        <v>22964588</v>
      </c>
      <c r="AA532" s="14">
        <f t="shared" si="39"/>
        <v>47294508</v>
      </c>
      <c r="AC532" s="8">
        <f t="shared" si="36"/>
        <v>0</v>
      </c>
    </row>
    <row r="533" spans="1:29" hidden="1">
      <c r="A533" s="13" t="s">
        <v>749</v>
      </c>
      <c r="B533" s="13"/>
      <c r="C533" s="13" t="s">
        <v>747</v>
      </c>
      <c r="D533" s="13"/>
      <c r="E533" s="32">
        <v>45625</v>
      </c>
      <c r="G533" s="8">
        <v>0</v>
      </c>
      <c r="I533" s="8">
        <v>0</v>
      </c>
      <c r="K533" s="3">
        <f t="shared" si="37"/>
        <v>0</v>
      </c>
      <c r="M533" s="8">
        <v>0</v>
      </c>
      <c r="O533" s="3">
        <f t="shared" si="38"/>
        <v>0</v>
      </c>
      <c r="Q533" s="8">
        <v>0</v>
      </c>
      <c r="S533" s="8">
        <v>0</v>
      </c>
      <c r="U533" s="8">
        <v>0</v>
      </c>
      <c r="W533" s="8">
        <v>0</v>
      </c>
      <c r="Y533" s="8">
        <v>0</v>
      </c>
      <c r="AA533" s="14">
        <f t="shared" si="39"/>
        <v>0</v>
      </c>
      <c r="AC533" s="8">
        <f t="shared" si="36"/>
        <v>0</v>
      </c>
    </row>
    <row r="534" spans="1:29" hidden="1">
      <c r="A534" s="13" t="s">
        <v>431</v>
      </c>
      <c r="B534" s="13"/>
      <c r="C534" s="13" t="s">
        <v>426</v>
      </c>
      <c r="D534" s="13"/>
      <c r="E534" s="32">
        <v>47522</v>
      </c>
      <c r="G534" s="8">
        <v>0</v>
      </c>
      <c r="I534" s="8">
        <v>0</v>
      </c>
      <c r="K534" s="3">
        <f t="shared" si="37"/>
        <v>0</v>
      </c>
      <c r="M534" s="8">
        <v>0</v>
      </c>
      <c r="O534" s="3">
        <f t="shared" si="38"/>
        <v>0</v>
      </c>
      <c r="Q534" s="8">
        <v>0</v>
      </c>
      <c r="S534" s="8">
        <v>0</v>
      </c>
      <c r="U534" s="8">
        <v>0</v>
      </c>
      <c r="W534" s="8">
        <v>0</v>
      </c>
      <c r="Y534" s="8">
        <v>0</v>
      </c>
      <c r="AA534" s="14">
        <f t="shared" si="39"/>
        <v>0</v>
      </c>
      <c r="AC534" s="8">
        <f t="shared" si="36"/>
        <v>0</v>
      </c>
    </row>
    <row r="535" spans="1:29">
      <c r="A535" s="13" t="s">
        <v>262</v>
      </c>
      <c r="B535" s="13"/>
      <c r="C535" s="13" t="s">
        <v>259</v>
      </c>
      <c r="D535" s="13"/>
      <c r="E535" s="32">
        <v>44941</v>
      </c>
      <c r="G535" s="8">
        <v>6139888</v>
      </c>
      <c r="I535" s="8">
        <v>0</v>
      </c>
      <c r="K535" s="3">
        <f t="shared" ref="K535:K595" si="40">M535-G535-I535</f>
        <v>8283889</v>
      </c>
      <c r="M535" s="8">
        <v>14423777</v>
      </c>
      <c r="O535" s="3">
        <f t="shared" ref="O535:O595" si="41">S535-Q535</f>
        <v>4006525</v>
      </c>
      <c r="Q535" s="8">
        <v>6808560</v>
      </c>
      <c r="S535" s="8">
        <v>10815085</v>
      </c>
      <c r="U535" s="8">
        <v>1887041</v>
      </c>
      <c r="W535" s="8">
        <v>253159</v>
      </c>
      <c r="Y535" s="8">
        <v>1468492</v>
      </c>
      <c r="AA535" s="14">
        <f t="shared" ref="AA535:AA595" si="42">U535+W535+Y535</f>
        <v>3608692</v>
      </c>
      <c r="AC535" s="8">
        <f t="shared" ref="AC535:AC595" si="43">+G535+I535+K535-O535-Q535-Y535-W535-U535</f>
        <v>0</v>
      </c>
    </row>
    <row r="536" spans="1:29" hidden="1">
      <c r="A536" s="13" t="s">
        <v>637</v>
      </c>
      <c r="B536" s="13"/>
      <c r="C536" s="13" t="s">
        <v>59</v>
      </c>
      <c r="D536" s="13"/>
      <c r="E536" s="32">
        <v>49643</v>
      </c>
      <c r="G536" s="8">
        <v>0</v>
      </c>
      <c r="I536" s="8">
        <v>0</v>
      </c>
      <c r="K536" s="3">
        <f t="shared" si="40"/>
        <v>0</v>
      </c>
      <c r="M536" s="8">
        <v>0</v>
      </c>
      <c r="O536" s="3">
        <f t="shared" si="41"/>
        <v>0</v>
      </c>
      <c r="Q536" s="8">
        <v>0</v>
      </c>
      <c r="S536" s="8">
        <v>0</v>
      </c>
      <c r="U536" s="8">
        <v>0</v>
      </c>
      <c r="W536" s="8">
        <v>0</v>
      </c>
      <c r="Y536" s="8">
        <v>0</v>
      </c>
      <c r="AA536" s="14">
        <f t="shared" si="42"/>
        <v>0</v>
      </c>
      <c r="AC536" s="8">
        <f t="shared" si="43"/>
        <v>0</v>
      </c>
    </row>
    <row r="537" spans="1:29">
      <c r="A537" s="13" t="s">
        <v>564</v>
      </c>
      <c r="B537" s="13"/>
      <c r="C537" s="13" t="s">
        <v>50</v>
      </c>
      <c r="D537" s="13"/>
      <c r="E537" s="32">
        <v>48744</v>
      </c>
      <c r="G537" s="8">
        <v>8828153</v>
      </c>
      <c r="I537" s="8">
        <v>0</v>
      </c>
      <c r="K537" s="3">
        <f t="shared" si="40"/>
        <v>6141817</v>
      </c>
      <c r="M537" s="8">
        <v>14969970</v>
      </c>
      <c r="O537" s="3">
        <f t="shared" si="41"/>
        <v>2749761</v>
      </c>
      <c r="Q537" s="8">
        <v>4511546</v>
      </c>
      <c r="S537" s="8">
        <v>7261307</v>
      </c>
      <c r="U537" s="8">
        <v>1823428</v>
      </c>
      <c r="W537" s="8">
        <v>0</v>
      </c>
      <c r="Y537" s="8">
        <v>5885235</v>
      </c>
      <c r="AA537" s="14">
        <f t="shared" si="42"/>
        <v>7708663</v>
      </c>
      <c r="AC537" s="8">
        <f t="shared" si="43"/>
        <v>0</v>
      </c>
    </row>
    <row r="538" spans="1:29">
      <c r="A538" s="13" t="s">
        <v>424</v>
      </c>
      <c r="B538" s="13"/>
      <c r="C538" s="13" t="s">
        <v>33</v>
      </c>
      <c r="D538" s="13"/>
      <c r="E538" s="13">
        <v>47464</v>
      </c>
      <c r="G538" s="8">
        <v>6175913</v>
      </c>
      <c r="I538" s="8">
        <v>0</v>
      </c>
      <c r="K538" s="3">
        <f t="shared" si="40"/>
        <v>9969742</v>
      </c>
      <c r="M538" s="8">
        <v>16145655</v>
      </c>
      <c r="O538" s="3">
        <f t="shared" si="41"/>
        <v>989773</v>
      </c>
      <c r="Q538" s="8">
        <v>9108839</v>
      </c>
      <c r="S538" s="8">
        <v>10098612</v>
      </c>
      <c r="U538" s="8">
        <v>957209</v>
      </c>
      <c r="W538" s="8">
        <v>272733</v>
      </c>
      <c r="Y538" s="8">
        <v>4817101</v>
      </c>
      <c r="AA538" s="14">
        <f t="shared" si="42"/>
        <v>6047043</v>
      </c>
      <c r="AC538" s="8">
        <f t="shared" si="43"/>
        <v>0</v>
      </c>
    </row>
    <row r="539" spans="1:29">
      <c r="A539" s="13" t="s">
        <v>711</v>
      </c>
      <c r="B539" s="13"/>
      <c r="C539" s="13" t="s">
        <v>67</v>
      </c>
      <c r="D539" s="13"/>
      <c r="E539" s="32">
        <v>44966</v>
      </c>
      <c r="G539" s="8">
        <v>6943145</v>
      </c>
      <c r="I539" s="8">
        <v>0</v>
      </c>
      <c r="K539" s="3">
        <f t="shared" si="40"/>
        <v>10493742</v>
      </c>
      <c r="M539" s="8">
        <v>17436887</v>
      </c>
      <c r="O539" s="3">
        <f t="shared" si="41"/>
        <v>2900287</v>
      </c>
      <c r="Q539" s="8">
        <v>8386247</v>
      </c>
      <c r="S539" s="8">
        <v>11286534</v>
      </c>
      <c r="U539" s="8">
        <v>1171696</v>
      </c>
      <c r="W539" s="8">
        <v>0</v>
      </c>
      <c r="Y539" s="8">
        <v>4978657</v>
      </c>
      <c r="AA539" s="14">
        <f t="shared" si="42"/>
        <v>6150353</v>
      </c>
      <c r="AC539" s="8">
        <f t="shared" si="43"/>
        <v>0</v>
      </c>
    </row>
    <row r="540" spans="1:29">
      <c r="A540" s="13" t="s">
        <v>565</v>
      </c>
      <c r="B540" s="13"/>
      <c r="C540" s="13" t="s">
        <v>50</v>
      </c>
      <c r="D540" s="13"/>
      <c r="E540" s="32">
        <v>44958</v>
      </c>
      <c r="G540" s="8">
        <v>17248925</v>
      </c>
      <c r="I540" s="8">
        <v>0</v>
      </c>
      <c r="K540" s="3">
        <f t="shared" si="40"/>
        <v>23027919</v>
      </c>
      <c r="M540" s="8">
        <v>40276844</v>
      </c>
      <c r="O540" s="3">
        <f t="shared" si="41"/>
        <v>5869757</v>
      </c>
      <c r="Q540" s="8">
        <v>20834697</v>
      </c>
      <c r="S540" s="8">
        <v>26704454</v>
      </c>
      <c r="U540" s="8">
        <v>2511269</v>
      </c>
      <c r="W540" s="8">
        <v>0</v>
      </c>
      <c r="Y540" s="8">
        <v>11061121</v>
      </c>
      <c r="AA540" s="14">
        <f t="shared" si="42"/>
        <v>13572390</v>
      </c>
      <c r="AC540" s="8">
        <f t="shared" si="43"/>
        <v>0</v>
      </c>
    </row>
    <row r="541" spans="1:29" hidden="1">
      <c r="A541" s="13" t="s">
        <v>425</v>
      </c>
      <c r="B541" s="13"/>
      <c r="C541" s="13" t="s">
        <v>33</v>
      </c>
      <c r="D541" s="13"/>
      <c r="E541" s="32">
        <v>47472</v>
      </c>
      <c r="G541" s="8">
        <v>0</v>
      </c>
      <c r="I541" s="8">
        <v>0</v>
      </c>
      <c r="K541" s="3">
        <f t="shared" si="40"/>
        <v>0</v>
      </c>
      <c r="M541" s="8">
        <v>0</v>
      </c>
      <c r="O541" s="3">
        <f t="shared" si="41"/>
        <v>0</v>
      </c>
      <c r="Q541" s="8">
        <v>0</v>
      </c>
      <c r="S541" s="8">
        <v>0</v>
      </c>
      <c r="U541" s="8">
        <v>0</v>
      </c>
      <c r="W541" s="8">
        <v>0</v>
      </c>
      <c r="Y541" s="8">
        <v>0</v>
      </c>
      <c r="AA541" s="14">
        <f t="shared" si="42"/>
        <v>0</v>
      </c>
      <c r="AC541" s="8">
        <f t="shared" si="43"/>
        <v>0</v>
      </c>
    </row>
    <row r="542" spans="1:29">
      <c r="A542" s="13" t="s">
        <v>346</v>
      </c>
      <c r="B542" s="13"/>
      <c r="C542" s="13" t="s">
        <v>24</v>
      </c>
      <c r="D542" s="13"/>
      <c r="E542" s="32">
        <v>46821</v>
      </c>
      <c r="G542" s="8">
        <v>12270826</v>
      </c>
      <c r="I542" s="8">
        <v>0</v>
      </c>
      <c r="K542" s="3">
        <f t="shared" si="40"/>
        <v>15529047</v>
      </c>
      <c r="M542" s="8">
        <v>27799873</v>
      </c>
      <c r="O542" s="3">
        <f t="shared" si="41"/>
        <v>2570285</v>
      </c>
      <c r="Q542" s="8">
        <v>7401774</v>
      </c>
      <c r="S542" s="8">
        <v>9972059</v>
      </c>
      <c r="U542" s="8">
        <v>10740805</v>
      </c>
      <c r="W542" s="8">
        <v>0</v>
      </c>
      <c r="Y542" s="8">
        <v>7087009</v>
      </c>
      <c r="AA542" s="14">
        <f t="shared" si="42"/>
        <v>17827814</v>
      </c>
      <c r="AC542" s="8">
        <f t="shared" si="43"/>
        <v>0</v>
      </c>
    </row>
    <row r="543" spans="1:29">
      <c r="A543" s="13" t="s">
        <v>712</v>
      </c>
      <c r="B543" s="13"/>
      <c r="C543" s="13" t="s">
        <v>68</v>
      </c>
      <c r="D543" s="13"/>
      <c r="E543" s="32">
        <v>50393</v>
      </c>
      <c r="G543" s="8">
        <v>18372736</v>
      </c>
      <c r="I543" s="8">
        <v>0</v>
      </c>
      <c r="K543" s="3">
        <f t="shared" si="40"/>
        <v>7389254</v>
      </c>
      <c r="M543" s="8">
        <v>25761990</v>
      </c>
      <c r="O543" s="3">
        <f t="shared" si="41"/>
        <v>4614227</v>
      </c>
      <c r="Q543" s="8">
        <v>5049806</v>
      </c>
      <c r="S543" s="8">
        <v>9664033</v>
      </c>
      <c r="U543" s="8">
        <v>6699081</v>
      </c>
      <c r="W543" s="8">
        <v>0</v>
      </c>
      <c r="Y543" s="8">
        <v>9398876</v>
      </c>
      <c r="AA543" s="14">
        <f t="shared" si="42"/>
        <v>16097957</v>
      </c>
      <c r="AC543" s="8">
        <f t="shared" si="43"/>
        <v>0</v>
      </c>
    </row>
    <row r="544" spans="1:29">
      <c r="A544" s="13" t="s">
        <v>536</v>
      </c>
      <c r="B544" s="13"/>
      <c r="C544" s="13" t="s">
        <v>47</v>
      </c>
      <c r="D544" s="13"/>
      <c r="E544" s="32">
        <v>44974</v>
      </c>
      <c r="G544" s="8">
        <v>13452873</v>
      </c>
      <c r="I544" s="8">
        <v>0</v>
      </c>
      <c r="K544" s="3">
        <f t="shared" si="40"/>
        <v>20867154</v>
      </c>
      <c r="M544" s="8">
        <v>34320027</v>
      </c>
      <c r="O544" s="3">
        <f t="shared" si="41"/>
        <v>4908892</v>
      </c>
      <c r="Q544" s="8">
        <v>19539755</v>
      </c>
      <c r="S544" s="8">
        <v>24448647</v>
      </c>
      <c r="U544" s="8">
        <f>1095297+436770</f>
        <v>1532067</v>
      </c>
      <c r="W544" s="8">
        <v>0</v>
      </c>
      <c r="Y544" s="8">
        <f>6471019+1380752+576100-88558</f>
        <v>8339313</v>
      </c>
      <c r="AA544" s="14">
        <f t="shared" si="42"/>
        <v>9871380</v>
      </c>
      <c r="AC544" s="8">
        <f t="shared" si="43"/>
        <v>0</v>
      </c>
    </row>
    <row r="545" spans="1:29">
      <c r="A545" s="13" t="s">
        <v>697</v>
      </c>
      <c r="B545" s="13"/>
      <c r="C545" s="13" t="s">
        <v>64</v>
      </c>
      <c r="D545" s="13"/>
      <c r="E545" s="32">
        <v>44990</v>
      </c>
      <c r="G545" s="8">
        <f>51449554+29983464+1117341</f>
        <v>82550359</v>
      </c>
      <c r="I545" s="8">
        <v>0</v>
      </c>
      <c r="K545" s="3">
        <f t="shared" si="40"/>
        <v>51709790</v>
      </c>
      <c r="M545" s="8">
        <v>134260149</v>
      </c>
      <c r="O545" s="3">
        <f t="shared" si="41"/>
        <v>15325141</v>
      </c>
      <c r="Q545" s="8">
        <f>32566218+17275988</f>
        <v>49842206</v>
      </c>
      <c r="S545" s="8">
        <v>65167347</v>
      </c>
      <c r="U545" s="8">
        <f>8964835+106849+118756+323647</f>
        <v>9514087</v>
      </c>
      <c r="W545" s="8">
        <v>0</v>
      </c>
      <c r="Y545" s="8">
        <f>11053890+3685834+1920122+42918869</f>
        <v>59578715</v>
      </c>
      <c r="AA545" s="14">
        <f t="shared" si="42"/>
        <v>69092802</v>
      </c>
      <c r="AC545" s="8">
        <f t="shared" si="43"/>
        <v>0</v>
      </c>
    </row>
    <row r="546" spans="1:29">
      <c r="A546" s="13" t="s">
        <v>725</v>
      </c>
      <c r="B546" s="13"/>
      <c r="C546" s="13" t="s">
        <v>70</v>
      </c>
      <c r="D546" s="13"/>
      <c r="E546" s="32">
        <v>50500</v>
      </c>
      <c r="G546" s="8">
        <v>2552061</v>
      </c>
      <c r="I546" s="8">
        <v>206547</v>
      </c>
      <c r="K546" s="3">
        <f t="shared" si="40"/>
        <v>7224662</v>
      </c>
      <c r="M546" s="8">
        <v>9983270</v>
      </c>
      <c r="O546" s="3">
        <f t="shared" si="41"/>
        <v>2330165</v>
      </c>
      <c r="Q546" s="8">
        <v>6696954</v>
      </c>
      <c r="S546" s="8">
        <v>9027119</v>
      </c>
      <c r="U546" s="8">
        <f>354004+137938+134360+82483+554</f>
        <v>709339</v>
      </c>
      <c r="W546" s="8">
        <v>0</v>
      </c>
      <c r="Y546" s="8">
        <f>-834751+50185+1031378</f>
        <v>246812</v>
      </c>
      <c r="AA546" s="14">
        <f t="shared" si="42"/>
        <v>956151</v>
      </c>
      <c r="AC546" s="8">
        <f t="shared" si="43"/>
        <v>0</v>
      </c>
    </row>
    <row r="547" spans="1:29">
      <c r="A547" s="13" t="s">
        <v>328</v>
      </c>
      <c r="B547" s="13"/>
      <c r="C547" s="13" t="s">
        <v>20</v>
      </c>
      <c r="D547" s="13"/>
      <c r="E547" s="32">
        <v>45005</v>
      </c>
      <c r="G547" s="8">
        <v>5495513</v>
      </c>
      <c r="I547" s="8">
        <v>262025</v>
      </c>
      <c r="K547" s="3">
        <f t="shared" si="40"/>
        <v>28656047</v>
      </c>
      <c r="M547" s="8">
        <v>34413585</v>
      </c>
      <c r="O547" s="3">
        <f t="shared" si="41"/>
        <v>6101000</v>
      </c>
      <c r="Q547" s="8">
        <v>23973556</v>
      </c>
      <c r="S547" s="8">
        <v>30074556</v>
      </c>
      <c r="U547" s="8">
        <f>1904495+3164303+262025</f>
        <v>5330823</v>
      </c>
      <c r="W547" s="8">
        <v>0</v>
      </c>
      <c r="Y547" s="8">
        <f>-1647541-948707+1545363+59091</f>
        <v>-991794</v>
      </c>
      <c r="AA547" s="14">
        <f t="shared" si="42"/>
        <v>4339029</v>
      </c>
      <c r="AC547" s="8">
        <f t="shared" si="43"/>
        <v>0</v>
      </c>
    </row>
    <row r="548" spans="1:29">
      <c r="A548" s="13" t="s">
        <v>355</v>
      </c>
      <c r="B548" s="13"/>
      <c r="C548" s="13" t="s">
        <v>26</v>
      </c>
      <c r="D548" s="13"/>
      <c r="E548" s="32">
        <v>45013</v>
      </c>
      <c r="G548" s="8">
        <f>3842507+21647053+178507+4940000</f>
        <v>30608067</v>
      </c>
      <c r="I548" s="8">
        <f>25531+85972</f>
        <v>111503</v>
      </c>
      <c r="K548" s="3">
        <f t="shared" si="40"/>
        <v>17760498</v>
      </c>
      <c r="M548" s="8">
        <v>48480068</v>
      </c>
      <c r="O548" s="3">
        <f t="shared" si="41"/>
        <v>11073627</v>
      </c>
      <c r="Q548" s="8">
        <v>16886398</v>
      </c>
      <c r="S548" s="8">
        <v>27960025</v>
      </c>
      <c r="U548" s="8">
        <f>29861306+639673+25531</f>
        <v>30526510</v>
      </c>
      <c r="W548" s="8">
        <v>0</v>
      </c>
      <c r="Y548" s="8">
        <f>-1065110+614855+616159-10172371</f>
        <v>-10006467</v>
      </c>
      <c r="AA548" s="14">
        <f t="shared" si="42"/>
        <v>20520043</v>
      </c>
      <c r="AC548" s="8">
        <f t="shared" si="43"/>
        <v>0</v>
      </c>
    </row>
    <row r="549" spans="1:29">
      <c r="A549" s="13" t="s">
        <v>509</v>
      </c>
      <c r="B549" s="13"/>
      <c r="C549" s="13" t="s">
        <v>118</v>
      </c>
      <c r="D549" s="13"/>
      <c r="E549" s="32">
        <v>48231</v>
      </c>
      <c r="G549" s="8">
        <f>43884568+2911</f>
        <v>43887479</v>
      </c>
      <c r="I549" s="8">
        <v>0</v>
      </c>
      <c r="K549" s="3">
        <f t="shared" si="40"/>
        <v>40860785</v>
      </c>
      <c r="M549" s="8">
        <v>84748264</v>
      </c>
      <c r="O549" s="3">
        <f t="shared" si="41"/>
        <v>15789674</v>
      </c>
      <c r="Q549" s="8">
        <f>4409545+33996789</f>
        <v>38406334</v>
      </c>
      <c r="S549" s="8">
        <v>54196008</v>
      </c>
      <c r="U549" s="8">
        <f>3439272+209147+472080+153045</f>
        <v>4273544</v>
      </c>
      <c r="W549" s="8">
        <v>1800000</v>
      </c>
      <c r="Y549" s="8">
        <f>23978252+383843+116617</f>
        <v>24478712</v>
      </c>
      <c r="AA549" s="14">
        <f t="shared" si="42"/>
        <v>30552256</v>
      </c>
      <c r="AC549" s="8">
        <f t="shared" si="43"/>
        <v>0</v>
      </c>
    </row>
    <row r="550" spans="1:29">
      <c r="A550" s="13" t="s">
        <v>638</v>
      </c>
      <c r="B550" s="13"/>
      <c r="C550" s="13" t="s">
        <v>59</v>
      </c>
      <c r="D550" s="13"/>
      <c r="E550" s="32">
        <v>49650</v>
      </c>
      <c r="G550" s="8">
        <v>4826983</v>
      </c>
      <c r="I550" s="8">
        <v>0</v>
      </c>
      <c r="K550" s="3">
        <f t="shared" si="40"/>
        <v>2417376</v>
      </c>
      <c r="M550" s="8">
        <v>7244359</v>
      </c>
      <c r="O550" s="3">
        <f t="shared" si="41"/>
        <v>1776527</v>
      </c>
      <c r="Q550" s="8">
        <v>1840794</v>
      </c>
      <c r="S550" s="8">
        <v>3617321</v>
      </c>
      <c r="U550" s="8">
        <f>386600+93873+85740+37823</f>
        <v>604036</v>
      </c>
      <c r="W550" s="8">
        <v>142203</v>
      </c>
      <c r="Y550" s="8">
        <f>1994808+256284+407727+221980</f>
        <v>2880799</v>
      </c>
      <c r="AA550" s="14">
        <f t="shared" si="42"/>
        <v>3627038</v>
      </c>
      <c r="AC550" s="8">
        <f t="shared" si="43"/>
        <v>0</v>
      </c>
    </row>
    <row r="551" spans="1:29">
      <c r="A551" s="13" t="s">
        <v>603</v>
      </c>
      <c r="B551" s="13"/>
      <c r="C551" s="13" t="s">
        <v>56</v>
      </c>
      <c r="D551" s="13"/>
      <c r="E551" s="32">
        <v>49247</v>
      </c>
      <c r="G551" s="8">
        <f>4814885+5925</f>
        <v>4820810</v>
      </c>
      <c r="I551" s="8">
        <v>0</v>
      </c>
      <c r="K551" s="3">
        <f t="shared" si="40"/>
        <v>4429853</v>
      </c>
      <c r="M551" s="8">
        <v>9250663</v>
      </c>
      <c r="O551" s="3">
        <f t="shared" si="41"/>
        <v>1811354</v>
      </c>
      <c r="Q551" s="8">
        <f>177444+3811326</f>
        <v>3988770</v>
      </c>
      <c r="S551" s="8">
        <v>5800124</v>
      </c>
      <c r="U551" s="8">
        <f>296052+28570+183931+550581+15062</f>
        <v>1074196</v>
      </c>
      <c r="W551" s="8">
        <v>557799</v>
      </c>
      <c r="Y551" s="8">
        <f>166910+620842+1030792</f>
        <v>1818544</v>
      </c>
      <c r="AA551" s="14">
        <f t="shared" si="42"/>
        <v>3450539</v>
      </c>
      <c r="AC551" s="8">
        <f t="shared" si="43"/>
        <v>0</v>
      </c>
    </row>
    <row r="552" spans="1:29" ht="12" customHeight="1">
      <c r="A552" s="13" t="s">
        <v>378</v>
      </c>
      <c r="B552" s="13"/>
      <c r="C552" s="13" t="s">
        <v>28</v>
      </c>
      <c r="D552" s="13"/>
      <c r="E552" s="32">
        <v>45641</v>
      </c>
      <c r="G552" s="8">
        <f>29058947+12557+11088063</f>
        <v>40159567</v>
      </c>
      <c r="I552" s="8">
        <v>0</v>
      </c>
      <c r="K552" s="3">
        <f t="shared" si="40"/>
        <v>16443351</v>
      </c>
      <c r="M552" s="8">
        <v>56602918</v>
      </c>
      <c r="O552" s="3">
        <f t="shared" si="41"/>
        <v>5420421</v>
      </c>
      <c r="Q552" s="8">
        <f>9636431+5966766</f>
        <v>15603197</v>
      </c>
      <c r="S552" s="8">
        <v>21023618</v>
      </c>
      <c r="U552" s="8">
        <f>26212118+54797+57582+398481+18789+2323324</f>
        <v>29065091</v>
      </c>
      <c r="W552" s="8">
        <v>0</v>
      </c>
      <c r="Y552" s="8">
        <f>3144184+458319+2911706</f>
        <v>6514209</v>
      </c>
      <c r="AA552" s="14">
        <f t="shared" si="42"/>
        <v>35579300</v>
      </c>
      <c r="AC552" s="8">
        <f t="shared" si="43"/>
        <v>0</v>
      </c>
    </row>
    <row r="553" spans="1:29" ht="12" customHeight="1">
      <c r="A553" s="13" t="s">
        <v>593</v>
      </c>
      <c r="B553" s="13"/>
      <c r="C553" s="13" t="s">
        <v>55</v>
      </c>
      <c r="D553" s="13"/>
      <c r="E553" s="32">
        <v>49148</v>
      </c>
      <c r="G553" s="8">
        <v>5318300</v>
      </c>
      <c r="I553" s="8">
        <v>0</v>
      </c>
      <c r="K553" s="3">
        <f t="shared" si="40"/>
        <v>5217716</v>
      </c>
      <c r="M553" s="8">
        <v>10536016</v>
      </c>
      <c r="O553" s="3">
        <f t="shared" si="41"/>
        <v>1869637</v>
      </c>
      <c r="Q553" s="8">
        <v>4484385</v>
      </c>
      <c r="S553" s="8">
        <v>6354022</v>
      </c>
      <c r="U553" s="8">
        <f>584538+72254+426978+57076</f>
        <v>1140846</v>
      </c>
      <c r="W553" s="8">
        <v>0</v>
      </c>
      <c r="Y553" s="8">
        <f>1423220+453285+663930+500713</f>
        <v>3041148</v>
      </c>
      <c r="AA553" s="14">
        <f t="shared" si="42"/>
        <v>4181994</v>
      </c>
      <c r="AC553" s="8">
        <f t="shared" si="43"/>
        <v>0</v>
      </c>
    </row>
    <row r="554" spans="1:29" hidden="1">
      <c r="A554" s="13" t="s">
        <v>720</v>
      </c>
      <c r="B554" s="13"/>
      <c r="C554" s="13" t="s">
        <v>69</v>
      </c>
      <c r="D554" s="13"/>
      <c r="E554" s="32">
        <v>50468</v>
      </c>
      <c r="G554" s="8">
        <v>0</v>
      </c>
      <c r="I554" s="8">
        <v>0</v>
      </c>
      <c r="K554" s="3">
        <f t="shared" si="40"/>
        <v>0</v>
      </c>
      <c r="M554" s="8">
        <v>0</v>
      </c>
      <c r="O554" s="3">
        <f t="shared" si="41"/>
        <v>0</v>
      </c>
      <c r="Q554" s="8">
        <v>0</v>
      </c>
      <c r="S554" s="8">
        <v>0</v>
      </c>
      <c r="U554" s="8">
        <v>0</v>
      </c>
      <c r="W554" s="8">
        <v>0</v>
      </c>
      <c r="Y554" s="8">
        <v>0</v>
      </c>
      <c r="AA554" s="14">
        <f t="shared" si="42"/>
        <v>0</v>
      </c>
      <c r="AC554" s="8">
        <f t="shared" si="43"/>
        <v>0</v>
      </c>
    </row>
    <row r="555" spans="1:29" hidden="1">
      <c r="A555" s="13" t="s">
        <v>585</v>
      </c>
      <c r="B555" s="13"/>
      <c r="C555" s="13" t="s">
        <v>583</v>
      </c>
      <c r="D555" s="13"/>
      <c r="E555" s="32">
        <v>49031</v>
      </c>
      <c r="G555" s="8">
        <v>0</v>
      </c>
      <c r="I555" s="8">
        <v>0</v>
      </c>
      <c r="K555" s="3">
        <f t="shared" si="40"/>
        <v>0</v>
      </c>
      <c r="M555" s="8">
        <v>0</v>
      </c>
      <c r="O555" s="3">
        <f t="shared" si="41"/>
        <v>0</v>
      </c>
      <c r="Q555" s="8">
        <v>0</v>
      </c>
      <c r="S555" s="8">
        <v>0</v>
      </c>
      <c r="U555" s="8">
        <v>0</v>
      </c>
      <c r="W555" s="8">
        <v>0</v>
      </c>
      <c r="Y555" s="8">
        <v>0</v>
      </c>
      <c r="AA555" s="14">
        <f t="shared" si="42"/>
        <v>0</v>
      </c>
      <c r="AC555" s="8">
        <f t="shared" si="43"/>
        <v>0</v>
      </c>
    </row>
    <row r="556" spans="1:29" hidden="1">
      <c r="A556" s="13" t="s">
        <v>233</v>
      </c>
      <c r="B556" s="13"/>
      <c r="C556" s="13" t="s">
        <v>14</v>
      </c>
      <c r="D556" s="13"/>
      <c r="E556" s="32">
        <v>45971</v>
      </c>
      <c r="G556" s="8">
        <v>0</v>
      </c>
      <c r="I556" s="8">
        <v>0</v>
      </c>
      <c r="K556" s="3">
        <f t="shared" si="40"/>
        <v>0</v>
      </c>
      <c r="M556" s="8">
        <v>0</v>
      </c>
      <c r="O556" s="3">
        <f t="shared" si="41"/>
        <v>0</v>
      </c>
      <c r="Q556" s="8">
        <v>0</v>
      </c>
      <c r="S556" s="8">
        <v>0</v>
      </c>
      <c r="U556" s="8">
        <v>0</v>
      </c>
      <c r="W556" s="8">
        <v>0</v>
      </c>
      <c r="Y556" s="8">
        <v>0</v>
      </c>
      <c r="AA556" s="14">
        <f t="shared" si="42"/>
        <v>0</v>
      </c>
      <c r="AC556" s="8">
        <f t="shared" si="43"/>
        <v>0</v>
      </c>
    </row>
    <row r="557" spans="1:29">
      <c r="A557" s="13" t="s">
        <v>698</v>
      </c>
      <c r="B557" s="13"/>
      <c r="C557" s="13" t="s">
        <v>64</v>
      </c>
      <c r="D557" s="13"/>
      <c r="E557" s="32">
        <v>50252</v>
      </c>
      <c r="G557" s="8">
        <f>2814344+6315</f>
        <v>2820659</v>
      </c>
      <c r="I557" s="8">
        <v>0</v>
      </c>
      <c r="K557" s="3">
        <f t="shared" si="40"/>
        <v>4070297</v>
      </c>
      <c r="M557" s="8">
        <v>6890956</v>
      </c>
      <c r="O557" s="3">
        <f t="shared" si="41"/>
        <v>1051402</v>
      </c>
      <c r="Q557" s="8">
        <f>312170+3707456</f>
        <v>4019626</v>
      </c>
      <c r="S557" s="8">
        <v>5071028</v>
      </c>
      <c r="U557" s="8">
        <f>106176+6133+34224+4991+395528</f>
        <v>547052</v>
      </c>
      <c r="W557" s="8">
        <v>0</v>
      </c>
      <c r="Y557" s="8">
        <f>1201799+28952+42125</f>
        <v>1272876</v>
      </c>
      <c r="AA557" s="14">
        <f t="shared" si="42"/>
        <v>1819928</v>
      </c>
      <c r="AC557" s="8">
        <f t="shared" si="43"/>
        <v>0</v>
      </c>
    </row>
    <row r="558" spans="1:29">
      <c r="A558" s="13" t="s">
        <v>501</v>
      </c>
      <c r="B558" s="13"/>
      <c r="C558" s="13" t="s">
        <v>44</v>
      </c>
      <c r="D558" s="13"/>
      <c r="E558" s="32">
        <v>45658</v>
      </c>
      <c r="G558" s="8">
        <v>5275047</v>
      </c>
      <c r="I558" s="8">
        <v>0</v>
      </c>
      <c r="K558" s="3">
        <f t="shared" si="40"/>
        <v>4795137</v>
      </c>
      <c r="M558" s="8">
        <v>10070184</v>
      </c>
      <c r="O558" s="3">
        <f t="shared" si="41"/>
        <v>1830319</v>
      </c>
      <c r="Q558" s="8">
        <v>3638865</v>
      </c>
      <c r="S558" s="8">
        <v>5469184</v>
      </c>
      <c r="U558" s="8">
        <f>132567+437212</f>
        <v>569779</v>
      </c>
      <c r="W558" s="8">
        <v>0</v>
      </c>
      <c r="Y558" s="8">
        <f>3267470+195941+31+567779</f>
        <v>4031221</v>
      </c>
      <c r="AA558" s="14">
        <f t="shared" si="42"/>
        <v>4601000</v>
      </c>
      <c r="AC558" s="8">
        <f t="shared" si="43"/>
        <v>0</v>
      </c>
    </row>
    <row r="559" spans="1:29">
      <c r="A559" s="13" t="s">
        <v>454</v>
      </c>
      <c r="B559" s="13"/>
      <c r="C559" s="13" t="s">
        <v>38</v>
      </c>
      <c r="D559" s="13"/>
      <c r="E559" s="32">
        <v>45021</v>
      </c>
      <c r="G559" s="8">
        <v>9527693</v>
      </c>
      <c r="I559" s="8">
        <f>90698+297604</f>
        <v>388302</v>
      </c>
      <c r="K559" s="3">
        <f t="shared" si="40"/>
        <v>4085203</v>
      </c>
      <c r="M559" s="8">
        <v>14001198</v>
      </c>
      <c r="O559" s="3">
        <f t="shared" si="41"/>
        <v>2340723</v>
      </c>
      <c r="Q559" s="8">
        <v>3649613</v>
      </c>
      <c r="S559" s="8">
        <v>5990336</v>
      </c>
      <c r="U559" s="8">
        <f>110258+41059+56688+191387</f>
        <v>399392</v>
      </c>
      <c r="W559" s="8">
        <v>0</v>
      </c>
      <c r="Y559" s="8">
        <f>4957543+1354714+278353+1020860</f>
        <v>7611470</v>
      </c>
      <c r="AA559" s="14">
        <f t="shared" si="42"/>
        <v>8010862</v>
      </c>
      <c r="AC559" s="8">
        <f t="shared" si="43"/>
        <v>0</v>
      </c>
    </row>
    <row r="560" spans="1:29">
      <c r="A560" s="13" t="s">
        <v>290</v>
      </c>
      <c r="B560" s="13"/>
      <c r="C560" s="13" t="s">
        <v>115</v>
      </c>
      <c r="D560" s="13"/>
      <c r="E560" s="32">
        <v>45039</v>
      </c>
      <c r="G560" s="8">
        <v>1984970</v>
      </c>
      <c r="I560" s="8">
        <f>3873469-1984970</f>
        <v>1888499</v>
      </c>
      <c r="K560" s="3">
        <f t="shared" si="40"/>
        <v>0</v>
      </c>
      <c r="M560" s="8">
        <v>3873469</v>
      </c>
      <c r="O560" s="3">
        <f t="shared" si="41"/>
        <v>843388</v>
      </c>
      <c r="Q560" s="8">
        <v>1045977</v>
      </c>
      <c r="S560" s="8">
        <v>1889365</v>
      </c>
      <c r="U560" s="8">
        <f>31130+935+19845+115341+269026+233389+70567</f>
        <v>740233</v>
      </c>
      <c r="W560" s="8">
        <v>0</v>
      </c>
      <c r="Y560" s="8">
        <f>658721+187594+498898-101342</f>
        <v>1243871</v>
      </c>
      <c r="AA560" s="14">
        <f t="shared" si="42"/>
        <v>1984104</v>
      </c>
      <c r="AC560" s="8">
        <f t="shared" si="43"/>
        <v>0</v>
      </c>
    </row>
    <row r="561" spans="1:31">
      <c r="A561" s="13" t="s">
        <v>524</v>
      </c>
      <c r="B561" s="13"/>
      <c r="C561" s="13" t="s">
        <v>45</v>
      </c>
      <c r="D561" s="13"/>
      <c r="E561" s="32">
        <v>48389</v>
      </c>
      <c r="G561" s="8">
        <v>5517894</v>
      </c>
      <c r="I561" s="8">
        <v>0</v>
      </c>
      <c r="K561" s="3">
        <f t="shared" si="40"/>
        <v>5574347</v>
      </c>
      <c r="M561" s="8">
        <v>11092241</v>
      </c>
      <c r="O561" s="3">
        <f t="shared" si="41"/>
        <v>2541052</v>
      </c>
      <c r="Q561" s="8">
        <f>628142+4773901</f>
        <v>5402043</v>
      </c>
      <c r="S561" s="8">
        <v>7943095</v>
      </c>
      <c r="U561" s="8">
        <f>160951+38966+20999+61487</f>
        <v>282403</v>
      </c>
      <c r="W561" s="8">
        <v>0</v>
      </c>
      <c r="Y561" s="8">
        <f>1022693+602859+642447+598744</f>
        <v>2866743</v>
      </c>
      <c r="AA561" s="14">
        <f t="shared" si="42"/>
        <v>3149146</v>
      </c>
      <c r="AC561" s="8">
        <f t="shared" si="43"/>
        <v>0</v>
      </c>
    </row>
    <row r="562" spans="1:31">
      <c r="A562" s="13" t="s">
        <v>276</v>
      </c>
      <c r="B562" s="13"/>
      <c r="C562" s="13" t="s">
        <v>116</v>
      </c>
      <c r="D562" s="13"/>
      <c r="E562" s="32">
        <v>46359</v>
      </c>
      <c r="G562" s="8">
        <v>72087587</v>
      </c>
      <c r="I562" s="8">
        <v>0</v>
      </c>
      <c r="K562" s="3">
        <f t="shared" si="40"/>
        <v>45164564</v>
      </c>
      <c r="M562" s="8">
        <v>117252151</v>
      </c>
      <c r="O562" s="3">
        <f t="shared" si="41"/>
        <v>40394054</v>
      </c>
      <c r="Q562" s="8">
        <v>39852563</v>
      </c>
      <c r="S562" s="8">
        <v>80246617</v>
      </c>
      <c r="U562" s="8">
        <f>4761843+23269+3930100</f>
        <v>8715212</v>
      </c>
      <c r="W562" s="8">
        <v>0</v>
      </c>
      <c r="Y562" s="8">
        <f>-3806310+1346167+3400672+27349793</f>
        <v>28290322</v>
      </c>
      <c r="AA562" s="14">
        <f t="shared" si="42"/>
        <v>37005534</v>
      </c>
      <c r="AC562" s="8">
        <f t="shared" si="43"/>
        <v>0</v>
      </c>
    </row>
    <row r="563" spans="1:31">
      <c r="A563" s="13" t="s">
        <v>387</v>
      </c>
      <c r="B563" s="13"/>
      <c r="C563" s="13" t="s">
        <v>30</v>
      </c>
      <c r="D563" s="13"/>
      <c r="E563" s="32">
        <v>47225</v>
      </c>
      <c r="G563" s="8">
        <v>7401374</v>
      </c>
      <c r="I563" s="8">
        <v>188696</v>
      </c>
      <c r="K563" s="3">
        <f t="shared" si="40"/>
        <v>20073751</v>
      </c>
      <c r="M563" s="8">
        <v>27663821</v>
      </c>
      <c r="O563" s="3">
        <f t="shared" si="41"/>
        <v>20184138</v>
      </c>
      <c r="Q563" s="8">
        <v>164012</v>
      </c>
      <c r="S563" s="8">
        <v>20348150</v>
      </c>
      <c r="U563" s="8">
        <f>732176+2190019+188696</f>
        <v>3110891</v>
      </c>
      <c r="W563" s="8">
        <v>0</v>
      </c>
      <c r="Y563" s="8">
        <f>1979817+290162+1450719+484082</f>
        <v>4204780</v>
      </c>
      <c r="AA563" s="14">
        <f t="shared" si="42"/>
        <v>7315671</v>
      </c>
      <c r="AC563" s="8">
        <f t="shared" si="43"/>
        <v>0</v>
      </c>
    </row>
    <row r="564" spans="1:31">
      <c r="A564" s="13" t="s">
        <v>447</v>
      </c>
      <c r="B564" s="13"/>
      <c r="C564" s="13" t="s">
        <v>36</v>
      </c>
      <c r="D564" s="13"/>
      <c r="E564" s="32">
        <v>47696</v>
      </c>
      <c r="G564" s="8">
        <v>10420427</v>
      </c>
      <c r="I564" s="8">
        <v>0</v>
      </c>
      <c r="K564" s="3">
        <f t="shared" si="40"/>
        <v>8719987</v>
      </c>
      <c r="M564" s="8">
        <v>19140414</v>
      </c>
      <c r="O564" s="3">
        <f t="shared" si="41"/>
        <v>2743347</v>
      </c>
      <c r="Q564" s="8">
        <v>7865229</v>
      </c>
      <c r="S564" s="8">
        <v>10608576</v>
      </c>
      <c r="U564" s="8">
        <f>466192+339917+250000</f>
        <v>1056109</v>
      </c>
      <c r="W564" s="8">
        <v>0</v>
      </c>
      <c r="Y564" s="8">
        <f>5646322+194665+950902+683840</f>
        <v>7475729</v>
      </c>
      <c r="AA564" s="14">
        <f t="shared" si="42"/>
        <v>8531838</v>
      </c>
      <c r="AC564" s="8">
        <f t="shared" si="43"/>
        <v>0</v>
      </c>
    </row>
    <row r="565" spans="1:31">
      <c r="A565" s="13" t="s">
        <v>263</v>
      </c>
      <c r="B565" s="13"/>
      <c r="C565" s="13" t="s">
        <v>259</v>
      </c>
      <c r="D565" s="13"/>
      <c r="E565" s="32">
        <v>46219</v>
      </c>
      <c r="G565" s="8">
        <f>2911103+700000</f>
        <v>3611103</v>
      </c>
      <c r="I565" s="8">
        <v>47429</v>
      </c>
      <c r="K565" s="3">
        <f t="shared" si="40"/>
        <v>3497629</v>
      </c>
      <c r="M565" s="8">
        <v>7156161</v>
      </c>
      <c r="O565" s="3">
        <f t="shared" si="41"/>
        <v>3719639</v>
      </c>
      <c r="Q565" s="8">
        <v>310479</v>
      </c>
      <c r="S565" s="8">
        <v>4030118</v>
      </c>
      <c r="U565" s="8">
        <f>167898+19224+2214+168661+252514+47429</f>
        <v>657940</v>
      </c>
      <c r="W565" s="8">
        <f>305057+175700</f>
        <v>480757</v>
      </c>
      <c r="Y565" s="8">
        <f>1679689+249435+58222</f>
        <v>1987346</v>
      </c>
      <c r="AA565" s="14">
        <f t="shared" si="42"/>
        <v>3126043</v>
      </c>
      <c r="AC565" s="8">
        <f t="shared" si="43"/>
        <v>0</v>
      </c>
    </row>
    <row r="566" spans="1:31">
      <c r="A566" s="13" t="s">
        <v>575</v>
      </c>
      <c r="B566" s="13"/>
      <c r="C566" s="13" t="s">
        <v>51</v>
      </c>
      <c r="D566" s="13"/>
      <c r="E566" s="32">
        <v>48884</v>
      </c>
      <c r="G566" s="8">
        <v>4337463</v>
      </c>
      <c r="I566" s="8">
        <f>50193+7113521</f>
        <v>7163714</v>
      </c>
      <c r="K566" s="3">
        <f t="shared" si="40"/>
        <v>12815065</v>
      </c>
      <c r="M566" s="8">
        <v>24316242</v>
      </c>
      <c r="O566" s="3">
        <f t="shared" si="41"/>
        <v>2101573</v>
      </c>
      <c r="Q566" s="8">
        <v>19217636</v>
      </c>
      <c r="S566" s="8">
        <v>21319209</v>
      </c>
      <c r="U566" s="8">
        <f>571214+50193+6249+222310</f>
        <v>849966</v>
      </c>
      <c r="W566" s="8">
        <v>0</v>
      </c>
      <c r="Y566" s="8">
        <f>-704322+263817+973517+1614055</f>
        <v>2147067</v>
      </c>
      <c r="AA566" s="14">
        <f t="shared" si="42"/>
        <v>2997033</v>
      </c>
      <c r="AC566" s="8">
        <f t="shared" si="43"/>
        <v>0</v>
      </c>
    </row>
    <row r="567" spans="1:31">
      <c r="A567" s="13" t="s">
        <v>244</v>
      </c>
      <c r="B567" s="13"/>
      <c r="C567" s="13" t="s">
        <v>77</v>
      </c>
      <c r="D567" s="13"/>
      <c r="E567" s="32">
        <v>46060</v>
      </c>
      <c r="G567" s="8">
        <f>6125372+5000</f>
        <v>6130372</v>
      </c>
      <c r="I567" s="8">
        <v>658004</v>
      </c>
      <c r="K567" s="3">
        <f t="shared" si="40"/>
        <v>5597548</v>
      </c>
      <c r="M567" s="8">
        <v>12385924</v>
      </c>
      <c r="O567" s="3">
        <f t="shared" si="41"/>
        <v>2878846</v>
      </c>
      <c r="Q567" s="8">
        <v>4373027</v>
      </c>
      <c r="S567" s="8">
        <v>7251873</v>
      </c>
      <c r="U567" s="8">
        <f>371922+1005645+634358+23646</f>
        <v>2035571</v>
      </c>
      <c r="W567" s="8">
        <v>0</v>
      </c>
      <c r="Y567" s="8">
        <f>-853070+1006332+1702309+1242909</f>
        <v>3098480</v>
      </c>
      <c r="AA567" s="14">
        <f t="shared" si="42"/>
        <v>5134051</v>
      </c>
      <c r="AC567" s="8">
        <f t="shared" si="43"/>
        <v>0</v>
      </c>
    </row>
    <row r="568" spans="1:31">
      <c r="A568" s="13" t="s">
        <v>594</v>
      </c>
      <c r="B568" s="13"/>
      <c r="C568" s="13" t="s">
        <v>55</v>
      </c>
      <c r="D568" s="13"/>
      <c r="E568" s="32">
        <v>49155</v>
      </c>
      <c r="G568" s="8">
        <v>6675728</v>
      </c>
      <c r="I568" s="8">
        <v>0</v>
      </c>
      <c r="K568" s="3">
        <f t="shared" si="40"/>
        <v>1743620</v>
      </c>
      <c r="M568" s="8">
        <v>8419348</v>
      </c>
      <c r="O568" s="3">
        <f t="shared" si="41"/>
        <v>951003</v>
      </c>
      <c r="Q568" s="8">
        <v>1463823</v>
      </c>
      <c r="S568" s="8">
        <v>2414826</v>
      </c>
      <c r="U568" s="8">
        <f>141263+67322</f>
        <v>208585</v>
      </c>
      <c r="W568" s="8">
        <v>0</v>
      </c>
      <c r="Y568" s="8">
        <f>4703024+73556+290111+729246</f>
        <v>5795937</v>
      </c>
      <c r="AA568" s="14">
        <f t="shared" si="42"/>
        <v>6004522</v>
      </c>
      <c r="AC568" s="8">
        <f t="shared" si="43"/>
        <v>0</v>
      </c>
    </row>
    <row r="569" spans="1:31">
      <c r="A569" s="13" t="s">
        <v>452</v>
      </c>
      <c r="B569" s="13"/>
      <c r="C569" s="13" t="s">
        <v>37</v>
      </c>
      <c r="D569" s="13"/>
      <c r="E569" s="32">
        <v>47746</v>
      </c>
      <c r="G569" s="8">
        <v>1241420</v>
      </c>
      <c r="I569" s="8">
        <v>182849</v>
      </c>
      <c r="K569" s="3">
        <f t="shared" si="40"/>
        <v>3280304</v>
      </c>
      <c r="M569" s="8">
        <v>4704573</v>
      </c>
      <c r="O569" s="3">
        <f t="shared" si="41"/>
        <v>3488826</v>
      </c>
      <c r="Q569" s="8">
        <v>102650</v>
      </c>
      <c r="S569" s="8">
        <v>3591476</v>
      </c>
      <c r="U569" s="8">
        <f>129123+6491+20848+317963+19552+163297+211100</f>
        <v>868374</v>
      </c>
      <c r="W569" s="8">
        <v>0</v>
      </c>
      <c r="Y569" s="8">
        <f>-46732+51956+239499</f>
        <v>244723</v>
      </c>
      <c r="AA569" s="14">
        <f t="shared" si="42"/>
        <v>1113097</v>
      </c>
      <c r="AC569" s="8">
        <f t="shared" si="43"/>
        <v>0</v>
      </c>
    </row>
    <row r="570" spans="1:31">
      <c r="A570" s="13" t="s">
        <v>452</v>
      </c>
      <c r="B570" s="13"/>
      <c r="C570" s="13" t="s">
        <v>45</v>
      </c>
      <c r="D570" s="13"/>
      <c r="E570" s="13">
        <v>48397</v>
      </c>
      <c r="G570" s="8">
        <v>2183536</v>
      </c>
      <c r="I570" s="8">
        <v>183783</v>
      </c>
      <c r="K570" s="3">
        <f t="shared" si="40"/>
        <v>2988249</v>
      </c>
      <c r="M570" s="8">
        <v>5355568</v>
      </c>
      <c r="O570" s="3">
        <f t="shared" si="41"/>
        <v>1008263</v>
      </c>
      <c r="Q570" s="8">
        <v>2909020</v>
      </c>
      <c r="S570" s="8">
        <v>3917283</v>
      </c>
      <c r="U570" s="8">
        <f>10673+104899+11571+67313</f>
        <v>194456</v>
      </c>
      <c r="W570" s="8">
        <v>0</v>
      </c>
      <c r="Y570" s="8">
        <f>967916+72444+9312+194157</f>
        <v>1243829</v>
      </c>
      <c r="AA570" s="14">
        <f t="shared" si="42"/>
        <v>1438285</v>
      </c>
      <c r="AC570" s="8">
        <f t="shared" si="43"/>
        <v>0</v>
      </c>
    </row>
    <row r="571" spans="1:31">
      <c r="A571" s="13" t="s">
        <v>369</v>
      </c>
      <c r="B571" s="13"/>
      <c r="C571" s="13" t="s">
        <v>27</v>
      </c>
      <c r="D571" s="13"/>
      <c r="E571" s="13">
        <v>45047</v>
      </c>
      <c r="G571" s="8">
        <v>25213128</v>
      </c>
      <c r="I571" s="8">
        <v>570785</v>
      </c>
      <c r="K571" s="3">
        <f t="shared" si="40"/>
        <v>106127262</v>
      </c>
      <c r="M571" s="8">
        <v>131911175</v>
      </c>
      <c r="O571" s="3">
        <f t="shared" si="41"/>
        <v>20321206</v>
      </c>
      <c r="Q571" s="8">
        <v>77274221</v>
      </c>
      <c r="S571" s="8">
        <v>97595427</v>
      </c>
      <c r="U571" s="8">
        <v>0</v>
      </c>
      <c r="W571" s="8">
        <f>27539895+2332554+536933+380186+69333</f>
        <v>30858901</v>
      </c>
      <c r="Y571" s="8">
        <v>3456847</v>
      </c>
      <c r="AA571" s="14">
        <f t="shared" si="42"/>
        <v>34315748</v>
      </c>
      <c r="AC571" s="8">
        <f t="shared" si="43"/>
        <v>0</v>
      </c>
    </row>
    <row r="572" spans="1:31">
      <c r="A572" s="13" t="s">
        <v>591</v>
      </c>
      <c r="B572" s="13"/>
      <c r="C572" s="13" t="s">
        <v>54</v>
      </c>
      <c r="D572" s="13"/>
      <c r="E572" s="32">
        <v>49106</v>
      </c>
      <c r="G572" s="8">
        <v>2309532</v>
      </c>
      <c r="I572" s="8">
        <v>199065</v>
      </c>
      <c r="K572" s="3">
        <f t="shared" si="40"/>
        <v>4912259</v>
      </c>
      <c r="M572" s="8">
        <v>7420856</v>
      </c>
      <c r="O572" s="3">
        <f t="shared" si="41"/>
        <v>2102040</v>
      </c>
      <c r="Q572" s="8">
        <v>4054533</v>
      </c>
      <c r="S572" s="8">
        <v>6156573</v>
      </c>
      <c r="U572" s="8">
        <f>156826+599555+199065</f>
        <v>955446</v>
      </c>
      <c r="W572" s="8">
        <v>0</v>
      </c>
      <c r="Y572" s="8">
        <f>-1203274+332239+376446+803426</f>
        <v>308837</v>
      </c>
      <c r="AA572" s="14">
        <f t="shared" si="42"/>
        <v>1264283</v>
      </c>
      <c r="AC572" s="8">
        <f t="shared" si="43"/>
        <v>0</v>
      </c>
    </row>
    <row r="573" spans="1:31">
      <c r="A573" s="13" t="s">
        <v>329</v>
      </c>
      <c r="B573" s="13"/>
      <c r="C573" s="13" t="s">
        <v>20</v>
      </c>
      <c r="D573" s="13"/>
      <c r="E573" s="32">
        <v>45062</v>
      </c>
      <c r="G573" s="8">
        <v>19231758</v>
      </c>
      <c r="I573" s="8">
        <v>0</v>
      </c>
      <c r="K573" s="3">
        <f t="shared" si="40"/>
        <v>44968354</v>
      </c>
      <c r="M573" s="8">
        <v>64200112</v>
      </c>
      <c r="O573" s="3">
        <f t="shared" si="41"/>
        <v>42354245</v>
      </c>
      <c r="Q573" s="8">
        <v>3087878</v>
      </c>
      <c r="S573" s="8">
        <v>45442123</v>
      </c>
      <c r="U573" s="8">
        <f>2610174+5789460+3372791</f>
        <v>11772425</v>
      </c>
      <c r="W573" s="8">
        <v>0</v>
      </c>
      <c r="Y573" s="8">
        <f>6362075+612587+10902</f>
        <v>6985564</v>
      </c>
      <c r="AA573" s="14">
        <f t="shared" si="42"/>
        <v>18757989</v>
      </c>
      <c r="AC573" s="8">
        <f t="shared" si="43"/>
        <v>0</v>
      </c>
    </row>
    <row r="574" spans="1:31">
      <c r="A574" s="13" t="s">
        <v>639</v>
      </c>
      <c r="B574" s="13"/>
      <c r="C574" s="13" t="s">
        <v>59</v>
      </c>
      <c r="D574" s="13"/>
      <c r="E574" s="32">
        <v>49668</v>
      </c>
      <c r="G574" s="8">
        <f>3772925+27837+4146232</f>
        <v>7946994</v>
      </c>
      <c r="I574" s="8">
        <f>14022+569577+577217</f>
        <v>1160816</v>
      </c>
      <c r="K574" s="3">
        <f>+M574-I574-G574</f>
        <v>5575944</v>
      </c>
      <c r="M574" s="8">
        <v>14683754</v>
      </c>
      <c r="O574" s="3">
        <f>+S574-Q574</f>
        <v>4575305</v>
      </c>
      <c r="Q574" s="8">
        <v>4525800</v>
      </c>
      <c r="S574" s="8">
        <v>9101105</v>
      </c>
      <c r="U574" s="8">
        <f>4067531+123816+14022</f>
        <v>4205369</v>
      </c>
      <c r="W574" s="8">
        <v>163823</v>
      </c>
      <c r="Y574" s="8">
        <f>748188+281298+398045-214074</f>
        <v>1213457</v>
      </c>
      <c r="AA574" s="14">
        <f>+Y574+W574++U574</f>
        <v>5582649</v>
      </c>
      <c r="AC574" s="8">
        <f t="shared" si="43"/>
        <v>0</v>
      </c>
      <c r="AD574" s="10"/>
      <c r="AE574" s="10"/>
    </row>
    <row r="575" spans="1:31">
      <c r="A575" s="13" t="s">
        <v>370</v>
      </c>
      <c r="B575" s="13"/>
      <c r="C575" s="13" t="s">
        <v>27</v>
      </c>
      <c r="D575" s="13"/>
      <c r="E575" s="13">
        <v>45070</v>
      </c>
      <c r="G575" s="8">
        <v>16254797</v>
      </c>
      <c r="I575" s="8">
        <v>158536</v>
      </c>
      <c r="K575" s="3">
        <f t="shared" si="40"/>
        <v>12119365</v>
      </c>
      <c r="M575" s="8">
        <v>28532698</v>
      </c>
      <c r="O575" s="3">
        <f t="shared" si="41"/>
        <v>3223402</v>
      </c>
      <c r="Q575" s="8">
        <v>11311749</v>
      </c>
      <c r="S575" s="8">
        <v>14535151</v>
      </c>
      <c r="U575" s="8">
        <f>106449+68999+174855+158536+339359</f>
        <v>848198</v>
      </c>
      <c r="W575" s="8">
        <v>0</v>
      </c>
      <c r="Y575" s="8">
        <f>12383193+358986+407170</f>
        <v>13149349</v>
      </c>
      <c r="AA575" s="14">
        <f t="shared" si="42"/>
        <v>13997547</v>
      </c>
      <c r="AC575" s="8">
        <f t="shared" si="43"/>
        <v>0</v>
      </c>
    </row>
    <row r="576" spans="1:31" hidden="1">
      <c r="A576" s="13" t="s">
        <v>873</v>
      </c>
      <c r="B576" s="13"/>
      <c r="C576" s="13" t="s">
        <v>41</v>
      </c>
      <c r="D576" s="13"/>
      <c r="E576" s="32">
        <v>45088</v>
      </c>
      <c r="G576" s="8">
        <v>0</v>
      </c>
      <c r="I576" s="8">
        <v>0</v>
      </c>
      <c r="K576" s="3">
        <f t="shared" si="40"/>
        <v>0</v>
      </c>
      <c r="M576" s="8">
        <v>0</v>
      </c>
      <c r="O576" s="3">
        <f t="shared" si="41"/>
        <v>0</v>
      </c>
      <c r="Q576" s="8">
        <v>0</v>
      </c>
      <c r="S576" s="8">
        <v>0</v>
      </c>
      <c r="U576" s="8">
        <v>0</v>
      </c>
      <c r="W576" s="8">
        <v>0</v>
      </c>
      <c r="Y576" s="8">
        <v>0</v>
      </c>
      <c r="AA576" s="14">
        <f t="shared" si="42"/>
        <v>0</v>
      </c>
      <c r="AC576" s="8">
        <f t="shared" si="43"/>
        <v>0</v>
      </c>
    </row>
    <row r="577" spans="1:29">
      <c r="A577" s="13" t="s">
        <v>453</v>
      </c>
      <c r="B577" s="13"/>
      <c r="C577" s="13" t="s">
        <v>37</v>
      </c>
      <c r="D577" s="13"/>
      <c r="E577" s="32">
        <v>45096</v>
      </c>
      <c r="G577" s="8">
        <v>6160496</v>
      </c>
      <c r="I577" s="8">
        <v>0</v>
      </c>
      <c r="K577" s="3">
        <f t="shared" si="40"/>
        <v>5734101</v>
      </c>
      <c r="M577" s="8">
        <v>11894597</v>
      </c>
      <c r="O577" s="3">
        <f t="shared" si="41"/>
        <v>6514506</v>
      </c>
      <c r="Q577" s="8">
        <v>569180</v>
      </c>
      <c r="S577" s="8">
        <v>7083686</v>
      </c>
      <c r="U577" s="8">
        <f>442719+120633+767519+54686+779</f>
        <v>1386336</v>
      </c>
      <c r="W577" s="8">
        <v>0</v>
      </c>
      <c r="Y577" s="8">
        <f>1728649+184457+1393716+117753</f>
        <v>3424575</v>
      </c>
      <c r="AA577" s="14">
        <f t="shared" si="42"/>
        <v>4810911</v>
      </c>
      <c r="AC577" s="8">
        <f t="shared" si="43"/>
        <v>0</v>
      </c>
    </row>
    <row r="578" spans="1:29">
      <c r="A578" s="13" t="s">
        <v>277</v>
      </c>
      <c r="B578" s="13"/>
      <c r="C578" s="13" t="s">
        <v>116</v>
      </c>
      <c r="D578" s="13"/>
      <c r="E578" s="13">
        <v>46367</v>
      </c>
      <c r="G578" s="8">
        <v>4198256</v>
      </c>
      <c r="I578" s="8">
        <v>163698</v>
      </c>
      <c r="K578" s="3">
        <f t="shared" si="40"/>
        <v>3722089</v>
      </c>
      <c r="M578" s="8">
        <v>8084043</v>
      </c>
      <c r="O578" s="3">
        <f t="shared" si="41"/>
        <v>1044838</v>
      </c>
      <c r="Q578" s="8">
        <v>3352720</v>
      </c>
      <c r="S578" s="8">
        <v>4397558</v>
      </c>
      <c r="U578" s="8">
        <f>117128+272100+152932+10766</f>
        <v>552926</v>
      </c>
      <c r="W578" s="8">
        <v>0</v>
      </c>
      <c r="Y578" s="8">
        <f>2400504+123650+609405</f>
        <v>3133559</v>
      </c>
      <c r="AA578" s="14">
        <f t="shared" si="42"/>
        <v>3686485</v>
      </c>
      <c r="AC578" s="8">
        <f t="shared" si="43"/>
        <v>0</v>
      </c>
    </row>
    <row r="579" spans="1:29">
      <c r="A579" s="13" t="s">
        <v>469</v>
      </c>
      <c r="B579" s="13"/>
      <c r="C579" s="13" t="s">
        <v>41</v>
      </c>
      <c r="D579" s="13"/>
      <c r="E579" s="32">
        <v>45104</v>
      </c>
      <c r="G579" s="8">
        <v>24426904</v>
      </c>
      <c r="I579" s="8">
        <v>1561414</v>
      </c>
      <c r="K579" s="3">
        <f t="shared" si="40"/>
        <v>58021932</v>
      </c>
      <c r="M579" s="8">
        <v>84010250</v>
      </c>
      <c r="O579" s="3">
        <f t="shared" si="41"/>
        <v>12356107</v>
      </c>
      <c r="Q579" s="8">
        <v>53051895</v>
      </c>
      <c r="S579" s="8">
        <v>65408002</v>
      </c>
      <c r="U579" s="8">
        <f>1513507+3964779+1561414</f>
        <v>7039700</v>
      </c>
      <c r="W579" s="8">
        <v>0</v>
      </c>
      <c r="Y579" s="8">
        <f>8053960+1425514+534727+1548347</f>
        <v>11562548</v>
      </c>
      <c r="AA579" s="14">
        <f t="shared" si="42"/>
        <v>18602248</v>
      </c>
      <c r="AC579" s="8">
        <f t="shared" si="43"/>
        <v>0</v>
      </c>
    </row>
    <row r="580" spans="1:29">
      <c r="A580" s="13" t="s">
        <v>281</v>
      </c>
      <c r="B580" s="13"/>
      <c r="C580" s="13" t="s">
        <v>18</v>
      </c>
      <c r="D580" s="13"/>
      <c r="E580" s="32">
        <v>45112</v>
      </c>
      <c r="G580" s="8">
        <v>9288620</v>
      </c>
      <c r="I580" s="8">
        <v>57982</v>
      </c>
      <c r="K580" s="3">
        <f t="shared" si="40"/>
        <v>21558658</v>
      </c>
      <c r="M580" s="8">
        <v>30905260</v>
      </c>
      <c r="O580" s="3">
        <f t="shared" si="41"/>
        <v>3402740</v>
      </c>
      <c r="Q580" s="8">
        <v>18005753</v>
      </c>
      <c r="S580" s="8">
        <v>21408493</v>
      </c>
      <c r="U580" s="8">
        <f>471217+7223+1078738+57982+597501</f>
        <v>2212661</v>
      </c>
      <c r="W580" s="8">
        <v>0</v>
      </c>
      <c r="Y580" s="8">
        <f>3446365+611240+2129993+1096508</f>
        <v>7284106</v>
      </c>
      <c r="AA580" s="14">
        <f t="shared" si="42"/>
        <v>9496767</v>
      </c>
      <c r="AC580" s="8">
        <f t="shared" si="43"/>
        <v>0</v>
      </c>
    </row>
    <row r="581" spans="1:29">
      <c r="A581" s="13" t="s">
        <v>604</v>
      </c>
      <c r="B581" s="13"/>
      <c r="C581" s="13" t="s">
        <v>56</v>
      </c>
      <c r="D581" s="13"/>
      <c r="E581" s="32">
        <v>45666</v>
      </c>
      <c r="G581" s="8">
        <f>800768+160918</f>
        <v>961686</v>
      </c>
      <c r="I581" s="8">
        <v>19867</v>
      </c>
      <c r="K581" s="3">
        <f t="shared" si="40"/>
        <v>1865355</v>
      </c>
      <c r="M581" s="8">
        <v>2846908</v>
      </c>
      <c r="O581" s="3">
        <f t="shared" si="41"/>
        <v>2585354</v>
      </c>
      <c r="Q581" s="8">
        <v>228958</v>
      </c>
      <c r="S581" s="8">
        <v>2814312</v>
      </c>
      <c r="U581" s="8">
        <f>86938+19867+17073+64513+51416</f>
        <v>239807</v>
      </c>
      <c r="W581" s="8">
        <v>0</v>
      </c>
      <c r="Y581" s="8">
        <f>-492259+194706+90342</f>
        <v>-207211</v>
      </c>
      <c r="AA581" s="14">
        <f t="shared" si="42"/>
        <v>32596</v>
      </c>
      <c r="AC581" s="8">
        <f t="shared" si="43"/>
        <v>0</v>
      </c>
    </row>
    <row r="582" spans="1:29">
      <c r="A582" s="13" t="s">
        <v>416</v>
      </c>
      <c r="B582" s="13"/>
      <c r="C582" s="13" t="s">
        <v>32</v>
      </c>
      <c r="D582" s="13"/>
      <c r="E582" s="32">
        <v>44081</v>
      </c>
      <c r="G582" s="8">
        <v>5158364</v>
      </c>
      <c r="I582" s="8">
        <v>65369</v>
      </c>
      <c r="K582" s="3">
        <f t="shared" si="40"/>
        <v>22107084</v>
      </c>
      <c r="M582" s="8">
        <v>27330817</v>
      </c>
      <c r="O582" s="3">
        <f t="shared" si="41"/>
        <v>5549565</v>
      </c>
      <c r="Q582" s="8">
        <v>14115165</v>
      </c>
      <c r="S582" s="8">
        <v>19664730</v>
      </c>
      <c r="U582" s="8">
        <f>350335+7594000</f>
        <v>7944335</v>
      </c>
      <c r="W582" s="8">
        <v>0</v>
      </c>
      <c r="Y582" s="8">
        <f>-1318812+547750+492814</f>
        <v>-278248</v>
      </c>
      <c r="AA582" s="14">
        <f t="shared" si="42"/>
        <v>7666087</v>
      </c>
      <c r="AC582" s="8">
        <f t="shared" si="43"/>
        <v>0</v>
      </c>
    </row>
    <row r="583" spans="1:29">
      <c r="A583" s="13" t="s">
        <v>726</v>
      </c>
      <c r="B583" s="13"/>
      <c r="C583" s="13" t="s">
        <v>70</v>
      </c>
      <c r="D583" s="13"/>
      <c r="E583" s="32">
        <v>50518</v>
      </c>
      <c r="G583" s="8">
        <f>5017793+1078</f>
        <v>5018871</v>
      </c>
      <c r="I583" s="8">
        <v>99860</v>
      </c>
      <c r="K583" s="3">
        <f t="shared" si="40"/>
        <v>5027271</v>
      </c>
      <c r="M583" s="8">
        <v>10146002</v>
      </c>
      <c r="O583" s="3">
        <f t="shared" si="41"/>
        <v>611675</v>
      </c>
      <c r="Q583" s="8">
        <v>4941183</v>
      </c>
      <c r="S583" s="8">
        <v>5552858</v>
      </c>
      <c r="U583" s="8">
        <f>157763+400+20835+17995+84046</f>
        <v>281039</v>
      </c>
      <c r="W583" s="8">
        <v>0</v>
      </c>
      <c r="Y583" s="8">
        <f>3209437+197543+324209+580916</f>
        <v>4312105</v>
      </c>
      <c r="AA583" s="14">
        <f t="shared" si="42"/>
        <v>4593144</v>
      </c>
      <c r="AC583" s="8">
        <f t="shared" si="43"/>
        <v>0</v>
      </c>
    </row>
    <row r="584" spans="1:29">
      <c r="A584" s="13" t="s">
        <v>630</v>
      </c>
      <c r="B584" s="13"/>
      <c r="C584" s="13" t="s">
        <v>79</v>
      </c>
      <c r="D584" s="13"/>
      <c r="E584" s="32">
        <v>49577</v>
      </c>
      <c r="G584" s="8">
        <v>1465821</v>
      </c>
      <c r="I584" s="8">
        <v>0</v>
      </c>
      <c r="K584" s="3">
        <f t="shared" si="40"/>
        <v>4479585</v>
      </c>
      <c r="M584" s="8">
        <v>5945406</v>
      </c>
      <c r="O584" s="3">
        <f t="shared" si="41"/>
        <v>4645119</v>
      </c>
      <c r="Q584" s="8">
        <v>454892</v>
      </c>
      <c r="S584" s="8">
        <v>5100011</v>
      </c>
      <c r="U584" s="8">
        <f>200802+24326+14491+283641+2957+332653</f>
        <v>858870</v>
      </c>
      <c r="W584" s="8">
        <v>0</v>
      </c>
      <c r="Y584" s="8">
        <f>57592+169927-240994</f>
        <v>-13475</v>
      </c>
      <c r="AA584" s="14">
        <f t="shared" si="42"/>
        <v>845395</v>
      </c>
      <c r="AC584" s="8">
        <f t="shared" si="43"/>
        <v>0</v>
      </c>
    </row>
    <row r="585" spans="1:29">
      <c r="A585" s="13" t="s">
        <v>679</v>
      </c>
      <c r="B585" s="13"/>
      <c r="C585" s="13" t="s">
        <v>63</v>
      </c>
      <c r="D585" s="13"/>
      <c r="E585" s="32">
        <v>49973</v>
      </c>
      <c r="G585" s="8">
        <v>11064213</v>
      </c>
      <c r="I585" s="8">
        <v>154344</v>
      </c>
      <c r="K585" s="3">
        <f t="shared" si="40"/>
        <v>17191978</v>
      </c>
      <c r="M585" s="8">
        <v>28410535</v>
      </c>
      <c r="O585" s="3">
        <f t="shared" si="41"/>
        <v>2623484</v>
      </c>
      <c r="Q585" s="8">
        <v>15575156</v>
      </c>
      <c r="S585" s="8">
        <v>18198640</v>
      </c>
      <c r="U585" s="8">
        <f>458535+154344</f>
        <v>612879</v>
      </c>
      <c r="W585" s="8">
        <v>0</v>
      </c>
      <c r="Y585" s="8">
        <f>8739981+81625+577300+200110</f>
        <v>9599016</v>
      </c>
      <c r="AA585" s="14">
        <f t="shared" si="42"/>
        <v>10211895</v>
      </c>
      <c r="AC585" s="8">
        <f t="shared" si="43"/>
        <v>0</v>
      </c>
    </row>
    <row r="586" spans="1:29">
      <c r="A586" s="13" t="s">
        <v>874</v>
      </c>
      <c r="B586" s="13"/>
      <c r="C586" s="13" t="s">
        <v>71</v>
      </c>
      <c r="D586" s="13"/>
      <c r="E586" s="32">
        <v>45138</v>
      </c>
      <c r="G586" s="8">
        <v>19245166</v>
      </c>
      <c r="I586" s="8">
        <v>0</v>
      </c>
      <c r="K586" s="3">
        <f t="shared" si="40"/>
        <v>31047308</v>
      </c>
      <c r="M586" s="8">
        <v>50292474</v>
      </c>
      <c r="O586" s="3">
        <f t="shared" si="41"/>
        <v>4613863</v>
      </c>
      <c r="Q586" s="8">
        <v>27437688</v>
      </c>
      <c r="S586" s="8">
        <v>32051551</v>
      </c>
      <c r="U586" s="8">
        <f>1312413+2699999</f>
        <v>4012412</v>
      </c>
      <c r="W586" s="8">
        <v>0</v>
      </c>
      <c r="Y586" s="8">
        <f>10921386+89702+2584919+632504</f>
        <v>14228511</v>
      </c>
      <c r="AA586" s="14">
        <f t="shared" si="42"/>
        <v>18240923</v>
      </c>
      <c r="AC586" s="8">
        <f t="shared" si="43"/>
        <v>0</v>
      </c>
    </row>
    <row r="587" spans="1:29">
      <c r="A587" s="13" t="s">
        <v>371</v>
      </c>
      <c r="B587" s="13"/>
      <c r="C587" s="13" t="s">
        <v>27</v>
      </c>
      <c r="D587" s="13"/>
      <c r="E587" s="32">
        <v>46524</v>
      </c>
      <c r="G587" s="8">
        <v>59500236</v>
      </c>
      <c r="I587" s="8">
        <v>0</v>
      </c>
      <c r="K587" s="3">
        <f t="shared" si="40"/>
        <v>76297617</v>
      </c>
      <c r="M587" s="8">
        <v>135797853</v>
      </c>
      <c r="O587" s="3">
        <f t="shared" si="41"/>
        <v>19055122</v>
      </c>
      <c r="Q587" s="8">
        <v>53173684</v>
      </c>
      <c r="S587" s="8">
        <v>72228806</v>
      </c>
      <c r="U587" s="8">
        <f>5443556+217057+27310974</f>
        <v>32971587</v>
      </c>
      <c r="W587" s="8">
        <v>0</v>
      </c>
      <c r="Y587" s="8">
        <f>19473743+3159797+767937+7195983</f>
        <v>30597460</v>
      </c>
      <c r="AA587" s="14">
        <f t="shared" si="42"/>
        <v>63569047</v>
      </c>
      <c r="AC587" s="8">
        <f t="shared" si="43"/>
        <v>0</v>
      </c>
    </row>
    <row r="588" spans="1:29">
      <c r="A588" s="13"/>
      <c r="B588" s="13"/>
      <c r="C588" s="13"/>
      <c r="D588" s="13"/>
      <c r="E588" s="32"/>
      <c r="K588" s="3"/>
      <c r="O588" s="3"/>
      <c r="AA588" s="14"/>
    </row>
    <row r="589" spans="1:29">
      <c r="A589" s="13"/>
      <c r="B589" s="13"/>
      <c r="C589" s="13"/>
      <c r="D589" s="13"/>
      <c r="E589" s="32"/>
      <c r="K589" s="3"/>
      <c r="O589" s="3"/>
      <c r="AA589" s="90" t="s">
        <v>819</v>
      </c>
    </row>
    <row r="590" spans="1:29" s="35" customFormat="1">
      <c r="A590" s="34" t="s">
        <v>299</v>
      </c>
      <c r="B590" s="34"/>
      <c r="C590" s="34" t="s">
        <v>114</v>
      </c>
      <c r="D590" s="34"/>
      <c r="E590" s="34">
        <v>45146</v>
      </c>
      <c r="G590" s="35">
        <f>2493679+47157</f>
        <v>2540836</v>
      </c>
      <c r="I590" s="35">
        <v>29912</v>
      </c>
      <c r="K590" s="42">
        <f t="shared" si="40"/>
        <v>3849054</v>
      </c>
      <c r="M590" s="35">
        <v>6419802</v>
      </c>
      <c r="O590" s="42">
        <f t="shared" si="41"/>
        <v>3398080</v>
      </c>
      <c r="Q590" s="35">
        <v>217319</v>
      </c>
      <c r="S590" s="35">
        <v>3615399</v>
      </c>
      <c r="U590" s="35">
        <f>136094+114335+8227+11194+1283402+29912</f>
        <v>1583164</v>
      </c>
      <c r="W590" s="35">
        <v>0</v>
      </c>
      <c r="Y590" s="35">
        <f>877733+427903-84397</f>
        <v>1221239</v>
      </c>
      <c r="AA590" s="71">
        <f t="shared" si="42"/>
        <v>2804403</v>
      </c>
      <c r="AC590" s="35">
        <f t="shared" si="43"/>
        <v>0</v>
      </c>
    </row>
    <row r="591" spans="1:29">
      <c r="A591" s="13" t="s">
        <v>417</v>
      </c>
      <c r="B591" s="13"/>
      <c r="C591" s="13" t="s">
        <v>32</v>
      </c>
      <c r="D591" s="13"/>
      <c r="E591" s="32">
        <v>45153</v>
      </c>
      <c r="G591" s="8">
        <v>10496169</v>
      </c>
      <c r="I591" s="8">
        <v>0</v>
      </c>
      <c r="K591" s="3">
        <f t="shared" si="40"/>
        <v>13552138</v>
      </c>
      <c r="M591" s="8">
        <v>24048307</v>
      </c>
      <c r="O591" s="3">
        <f t="shared" si="41"/>
        <v>3121390</v>
      </c>
      <c r="Q591" s="8">
        <v>6604611</v>
      </c>
      <c r="S591" s="8">
        <v>9726001</v>
      </c>
      <c r="U591" s="8">
        <f>279776+4982+3924000</f>
        <v>4208758</v>
      </c>
      <c r="W591" s="8">
        <v>0</v>
      </c>
      <c r="Y591" s="8">
        <f>7892148+236131+1228097+757172</f>
        <v>10113548</v>
      </c>
      <c r="AA591" s="14">
        <f t="shared" si="42"/>
        <v>14322306</v>
      </c>
      <c r="AC591" s="8">
        <f t="shared" si="43"/>
        <v>0</v>
      </c>
    </row>
    <row r="592" spans="1:29">
      <c r="A592" s="13" t="s">
        <v>392</v>
      </c>
      <c r="B592" s="13"/>
      <c r="C592" s="13" t="s">
        <v>117</v>
      </c>
      <c r="D592" s="13"/>
      <c r="E592" s="32">
        <v>45674</v>
      </c>
      <c r="G592" s="8">
        <v>3705910</v>
      </c>
      <c r="I592" s="8">
        <v>0</v>
      </c>
      <c r="K592" s="3">
        <f t="shared" si="40"/>
        <v>4313090</v>
      </c>
      <c r="M592" s="8">
        <v>8019000</v>
      </c>
      <c r="O592" s="3">
        <f t="shared" si="41"/>
        <v>958844</v>
      </c>
      <c r="Q592" s="8">
        <v>3480929</v>
      </c>
      <c r="S592" s="8">
        <v>4439773</v>
      </c>
      <c r="U592" s="8">
        <f>111531+1934+132901</f>
        <v>246366</v>
      </c>
      <c r="W592" s="8">
        <v>0</v>
      </c>
      <c r="Y592" s="8">
        <f>3007161+119794+154649+51257</f>
        <v>3332861</v>
      </c>
      <c r="AA592" s="14">
        <f t="shared" si="42"/>
        <v>3579227</v>
      </c>
      <c r="AC592" s="8">
        <f t="shared" si="43"/>
        <v>0</v>
      </c>
    </row>
    <row r="593" spans="1:29">
      <c r="A593" s="13" t="s">
        <v>525</v>
      </c>
      <c r="B593" s="13"/>
      <c r="C593" s="13" t="s">
        <v>45</v>
      </c>
      <c r="D593" s="13"/>
      <c r="E593" s="32">
        <v>45161</v>
      </c>
      <c r="G593" s="8">
        <f>61098117+789158</f>
        <v>61887275</v>
      </c>
      <c r="I593" s="8">
        <v>565773</v>
      </c>
      <c r="K593" s="3">
        <f t="shared" si="40"/>
        <v>33751365</v>
      </c>
      <c r="M593" s="8">
        <v>96204413</v>
      </c>
      <c r="O593" s="3">
        <f t="shared" si="41"/>
        <v>32693158</v>
      </c>
      <c r="Q593" s="8">
        <v>32139094</v>
      </c>
      <c r="S593" s="8">
        <v>64832252</v>
      </c>
      <c r="U593" s="8">
        <f>21903540+468439+97334</f>
        <v>22469313</v>
      </c>
      <c r="W593" s="8">
        <v>0</v>
      </c>
      <c r="Y593" s="8">
        <f>-24350241+5875257+5681881+21695951</f>
        <v>8902848</v>
      </c>
      <c r="AA593" s="14">
        <f t="shared" si="42"/>
        <v>31372161</v>
      </c>
      <c r="AC593" s="8">
        <f t="shared" si="43"/>
        <v>0</v>
      </c>
    </row>
    <row r="594" spans="1:29">
      <c r="A594" s="13" t="s">
        <v>626</v>
      </c>
      <c r="B594" s="13"/>
      <c r="C594" s="13" t="s">
        <v>58</v>
      </c>
      <c r="D594" s="13"/>
      <c r="E594" s="32">
        <v>49544</v>
      </c>
      <c r="G594" s="8">
        <v>7653513</v>
      </c>
      <c r="I594" s="8">
        <v>576965</v>
      </c>
      <c r="K594" s="3">
        <f t="shared" si="40"/>
        <v>4315520</v>
      </c>
      <c r="M594" s="8">
        <v>12545998</v>
      </c>
      <c r="O594" s="3">
        <f t="shared" si="41"/>
        <v>1549461</v>
      </c>
      <c r="Q594" s="8">
        <v>3805052</v>
      </c>
      <c r="S594" s="8">
        <v>5354513</v>
      </c>
      <c r="U594" s="8">
        <f>204840+39613+342104+175458+184370+217137</f>
        <v>1163522</v>
      </c>
      <c r="W594" s="8">
        <v>0</v>
      </c>
      <c r="Y594" s="8">
        <f>4303523+610771+316313+797356</f>
        <v>6027963</v>
      </c>
      <c r="AA594" s="14">
        <f t="shared" si="42"/>
        <v>7191485</v>
      </c>
      <c r="AC594" s="8">
        <f t="shared" si="43"/>
        <v>0</v>
      </c>
    </row>
    <row r="595" spans="1:29">
      <c r="A595" s="13" t="s">
        <v>576</v>
      </c>
      <c r="B595" s="13"/>
      <c r="C595" s="13" t="s">
        <v>51</v>
      </c>
      <c r="D595" s="13"/>
      <c r="E595" s="32">
        <v>45179</v>
      </c>
      <c r="G595" s="8">
        <v>11893459</v>
      </c>
      <c r="I595" s="8">
        <v>27007</v>
      </c>
      <c r="K595" s="3">
        <f t="shared" si="40"/>
        <v>69358042</v>
      </c>
      <c r="M595" s="8">
        <v>81278508</v>
      </c>
      <c r="O595" s="3">
        <f t="shared" si="41"/>
        <v>5024752</v>
      </c>
      <c r="Q595" s="8">
        <v>67548379</v>
      </c>
      <c r="S595" s="8">
        <v>72573131</v>
      </c>
      <c r="U595" s="8">
        <f>603508+8275+27503+470569</f>
        <v>1109855</v>
      </c>
      <c r="W595" s="8">
        <v>0</v>
      </c>
      <c r="Y595" s="8">
        <f>-2316114+897686+1765685+7248265</f>
        <v>7595522</v>
      </c>
      <c r="AA595" s="14">
        <f t="shared" si="42"/>
        <v>8705377</v>
      </c>
      <c r="AC595" s="8">
        <f t="shared" si="43"/>
        <v>0</v>
      </c>
    </row>
    <row r="596" spans="1:29">
      <c r="A596" s="13"/>
      <c r="B596" s="13"/>
      <c r="C596" s="13"/>
      <c r="D596" s="13"/>
    </row>
  </sheetData>
  <pageMargins left="0.7" right="0.7" top="0.75" bottom="0.75" header="0.3" footer="0.3"/>
  <pageSetup scale="65" firstPageNumber="130" pageOrder="overThenDown" orientation="portrait" useFirstPageNumber="1" verticalDpi="1200" r:id="rId1"/>
  <headerFooter>
    <oddFooter>&amp;C&amp;"Times New Roman,Regular"&amp;12&amp;P</oddFooter>
  </headerFooter>
  <colBreaks count="1" manualBreakCount="1">
    <brk id="19" max="592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BE621"/>
  <sheetViews>
    <sheetView view="pageBreakPreview" zoomScale="140" zoomScaleNormal="160" zoomScaleSheetLayoutView="140" workbookViewId="0">
      <pane xSplit="6" ySplit="9" topLeftCell="Y511" activePane="bottomRight" state="frozen"/>
      <selection sqref="A1:IV65536"/>
      <selection pane="topRight" sqref="A1:IV65536"/>
      <selection pane="bottomLeft" sqref="A1:IV65536"/>
      <selection pane="bottomRight" activeCell="AU518" sqref="AU518"/>
    </sheetView>
  </sheetViews>
  <sheetFormatPr defaultColWidth="9.109375" defaultRowHeight="12"/>
  <cols>
    <col min="1" max="1" width="28.44140625" style="8" customWidth="1"/>
    <col min="2" max="2" width="1.6640625" style="8" customWidth="1"/>
    <col min="3" max="3" width="11.6640625" style="8" customWidth="1"/>
    <col min="4" max="4" width="1.6640625" style="8" hidden="1" customWidth="1"/>
    <col min="5" max="5" width="11.6640625" style="30" hidden="1" customWidth="1"/>
    <col min="6" max="6" width="1.6640625" style="8" customWidth="1"/>
    <col min="7" max="7" width="11.6640625" style="9" customWidth="1"/>
    <col min="8" max="8" width="1.6640625" style="9" customWidth="1"/>
    <col min="9" max="9" width="11.6640625" style="9" customWidth="1"/>
    <col min="10" max="10" width="1.6640625" style="9" customWidth="1"/>
    <col min="11" max="11" width="11.6640625" style="9" customWidth="1"/>
    <col min="12" max="12" width="1.6640625" style="9" customWidth="1"/>
    <col min="13" max="13" width="13.44140625" style="9" customWidth="1"/>
    <col min="14" max="14" width="1.6640625" style="9" customWidth="1"/>
    <col min="15" max="15" width="11.6640625" style="9" customWidth="1"/>
    <col min="16" max="16" width="1.6640625" style="9" customWidth="1"/>
    <col min="17" max="17" width="11.6640625" style="9" customWidth="1"/>
    <col min="18" max="18" width="1.6640625" style="9" customWidth="1"/>
    <col min="19" max="19" width="11.6640625" style="9" customWidth="1"/>
    <col min="20" max="20" width="1.6640625" style="9" customWidth="1"/>
    <col min="21" max="21" width="11.6640625" style="9" customWidth="1"/>
    <col min="22" max="22" width="1.6640625" style="9" customWidth="1"/>
    <col min="23" max="23" width="11.6640625" style="9" customWidth="1"/>
    <col min="24" max="24" width="1.6640625" style="9" customWidth="1"/>
    <col min="25" max="25" width="11.6640625" style="9" customWidth="1"/>
    <col min="26" max="26" width="1.6640625" style="9" customWidth="1"/>
    <col min="27" max="27" width="11.6640625" style="9" customWidth="1"/>
    <col min="28" max="28" width="1.6640625" style="9" customWidth="1"/>
    <col min="29" max="29" width="11.6640625" style="9" hidden="1" customWidth="1"/>
    <col min="30" max="30" width="1.6640625" style="9" hidden="1" customWidth="1"/>
    <col min="31" max="31" width="11.6640625" style="9" customWidth="1"/>
    <col min="32" max="32" width="1.6640625" style="9" customWidth="1"/>
    <col min="33" max="33" width="11.6640625" style="9" hidden="1" customWidth="1"/>
    <col min="34" max="34" width="1.6640625" style="9" hidden="1" customWidth="1"/>
    <col min="35" max="35" width="11.6640625" style="9" hidden="1" customWidth="1"/>
    <col min="36" max="36" width="1.6640625" style="9" hidden="1" customWidth="1"/>
    <col min="37" max="37" width="11.6640625" style="9" customWidth="1"/>
    <col min="38" max="38" width="1.6640625" style="9" hidden="1" customWidth="1"/>
    <col min="39" max="39" width="11.6640625" style="9" hidden="1" customWidth="1"/>
    <col min="40" max="40" width="1.6640625" style="9" hidden="1" customWidth="1"/>
    <col min="41" max="41" width="11.6640625" style="9" hidden="1" customWidth="1"/>
    <col min="42" max="42" width="1.6640625" style="9" hidden="1" customWidth="1"/>
    <col min="43" max="43" width="11.6640625" style="9" hidden="1" customWidth="1"/>
    <col min="44" max="44" width="1.6640625" style="9" hidden="1" customWidth="1"/>
    <col min="45" max="45" width="9.109375" style="9" hidden="1" customWidth="1"/>
    <col min="46" max="46" width="1.77734375" style="9" customWidth="1"/>
    <col min="47" max="47" width="13.5546875" style="9" customWidth="1"/>
    <col min="48" max="50" width="9.109375" style="8"/>
    <col min="51" max="51" width="9.33203125" style="8" bestFit="1" customWidth="1"/>
    <col min="52" max="172" width="9.109375" style="8"/>
    <col min="173" max="173" width="1" style="8" customWidth="1"/>
    <col min="174" max="183" width="9.109375" style="8"/>
    <col min="184" max="184" width="5.88671875" style="8" customWidth="1"/>
    <col min="185" max="193" width="9.109375" style="8"/>
    <col min="194" max="194" width="5.88671875" style="8" customWidth="1"/>
    <col min="195" max="204" width="9.109375" style="8"/>
    <col min="205" max="205" width="0.44140625" style="8" customWidth="1"/>
    <col min="206" max="214" width="9.109375" style="8"/>
    <col min="215" max="215" width="3.33203125" style="8" customWidth="1"/>
    <col min="216" max="224" width="9.109375" style="8"/>
    <col min="225" max="225" width="8" style="8" customWidth="1"/>
    <col min="226" max="230" width="9.109375" style="8"/>
    <col min="231" max="234" width="6.44140625" style="8" customWidth="1"/>
    <col min="235" max="16384" width="9.109375" style="8"/>
  </cols>
  <sheetData>
    <row r="1" spans="1:47" s="15" customFormat="1" ht="11.4">
      <c r="A1" s="27" t="s">
        <v>205</v>
      </c>
      <c r="B1" s="27"/>
      <c r="C1" s="27"/>
      <c r="D1" s="27"/>
      <c r="E1" s="57"/>
      <c r="F1" s="23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</row>
    <row r="2" spans="1:47" s="15" customFormat="1" ht="11.4">
      <c r="A2" s="27" t="s">
        <v>912</v>
      </c>
      <c r="B2" s="27"/>
      <c r="C2" s="27"/>
      <c r="D2" s="27"/>
      <c r="E2" s="57"/>
      <c r="F2" s="23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1:47" s="15" customFormat="1" ht="11.4">
      <c r="A3" s="27"/>
      <c r="B3" s="27"/>
      <c r="C3" s="27"/>
      <c r="D3" s="27"/>
      <c r="E3" s="57"/>
      <c r="F3" s="23"/>
      <c r="G3" s="17"/>
      <c r="H3" s="17"/>
      <c r="I3" s="17"/>
      <c r="J3" s="17"/>
      <c r="K3" s="17"/>
      <c r="L3" s="17"/>
      <c r="M3" s="40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1:47">
      <c r="A4" s="27" t="s">
        <v>177</v>
      </c>
      <c r="B4" s="27"/>
      <c r="C4" s="27"/>
      <c r="D4" s="27"/>
      <c r="E4" s="57"/>
      <c r="F4" s="24"/>
      <c r="G4" s="3"/>
      <c r="H4" s="3"/>
      <c r="I4" s="3"/>
      <c r="J4" s="3"/>
      <c r="K4" s="3"/>
      <c r="L4" s="3"/>
      <c r="M4" s="41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U4" s="16" t="s">
        <v>3</v>
      </c>
    </row>
    <row r="5" spans="1:47">
      <c r="A5" s="15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16" t="s">
        <v>821</v>
      </c>
    </row>
    <row r="6" spans="1:47" s="16" customFormat="1">
      <c r="A6" s="15" t="s">
        <v>819</v>
      </c>
      <c r="B6" s="5"/>
      <c r="C6" s="5"/>
      <c r="D6" s="5"/>
      <c r="E6" s="60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96" t="s">
        <v>196</v>
      </c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5"/>
      <c r="AM6" s="1"/>
      <c r="AN6" s="1"/>
      <c r="AO6" s="5"/>
      <c r="AP6" s="1"/>
      <c r="AQ6" s="1"/>
      <c r="AS6" s="16" t="s">
        <v>3</v>
      </c>
      <c r="AU6" s="16" t="s">
        <v>880</v>
      </c>
    </row>
    <row r="7" spans="1:47" s="16" customFormat="1">
      <c r="A7" s="5"/>
      <c r="B7" s="5"/>
      <c r="C7" s="5"/>
      <c r="D7" s="5"/>
      <c r="E7" s="60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 t="s">
        <v>180</v>
      </c>
      <c r="R7" s="5"/>
      <c r="S7" s="5" t="s">
        <v>182</v>
      </c>
      <c r="T7" s="5"/>
      <c r="U7" s="5" t="s">
        <v>112</v>
      </c>
      <c r="V7" s="5"/>
      <c r="W7" s="5"/>
      <c r="X7" s="5"/>
      <c r="Y7" s="5"/>
      <c r="Z7" s="5"/>
      <c r="AI7" s="16" t="s">
        <v>795</v>
      </c>
      <c r="AK7" s="16" t="s">
        <v>134</v>
      </c>
      <c r="AM7" s="16" t="s">
        <v>134</v>
      </c>
      <c r="AQ7" s="16" t="s">
        <v>134</v>
      </c>
      <c r="AS7" s="16" t="s">
        <v>83</v>
      </c>
      <c r="AU7" s="16" t="s">
        <v>825</v>
      </c>
    </row>
    <row r="8" spans="1:47" s="16" customFormat="1">
      <c r="A8" s="5"/>
      <c r="B8" s="5"/>
      <c r="C8" s="5"/>
      <c r="D8" s="5"/>
      <c r="E8" s="60"/>
      <c r="F8" s="5"/>
      <c r="G8" s="5" t="s">
        <v>108</v>
      </c>
      <c r="H8" s="5"/>
      <c r="I8" s="5" t="s">
        <v>765</v>
      </c>
      <c r="J8" s="5"/>
      <c r="K8" s="5" t="s">
        <v>1</v>
      </c>
      <c r="L8" s="5"/>
      <c r="M8" s="5" t="s">
        <v>816</v>
      </c>
      <c r="N8" s="5"/>
      <c r="O8" s="5" t="s">
        <v>178</v>
      </c>
      <c r="P8" s="5"/>
      <c r="Q8" s="5" t="s">
        <v>181</v>
      </c>
      <c r="R8" s="5"/>
      <c r="S8" s="5" t="s">
        <v>183</v>
      </c>
      <c r="T8" s="5"/>
      <c r="U8" s="5" t="s">
        <v>185</v>
      </c>
      <c r="V8" s="5"/>
      <c r="W8" s="5" t="s">
        <v>134</v>
      </c>
      <c r="X8" s="5"/>
      <c r="Y8" s="5" t="s">
        <v>3</v>
      </c>
      <c r="Z8" s="5"/>
      <c r="AA8" s="5"/>
      <c r="AE8" s="16" t="s">
        <v>824</v>
      </c>
      <c r="AG8" s="16" t="s">
        <v>200</v>
      </c>
      <c r="AI8" s="16" t="s">
        <v>777</v>
      </c>
      <c r="AK8" s="16" t="s">
        <v>201</v>
      </c>
      <c r="AM8" s="16" t="s">
        <v>201</v>
      </c>
      <c r="AO8" s="16" t="s">
        <v>796</v>
      </c>
      <c r="AQ8" s="16" t="s">
        <v>201</v>
      </c>
      <c r="AS8" s="16" t="s">
        <v>201</v>
      </c>
      <c r="AU8" s="16" t="s">
        <v>796</v>
      </c>
    </row>
    <row r="9" spans="1:47" s="16" customFormat="1">
      <c r="A9" s="1" t="s">
        <v>208</v>
      </c>
      <c r="C9" s="1" t="s">
        <v>4</v>
      </c>
      <c r="E9" s="61" t="s">
        <v>207</v>
      </c>
      <c r="F9" s="5"/>
      <c r="G9" s="1" t="s">
        <v>845</v>
      </c>
      <c r="H9" s="5"/>
      <c r="I9" s="1" t="s">
        <v>5</v>
      </c>
      <c r="J9" s="1"/>
      <c r="K9" s="1" t="s">
        <v>7</v>
      </c>
      <c r="L9" s="5"/>
      <c r="M9" s="1" t="s">
        <v>93</v>
      </c>
      <c r="N9" s="5"/>
      <c r="O9" s="1" t="s">
        <v>179</v>
      </c>
      <c r="P9" s="5"/>
      <c r="Q9" s="1" t="s">
        <v>168</v>
      </c>
      <c r="R9" s="5"/>
      <c r="S9" s="1" t="s">
        <v>184</v>
      </c>
      <c r="T9" s="5"/>
      <c r="U9" s="1" t="s">
        <v>186</v>
      </c>
      <c r="V9" s="5"/>
      <c r="W9" s="1" t="s">
        <v>8</v>
      </c>
      <c r="X9" s="5"/>
      <c r="Y9" s="1" t="s">
        <v>9</v>
      </c>
      <c r="Z9" s="5"/>
      <c r="AA9" s="1" t="s">
        <v>197</v>
      </c>
      <c r="AC9" s="1" t="s">
        <v>198</v>
      </c>
      <c r="AE9" s="1" t="s">
        <v>826</v>
      </c>
      <c r="AG9" s="1" t="s">
        <v>199</v>
      </c>
      <c r="AH9" s="5"/>
      <c r="AI9" s="16" t="s">
        <v>98</v>
      </c>
      <c r="AK9" s="1" t="s">
        <v>202</v>
      </c>
      <c r="AM9" s="1" t="s">
        <v>202</v>
      </c>
      <c r="AO9" s="1" t="s">
        <v>792</v>
      </c>
      <c r="AQ9" s="1" t="s">
        <v>202</v>
      </c>
      <c r="AS9" s="1" t="s">
        <v>202</v>
      </c>
      <c r="AU9" s="1" t="s">
        <v>792</v>
      </c>
    </row>
    <row r="10" spans="1:47">
      <c r="A10" s="13"/>
      <c r="B10" s="13"/>
      <c r="C10" s="13"/>
      <c r="D10" s="13"/>
      <c r="E10" s="32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65"/>
      <c r="X10" s="65"/>
      <c r="Y10" s="29"/>
      <c r="Z10" s="29"/>
      <c r="AA10" s="29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</row>
    <row r="11" spans="1:47" s="35" customFormat="1">
      <c r="A11" s="34" t="s">
        <v>784</v>
      </c>
      <c r="B11" s="34"/>
      <c r="C11" s="34" t="s">
        <v>44</v>
      </c>
      <c r="D11" s="34"/>
      <c r="E11" s="34">
        <v>45195</v>
      </c>
      <c r="F11" s="93"/>
      <c r="G11" s="43">
        <v>13524329</v>
      </c>
      <c r="H11" s="43"/>
      <c r="I11" s="43">
        <v>0</v>
      </c>
      <c r="J11" s="43"/>
      <c r="K11" s="43">
        <v>19695886</v>
      </c>
      <c r="L11" s="43"/>
      <c r="M11" s="43">
        <v>454015</v>
      </c>
      <c r="N11" s="43"/>
      <c r="O11" s="43">
        <v>430469</v>
      </c>
      <c r="P11" s="43"/>
      <c r="Q11" s="43">
        <v>503669</v>
      </c>
      <c r="R11" s="43"/>
      <c r="S11" s="43">
        <v>0</v>
      </c>
      <c r="T11" s="43"/>
      <c r="U11" s="43">
        <v>64538</v>
      </c>
      <c r="V11" s="43"/>
      <c r="W11" s="43">
        <f>1650+1130393+230709</f>
        <v>1362752</v>
      </c>
      <c r="X11" s="43"/>
      <c r="Y11" s="43">
        <f>SUM(G11:W11)</f>
        <v>36035658</v>
      </c>
      <c r="Z11" s="43"/>
      <c r="AA11" s="43">
        <v>22500</v>
      </c>
      <c r="AB11" s="43"/>
      <c r="AC11" s="43">
        <v>0</v>
      </c>
      <c r="AD11" s="43"/>
      <c r="AE11" s="43">
        <v>0</v>
      </c>
      <c r="AF11" s="43"/>
      <c r="AG11" s="43">
        <v>0</v>
      </c>
      <c r="AH11" s="43"/>
      <c r="AI11" s="43">
        <v>0</v>
      </c>
      <c r="AJ11" s="43"/>
      <c r="AK11" s="43">
        <v>0</v>
      </c>
      <c r="AL11" s="43"/>
      <c r="AM11" s="43">
        <v>0</v>
      </c>
      <c r="AN11" s="43"/>
      <c r="AO11" s="43">
        <v>0</v>
      </c>
      <c r="AP11" s="43"/>
      <c r="AQ11" s="43">
        <v>0</v>
      </c>
      <c r="AR11" s="43"/>
      <c r="AS11" s="66">
        <v>0</v>
      </c>
      <c r="AT11" s="43"/>
      <c r="AU11" s="66">
        <f>+Y11+AA11</f>
        <v>36058158</v>
      </c>
    </row>
    <row r="12" spans="1:47">
      <c r="A12" s="13" t="s">
        <v>209</v>
      </c>
      <c r="B12" s="13"/>
      <c r="C12" s="13" t="s">
        <v>210</v>
      </c>
      <c r="D12" s="13"/>
      <c r="E12" s="13">
        <v>61903</v>
      </c>
      <c r="F12" s="29"/>
      <c r="G12" s="26">
        <v>8659447</v>
      </c>
      <c r="H12" s="26"/>
      <c r="I12" s="26">
        <v>0</v>
      </c>
      <c r="J12" s="26"/>
      <c r="K12" s="26">
        <v>55186641</v>
      </c>
      <c r="L12" s="26"/>
      <c r="M12" s="26">
        <v>1588190</v>
      </c>
      <c r="N12" s="26"/>
      <c r="O12" s="26">
        <v>1149801</v>
      </c>
      <c r="P12" s="26"/>
      <c r="Q12" s="26">
        <v>255366</v>
      </c>
      <c r="R12" s="26"/>
      <c r="S12" s="26">
        <v>0</v>
      </c>
      <c r="T12" s="26"/>
      <c r="U12" s="26">
        <v>0</v>
      </c>
      <c r="V12" s="26"/>
      <c r="W12" s="26">
        <v>1495419</v>
      </c>
      <c r="X12" s="26"/>
      <c r="Y12" s="26">
        <f>SUM(G12:W12)</f>
        <v>68334864</v>
      </c>
      <c r="Z12" s="26"/>
      <c r="AA12" s="26">
        <v>930629</v>
      </c>
      <c r="AB12" s="26"/>
      <c r="AC12" s="26"/>
      <c r="AD12" s="26"/>
      <c r="AE12" s="26">
        <v>0</v>
      </c>
      <c r="AF12" s="26"/>
      <c r="AG12" s="26"/>
      <c r="AH12" s="26"/>
      <c r="AI12" s="26"/>
      <c r="AJ12" s="26"/>
      <c r="AK12" s="26">
        <v>25057</v>
      </c>
      <c r="AL12" s="26"/>
      <c r="AM12" s="26">
        <v>0</v>
      </c>
      <c r="AN12" s="26"/>
      <c r="AO12" s="26">
        <v>0</v>
      </c>
      <c r="AP12" s="26"/>
      <c r="AQ12" s="26">
        <v>0</v>
      </c>
      <c r="AR12" s="26"/>
      <c r="AS12" s="54">
        <f>AK12+AE12+AA12</f>
        <v>955686</v>
      </c>
      <c r="AT12" s="26"/>
      <c r="AU12" s="54">
        <f>Y12+AS12</f>
        <v>69290550</v>
      </c>
    </row>
    <row r="13" spans="1:47">
      <c r="A13" s="13" t="s">
        <v>621</v>
      </c>
      <c r="B13" s="13"/>
      <c r="C13" s="13" t="s">
        <v>58</v>
      </c>
      <c r="D13" s="13"/>
      <c r="E13" s="32">
        <v>49494</v>
      </c>
      <c r="F13" s="26"/>
      <c r="G13" s="26">
        <v>3011006</v>
      </c>
      <c r="H13" s="26"/>
      <c r="I13" s="26">
        <v>0</v>
      </c>
      <c r="J13" s="26"/>
      <c r="K13" s="26">
        <v>8434464</v>
      </c>
      <c r="L13" s="26"/>
      <c r="M13" s="26">
        <v>124612</v>
      </c>
      <c r="N13" s="26"/>
      <c r="O13" s="26">
        <v>441070</v>
      </c>
      <c r="P13" s="26"/>
      <c r="Q13" s="26">
        <v>211007</v>
      </c>
      <c r="R13" s="26"/>
      <c r="S13" s="26">
        <v>0</v>
      </c>
      <c r="T13" s="26"/>
      <c r="U13" s="26">
        <v>47239</v>
      </c>
      <c r="V13" s="26"/>
      <c r="W13" s="26">
        <v>316045</v>
      </c>
      <c r="X13" s="26"/>
      <c r="Y13" s="54">
        <f>SUM(G13:W13)</f>
        <v>12585443</v>
      </c>
      <c r="Z13" s="26"/>
      <c r="AA13" s="26">
        <v>849</v>
      </c>
      <c r="AB13" s="26"/>
      <c r="AC13" s="26"/>
      <c r="AD13" s="26"/>
      <c r="AE13" s="26">
        <v>0</v>
      </c>
      <c r="AF13" s="26"/>
      <c r="AG13" s="26"/>
      <c r="AH13" s="26"/>
      <c r="AI13" s="26"/>
      <c r="AJ13" s="26"/>
      <c r="AK13" s="26">
        <v>9804</v>
      </c>
      <c r="AL13" s="26"/>
      <c r="AM13" s="26">
        <v>0</v>
      </c>
      <c r="AN13" s="26"/>
      <c r="AO13" s="26">
        <v>0</v>
      </c>
      <c r="AP13" s="26"/>
      <c r="AQ13" s="26">
        <v>0</v>
      </c>
      <c r="AR13" s="26"/>
      <c r="AS13" s="54">
        <f>AK13+AE13+AA13</f>
        <v>10653</v>
      </c>
      <c r="AT13" s="26"/>
      <c r="AU13" s="54">
        <f>Y13+AS13</f>
        <v>12596096</v>
      </c>
    </row>
    <row r="14" spans="1:47">
      <c r="A14" s="13" t="s">
        <v>667</v>
      </c>
      <c r="B14" s="13"/>
      <c r="C14" s="13" t="s">
        <v>63</v>
      </c>
      <c r="D14" s="13"/>
      <c r="E14" s="32">
        <v>43489</v>
      </c>
      <c r="F14" s="26"/>
      <c r="G14" s="26">
        <v>114305199</v>
      </c>
      <c r="H14" s="26"/>
      <c r="I14" s="26">
        <v>0</v>
      </c>
      <c r="J14" s="26"/>
      <c r="K14" s="26">
        <v>249533028</v>
      </c>
      <c r="L14" s="26"/>
      <c r="M14" s="26">
        <v>8711091</v>
      </c>
      <c r="N14" s="26"/>
      <c r="O14" s="26">
        <v>4592313</v>
      </c>
      <c r="P14" s="26"/>
      <c r="Q14" s="26">
        <v>1238236</v>
      </c>
      <c r="R14" s="26"/>
      <c r="S14" s="26">
        <v>938868</v>
      </c>
      <c r="T14" s="26"/>
      <c r="U14" s="26">
        <v>330637</v>
      </c>
      <c r="V14" s="26"/>
      <c r="W14" s="26">
        <v>11642312</v>
      </c>
      <c r="X14" s="26"/>
      <c r="Y14" s="54">
        <f t="shared" ref="Y14:Y31" si="0">SUM(G14:W14)</f>
        <v>391291684</v>
      </c>
      <c r="Z14" s="26"/>
      <c r="AA14" s="26">
        <v>1596597</v>
      </c>
      <c r="AB14" s="26"/>
      <c r="AC14" s="26"/>
      <c r="AD14" s="26"/>
      <c r="AE14" s="26">
        <v>0</v>
      </c>
      <c r="AF14" s="26"/>
      <c r="AG14" s="26"/>
      <c r="AH14" s="26"/>
      <c r="AI14" s="26"/>
      <c r="AJ14" s="26"/>
      <c r="AK14" s="26">
        <v>0</v>
      </c>
      <c r="AL14" s="26"/>
      <c r="AM14" s="26">
        <v>0</v>
      </c>
      <c r="AN14" s="26"/>
      <c r="AO14" s="26">
        <v>0</v>
      </c>
      <c r="AP14" s="26"/>
      <c r="AQ14" s="26">
        <v>0</v>
      </c>
      <c r="AR14" s="26"/>
      <c r="AS14" s="54">
        <f t="shared" ref="AS14:AS77" si="1">AK14+AE14+AA14</f>
        <v>1596597</v>
      </c>
      <c r="AT14" s="26"/>
      <c r="AU14" s="54">
        <f t="shared" ref="AU14:AU77" si="2">Y14+AS14</f>
        <v>392888281</v>
      </c>
    </row>
    <row r="15" spans="1:47" hidden="1">
      <c r="A15" s="13" t="s">
        <v>225</v>
      </c>
      <c r="B15" s="13"/>
      <c r="C15" s="13" t="s">
        <v>13</v>
      </c>
      <c r="D15" s="13"/>
      <c r="E15" s="32">
        <v>45906</v>
      </c>
      <c r="F15" s="26"/>
      <c r="G15" s="26">
        <v>0</v>
      </c>
      <c r="H15" s="26"/>
      <c r="I15" s="26">
        <v>0</v>
      </c>
      <c r="J15" s="26"/>
      <c r="K15" s="26">
        <v>0</v>
      </c>
      <c r="L15" s="26"/>
      <c r="M15" s="26">
        <v>0</v>
      </c>
      <c r="N15" s="26"/>
      <c r="O15" s="26">
        <v>0</v>
      </c>
      <c r="P15" s="26"/>
      <c r="Q15" s="26">
        <v>0</v>
      </c>
      <c r="R15" s="26"/>
      <c r="S15" s="26">
        <v>0</v>
      </c>
      <c r="T15" s="26"/>
      <c r="U15" s="26">
        <v>0</v>
      </c>
      <c r="V15" s="26"/>
      <c r="W15" s="26">
        <v>0</v>
      </c>
      <c r="X15" s="26"/>
      <c r="Y15" s="54">
        <f t="shared" si="0"/>
        <v>0</v>
      </c>
      <c r="Z15" s="26"/>
      <c r="AA15" s="26">
        <v>0</v>
      </c>
      <c r="AB15" s="26"/>
      <c r="AC15" s="26"/>
      <c r="AD15" s="26"/>
      <c r="AE15" s="26">
        <v>0</v>
      </c>
      <c r="AF15" s="26"/>
      <c r="AG15" s="26"/>
      <c r="AH15" s="26"/>
      <c r="AI15" s="26"/>
      <c r="AJ15" s="26"/>
      <c r="AK15" s="26">
        <v>0</v>
      </c>
      <c r="AL15" s="26"/>
      <c r="AM15" s="26">
        <v>0</v>
      </c>
      <c r="AN15" s="26"/>
      <c r="AO15" s="26">
        <v>0</v>
      </c>
      <c r="AP15" s="26"/>
      <c r="AQ15" s="26">
        <v>0</v>
      </c>
      <c r="AR15" s="26"/>
      <c r="AS15" s="54">
        <f t="shared" si="1"/>
        <v>0</v>
      </c>
      <c r="AT15" s="26"/>
      <c r="AU15" s="54">
        <f t="shared" si="2"/>
        <v>0</v>
      </c>
    </row>
    <row r="16" spans="1:47">
      <c r="A16" s="13" t="s">
        <v>653</v>
      </c>
      <c r="B16" s="13"/>
      <c r="C16" s="13" t="s">
        <v>62</v>
      </c>
      <c r="D16" s="13"/>
      <c r="E16" s="32">
        <v>43497</v>
      </c>
      <c r="F16" s="26"/>
      <c r="G16" s="26">
        <v>9043047</v>
      </c>
      <c r="H16" s="26"/>
      <c r="I16" s="26">
        <v>0</v>
      </c>
      <c r="J16" s="26"/>
      <c r="K16" s="26">
        <v>23424474</v>
      </c>
      <c r="L16" s="26"/>
      <c r="M16" s="26">
        <v>296692</v>
      </c>
      <c r="N16" s="26"/>
      <c r="O16" s="26">
        <v>754921</v>
      </c>
      <c r="P16" s="26"/>
      <c r="Q16" s="26">
        <v>502147</v>
      </c>
      <c r="R16" s="26"/>
      <c r="S16" s="26">
        <v>0</v>
      </c>
      <c r="T16" s="26"/>
      <c r="U16" s="26">
        <v>125416</v>
      </c>
      <c r="V16" s="26"/>
      <c r="W16" s="26">
        <v>406206</v>
      </c>
      <c r="X16" s="26"/>
      <c r="Y16" s="54">
        <f t="shared" si="0"/>
        <v>34552903</v>
      </c>
      <c r="Z16" s="26"/>
      <c r="AA16" s="26">
        <v>1652638</v>
      </c>
      <c r="AB16" s="26"/>
      <c r="AC16" s="26"/>
      <c r="AD16" s="26"/>
      <c r="AE16" s="26">
        <v>0</v>
      </c>
      <c r="AF16" s="26"/>
      <c r="AG16" s="26"/>
      <c r="AH16" s="26"/>
      <c r="AI16" s="26"/>
      <c r="AJ16" s="26"/>
      <c r="AK16" s="26">
        <f>83615-60020</f>
        <v>23595</v>
      </c>
      <c r="AL16" s="26"/>
      <c r="AM16" s="26">
        <v>0</v>
      </c>
      <c r="AN16" s="26"/>
      <c r="AO16" s="26">
        <v>0</v>
      </c>
      <c r="AP16" s="26"/>
      <c r="AQ16" s="26">
        <v>0</v>
      </c>
      <c r="AR16" s="26"/>
      <c r="AS16" s="54">
        <f t="shared" si="1"/>
        <v>1676233</v>
      </c>
      <c r="AT16" s="26"/>
      <c r="AU16" s="54">
        <f t="shared" si="2"/>
        <v>36229136</v>
      </c>
    </row>
    <row r="17" spans="1:47">
      <c r="A17" s="13" t="s">
        <v>347</v>
      </c>
      <c r="B17" s="13"/>
      <c r="C17" s="13" t="s">
        <v>25</v>
      </c>
      <c r="D17" s="13"/>
      <c r="E17" s="32">
        <v>46847</v>
      </c>
      <c r="F17" s="26"/>
      <c r="G17" s="26">
        <v>3026444</v>
      </c>
      <c r="H17" s="26"/>
      <c r="I17" s="26">
        <v>0</v>
      </c>
      <c r="J17" s="26"/>
      <c r="K17" s="26">
        <v>10635259</v>
      </c>
      <c r="L17" s="26"/>
      <c r="M17" s="26">
        <v>182540</v>
      </c>
      <c r="N17" s="26"/>
      <c r="O17" s="26">
        <v>378886</v>
      </c>
      <c r="P17" s="26"/>
      <c r="Q17" s="26">
        <v>155319</v>
      </c>
      <c r="R17" s="26"/>
      <c r="S17" s="26">
        <v>0</v>
      </c>
      <c r="T17" s="26"/>
      <c r="U17" s="26">
        <v>29612</v>
      </c>
      <c r="V17" s="26"/>
      <c r="W17" s="26">
        <v>1006476</v>
      </c>
      <c r="X17" s="26"/>
      <c r="Y17" s="54">
        <f t="shared" si="0"/>
        <v>15414536</v>
      </c>
      <c r="Z17" s="26"/>
      <c r="AA17" s="26">
        <v>0</v>
      </c>
      <c r="AB17" s="26"/>
      <c r="AC17" s="26"/>
      <c r="AD17" s="26"/>
      <c r="AE17" s="26">
        <v>2583042</v>
      </c>
      <c r="AF17" s="26"/>
      <c r="AG17" s="26"/>
      <c r="AH17" s="26"/>
      <c r="AI17" s="26"/>
      <c r="AJ17" s="26"/>
      <c r="AK17" s="26">
        <v>4451</v>
      </c>
      <c r="AL17" s="26"/>
      <c r="AM17" s="26">
        <v>0</v>
      </c>
      <c r="AN17" s="26"/>
      <c r="AO17" s="26">
        <v>0</v>
      </c>
      <c r="AP17" s="26"/>
      <c r="AQ17" s="26">
        <v>0</v>
      </c>
      <c r="AR17" s="26"/>
      <c r="AS17" s="54">
        <f t="shared" si="1"/>
        <v>2587493</v>
      </c>
      <c r="AT17" s="26"/>
      <c r="AU17" s="54">
        <f t="shared" si="2"/>
        <v>18002029</v>
      </c>
    </row>
    <row r="18" spans="1:47">
      <c r="A18" s="13" t="s">
        <v>646</v>
      </c>
      <c r="B18" s="13"/>
      <c r="C18" s="13" t="s">
        <v>61</v>
      </c>
      <c r="D18" s="13"/>
      <c r="E18" s="32">
        <v>49759</v>
      </c>
      <c r="F18" s="26"/>
      <c r="G18" s="26">
        <v>4420672</v>
      </c>
      <c r="H18" s="26"/>
      <c r="I18" s="26">
        <v>623775</v>
      </c>
      <c r="J18" s="26"/>
      <c r="K18" s="26">
        <v>5156696</v>
      </c>
      <c r="L18" s="26"/>
      <c r="M18" s="26">
        <v>612517</v>
      </c>
      <c r="N18" s="26"/>
      <c r="O18" s="26">
        <v>323562</v>
      </c>
      <c r="P18" s="26"/>
      <c r="Q18" s="26">
        <v>255875</v>
      </c>
      <c r="R18" s="26"/>
      <c r="S18" s="26">
        <v>13754</v>
      </c>
      <c r="T18" s="26"/>
      <c r="U18" s="26">
        <v>5877</v>
      </c>
      <c r="V18" s="26"/>
      <c r="W18" s="26">
        <v>496243</v>
      </c>
      <c r="X18" s="26"/>
      <c r="Y18" s="54">
        <f t="shared" si="0"/>
        <v>11908971</v>
      </c>
      <c r="Z18" s="26"/>
      <c r="AA18" s="26">
        <v>0</v>
      </c>
      <c r="AB18" s="26"/>
      <c r="AC18" s="26"/>
      <c r="AD18" s="26"/>
      <c r="AE18" s="26">
        <v>0</v>
      </c>
      <c r="AF18" s="26"/>
      <c r="AG18" s="26"/>
      <c r="AH18" s="26"/>
      <c r="AI18" s="26"/>
      <c r="AJ18" s="26"/>
      <c r="AK18" s="26">
        <v>0</v>
      </c>
      <c r="AL18" s="26"/>
      <c r="AM18" s="26">
        <v>0</v>
      </c>
      <c r="AN18" s="26"/>
      <c r="AO18" s="26">
        <v>0</v>
      </c>
      <c r="AP18" s="26"/>
      <c r="AQ18" s="26">
        <v>0</v>
      </c>
      <c r="AR18" s="26"/>
      <c r="AS18" s="54">
        <f t="shared" si="1"/>
        <v>0</v>
      </c>
      <c r="AT18" s="26"/>
      <c r="AU18" s="54">
        <f t="shared" si="2"/>
        <v>11908971</v>
      </c>
    </row>
    <row r="19" spans="1:47">
      <c r="A19" s="13" t="s">
        <v>502</v>
      </c>
      <c r="B19" s="13"/>
      <c r="C19" s="13" t="s">
        <v>118</v>
      </c>
      <c r="D19" s="13"/>
      <c r="E19" s="32">
        <v>48207</v>
      </c>
      <c r="F19" s="26"/>
      <c r="G19" s="26">
        <v>26321294</v>
      </c>
      <c r="H19" s="26"/>
      <c r="I19" s="26">
        <v>0</v>
      </c>
      <c r="J19" s="26"/>
      <c r="K19" s="26">
        <v>13094872</v>
      </c>
      <c r="L19" s="26"/>
      <c r="M19" s="26">
        <v>327821</v>
      </c>
      <c r="N19" s="26"/>
      <c r="O19" s="26">
        <v>617946</v>
      </c>
      <c r="P19" s="26"/>
      <c r="Q19" s="26">
        <v>555605</v>
      </c>
      <c r="R19" s="26"/>
      <c r="S19" s="26">
        <v>1363787</v>
      </c>
      <c r="T19" s="26"/>
      <c r="U19" s="26">
        <v>0</v>
      </c>
      <c r="V19" s="26"/>
      <c r="W19" s="26">
        <v>1377858</v>
      </c>
      <c r="X19" s="26"/>
      <c r="Y19" s="54">
        <f t="shared" si="0"/>
        <v>43659183</v>
      </c>
      <c r="Z19" s="26"/>
      <c r="AA19" s="26">
        <v>0</v>
      </c>
      <c r="AB19" s="26"/>
      <c r="AC19" s="26"/>
      <c r="AD19" s="26"/>
      <c r="AE19" s="26">
        <v>0</v>
      </c>
      <c r="AF19" s="26"/>
      <c r="AG19" s="26"/>
      <c r="AH19" s="26"/>
      <c r="AI19" s="26"/>
      <c r="AJ19" s="26"/>
      <c r="AK19" s="26">
        <f>1711591+84554</f>
        <v>1796145</v>
      </c>
      <c r="AL19" s="26"/>
      <c r="AM19" s="26">
        <v>0</v>
      </c>
      <c r="AN19" s="26"/>
      <c r="AO19" s="26">
        <v>0</v>
      </c>
      <c r="AP19" s="26"/>
      <c r="AQ19" s="26">
        <v>0</v>
      </c>
      <c r="AR19" s="26"/>
      <c r="AS19" s="54">
        <f t="shared" si="1"/>
        <v>1796145</v>
      </c>
      <c r="AT19" s="26"/>
      <c r="AU19" s="54">
        <f t="shared" si="2"/>
        <v>45455328</v>
      </c>
    </row>
    <row r="20" spans="1:47">
      <c r="A20" s="13" t="s">
        <v>418</v>
      </c>
      <c r="B20" s="13"/>
      <c r="C20" s="13" t="s">
        <v>33</v>
      </c>
      <c r="D20" s="13"/>
      <c r="E20" s="32">
        <v>47415</v>
      </c>
      <c r="F20" s="26"/>
      <c r="G20" s="26">
        <v>2187785</v>
      </c>
      <c r="H20" s="26"/>
      <c r="I20" s="26">
        <v>747434</v>
      </c>
      <c r="J20" s="26"/>
      <c r="K20" s="26">
        <v>2655195</v>
      </c>
      <c r="L20" s="26"/>
      <c r="M20" s="26">
        <v>128290</v>
      </c>
      <c r="N20" s="26"/>
      <c r="O20" s="26">
        <v>623097</v>
      </c>
      <c r="P20" s="26"/>
      <c r="Q20" s="26">
        <v>70223</v>
      </c>
      <c r="R20" s="26"/>
      <c r="S20" s="26">
        <v>0</v>
      </c>
      <c r="T20" s="26"/>
      <c r="U20" s="26">
        <v>15447</v>
      </c>
      <c r="V20" s="26"/>
      <c r="W20" s="26">
        <v>199697</v>
      </c>
      <c r="X20" s="26"/>
      <c r="Y20" s="54">
        <f t="shared" si="0"/>
        <v>6627168</v>
      </c>
      <c r="Z20" s="26"/>
      <c r="AA20" s="26">
        <v>13665</v>
      </c>
      <c r="AB20" s="26"/>
      <c r="AC20" s="26"/>
      <c r="AD20" s="26"/>
      <c r="AE20" s="26">
        <v>0</v>
      </c>
      <c r="AF20" s="26"/>
      <c r="AG20" s="26"/>
      <c r="AH20" s="26"/>
      <c r="AI20" s="26"/>
      <c r="AJ20" s="26"/>
      <c r="AK20" s="26">
        <v>0</v>
      </c>
      <c r="AL20" s="26"/>
      <c r="AM20" s="26">
        <v>0</v>
      </c>
      <c r="AN20" s="26"/>
      <c r="AO20" s="26">
        <v>0</v>
      </c>
      <c r="AP20" s="26"/>
      <c r="AQ20" s="26">
        <v>0</v>
      </c>
      <c r="AR20" s="26"/>
      <c r="AS20" s="54">
        <f t="shared" si="1"/>
        <v>13665</v>
      </c>
      <c r="AT20" s="26"/>
      <c r="AU20" s="54">
        <f t="shared" si="2"/>
        <v>6640833</v>
      </c>
    </row>
    <row r="21" spans="1:47" hidden="1">
      <c r="A21" s="13" t="s">
        <v>828</v>
      </c>
      <c r="B21" s="13"/>
      <c r="C21" s="13" t="s">
        <v>21</v>
      </c>
      <c r="D21" s="13"/>
      <c r="E21" s="32">
        <v>46631</v>
      </c>
      <c r="F21" s="26"/>
      <c r="G21" s="26">
        <v>0</v>
      </c>
      <c r="H21" s="26"/>
      <c r="I21" s="26">
        <v>0</v>
      </c>
      <c r="J21" s="26"/>
      <c r="K21" s="26">
        <v>0</v>
      </c>
      <c r="L21" s="26"/>
      <c r="M21" s="26">
        <v>0</v>
      </c>
      <c r="N21" s="26"/>
      <c r="O21" s="26">
        <v>0</v>
      </c>
      <c r="P21" s="26"/>
      <c r="Q21" s="26">
        <v>0</v>
      </c>
      <c r="R21" s="26"/>
      <c r="S21" s="26">
        <v>0</v>
      </c>
      <c r="T21" s="26"/>
      <c r="U21" s="26">
        <v>0</v>
      </c>
      <c r="V21" s="26"/>
      <c r="W21" s="26">
        <v>0</v>
      </c>
      <c r="X21" s="26"/>
      <c r="Y21" s="54">
        <f t="shared" si="0"/>
        <v>0</v>
      </c>
      <c r="Z21" s="26"/>
      <c r="AA21" s="26">
        <v>0</v>
      </c>
      <c r="AB21" s="26"/>
      <c r="AC21" s="26"/>
      <c r="AD21" s="26"/>
      <c r="AE21" s="26">
        <v>0</v>
      </c>
      <c r="AF21" s="26"/>
      <c r="AG21" s="26"/>
      <c r="AH21" s="26"/>
      <c r="AI21" s="26"/>
      <c r="AJ21" s="26"/>
      <c r="AK21" s="26">
        <v>0</v>
      </c>
      <c r="AL21" s="26"/>
      <c r="AM21" s="26">
        <v>0</v>
      </c>
      <c r="AN21" s="26"/>
      <c r="AO21" s="26">
        <v>0</v>
      </c>
      <c r="AP21" s="26"/>
      <c r="AQ21" s="26">
        <v>0</v>
      </c>
      <c r="AR21" s="26"/>
      <c r="AS21" s="54">
        <f t="shared" si="1"/>
        <v>0</v>
      </c>
      <c r="AT21" s="26"/>
      <c r="AU21" s="54">
        <f t="shared" si="2"/>
        <v>0</v>
      </c>
    </row>
    <row r="22" spans="1:47">
      <c r="A22" s="13" t="s">
        <v>372</v>
      </c>
      <c r="B22" s="13"/>
      <c r="C22" s="13" t="s">
        <v>28</v>
      </c>
      <c r="D22" s="13"/>
      <c r="E22" s="32">
        <v>47043</v>
      </c>
      <c r="F22" s="26"/>
      <c r="G22" s="26">
        <v>8020163</v>
      </c>
      <c r="H22" s="26"/>
      <c r="I22" s="26">
        <v>0</v>
      </c>
      <c r="J22" s="26"/>
      <c r="K22" s="26">
        <v>6151816</v>
      </c>
      <c r="L22" s="26"/>
      <c r="M22" s="26">
        <v>334111</v>
      </c>
      <c r="N22" s="26"/>
      <c r="O22" s="26">
        <v>338377</v>
      </c>
      <c r="P22" s="26"/>
      <c r="Q22" s="26">
        <v>264649</v>
      </c>
      <c r="R22" s="26"/>
      <c r="S22" s="26">
        <v>427714</v>
      </c>
      <c r="T22" s="26"/>
      <c r="U22" s="26">
        <v>13426</v>
      </c>
      <c r="V22" s="26"/>
      <c r="W22" s="26">
        <v>482123</v>
      </c>
      <c r="X22" s="26"/>
      <c r="Y22" s="54">
        <f t="shared" si="0"/>
        <v>16032379</v>
      </c>
      <c r="Z22" s="26"/>
      <c r="AA22" s="26">
        <v>1242</v>
      </c>
      <c r="AB22" s="26"/>
      <c r="AC22" s="26"/>
      <c r="AD22" s="26"/>
      <c r="AE22" s="26">
        <v>0</v>
      </c>
      <c r="AF22" s="26"/>
      <c r="AG22" s="26"/>
      <c r="AH22" s="26"/>
      <c r="AI22" s="26"/>
      <c r="AJ22" s="26"/>
      <c r="AK22" s="26">
        <v>0</v>
      </c>
      <c r="AL22" s="26"/>
      <c r="AM22" s="26">
        <v>0</v>
      </c>
      <c r="AN22" s="26"/>
      <c r="AO22" s="26">
        <v>0</v>
      </c>
      <c r="AP22" s="26"/>
      <c r="AQ22" s="26">
        <v>0</v>
      </c>
      <c r="AR22" s="26"/>
      <c r="AS22" s="54">
        <f t="shared" si="1"/>
        <v>1242</v>
      </c>
      <c r="AT22" s="26"/>
      <c r="AU22" s="54">
        <f t="shared" si="2"/>
        <v>16033621</v>
      </c>
    </row>
    <row r="23" spans="1:47">
      <c r="A23" s="13" t="s">
        <v>419</v>
      </c>
      <c r="B23" s="13"/>
      <c r="C23" s="13" t="s">
        <v>33</v>
      </c>
      <c r="D23" s="13"/>
      <c r="E23" s="32">
        <v>47423</v>
      </c>
      <c r="F23" s="26"/>
      <c r="G23" s="26">
        <v>1284523</v>
      </c>
      <c r="H23" s="26"/>
      <c r="I23" s="26">
        <v>943142</v>
      </c>
      <c r="J23" s="26"/>
      <c r="K23" s="26">
        <v>3572541</v>
      </c>
      <c r="L23" s="26"/>
      <c r="M23" s="26">
        <v>161533</v>
      </c>
      <c r="N23" s="26"/>
      <c r="O23" s="26">
        <v>167758</v>
      </c>
      <c r="P23" s="26"/>
      <c r="Q23" s="26">
        <v>96105</v>
      </c>
      <c r="R23" s="26"/>
      <c r="S23" s="26">
        <v>0</v>
      </c>
      <c r="T23" s="26"/>
      <c r="U23" s="26">
        <v>21414</v>
      </c>
      <c r="V23" s="26"/>
      <c r="W23" s="26">
        <v>223885</v>
      </c>
      <c r="X23" s="26"/>
      <c r="Y23" s="54">
        <f t="shared" si="0"/>
        <v>6470901</v>
      </c>
      <c r="Z23" s="26"/>
      <c r="AA23" s="26">
        <v>0</v>
      </c>
      <c r="AB23" s="26"/>
      <c r="AC23" s="26"/>
      <c r="AD23" s="26"/>
      <c r="AE23" s="26">
        <v>0</v>
      </c>
      <c r="AF23" s="26"/>
      <c r="AG23" s="26"/>
      <c r="AH23" s="26"/>
      <c r="AI23" s="26"/>
      <c r="AJ23" s="26"/>
      <c r="AK23" s="26">
        <v>0</v>
      </c>
      <c r="AL23" s="26"/>
      <c r="AM23" s="26">
        <v>0</v>
      </c>
      <c r="AN23" s="26"/>
      <c r="AO23" s="26">
        <v>0</v>
      </c>
      <c r="AP23" s="26"/>
      <c r="AQ23" s="26">
        <v>0</v>
      </c>
      <c r="AR23" s="26"/>
      <c r="AS23" s="54">
        <f t="shared" si="1"/>
        <v>0</v>
      </c>
      <c r="AT23" s="26"/>
      <c r="AU23" s="54">
        <f t="shared" si="2"/>
        <v>6470901</v>
      </c>
    </row>
    <row r="24" spans="1:47">
      <c r="A24" s="13" t="s">
        <v>215</v>
      </c>
      <c r="B24" s="13"/>
      <c r="C24" s="13" t="s">
        <v>11</v>
      </c>
      <c r="D24" s="13"/>
      <c r="E24" s="32">
        <v>43505</v>
      </c>
      <c r="F24" s="26"/>
      <c r="G24" s="26">
        <v>12434487</v>
      </c>
      <c r="H24" s="26"/>
      <c r="I24" s="26">
        <v>0</v>
      </c>
      <c r="J24" s="26"/>
      <c r="K24" s="26">
        <v>16664844</v>
      </c>
      <c r="L24" s="26"/>
      <c r="M24" s="26">
        <v>591758</v>
      </c>
      <c r="N24" s="26"/>
      <c r="O24" s="26">
        <v>808422</v>
      </c>
      <c r="P24" s="26"/>
      <c r="Q24" s="26">
        <v>452308</v>
      </c>
      <c r="R24" s="26"/>
      <c r="S24" s="26">
        <v>0</v>
      </c>
      <c r="T24" s="26"/>
      <c r="U24" s="26">
        <v>31764</v>
      </c>
      <c r="V24" s="26"/>
      <c r="W24" s="26">
        <f>685791+5515+48988+370946</f>
        <v>1111240</v>
      </c>
      <c r="X24" s="26"/>
      <c r="Y24" s="54">
        <f t="shared" si="0"/>
        <v>32094823</v>
      </c>
      <c r="Z24" s="26"/>
      <c r="AA24" s="26">
        <v>0</v>
      </c>
      <c r="AB24" s="26"/>
      <c r="AC24" s="26"/>
      <c r="AD24" s="26"/>
      <c r="AE24" s="26">
        <v>0</v>
      </c>
      <c r="AF24" s="26"/>
      <c r="AG24" s="26"/>
      <c r="AH24" s="26"/>
      <c r="AI24" s="26"/>
      <c r="AJ24" s="26"/>
      <c r="AK24" s="26">
        <v>0</v>
      </c>
      <c r="AL24" s="26"/>
      <c r="AM24" s="26">
        <v>0</v>
      </c>
      <c r="AN24" s="26"/>
      <c r="AO24" s="26">
        <v>0</v>
      </c>
      <c r="AP24" s="26"/>
      <c r="AQ24" s="26">
        <v>0</v>
      </c>
      <c r="AR24" s="26"/>
      <c r="AS24" s="54">
        <f t="shared" si="1"/>
        <v>0</v>
      </c>
      <c r="AT24" s="26"/>
      <c r="AU24" s="54">
        <f t="shared" si="2"/>
        <v>32094823</v>
      </c>
    </row>
    <row r="25" spans="1:47" hidden="1">
      <c r="A25" s="13" t="s">
        <v>768</v>
      </c>
      <c r="B25" s="13"/>
      <c r="C25" s="13" t="s">
        <v>12</v>
      </c>
      <c r="D25" s="13"/>
      <c r="E25" s="32">
        <v>43513</v>
      </c>
      <c r="F25" s="26"/>
      <c r="G25" s="26">
        <v>0</v>
      </c>
      <c r="H25" s="26"/>
      <c r="I25" s="26">
        <v>0</v>
      </c>
      <c r="J25" s="26"/>
      <c r="K25" s="26">
        <v>0</v>
      </c>
      <c r="L25" s="26"/>
      <c r="M25" s="26">
        <v>0</v>
      </c>
      <c r="N25" s="26"/>
      <c r="O25" s="26">
        <v>0</v>
      </c>
      <c r="P25" s="26"/>
      <c r="Q25" s="26">
        <v>0</v>
      </c>
      <c r="R25" s="26"/>
      <c r="S25" s="26">
        <v>0</v>
      </c>
      <c r="T25" s="26"/>
      <c r="U25" s="26">
        <v>0</v>
      </c>
      <c r="V25" s="26"/>
      <c r="W25" s="26">
        <v>0</v>
      </c>
      <c r="X25" s="26"/>
      <c r="Y25" s="54">
        <f t="shared" si="0"/>
        <v>0</v>
      </c>
      <c r="Z25" s="26"/>
      <c r="AA25" s="26">
        <v>0</v>
      </c>
      <c r="AB25" s="26"/>
      <c r="AC25" s="26"/>
      <c r="AD25" s="26"/>
      <c r="AE25" s="26">
        <v>0</v>
      </c>
      <c r="AF25" s="26"/>
      <c r="AG25" s="26"/>
      <c r="AH25" s="26"/>
      <c r="AI25" s="26"/>
      <c r="AJ25" s="26"/>
      <c r="AK25" s="26">
        <v>0</v>
      </c>
      <c r="AL25" s="26"/>
      <c r="AM25" s="26">
        <v>0</v>
      </c>
      <c r="AN25" s="26"/>
      <c r="AO25" s="26">
        <v>0</v>
      </c>
      <c r="AP25" s="26"/>
      <c r="AQ25" s="26">
        <v>0</v>
      </c>
      <c r="AR25" s="26"/>
      <c r="AS25" s="54">
        <f t="shared" si="1"/>
        <v>0</v>
      </c>
      <c r="AT25" s="26"/>
      <c r="AU25" s="54">
        <f t="shared" si="2"/>
        <v>0</v>
      </c>
    </row>
    <row r="26" spans="1:47">
      <c r="A26" s="13" t="s">
        <v>226</v>
      </c>
      <c r="B26" s="13"/>
      <c r="C26" s="13" t="s">
        <v>13</v>
      </c>
      <c r="D26" s="13"/>
      <c r="E26" s="32">
        <v>43521</v>
      </c>
      <c r="F26" s="26"/>
      <c r="G26" s="26">
        <v>18142590</v>
      </c>
      <c r="H26" s="26"/>
      <c r="I26" s="26">
        <v>0</v>
      </c>
      <c r="J26" s="26"/>
      <c r="K26" s="26">
        <v>12811242</v>
      </c>
      <c r="L26" s="26"/>
      <c r="M26" s="26">
        <v>630725</v>
      </c>
      <c r="N26" s="26"/>
      <c r="O26" s="26">
        <v>2386287</v>
      </c>
      <c r="P26" s="26"/>
      <c r="Q26" s="26">
        <v>80891</v>
      </c>
      <c r="R26" s="26"/>
      <c r="S26" s="26">
        <v>148701</v>
      </c>
      <c r="T26" s="26"/>
      <c r="U26" s="26">
        <v>20716</v>
      </c>
      <c r="V26" s="26"/>
      <c r="W26" s="26">
        <v>392748</v>
      </c>
      <c r="X26" s="26"/>
      <c r="Y26" s="54">
        <f t="shared" si="0"/>
        <v>34613900</v>
      </c>
      <c r="Z26" s="26"/>
      <c r="AA26" s="26">
        <v>455562</v>
      </c>
      <c r="AB26" s="26"/>
      <c r="AC26" s="26"/>
      <c r="AD26" s="26"/>
      <c r="AE26" s="26">
        <v>0</v>
      </c>
      <c r="AF26" s="26"/>
      <c r="AG26" s="26"/>
      <c r="AH26" s="26"/>
      <c r="AI26" s="26"/>
      <c r="AJ26" s="26"/>
      <c r="AK26" s="26">
        <v>16920</v>
      </c>
      <c r="AL26" s="26"/>
      <c r="AM26" s="26">
        <v>0</v>
      </c>
      <c r="AN26" s="26"/>
      <c r="AO26" s="26">
        <v>0</v>
      </c>
      <c r="AP26" s="26"/>
      <c r="AQ26" s="26">
        <v>0</v>
      </c>
      <c r="AR26" s="26"/>
      <c r="AS26" s="54">
        <f t="shared" si="1"/>
        <v>472482</v>
      </c>
      <c r="AT26" s="26"/>
      <c r="AU26" s="54">
        <f t="shared" si="2"/>
        <v>35086382</v>
      </c>
    </row>
    <row r="27" spans="1:47">
      <c r="A27" s="13" t="s">
        <v>595</v>
      </c>
      <c r="B27" s="13"/>
      <c r="C27" s="13" t="s">
        <v>56</v>
      </c>
      <c r="D27" s="13"/>
      <c r="E27" s="32">
        <v>49171</v>
      </c>
      <c r="F27" s="26"/>
      <c r="G27" s="26">
        <v>20129782</v>
      </c>
      <c r="H27" s="26"/>
      <c r="I27" s="26">
        <v>0</v>
      </c>
      <c r="J27" s="26"/>
      <c r="K27" s="26">
        <v>7945739</v>
      </c>
      <c r="L27" s="26"/>
      <c r="M27" s="26">
        <v>280452</v>
      </c>
      <c r="N27" s="26"/>
      <c r="O27" s="26">
        <v>325796</v>
      </c>
      <c r="P27" s="26"/>
      <c r="Q27" s="26">
        <v>248561</v>
      </c>
      <c r="R27" s="26"/>
      <c r="S27" s="26">
        <v>0</v>
      </c>
      <c r="T27" s="26"/>
      <c r="U27" s="26">
        <v>74335</v>
      </c>
      <c r="V27" s="26"/>
      <c r="W27" s="26">
        <v>877127</v>
      </c>
      <c r="X27" s="26"/>
      <c r="Y27" s="54">
        <f t="shared" si="0"/>
        <v>29881792</v>
      </c>
      <c r="Z27" s="26"/>
      <c r="AA27" s="26">
        <v>74352</v>
      </c>
      <c r="AB27" s="26"/>
      <c r="AC27" s="26"/>
      <c r="AD27" s="26"/>
      <c r="AE27" s="26">
        <v>0</v>
      </c>
      <c r="AF27" s="26"/>
      <c r="AG27" s="26"/>
      <c r="AH27" s="26"/>
      <c r="AI27" s="26"/>
      <c r="AJ27" s="26"/>
      <c r="AK27" s="26">
        <v>0</v>
      </c>
      <c r="AL27" s="26"/>
      <c r="AM27" s="26">
        <v>0</v>
      </c>
      <c r="AN27" s="26"/>
      <c r="AO27" s="26">
        <v>0</v>
      </c>
      <c r="AP27" s="26"/>
      <c r="AQ27" s="26">
        <v>0</v>
      </c>
      <c r="AR27" s="26"/>
      <c r="AS27" s="54">
        <f t="shared" si="1"/>
        <v>74352</v>
      </c>
      <c r="AT27" s="26"/>
      <c r="AU27" s="54">
        <f t="shared" si="2"/>
        <v>29956144</v>
      </c>
    </row>
    <row r="28" spans="1:47">
      <c r="A28" s="13" t="s">
        <v>514</v>
      </c>
      <c r="B28" s="13"/>
      <c r="C28" s="13" t="s">
        <v>45</v>
      </c>
      <c r="D28" s="13"/>
      <c r="E28" s="32">
        <v>48298</v>
      </c>
      <c r="F28" s="26"/>
      <c r="G28" s="26">
        <v>19201073</v>
      </c>
      <c r="H28" s="26"/>
      <c r="I28" s="26">
        <v>0</v>
      </c>
      <c r="J28" s="26"/>
      <c r="K28" s="26">
        <v>25797644</v>
      </c>
      <c r="L28" s="26"/>
      <c r="M28" s="26">
        <v>302440</v>
      </c>
      <c r="N28" s="26"/>
      <c r="O28" s="26">
        <v>156530</v>
      </c>
      <c r="P28" s="26"/>
      <c r="Q28" s="26">
        <v>582953</v>
      </c>
      <c r="R28" s="26"/>
      <c r="S28" s="26">
        <v>0</v>
      </c>
      <c r="T28" s="26"/>
      <c r="U28" s="26">
        <v>0</v>
      </c>
      <c r="V28" s="26"/>
      <c r="W28" s="26">
        <v>1229790</v>
      </c>
      <c r="X28" s="26"/>
      <c r="Y28" s="54">
        <f t="shared" si="0"/>
        <v>47270430</v>
      </c>
      <c r="Z28" s="26"/>
      <c r="AA28" s="26">
        <v>1493005</v>
      </c>
      <c r="AB28" s="26"/>
      <c r="AC28" s="26"/>
      <c r="AD28" s="26"/>
      <c r="AE28" s="26">
        <v>0</v>
      </c>
      <c r="AF28" s="26"/>
      <c r="AG28" s="26"/>
      <c r="AH28" s="26"/>
      <c r="AI28" s="26"/>
      <c r="AJ28" s="26"/>
      <c r="AK28" s="26">
        <v>16989</v>
      </c>
      <c r="AL28" s="26"/>
      <c r="AM28" s="26">
        <v>0</v>
      </c>
      <c r="AN28" s="26"/>
      <c r="AO28" s="26">
        <v>0</v>
      </c>
      <c r="AP28" s="26"/>
      <c r="AQ28" s="26">
        <v>0</v>
      </c>
      <c r="AR28" s="26"/>
      <c r="AS28" s="54">
        <f t="shared" si="1"/>
        <v>1509994</v>
      </c>
      <c r="AT28" s="26"/>
      <c r="AU28" s="54">
        <f t="shared" si="2"/>
        <v>48780424</v>
      </c>
    </row>
    <row r="29" spans="1:47">
      <c r="A29" s="13" t="s">
        <v>489</v>
      </c>
      <c r="B29" s="13"/>
      <c r="C29" s="13" t="s">
        <v>44</v>
      </c>
      <c r="D29" s="13"/>
      <c r="E29" s="32">
        <v>48124</v>
      </c>
      <c r="F29" s="26"/>
      <c r="G29" s="26">
        <v>28945490</v>
      </c>
      <c r="H29" s="26"/>
      <c r="I29" s="26">
        <v>0</v>
      </c>
      <c r="J29" s="26"/>
      <c r="K29" s="26">
        <v>10962623</v>
      </c>
      <c r="L29" s="26"/>
      <c r="M29" s="26">
        <v>964222</v>
      </c>
      <c r="N29" s="26"/>
      <c r="O29" s="26">
        <v>392331</v>
      </c>
      <c r="P29" s="26"/>
      <c r="Q29" s="26">
        <v>342326</v>
      </c>
      <c r="R29" s="26"/>
      <c r="S29" s="26">
        <v>0</v>
      </c>
      <c r="T29" s="26"/>
      <c r="U29" s="26">
        <v>0</v>
      </c>
      <c r="V29" s="26"/>
      <c r="W29" s="26">
        <v>1575632</v>
      </c>
      <c r="X29" s="26"/>
      <c r="Y29" s="54">
        <f t="shared" si="0"/>
        <v>43182624</v>
      </c>
      <c r="Z29" s="26"/>
      <c r="AA29" s="26">
        <v>330858</v>
      </c>
      <c r="AB29" s="26"/>
      <c r="AC29" s="26"/>
      <c r="AD29" s="26"/>
      <c r="AE29" s="26">
        <v>0</v>
      </c>
      <c r="AF29" s="26"/>
      <c r="AG29" s="26"/>
      <c r="AH29" s="26"/>
      <c r="AI29" s="26"/>
      <c r="AJ29" s="26"/>
      <c r="AK29" s="26">
        <v>0</v>
      </c>
      <c r="AL29" s="26"/>
      <c r="AM29" s="26">
        <v>0</v>
      </c>
      <c r="AN29" s="26"/>
      <c r="AO29" s="26">
        <v>0</v>
      </c>
      <c r="AP29" s="26"/>
      <c r="AQ29" s="26">
        <v>0</v>
      </c>
      <c r="AR29" s="26"/>
      <c r="AS29" s="54">
        <f t="shared" si="1"/>
        <v>330858</v>
      </c>
      <c r="AT29" s="26"/>
      <c r="AU29" s="54">
        <f t="shared" si="2"/>
        <v>43513482</v>
      </c>
    </row>
    <row r="30" spans="1:47">
      <c r="A30" s="13" t="s">
        <v>490</v>
      </c>
      <c r="B30" s="13"/>
      <c r="C30" s="13" t="s">
        <v>44</v>
      </c>
      <c r="D30" s="13"/>
      <c r="E30" s="32">
        <v>48116</v>
      </c>
      <c r="F30" s="26"/>
      <c r="G30" s="26">
        <v>21366327</v>
      </c>
      <c r="H30" s="26"/>
      <c r="I30" s="26">
        <v>0</v>
      </c>
      <c r="J30" s="26"/>
      <c r="K30" s="26">
        <v>8122669</v>
      </c>
      <c r="L30" s="26"/>
      <c r="M30" s="26">
        <v>965836</v>
      </c>
      <c r="N30" s="26"/>
      <c r="O30" s="26">
        <v>620566</v>
      </c>
      <c r="P30" s="26"/>
      <c r="Q30" s="26">
        <v>223680</v>
      </c>
      <c r="R30" s="26"/>
      <c r="S30" s="26">
        <v>0</v>
      </c>
      <c r="T30" s="26"/>
      <c r="U30" s="26">
        <v>0</v>
      </c>
      <c r="V30" s="26"/>
      <c r="W30" s="26">
        <v>942121</v>
      </c>
      <c r="X30" s="26"/>
      <c r="Y30" s="54">
        <f t="shared" si="0"/>
        <v>32241199</v>
      </c>
      <c r="Z30" s="26"/>
      <c r="AA30" s="26">
        <v>0</v>
      </c>
      <c r="AB30" s="26"/>
      <c r="AC30" s="26"/>
      <c r="AD30" s="26"/>
      <c r="AE30" s="26">
        <v>0</v>
      </c>
      <c r="AF30" s="26"/>
      <c r="AG30" s="26"/>
      <c r="AH30" s="26"/>
      <c r="AI30" s="26"/>
      <c r="AJ30" s="26"/>
      <c r="AK30" s="26">
        <v>0</v>
      </c>
      <c r="AL30" s="26"/>
      <c r="AM30" s="26">
        <v>0</v>
      </c>
      <c r="AN30" s="26"/>
      <c r="AO30" s="26">
        <v>0</v>
      </c>
      <c r="AP30" s="26"/>
      <c r="AQ30" s="26">
        <v>0</v>
      </c>
      <c r="AR30" s="26"/>
      <c r="AS30" s="54">
        <f t="shared" si="1"/>
        <v>0</v>
      </c>
      <c r="AT30" s="26"/>
      <c r="AU30" s="54">
        <f t="shared" si="2"/>
        <v>32241199</v>
      </c>
    </row>
    <row r="31" spans="1:47" ht="12.75" customHeight="1">
      <c r="A31" s="13" t="s">
        <v>334</v>
      </c>
      <c r="B31" s="13"/>
      <c r="C31" s="13" t="s">
        <v>22</v>
      </c>
      <c r="D31" s="13"/>
      <c r="E31" s="32">
        <v>46706</v>
      </c>
      <c r="F31" s="26"/>
      <c r="G31" s="26">
        <v>3123290</v>
      </c>
      <c r="H31" s="26"/>
      <c r="I31" s="26">
        <v>0</v>
      </c>
      <c r="J31" s="26"/>
      <c r="K31" s="26">
        <v>3223589</v>
      </c>
      <c r="L31" s="26"/>
      <c r="M31" s="26">
        <v>142596</v>
      </c>
      <c r="N31" s="26"/>
      <c r="O31" s="26">
        <v>1134754</v>
      </c>
      <c r="P31" s="26"/>
      <c r="Q31" s="26">
        <v>112979</v>
      </c>
      <c r="R31" s="26"/>
      <c r="S31" s="26">
        <v>203730</v>
      </c>
      <c r="T31" s="26"/>
      <c r="U31" s="26">
        <v>0</v>
      </c>
      <c r="V31" s="26"/>
      <c r="W31" s="26">
        <v>384613</v>
      </c>
      <c r="X31" s="26"/>
      <c r="Y31" s="54">
        <f t="shared" si="0"/>
        <v>8325551</v>
      </c>
      <c r="Z31" s="26"/>
      <c r="AA31" s="26">
        <v>144000</v>
      </c>
      <c r="AB31" s="26"/>
      <c r="AC31" s="26"/>
      <c r="AD31" s="26"/>
      <c r="AE31" s="26">
        <v>161932</v>
      </c>
      <c r="AF31" s="26"/>
      <c r="AG31" s="26"/>
      <c r="AH31" s="26"/>
      <c r="AI31" s="26"/>
      <c r="AJ31" s="26"/>
      <c r="AK31" s="26">
        <f>160701-156159</f>
        <v>4542</v>
      </c>
      <c r="AL31" s="26"/>
      <c r="AM31" s="26">
        <v>0</v>
      </c>
      <c r="AN31" s="26"/>
      <c r="AO31" s="26">
        <v>0</v>
      </c>
      <c r="AP31" s="26"/>
      <c r="AQ31" s="26">
        <v>0</v>
      </c>
      <c r="AR31" s="26"/>
      <c r="AS31" s="54">
        <f t="shared" si="1"/>
        <v>310474</v>
      </c>
      <c r="AT31" s="26"/>
      <c r="AU31" s="54">
        <f t="shared" si="2"/>
        <v>8636025</v>
      </c>
    </row>
    <row r="32" spans="1:47">
      <c r="A32" s="13" t="s">
        <v>668</v>
      </c>
      <c r="B32" s="13"/>
      <c r="C32" s="13" t="s">
        <v>63</v>
      </c>
      <c r="D32" s="13"/>
      <c r="E32" s="32">
        <v>43539</v>
      </c>
      <c r="F32" s="26"/>
      <c r="G32" s="26">
        <v>13891657</v>
      </c>
      <c r="H32" s="26"/>
      <c r="I32" s="26">
        <v>0</v>
      </c>
      <c r="J32" s="26"/>
      <c r="K32" s="26">
        <f>23741083+5633981+151117</f>
        <v>29526181</v>
      </c>
      <c r="L32" s="26"/>
      <c r="M32" s="26">
        <v>724603</v>
      </c>
      <c r="N32" s="26"/>
      <c r="O32" s="26">
        <f>718527+145215</f>
        <v>863742</v>
      </c>
      <c r="P32" s="26"/>
      <c r="Q32" s="26">
        <v>221705</v>
      </c>
      <c r="R32" s="26"/>
      <c r="S32" s="26">
        <v>0</v>
      </c>
      <c r="T32" s="26"/>
      <c r="U32" s="26">
        <v>0</v>
      </c>
      <c r="V32" s="26"/>
      <c r="W32" s="26">
        <f>2817096+573701</f>
        <v>3390797</v>
      </c>
      <c r="X32" s="26"/>
      <c r="Y32" s="54">
        <f t="shared" ref="Y32:Y47" si="3">SUM(G32:X32)</f>
        <v>48618685</v>
      </c>
      <c r="Z32" s="26"/>
      <c r="AA32" s="26">
        <v>0</v>
      </c>
      <c r="AB32" s="26"/>
      <c r="AC32" s="26"/>
      <c r="AD32" s="26"/>
      <c r="AE32" s="26">
        <f>31166199+48841</f>
        <v>31215040</v>
      </c>
      <c r="AF32" s="26"/>
      <c r="AG32" s="26"/>
      <c r="AH32" s="26"/>
      <c r="AI32" s="26"/>
      <c r="AJ32" s="26"/>
      <c r="AK32" s="26">
        <v>0</v>
      </c>
      <c r="AL32" s="26"/>
      <c r="AM32" s="26">
        <v>0</v>
      </c>
      <c r="AN32" s="26"/>
      <c r="AO32" s="26">
        <v>0</v>
      </c>
      <c r="AP32" s="26"/>
      <c r="AQ32" s="26">
        <v>0</v>
      </c>
      <c r="AR32" s="26"/>
      <c r="AS32" s="54">
        <f t="shared" si="1"/>
        <v>31215040</v>
      </c>
      <c r="AT32" s="26"/>
      <c r="AU32" s="54">
        <f t="shared" si="2"/>
        <v>79833725</v>
      </c>
    </row>
    <row r="33" spans="1:47">
      <c r="A33" s="13" t="s">
        <v>831</v>
      </c>
      <c r="B33" s="13"/>
      <c r="C33" s="13" t="s">
        <v>15</v>
      </c>
      <c r="D33" s="13"/>
      <c r="E33" s="32"/>
      <c r="F33" s="26"/>
      <c r="G33" s="26">
        <v>2410582</v>
      </c>
      <c r="H33" s="26"/>
      <c r="I33" s="26">
        <v>0</v>
      </c>
      <c r="J33" s="26"/>
      <c r="K33" s="26">
        <v>7744786</v>
      </c>
      <c r="L33" s="26"/>
      <c r="M33" s="26">
        <v>133067</v>
      </c>
      <c r="N33" s="26"/>
      <c r="O33" s="26">
        <v>576741</v>
      </c>
      <c r="P33" s="26"/>
      <c r="Q33" s="26">
        <v>115967</v>
      </c>
      <c r="R33" s="26"/>
      <c r="S33" s="26">
        <v>0</v>
      </c>
      <c r="T33" s="26"/>
      <c r="U33" s="26">
        <v>30337</v>
      </c>
      <c r="V33" s="26"/>
      <c r="W33" s="26">
        <f>1400+125212+73317</f>
        <v>199929</v>
      </c>
      <c r="X33" s="26"/>
      <c r="Y33" s="54">
        <f t="shared" si="3"/>
        <v>11211409</v>
      </c>
      <c r="Z33" s="26"/>
      <c r="AA33" s="26">
        <v>48324</v>
      </c>
      <c r="AB33" s="26"/>
      <c r="AC33" s="26"/>
      <c r="AD33" s="26"/>
      <c r="AE33" s="26">
        <v>0</v>
      </c>
      <c r="AF33" s="26"/>
      <c r="AG33" s="26"/>
      <c r="AH33" s="26"/>
      <c r="AI33" s="26"/>
      <c r="AJ33" s="26"/>
      <c r="AK33" s="26">
        <v>0</v>
      </c>
      <c r="AL33" s="26"/>
      <c r="AM33" s="26">
        <v>0</v>
      </c>
      <c r="AN33" s="26"/>
      <c r="AO33" s="26">
        <v>0</v>
      </c>
      <c r="AP33" s="26"/>
      <c r="AQ33" s="26">
        <v>0</v>
      </c>
      <c r="AR33" s="26"/>
      <c r="AS33" s="54">
        <f t="shared" si="1"/>
        <v>48324</v>
      </c>
      <c r="AT33" s="26"/>
      <c r="AU33" s="54">
        <f t="shared" si="2"/>
        <v>11259733</v>
      </c>
    </row>
    <row r="34" spans="1:47" hidden="1">
      <c r="A34" s="13" t="s">
        <v>270</v>
      </c>
      <c r="B34" s="13"/>
      <c r="C34" s="13" t="s">
        <v>116</v>
      </c>
      <c r="D34" s="13"/>
      <c r="E34" s="32">
        <v>46300</v>
      </c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54">
        <f t="shared" si="3"/>
        <v>0</v>
      </c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>
        <v>0</v>
      </c>
      <c r="AN34" s="26"/>
      <c r="AO34" s="26">
        <v>0</v>
      </c>
      <c r="AP34" s="26"/>
      <c r="AQ34" s="26">
        <v>0</v>
      </c>
      <c r="AR34" s="26"/>
      <c r="AS34" s="54">
        <f t="shared" si="1"/>
        <v>0</v>
      </c>
      <c r="AT34" s="26"/>
      <c r="AU34" s="54">
        <f t="shared" si="2"/>
        <v>0</v>
      </c>
    </row>
    <row r="35" spans="1:47" s="67" customFormat="1" hidden="1">
      <c r="A35" s="67" t="s">
        <v>211</v>
      </c>
      <c r="C35" s="67" t="s">
        <v>10</v>
      </c>
      <c r="E35" s="68">
        <v>45765</v>
      </c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54">
        <f t="shared" si="3"/>
        <v>0</v>
      </c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>
        <v>0</v>
      </c>
      <c r="AN35" s="26"/>
      <c r="AO35" s="26">
        <v>0</v>
      </c>
      <c r="AP35" s="26"/>
      <c r="AQ35" s="26">
        <v>0</v>
      </c>
      <c r="AR35" s="26"/>
      <c r="AS35" s="54">
        <f t="shared" si="1"/>
        <v>0</v>
      </c>
      <c r="AT35" s="26"/>
      <c r="AU35" s="54">
        <f t="shared" si="2"/>
        <v>0</v>
      </c>
    </row>
    <row r="36" spans="1:47">
      <c r="A36" s="13" t="s">
        <v>300</v>
      </c>
      <c r="B36" s="13"/>
      <c r="C36" s="13" t="s">
        <v>20</v>
      </c>
      <c r="D36" s="13"/>
      <c r="E36" s="32">
        <v>43547</v>
      </c>
      <c r="F36" s="26"/>
      <c r="G36" s="26">
        <v>20904336</v>
      </c>
      <c r="H36" s="26"/>
      <c r="I36" s="26">
        <v>0</v>
      </c>
      <c r="J36" s="26"/>
      <c r="K36" s="26">
        <v>9358116</v>
      </c>
      <c r="L36" s="26"/>
      <c r="M36" s="26">
        <v>476768</v>
      </c>
      <c r="N36" s="26"/>
      <c r="O36" s="26">
        <v>894614</v>
      </c>
      <c r="P36" s="26"/>
      <c r="Q36" s="26">
        <v>360382</v>
      </c>
      <c r="R36" s="26"/>
      <c r="S36" s="26">
        <v>0</v>
      </c>
      <c r="T36" s="26"/>
      <c r="U36" s="26">
        <v>0</v>
      </c>
      <c r="V36" s="26"/>
      <c r="W36" s="26">
        <f>870352+730208</f>
        <v>1600560</v>
      </c>
      <c r="X36" s="26"/>
      <c r="Y36" s="54">
        <f t="shared" si="3"/>
        <v>33594776</v>
      </c>
      <c r="Z36" s="26"/>
      <c r="AA36" s="26">
        <v>3278</v>
      </c>
      <c r="AB36" s="26"/>
      <c r="AC36" s="26"/>
      <c r="AD36" s="26"/>
      <c r="AE36" s="26">
        <v>0</v>
      </c>
      <c r="AF36" s="26"/>
      <c r="AG36" s="26"/>
      <c r="AH36" s="26"/>
      <c r="AI36" s="26"/>
      <c r="AJ36" s="26"/>
      <c r="AK36" s="26">
        <v>0</v>
      </c>
      <c r="AL36" s="26"/>
      <c r="AM36" s="26">
        <v>0</v>
      </c>
      <c r="AN36" s="26"/>
      <c r="AO36" s="26">
        <v>0</v>
      </c>
      <c r="AP36" s="26"/>
      <c r="AQ36" s="26">
        <v>0</v>
      </c>
      <c r="AR36" s="26"/>
      <c r="AS36" s="54">
        <f t="shared" si="1"/>
        <v>3278</v>
      </c>
      <c r="AT36" s="26"/>
      <c r="AU36" s="54">
        <f t="shared" si="2"/>
        <v>33598054</v>
      </c>
    </row>
    <row r="37" spans="1:47">
      <c r="A37" s="13" t="s">
        <v>301</v>
      </c>
      <c r="B37" s="13"/>
      <c r="C37" s="13" t="s">
        <v>20</v>
      </c>
      <c r="D37" s="13"/>
      <c r="E37" s="32">
        <v>43554</v>
      </c>
      <c r="F37" s="26"/>
      <c r="G37" s="26">
        <v>28225851</v>
      </c>
      <c r="H37" s="26"/>
      <c r="I37" s="26">
        <v>0</v>
      </c>
      <c r="J37" s="26"/>
      <c r="K37" s="26">
        <v>7042004</v>
      </c>
      <c r="L37" s="26"/>
      <c r="M37" s="26">
        <f>749468-96837</f>
        <v>652631</v>
      </c>
      <c r="N37" s="26"/>
      <c r="O37" s="26">
        <v>2936352</v>
      </c>
      <c r="P37" s="26"/>
      <c r="Q37" s="26">
        <v>35189</v>
      </c>
      <c r="R37" s="26"/>
      <c r="S37" s="26">
        <v>0</v>
      </c>
      <c r="T37" s="26"/>
      <c r="U37" s="26">
        <v>20461</v>
      </c>
      <c r="V37" s="26"/>
      <c r="W37" s="26">
        <f>205971+769186+246427</f>
        <v>1221584</v>
      </c>
      <c r="X37" s="26"/>
      <c r="Y37" s="54">
        <f t="shared" si="3"/>
        <v>40134072</v>
      </c>
      <c r="Z37" s="26"/>
      <c r="AA37" s="26">
        <v>350000</v>
      </c>
      <c r="AB37" s="26"/>
      <c r="AC37" s="26"/>
      <c r="AD37" s="26"/>
      <c r="AE37" s="26">
        <f>6244997+505009</f>
        <v>6750006</v>
      </c>
      <c r="AF37" s="26"/>
      <c r="AG37" s="26"/>
      <c r="AH37" s="26"/>
      <c r="AI37" s="26"/>
      <c r="AJ37" s="26"/>
      <c r="AK37" s="26">
        <v>0</v>
      </c>
      <c r="AL37" s="26"/>
      <c r="AM37" s="26">
        <v>0</v>
      </c>
      <c r="AN37" s="26"/>
      <c r="AO37" s="26">
        <v>0</v>
      </c>
      <c r="AP37" s="26"/>
      <c r="AQ37" s="26">
        <v>0</v>
      </c>
      <c r="AR37" s="26"/>
      <c r="AS37" s="54">
        <f t="shared" si="1"/>
        <v>7100006</v>
      </c>
      <c r="AT37" s="26"/>
      <c r="AU37" s="54">
        <f t="shared" si="2"/>
        <v>47234078</v>
      </c>
    </row>
    <row r="38" spans="1:47">
      <c r="A38" s="13" t="s">
        <v>282</v>
      </c>
      <c r="B38" s="13"/>
      <c r="C38" s="13" t="s">
        <v>115</v>
      </c>
      <c r="D38" s="13"/>
      <c r="E38" s="32">
        <v>46425</v>
      </c>
      <c r="F38" s="26"/>
      <c r="G38" s="26">
        <v>5517963</v>
      </c>
      <c r="H38" s="26"/>
      <c r="I38" s="26">
        <v>0</v>
      </c>
      <c r="J38" s="26"/>
      <c r="K38" s="26">
        <v>12249048</v>
      </c>
      <c r="L38" s="26"/>
      <c r="M38" s="26">
        <v>52939</v>
      </c>
      <c r="N38" s="26"/>
      <c r="O38" s="26">
        <v>1656992</v>
      </c>
      <c r="P38" s="26"/>
      <c r="Q38" s="26">
        <v>290674</v>
      </c>
      <c r="R38" s="26"/>
      <c r="S38" s="26">
        <v>0</v>
      </c>
      <c r="T38" s="26"/>
      <c r="U38" s="26">
        <v>0</v>
      </c>
      <c r="V38" s="26"/>
      <c r="W38" s="26">
        <f>3449+348537+95003</f>
        <v>446989</v>
      </c>
      <c r="X38" s="26"/>
      <c r="Y38" s="54">
        <f t="shared" si="3"/>
        <v>20214605</v>
      </c>
      <c r="Z38" s="26"/>
      <c r="AA38" s="26">
        <v>93695</v>
      </c>
      <c r="AB38" s="26"/>
      <c r="AC38" s="26"/>
      <c r="AD38" s="26"/>
      <c r="AE38" s="26">
        <v>500000</v>
      </c>
      <c r="AF38" s="26"/>
      <c r="AG38" s="26"/>
      <c r="AH38" s="26"/>
      <c r="AI38" s="26"/>
      <c r="AJ38" s="26"/>
      <c r="AK38" s="26">
        <v>11278</v>
      </c>
      <c r="AL38" s="26"/>
      <c r="AM38" s="26">
        <v>0</v>
      </c>
      <c r="AN38" s="26"/>
      <c r="AO38" s="26">
        <v>0</v>
      </c>
      <c r="AP38" s="26"/>
      <c r="AQ38" s="26">
        <v>0</v>
      </c>
      <c r="AR38" s="26"/>
      <c r="AS38" s="54">
        <f t="shared" si="1"/>
        <v>604973</v>
      </c>
      <c r="AT38" s="26"/>
      <c r="AU38" s="54">
        <f t="shared" si="2"/>
        <v>20819578</v>
      </c>
    </row>
    <row r="39" spans="1:47">
      <c r="A39" s="13" t="s">
        <v>388</v>
      </c>
      <c r="B39" s="13"/>
      <c r="C39" s="13" t="s">
        <v>117</v>
      </c>
      <c r="D39" s="13"/>
      <c r="E39" s="32">
        <v>47241</v>
      </c>
      <c r="F39" s="26"/>
      <c r="G39" s="26">
        <v>49688069</v>
      </c>
      <c r="H39" s="26"/>
      <c r="I39" s="26">
        <v>0</v>
      </c>
      <c r="J39" s="26"/>
      <c r="K39" s="26">
        <v>23424475</v>
      </c>
      <c r="L39" s="26"/>
      <c r="M39" s="26">
        <v>2019799</v>
      </c>
      <c r="N39" s="26"/>
      <c r="O39" s="26">
        <v>1378103</v>
      </c>
      <c r="P39" s="26"/>
      <c r="Q39" s="26">
        <v>658643</v>
      </c>
      <c r="R39" s="26"/>
      <c r="S39" s="26">
        <v>0</v>
      </c>
      <c r="T39" s="26"/>
      <c r="U39" s="26">
        <v>128927</v>
      </c>
      <c r="V39" s="26"/>
      <c r="W39" s="26">
        <f>190341+2156291+13213</f>
        <v>2359845</v>
      </c>
      <c r="X39" s="26"/>
      <c r="Y39" s="54">
        <f t="shared" si="3"/>
        <v>79657861</v>
      </c>
      <c r="Z39" s="26"/>
      <c r="AA39" s="26">
        <v>64779</v>
      </c>
      <c r="AB39" s="26"/>
      <c r="AC39" s="26"/>
      <c r="AD39" s="26"/>
      <c r="AE39" s="26">
        <v>0</v>
      </c>
      <c r="AF39" s="26"/>
      <c r="AG39" s="26"/>
      <c r="AH39" s="26"/>
      <c r="AI39" s="26"/>
      <c r="AJ39" s="26"/>
      <c r="AK39" s="26">
        <v>1071000</v>
      </c>
      <c r="AL39" s="26"/>
      <c r="AM39" s="26">
        <v>0</v>
      </c>
      <c r="AN39" s="26"/>
      <c r="AO39" s="26">
        <v>0</v>
      </c>
      <c r="AP39" s="26"/>
      <c r="AQ39" s="26">
        <v>0</v>
      </c>
      <c r="AR39" s="26"/>
      <c r="AS39" s="54">
        <f t="shared" si="1"/>
        <v>1135779</v>
      </c>
      <c r="AT39" s="26"/>
      <c r="AU39" s="54">
        <f t="shared" si="2"/>
        <v>80793640</v>
      </c>
    </row>
    <row r="40" spans="1:47">
      <c r="A40" s="13" t="s">
        <v>302</v>
      </c>
      <c r="B40" s="13"/>
      <c r="C40" s="13" t="s">
        <v>20</v>
      </c>
      <c r="D40" s="13"/>
      <c r="E40" s="32">
        <v>43562</v>
      </c>
      <c r="F40" s="26"/>
      <c r="G40" s="26">
        <v>33001370</v>
      </c>
      <c r="H40" s="26"/>
      <c r="I40" s="26">
        <v>0</v>
      </c>
      <c r="J40" s="26"/>
      <c r="K40" s="26">
        <v>16300797</v>
      </c>
      <c r="L40" s="26"/>
      <c r="M40" s="26">
        <v>891414</v>
      </c>
      <c r="N40" s="26"/>
      <c r="O40" s="26">
        <v>1644257</v>
      </c>
      <c r="P40" s="26"/>
      <c r="Q40" s="26">
        <v>196848</v>
      </c>
      <c r="R40" s="26"/>
      <c r="S40" s="26">
        <v>0</v>
      </c>
      <c r="T40" s="26"/>
      <c r="U40" s="26">
        <v>33624</v>
      </c>
      <c r="V40" s="26"/>
      <c r="W40" s="26">
        <f>546579+46235+767700</f>
        <v>1360514</v>
      </c>
      <c r="X40" s="26"/>
      <c r="Y40" s="54">
        <f t="shared" si="3"/>
        <v>53428824</v>
      </c>
      <c r="Z40" s="26"/>
      <c r="AA40" s="26">
        <v>162380</v>
      </c>
      <c r="AB40" s="26"/>
      <c r="AC40" s="26"/>
      <c r="AD40" s="26"/>
      <c r="AE40" s="26">
        <v>0</v>
      </c>
      <c r="AF40" s="26"/>
      <c r="AG40" s="26"/>
      <c r="AH40" s="26"/>
      <c r="AI40" s="26"/>
      <c r="AJ40" s="26"/>
      <c r="AK40" s="26">
        <v>3547</v>
      </c>
      <c r="AL40" s="26"/>
      <c r="AM40" s="26">
        <v>0</v>
      </c>
      <c r="AN40" s="26"/>
      <c r="AO40" s="26">
        <v>0</v>
      </c>
      <c r="AP40" s="26"/>
      <c r="AQ40" s="26">
        <v>0</v>
      </c>
      <c r="AR40" s="26"/>
      <c r="AS40" s="54">
        <f t="shared" si="1"/>
        <v>165927</v>
      </c>
      <c r="AT40" s="26"/>
      <c r="AU40" s="54">
        <f t="shared" si="2"/>
        <v>53594751</v>
      </c>
    </row>
    <row r="41" spans="1:47">
      <c r="A41" s="13" t="s">
        <v>234</v>
      </c>
      <c r="B41" s="13"/>
      <c r="C41" s="13" t="s">
        <v>15</v>
      </c>
      <c r="D41" s="13"/>
      <c r="E41" s="32">
        <v>43570</v>
      </c>
      <c r="F41" s="26"/>
      <c r="G41" s="26">
        <v>2511805</v>
      </c>
      <c r="H41" s="26"/>
      <c r="I41" s="26">
        <v>0</v>
      </c>
      <c r="J41" s="26"/>
      <c r="K41" s="26">
        <v>12564913</v>
      </c>
      <c r="L41" s="26"/>
      <c r="M41" s="26">
        <v>107504</v>
      </c>
      <c r="N41" s="26"/>
      <c r="O41" s="26">
        <v>919296</v>
      </c>
      <c r="P41" s="26"/>
      <c r="Q41" s="26">
        <v>233617</v>
      </c>
      <c r="R41" s="26"/>
      <c r="S41" s="26">
        <v>0</v>
      </c>
      <c r="T41" s="26"/>
      <c r="U41" s="26">
        <v>1000</v>
      </c>
      <c r="V41" s="26"/>
      <c r="W41" s="26">
        <f>88509+390763+2364</f>
        <v>481636</v>
      </c>
      <c r="X41" s="26"/>
      <c r="Y41" s="54">
        <f t="shared" si="3"/>
        <v>16819771</v>
      </c>
      <c r="Z41" s="26"/>
      <c r="AA41" s="26">
        <v>15000</v>
      </c>
      <c r="AB41" s="26"/>
      <c r="AC41" s="26"/>
      <c r="AD41" s="26"/>
      <c r="AE41" s="26">
        <v>0</v>
      </c>
      <c r="AF41" s="26"/>
      <c r="AG41" s="26"/>
      <c r="AH41" s="26"/>
      <c r="AI41" s="26"/>
      <c r="AJ41" s="26"/>
      <c r="AK41" s="26">
        <v>0</v>
      </c>
      <c r="AL41" s="26"/>
      <c r="AM41" s="26">
        <v>0</v>
      </c>
      <c r="AN41" s="26"/>
      <c r="AO41" s="26">
        <v>0</v>
      </c>
      <c r="AP41" s="26"/>
      <c r="AQ41" s="26">
        <v>0</v>
      </c>
      <c r="AR41" s="26"/>
      <c r="AS41" s="54">
        <f t="shared" si="1"/>
        <v>15000</v>
      </c>
      <c r="AT41" s="26"/>
      <c r="AU41" s="54">
        <f t="shared" si="2"/>
        <v>16834771</v>
      </c>
    </row>
    <row r="42" spans="1:47">
      <c r="A42" s="13" t="s">
        <v>448</v>
      </c>
      <c r="B42" s="13"/>
      <c r="C42" s="13" t="s">
        <v>37</v>
      </c>
      <c r="D42" s="13"/>
      <c r="E42" s="32">
        <v>43596</v>
      </c>
      <c r="F42" s="26"/>
      <c r="G42" s="26">
        <v>9319975</v>
      </c>
      <c r="H42" s="26"/>
      <c r="I42" s="26">
        <v>0</v>
      </c>
      <c r="J42" s="26"/>
      <c r="K42" s="26">
        <f>10236576+1331235</f>
        <v>11567811</v>
      </c>
      <c r="L42" s="26"/>
      <c r="M42" s="26">
        <v>181113</v>
      </c>
      <c r="N42" s="26"/>
      <c r="O42" s="26">
        <f>266691+100645</f>
        <v>367336</v>
      </c>
      <c r="P42" s="26"/>
      <c r="Q42" s="26">
        <v>198931</v>
      </c>
      <c r="R42" s="26"/>
      <c r="S42" s="26">
        <v>0</v>
      </c>
      <c r="T42" s="26"/>
      <c r="U42" s="26">
        <v>0</v>
      </c>
      <c r="V42" s="26"/>
      <c r="W42" s="26">
        <f>436935+386173</f>
        <v>823108</v>
      </c>
      <c r="X42" s="26"/>
      <c r="Y42" s="54">
        <f t="shared" si="3"/>
        <v>22458274</v>
      </c>
      <c r="Z42" s="26"/>
      <c r="AA42" s="26">
        <v>4951</v>
      </c>
      <c r="AB42" s="26"/>
      <c r="AC42" s="26"/>
      <c r="AD42" s="26"/>
      <c r="AE42" s="26">
        <v>0</v>
      </c>
      <c r="AF42" s="26"/>
      <c r="AG42" s="26"/>
      <c r="AH42" s="26"/>
      <c r="AI42" s="26"/>
      <c r="AJ42" s="26"/>
      <c r="AK42" s="26">
        <v>178097</v>
      </c>
      <c r="AL42" s="26"/>
      <c r="AM42" s="26">
        <v>0</v>
      </c>
      <c r="AN42" s="26"/>
      <c r="AO42" s="26">
        <v>0</v>
      </c>
      <c r="AP42" s="26"/>
      <c r="AQ42" s="26">
        <v>0</v>
      </c>
      <c r="AR42" s="26"/>
      <c r="AS42" s="54">
        <f t="shared" si="1"/>
        <v>183048</v>
      </c>
      <c r="AT42" s="26"/>
      <c r="AU42" s="54">
        <f t="shared" si="2"/>
        <v>22641322</v>
      </c>
    </row>
    <row r="43" spans="1:47">
      <c r="A43" s="13" t="s">
        <v>721</v>
      </c>
      <c r="B43" s="13"/>
      <c r="C43" s="13" t="s">
        <v>70</v>
      </c>
      <c r="D43" s="13"/>
      <c r="E43" s="32">
        <v>43604</v>
      </c>
      <c r="F43" s="26"/>
      <c r="G43" s="26">
        <v>4357042</v>
      </c>
      <c r="H43" s="26"/>
      <c r="I43" s="26">
        <v>0</v>
      </c>
      <c r="J43" s="26"/>
      <c r="K43" s="26">
        <v>5610711</v>
      </c>
      <c r="L43" s="26"/>
      <c r="M43" s="26">
        <v>93094</v>
      </c>
      <c r="N43" s="26"/>
      <c r="O43" s="26">
        <v>354271</v>
      </c>
      <c r="P43" s="26"/>
      <c r="Q43" s="26">
        <v>139999</v>
      </c>
      <c r="R43" s="26"/>
      <c r="S43" s="26">
        <v>0</v>
      </c>
      <c r="T43" s="26"/>
      <c r="U43" s="26">
        <v>16651</v>
      </c>
      <c r="V43" s="26"/>
      <c r="W43" s="26">
        <v>48639</v>
      </c>
      <c r="X43" s="26"/>
      <c r="Y43" s="54">
        <f t="shared" si="3"/>
        <v>10620407</v>
      </c>
      <c r="Z43" s="26"/>
      <c r="AA43" s="26">
        <v>46293</v>
      </c>
      <c r="AB43" s="26"/>
      <c r="AC43" s="26"/>
      <c r="AD43" s="26"/>
      <c r="AE43" s="26">
        <v>0</v>
      </c>
      <c r="AF43" s="26"/>
      <c r="AG43" s="26"/>
      <c r="AH43" s="26"/>
      <c r="AI43" s="26"/>
      <c r="AJ43" s="26"/>
      <c r="AK43" s="26">
        <v>0</v>
      </c>
      <c r="AL43" s="26"/>
      <c r="AM43" s="26">
        <v>0</v>
      </c>
      <c r="AN43" s="26"/>
      <c r="AO43" s="26">
        <v>0</v>
      </c>
      <c r="AP43" s="26"/>
      <c r="AQ43" s="26">
        <v>0</v>
      </c>
      <c r="AR43" s="26"/>
      <c r="AS43" s="54">
        <f t="shared" si="1"/>
        <v>46293</v>
      </c>
      <c r="AT43" s="26"/>
      <c r="AU43" s="54">
        <f t="shared" si="2"/>
        <v>10666700</v>
      </c>
    </row>
    <row r="44" spans="1:47">
      <c r="A44" s="13" t="s">
        <v>579</v>
      </c>
      <c r="B44" s="13"/>
      <c r="C44" s="13" t="s">
        <v>53</v>
      </c>
      <c r="D44" s="13"/>
      <c r="E44" s="32">
        <v>48926</v>
      </c>
      <c r="F44" s="26"/>
      <c r="G44" s="26">
        <v>8760484</v>
      </c>
      <c r="H44" s="26"/>
      <c r="I44" s="26">
        <v>0</v>
      </c>
      <c r="J44" s="26"/>
      <c r="K44" s="26">
        <f>9717215+752000</f>
        <v>10469215</v>
      </c>
      <c r="L44" s="26"/>
      <c r="M44" s="26">
        <v>558373</v>
      </c>
      <c r="N44" s="26"/>
      <c r="O44" s="26">
        <f>439797+86949</f>
        <v>526746</v>
      </c>
      <c r="P44" s="26"/>
      <c r="Q44" s="26">
        <v>273968</v>
      </c>
      <c r="R44" s="26"/>
      <c r="S44" s="26">
        <v>0</v>
      </c>
      <c r="T44" s="26"/>
      <c r="U44" s="26">
        <v>0</v>
      </c>
      <c r="V44" s="26"/>
      <c r="W44" s="26">
        <f>88096+672089</f>
        <v>760185</v>
      </c>
      <c r="X44" s="26"/>
      <c r="Y44" s="54">
        <f t="shared" si="3"/>
        <v>21348971</v>
      </c>
      <c r="Z44" s="26"/>
      <c r="AA44" s="26">
        <v>723324</v>
      </c>
      <c r="AB44" s="26"/>
      <c r="AC44" s="26"/>
      <c r="AD44" s="26"/>
      <c r="AE44" s="26">
        <v>0</v>
      </c>
      <c r="AF44" s="26"/>
      <c r="AG44" s="26"/>
      <c r="AH44" s="26"/>
      <c r="AI44" s="26"/>
      <c r="AJ44" s="26"/>
      <c r="AK44" s="26">
        <v>0</v>
      </c>
      <c r="AL44" s="26"/>
      <c r="AM44" s="26">
        <v>0</v>
      </c>
      <c r="AN44" s="26"/>
      <c r="AO44" s="26">
        <v>0</v>
      </c>
      <c r="AP44" s="26"/>
      <c r="AQ44" s="26">
        <v>0</v>
      </c>
      <c r="AR44" s="26"/>
      <c r="AS44" s="54">
        <f t="shared" si="1"/>
        <v>723324</v>
      </c>
      <c r="AT44" s="26"/>
      <c r="AU44" s="54">
        <f t="shared" si="2"/>
        <v>22072295</v>
      </c>
    </row>
    <row r="45" spans="1:47">
      <c r="A45" s="13" t="s">
        <v>303</v>
      </c>
      <c r="B45" s="13"/>
      <c r="C45" s="13" t="s">
        <v>20</v>
      </c>
      <c r="D45" s="13"/>
      <c r="E45" s="32">
        <v>43612</v>
      </c>
      <c r="F45" s="26"/>
      <c r="G45" s="26">
        <v>58477685</v>
      </c>
      <c r="H45" s="26"/>
      <c r="I45" s="26">
        <v>0</v>
      </c>
      <c r="J45" s="26"/>
      <c r="K45" s="26">
        <v>28062598</v>
      </c>
      <c r="L45" s="26"/>
      <c r="M45" s="26">
        <v>1958941</v>
      </c>
      <c r="N45" s="26"/>
      <c r="O45" s="26">
        <v>4248130</v>
      </c>
      <c r="P45" s="26"/>
      <c r="Q45" s="26">
        <v>623628</v>
      </c>
      <c r="R45" s="26"/>
      <c r="S45" s="26">
        <v>0</v>
      </c>
      <c r="T45" s="26"/>
      <c r="U45" s="26">
        <v>111687</v>
      </c>
      <c r="V45" s="26"/>
      <c r="W45" s="26">
        <f>684956+126960+1449228</f>
        <v>2261144</v>
      </c>
      <c r="X45" s="26"/>
      <c r="Y45" s="54">
        <f t="shared" si="3"/>
        <v>95743813</v>
      </c>
      <c r="Z45" s="26"/>
      <c r="AA45" s="26">
        <v>261714</v>
      </c>
      <c r="AB45" s="26"/>
      <c r="AC45" s="26"/>
      <c r="AD45" s="26"/>
      <c r="AE45" s="26">
        <v>0</v>
      </c>
      <c r="AF45" s="26"/>
      <c r="AG45" s="26"/>
      <c r="AH45" s="26"/>
      <c r="AI45" s="26"/>
      <c r="AJ45" s="26"/>
      <c r="AK45" s="26">
        <v>0</v>
      </c>
      <c r="AL45" s="26"/>
      <c r="AM45" s="26">
        <v>0</v>
      </c>
      <c r="AN45" s="26"/>
      <c r="AO45" s="26">
        <v>0</v>
      </c>
      <c r="AP45" s="26"/>
      <c r="AQ45" s="26">
        <v>0</v>
      </c>
      <c r="AR45" s="26"/>
      <c r="AS45" s="54">
        <f t="shared" si="1"/>
        <v>261714</v>
      </c>
      <c r="AT45" s="26"/>
      <c r="AU45" s="54">
        <f t="shared" si="2"/>
        <v>96005527</v>
      </c>
    </row>
    <row r="46" spans="1:47">
      <c r="A46" s="13" t="s">
        <v>381</v>
      </c>
      <c r="B46" s="13"/>
      <c r="C46" s="13" t="s">
        <v>30</v>
      </c>
      <c r="D46" s="13"/>
      <c r="E46" s="32">
        <v>47167</v>
      </c>
      <c r="F46" s="26"/>
      <c r="G46" s="26">
        <v>4425741</v>
      </c>
      <c r="H46" s="26"/>
      <c r="I46" s="26">
        <v>1605512</v>
      </c>
      <c r="J46" s="26"/>
      <c r="K46" s="26">
        <v>4874439</v>
      </c>
      <c r="L46" s="26"/>
      <c r="M46" s="26">
        <v>124954</v>
      </c>
      <c r="N46" s="26"/>
      <c r="O46" s="26">
        <v>197099</v>
      </c>
      <c r="P46" s="26"/>
      <c r="Q46" s="26">
        <v>246908</v>
      </c>
      <c r="R46" s="26"/>
      <c r="S46" s="26">
        <v>0</v>
      </c>
      <c r="T46" s="26"/>
      <c r="U46" s="26">
        <v>33321</v>
      </c>
      <c r="V46" s="26"/>
      <c r="W46" s="26">
        <f>9358+5314+184756</f>
        <v>199428</v>
      </c>
      <c r="X46" s="26"/>
      <c r="Y46" s="54">
        <f t="shared" si="3"/>
        <v>11707402</v>
      </c>
      <c r="Z46" s="26"/>
      <c r="AA46" s="26">
        <v>0</v>
      </c>
      <c r="AB46" s="26"/>
      <c r="AC46" s="26"/>
      <c r="AD46" s="26"/>
      <c r="AE46" s="26">
        <v>0</v>
      </c>
      <c r="AF46" s="26"/>
      <c r="AG46" s="26"/>
      <c r="AH46" s="26"/>
      <c r="AI46" s="26"/>
      <c r="AJ46" s="26"/>
      <c r="AK46" s="26">
        <v>0</v>
      </c>
      <c r="AL46" s="26"/>
      <c r="AM46" s="26">
        <v>0</v>
      </c>
      <c r="AN46" s="26"/>
      <c r="AO46" s="26">
        <v>0</v>
      </c>
      <c r="AP46" s="26"/>
      <c r="AQ46" s="26">
        <v>0</v>
      </c>
      <c r="AR46" s="26"/>
      <c r="AS46" s="54">
        <f t="shared" si="1"/>
        <v>0</v>
      </c>
      <c r="AT46" s="26"/>
      <c r="AU46" s="54">
        <f t="shared" si="2"/>
        <v>11707402</v>
      </c>
    </row>
    <row r="47" spans="1:47">
      <c r="A47" s="13" t="s">
        <v>340</v>
      </c>
      <c r="B47" s="13"/>
      <c r="C47" s="13" t="s">
        <v>24</v>
      </c>
      <c r="D47" s="13"/>
      <c r="E47" s="32">
        <v>46789</v>
      </c>
      <c r="F47" s="26"/>
      <c r="G47" s="26">
        <v>6785005</v>
      </c>
      <c r="H47" s="26"/>
      <c r="I47" s="26"/>
      <c r="J47" s="26"/>
      <c r="K47" s="26">
        <f>53074+7792760+830925</f>
        <v>8676759</v>
      </c>
      <c r="L47" s="26"/>
      <c r="M47" s="26">
        <v>234956</v>
      </c>
      <c r="N47" s="26"/>
      <c r="O47" s="26">
        <f>300390+41429</f>
        <v>341819</v>
      </c>
      <c r="P47" s="26"/>
      <c r="Q47" s="26">
        <v>248506</v>
      </c>
      <c r="R47" s="26"/>
      <c r="S47" s="26">
        <v>0</v>
      </c>
      <c r="T47" s="26"/>
      <c r="U47" s="26">
        <v>0</v>
      </c>
      <c r="V47" s="26"/>
      <c r="W47" s="26">
        <f>391384+90472</f>
        <v>481856</v>
      </c>
      <c r="X47" s="26"/>
      <c r="Y47" s="54">
        <f t="shared" si="3"/>
        <v>16768901</v>
      </c>
      <c r="Z47" s="26"/>
      <c r="AA47" s="26">
        <v>0</v>
      </c>
      <c r="AB47" s="26"/>
      <c r="AC47" s="26"/>
      <c r="AD47" s="26"/>
      <c r="AE47" s="26">
        <v>0</v>
      </c>
      <c r="AF47" s="26"/>
      <c r="AG47" s="26"/>
      <c r="AH47" s="26"/>
      <c r="AI47" s="26"/>
      <c r="AJ47" s="26"/>
      <c r="AK47" s="26">
        <v>735</v>
      </c>
      <c r="AL47" s="26"/>
      <c r="AM47" s="26">
        <v>0</v>
      </c>
      <c r="AN47" s="26"/>
      <c r="AO47" s="26">
        <v>0</v>
      </c>
      <c r="AP47" s="26"/>
      <c r="AQ47" s="26">
        <v>0</v>
      </c>
      <c r="AR47" s="26"/>
      <c r="AS47" s="54">
        <f t="shared" si="1"/>
        <v>735</v>
      </c>
      <c r="AT47" s="26"/>
      <c r="AU47" s="54">
        <f t="shared" si="2"/>
        <v>16769636</v>
      </c>
    </row>
    <row r="48" spans="1:47">
      <c r="A48" s="13" t="s">
        <v>348</v>
      </c>
      <c r="B48" s="13"/>
      <c r="C48" s="13" t="s">
        <v>25</v>
      </c>
      <c r="D48" s="13"/>
      <c r="E48" s="32">
        <v>46854</v>
      </c>
      <c r="F48" s="26"/>
      <c r="G48" s="26">
        <v>3092755</v>
      </c>
      <c r="H48" s="26"/>
      <c r="I48" s="26">
        <v>857583</v>
      </c>
      <c r="J48" s="26"/>
      <c r="K48" s="26">
        <v>4624576</v>
      </c>
      <c r="L48" s="26"/>
      <c r="M48" s="26">
        <v>160191</v>
      </c>
      <c r="N48" s="26"/>
      <c r="O48" s="26">
        <v>737035</v>
      </c>
      <c r="P48" s="26"/>
      <c r="Q48" s="26">
        <v>146100</v>
      </c>
      <c r="R48" s="26"/>
      <c r="S48" s="26">
        <v>0</v>
      </c>
      <c r="T48" s="26"/>
      <c r="U48" s="26">
        <v>13690</v>
      </c>
      <c r="V48" s="26"/>
      <c r="W48" s="26">
        <f>166563+71713</f>
        <v>238276</v>
      </c>
      <c r="X48" s="26"/>
      <c r="Y48" s="54">
        <f t="shared" ref="Y48:Y77" si="4">SUM(G48:W48)</f>
        <v>9870206</v>
      </c>
      <c r="Z48" s="26"/>
      <c r="AA48" s="26">
        <v>632</v>
      </c>
      <c r="AB48" s="26"/>
      <c r="AC48" s="26"/>
      <c r="AD48" s="26"/>
      <c r="AE48" s="26">
        <f>1055000+158922</f>
        <v>1213922</v>
      </c>
      <c r="AF48" s="26"/>
      <c r="AG48" s="26"/>
      <c r="AH48" s="26"/>
      <c r="AI48" s="26"/>
      <c r="AJ48" s="26"/>
      <c r="AK48" s="26">
        <v>0</v>
      </c>
      <c r="AL48" s="26"/>
      <c r="AM48" s="26">
        <v>0</v>
      </c>
      <c r="AN48" s="26"/>
      <c r="AO48" s="26">
        <v>0</v>
      </c>
      <c r="AP48" s="26"/>
      <c r="AQ48" s="26">
        <v>0</v>
      </c>
      <c r="AR48" s="26"/>
      <c r="AS48" s="54">
        <f t="shared" si="1"/>
        <v>1214554</v>
      </c>
      <c r="AT48" s="26"/>
      <c r="AU48" s="54">
        <f t="shared" si="2"/>
        <v>11084760</v>
      </c>
    </row>
    <row r="49" spans="1:48">
      <c r="A49" s="13" t="s">
        <v>543</v>
      </c>
      <c r="B49" s="13"/>
      <c r="C49" s="13" t="s">
        <v>48</v>
      </c>
      <c r="D49" s="13"/>
      <c r="E49" s="32">
        <v>48611</v>
      </c>
      <c r="F49" s="26"/>
      <c r="G49" s="26">
        <v>3728647</v>
      </c>
      <c r="H49" s="26"/>
      <c r="I49" s="26">
        <v>0</v>
      </c>
      <c r="J49" s="26"/>
      <c r="K49" s="26">
        <v>3667453</v>
      </c>
      <c r="L49" s="26"/>
      <c r="M49" s="26">
        <v>141396</v>
      </c>
      <c r="N49" s="26"/>
      <c r="O49" s="26">
        <v>373830</v>
      </c>
      <c r="P49" s="26"/>
      <c r="Q49" s="26">
        <v>132942</v>
      </c>
      <c r="R49" s="26"/>
      <c r="S49" s="26">
        <v>0</v>
      </c>
      <c r="T49" s="26"/>
      <c r="U49" s="26">
        <v>0</v>
      </c>
      <c r="V49" s="26"/>
      <c r="W49" s="26">
        <f>91271+183912</f>
        <v>275183</v>
      </c>
      <c r="X49" s="26"/>
      <c r="Y49" s="54">
        <f t="shared" si="4"/>
        <v>8319451</v>
      </c>
      <c r="Z49" s="26"/>
      <c r="AA49" s="26">
        <v>0</v>
      </c>
      <c r="AB49" s="26"/>
      <c r="AC49" s="26"/>
      <c r="AD49" s="26"/>
      <c r="AE49" s="26">
        <v>0</v>
      </c>
      <c r="AF49" s="26"/>
      <c r="AG49" s="26"/>
      <c r="AH49" s="26"/>
      <c r="AI49" s="26"/>
      <c r="AJ49" s="26"/>
      <c r="AK49" s="26">
        <v>0</v>
      </c>
      <c r="AL49" s="26"/>
      <c r="AM49" s="26">
        <v>0</v>
      </c>
      <c r="AN49" s="26"/>
      <c r="AO49" s="26">
        <v>0</v>
      </c>
      <c r="AP49" s="26"/>
      <c r="AQ49" s="26">
        <v>0</v>
      </c>
      <c r="AR49" s="26"/>
      <c r="AS49" s="54">
        <f t="shared" si="1"/>
        <v>0</v>
      </c>
      <c r="AT49" s="26"/>
      <c r="AU49" s="54">
        <f t="shared" si="2"/>
        <v>8319451</v>
      </c>
    </row>
    <row r="50" spans="1:48">
      <c r="A50" s="13" t="s">
        <v>271</v>
      </c>
      <c r="B50" s="13"/>
      <c r="C50" s="13" t="s">
        <v>116</v>
      </c>
      <c r="D50" s="13"/>
      <c r="E50" s="32">
        <v>46318</v>
      </c>
      <c r="F50" s="26"/>
      <c r="G50" s="26">
        <v>3371007</v>
      </c>
      <c r="H50" s="26"/>
      <c r="I50" s="26">
        <v>0</v>
      </c>
      <c r="J50" s="26"/>
      <c r="K50" s="26">
        <v>11369957</v>
      </c>
      <c r="L50" s="26"/>
      <c r="M50" s="26">
        <v>239223</v>
      </c>
      <c r="N50" s="26"/>
      <c r="O50" s="26">
        <v>959665</v>
      </c>
      <c r="P50" s="26"/>
      <c r="Q50" s="26">
        <v>161195</v>
      </c>
      <c r="R50" s="26"/>
      <c r="S50" s="26">
        <v>0</v>
      </c>
      <c r="T50" s="26"/>
      <c r="U50" s="26">
        <v>20711</v>
      </c>
      <c r="V50" s="26"/>
      <c r="W50" s="26">
        <f>6440+332221+613645</f>
        <v>952306</v>
      </c>
      <c r="X50" s="26"/>
      <c r="Y50" s="54">
        <f t="shared" si="4"/>
        <v>17074064</v>
      </c>
      <c r="Z50" s="26"/>
      <c r="AA50" s="26">
        <v>320077</v>
      </c>
      <c r="AB50" s="26"/>
      <c r="AC50" s="26"/>
      <c r="AD50" s="26"/>
      <c r="AE50" s="26">
        <f>511000+222118</f>
        <v>733118</v>
      </c>
      <c r="AF50" s="26"/>
      <c r="AG50" s="26"/>
      <c r="AH50" s="26"/>
      <c r="AI50" s="26"/>
      <c r="AJ50" s="26"/>
      <c r="AK50" s="26">
        <f>8950+0</f>
        <v>8950</v>
      </c>
      <c r="AL50" s="26"/>
      <c r="AM50" s="26">
        <v>0</v>
      </c>
      <c r="AN50" s="26"/>
      <c r="AO50" s="26">
        <v>0</v>
      </c>
      <c r="AP50" s="26"/>
      <c r="AQ50" s="26">
        <v>0</v>
      </c>
      <c r="AR50" s="26"/>
      <c r="AS50" s="54">
        <f t="shared" si="1"/>
        <v>1062145</v>
      </c>
      <c r="AT50" s="26"/>
      <c r="AU50" s="54">
        <f t="shared" si="2"/>
        <v>18136209</v>
      </c>
    </row>
    <row r="51" spans="1:48" hidden="1">
      <c r="A51" s="13" t="s">
        <v>640</v>
      </c>
      <c r="B51" s="13"/>
      <c r="C51" s="13" t="s">
        <v>60</v>
      </c>
      <c r="D51" s="13"/>
      <c r="E51" s="32">
        <v>49692</v>
      </c>
      <c r="F51" s="26"/>
      <c r="G51" s="26">
        <v>0</v>
      </c>
      <c r="H51" s="26"/>
      <c r="I51" s="26">
        <v>0</v>
      </c>
      <c r="J51" s="26"/>
      <c r="K51" s="26">
        <v>0</v>
      </c>
      <c r="L51" s="26"/>
      <c r="M51" s="26">
        <v>0</v>
      </c>
      <c r="N51" s="26"/>
      <c r="O51" s="26">
        <v>0</v>
      </c>
      <c r="P51" s="26"/>
      <c r="Q51" s="26">
        <v>0</v>
      </c>
      <c r="R51" s="26"/>
      <c r="S51" s="26">
        <v>0</v>
      </c>
      <c r="T51" s="26"/>
      <c r="U51" s="26">
        <v>0</v>
      </c>
      <c r="V51" s="26"/>
      <c r="W51" s="26">
        <v>0</v>
      </c>
      <c r="X51" s="26"/>
      <c r="Y51" s="54">
        <f t="shared" si="4"/>
        <v>0</v>
      </c>
      <c r="Z51" s="26"/>
      <c r="AA51" s="26">
        <v>0</v>
      </c>
      <c r="AB51" s="26"/>
      <c r="AC51" s="26"/>
      <c r="AD51" s="26"/>
      <c r="AE51" s="26">
        <v>0</v>
      </c>
      <c r="AF51" s="26"/>
      <c r="AG51" s="26"/>
      <c r="AH51" s="26"/>
      <c r="AI51" s="26"/>
      <c r="AJ51" s="26"/>
      <c r="AK51" s="26">
        <v>0</v>
      </c>
      <c r="AL51" s="26"/>
      <c r="AM51" s="26">
        <v>0</v>
      </c>
      <c r="AN51" s="26"/>
      <c r="AO51" s="26">
        <v>0</v>
      </c>
      <c r="AP51" s="26"/>
      <c r="AQ51" s="26">
        <v>0</v>
      </c>
      <c r="AR51" s="26"/>
      <c r="AS51" s="54">
        <f t="shared" si="1"/>
        <v>0</v>
      </c>
      <c r="AT51" s="26"/>
      <c r="AU51" s="54">
        <f t="shared" si="2"/>
        <v>0</v>
      </c>
    </row>
    <row r="52" spans="1:48">
      <c r="A52" s="13" t="s">
        <v>356</v>
      </c>
      <c r="B52" s="13"/>
      <c r="C52" s="13" t="s">
        <v>27</v>
      </c>
      <c r="D52" s="13"/>
      <c r="E52" s="32">
        <v>43620</v>
      </c>
      <c r="F52" s="26"/>
      <c r="G52" s="26">
        <v>18664254</v>
      </c>
      <c r="H52" s="26"/>
      <c r="I52" s="26">
        <v>6624746</v>
      </c>
      <c r="J52" s="26"/>
      <c r="K52" s="26">
        <f>901189+7122739+838328</f>
        <v>8862256</v>
      </c>
      <c r="L52" s="26"/>
      <c r="M52" s="26">
        <v>923521</v>
      </c>
      <c r="N52" s="26"/>
      <c r="O52" s="26">
        <v>48743</v>
      </c>
      <c r="P52" s="26"/>
      <c r="Q52" s="26">
        <v>210934</v>
      </c>
      <c r="R52" s="26"/>
      <c r="S52" s="26">
        <v>0</v>
      </c>
      <c r="T52" s="26"/>
      <c r="U52" s="26">
        <v>0</v>
      </c>
      <c r="V52" s="26"/>
      <c r="W52" s="26">
        <f>365848+563155</f>
        <v>929003</v>
      </c>
      <c r="X52" s="26"/>
      <c r="Y52" s="54">
        <f t="shared" si="4"/>
        <v>36263457</v>
      </c>
      <c r="Z52" s="26"/>
      <c r="AA52" s="26">
        <v>326427</v>
      </c>
      <c r="AB52" s="26"/>
      <c r="AC52" s="26"/>
      <c r="AD52" s="26"/>
      <c r="AE52" s="26">
        <v>0</v>
      </c>
      <c r="AF52" s="26"/>
      <c r="AG52" s="26"/>
      <c r="AH52" s="26"/>
      <c r="AI52" s="26"/>
      <c r="AJ52" s="26"/>
      <c r="AK52" s="26">
        <v>45688</v>
      </c>
      <c r="AL52" s="26"/>
      <c r="AM52" s="26">
        <v>0</v>
      </c>
      <c r="AN52" s="26"/>
      <c r="AO52" s="26">
        <v>0</v>
      </c>
      <c r="AP52" s="26"/>
      <c r="AQ52" s="26">
        <v>0</v>
      </c>
      <c r="AR52" s="26"/>
      <c r="AS52" s="54">
        <f t="shared" si="1"/>
        <v>372115</v>
      </c>
      <c r="AT52" s="26"/>
      <c r="AU52" s="54">
        <f t="shared" si="2"/>
        <v>36635572</v>
      </c>
    </row>
    <row r="53" spans="1:48">
      <c r="A53" s="13" t="s">
        <v>336</v>
      </c>
      <c r="B53" s="13"/>
      <c r="C53" s="13" t="s">
        <v>23</v>
      </c>
      <c r="D53" s="13"/>
      <c r="E53" s="32">
        <v>46748</v>
      </c>
      <c r="F53" s="26"/>
      <c r="G53" s="26">
        <v>14253531</v>
      </c>
      <c r="H53" s="26"/>
      <c r="I53" s="26">
        <v>4454107</v>
      </c>
      <c r="J53" s="26"/>
      <c r="K53" s="26">
        <v>8278358</v>
      </c>
      <c r="L53" s="26"/>
      <c r="M53" s="26">
        <v>347757</v>
      </c>
      <c r="N53" s="26"/>
      <c r="O53" s="26">
        <v>224087</v>
      </c>
      <c r="P53" s="26"/>
      <c r="Q53" s="26">
        <v>219930</v>
      </c>
      <c r="R53" s="26"/>
      <c r="S53" s="26">
        <v>21099</v>
      </c>
      <c r="T53" s="26"/>
      <c r="U53" s="26">
        <v>16752</v>
      </c>
      <c r="V53" s="26"/>
      <c r="W53" s="26">
        <f>189936+722020</f>
        <v>911956</v>
      </c>
      <c r="X53" s="26"/>
      <c r="Y53" s="54">
        <f t="shared" si="4"/>
        <v>28727577</v>
      </c>
      <c r="Z53" s="26"/>
      <c r="AA53" s="26">
        <v>189961</v>
      </c>
      <c r="AB53" s="26"/>
      <c r="AC53" s="26"/>
      <c r="AD53" s="26"/>
      <c r="AE53" s="26">
        <v>129090</v>
      </c>
      <c r="AF53" s="26"/>
      <c r="AG53" s="26"/>
      <c r="AH53" s="26"/>
      <c r="AI53" s="26"/>
      <c r="AJ53" s="26"/>
      <c r="AK53" s="26">
        <v>0</v>
      </c>
      <c r="AL53" s="26"/>
      <c r="AM53" s="26">
        <v>0</v>
      </c>
      <c r="AN53" s="26"/>
      <c r="AO53" s="26">
        <v>0</v>
      </c>
      <c r="AP53" s="26"/>
      <c r="AQ53" s="26">
        <v>0</v>
      </c>
      <c r="AR53" s="26"/>
      <c r="AS53" s="54">
        <f t="shared" si="1"/>
        <v>319051</v>
      </c>
      <c r="AT53" s="26"/>
      <c r="AU53" s="54">
        <f t="shared" si="2"/>
        <v>29046628</v>
      </c>
    </row>
    <row r="54" spans="1:48">
      <c r="A54" s="13" t="s">
        <v>531</v>
      </c>
      <c r="B54" s="13"/>
      <c r="C54" s="13" t="s">
        <v>47</v>
      </c>
      <c r="D54" s="13"/>
      <c r="E54" s="32">
        <v>48462</v>
      </c>
      <c r="F54" s="26"/>
      <c r="G54" s="26">
        <v>3618946</v>
      </c>
      <c r="H54" s="26"/>
      <c r="I54" s="26">
        <v>0</v>
      </c>
      <c r="J54" s="26"/>
      <c r="K54" s="26">
        <f>36618+8299304+1110234</f>
        <v>9446156</v>
      </c>
      <c r="L54" s="26"/>
      <c r="M54" s="26">
        <v>241332</v>
      </c>
      <c r="N54" s="26"/>
      <c r="O54" s="26">
        <f>150880+116180</f>
        <v>267060</v>
      </c>
      <c r="P54" s="26"/>
      <c r="Q54" s="26">
        <v>302291</v>
      </c>
      <c r="R54" s="26"/>
      <c r="S54" s="26">
        <v>0</v>
      </c>
      <c r="T54" s="26"/>
      <c r="U54" s="26">
        <v>0</v>
      </c>
      <c r="V54" s="26"/>
      <c r="W54" s="26">
        <f>118180+232575+113866</f>
        <v>464621</v>
      </c>
      <c r="X54" s="26"/>
      <c r="Y54" s="54">
        <f t="shared" si="4"/>
        <v>14340406</v>
      </c>
      <c r="Z54" s="26"/>
      <c r="AA54" s="26">
        <v>86925</v>
      </c>
      <c r="AB54" s="26"/>
      <c r="AC54" s="26"/>
      <c r="AD54" s="26"/>
      <c r="AE54" s="26">
        <v>63036</v>
      </c>
      <c r="AF54" s="26"/>
      <c r="AG54" s="26"/>
      <c r="AH54" s="26"/>
      <c r="AI54" s="26"/>
      <c r="AJ54" s="26"/>
      <c r="AK54" s="26">
        <v>350000</v>
      </c>
      <c r="AL54" s="26"/>
      <c r="AM54" s="26">
        <v>0</v>
      </c>
      <c r="AN54" s="26"/>
      <c r="AO54" s="26">
        <v>0</v>
      </c>
      <c r="AP54" s="26"/>
      <c r="AQ54" s="26">
        <v>0</v>
      </c>
      <c r="AR54" s="26"/>
      <c r="AS54" s="54">
        <f t="shared" si="1"/>
        <v>499961</v>
      </c>
      <c r="AT54" s="26"/>
      <c r="AU54" s="54">
        <f t="shared" si="2"/>
        <v>14840367</v>
      </c>
    </row>
    <row r="55" spans="1:48">
      <c r="A55" s="13" t="s">
        <v>278</v>
      </c>
      <c r="B55" s="13"/>
      <c r="C55" s="13" t="s">
        <v>18</v>
      </c>
      <c r="D55" s="13"/>
      <c r="E55" s="32">
        <v>46383</v>
      </c>
      <c r="F55" s="26"/>
      <c r="G55" s="26">
        <v>3348876</v>
      </c>
      <c r="H55" s="26"/>
      <c r="I55" s="26">
        <v>0</v>
      </c>
      <c r="J55" s="26"/>
      <c r="K55" s="26">
        <v>10502533</v>
      </c>
      <c r="L55" s="26"/>
      <c r="M55" s="26">
        <v>145691</v>
      </c>
      <c r="N55" s="26"/>
      <c r="O55" s="26">
        <v>836562</v>
      </c>
      <c r="P55" s="26"/>
      <c r="Q55" s="26">
        <v>130165</v>
      </c>
      <c r="R55" s="26"/>
      <c r="S55" s="26">
        <v>0</v>
      </c>
      <c r="T55" s="26"/>
      <c r="U55" s="26">
        <v>0</v>
      </c>
      <c r="V55" s="26"/>
      <c r="W55" s="26">
        <f>458347+150401</f>
        <v>608748</v>
      </c>
      <c r="X55" s="26"/>
      <c r="Y55" s="54">
        <f t="shared" si="4"/>
        <v>15572575</v>
      </c>
      <c r="Z55" s="26"/>
      <c r="AA55" s="26">
        <v>0</v>
      </c>
      <c r="AB55" s="26"/>
      <c r="AC55" s="26"/>
      <c r="AD55" s="26"/>
      <c r="AE55" s="26">
        <v>0</v>
      </c>
      <c r="AF55" s="26"/>
      <c r="AG55" s="26"/>
      <c r="AH55" s="26"/>
      <c r="AI55" s="26"/>
      <c r="AJ55" s="26"/>
      <c r="AK55" s="26">
        <v>0</v>
      </c>
      <c r="AL55" s="26"/>
      <c r="AM55" s="26">
        <v>0</v>
      </c>
      <c r="AN55" s="26"/>
      <c r="AO55" s="26">
        <v>0</v>
      </c>
      <c r="AP55" s="26"/>
      <c r="AQ55" s="26">
        <v>0</v>
      </c>
      <c r="AR55" s="26"/>
      <c r="AS55" s="54">
        <f t="shared" si="1"/>
        <v>0</v>
      </c>
      <c r="AT55" s="26"/>
      <c r="AU55" s="54">
        <f t="shared" si="2"/>
        <v>15572575</v>
      </c>
    </row>
    <row r="56" spans="1:48">
      <c r="A56" s="13" t="s">
        <v>349</v>
      </c>
      <c r="B56" s="13"/>
      <c r="C56" s="13" t="s">
        <v>25</v>
      </c>
      <c r="D56" s="13"/>
      <c r="E56" s="32">
        <v>46862</v>
      </c>
      <c r="F56" s="26"/>
      <c r="G56" s="26">
        <v>5470615</v>
      </c>
      <c r="H56" s="26"/>
      <c r="I56" s="26">
        <v>3492070</v>
      </c>
      <c r="J56" s="26"/>
      <c r="K56" s="26">
        <v>4722285</v>
      </c>
      <c r="L56" s="26"/>
      <c r="M56" s="26">
        <v>103889</v>
      </c>
      <c r="N56" s="26"/>
      <c r="O56" s="26">
        <v>672834</v>
      </c>
      <c r="P56" s="26"/>
      <c r="Q56" s="26">
        <v>122354</v>
      </c>
      <c r="R56" s="26"/>
      <c r="S56" s="26">
        <v>0</v>
      </c>
      <c r="T56" s="26"/>
      <c r="U56" s="26">
        <v>300194</v>
      </c>
      <c r="V56" s="26"/>
      <c r="W56" s="26">
        <f>38168+36384+4566</f>
        <v>79118</v>
      </c>
      <c r="X56" s="26"/>
      <c r="Y56" s="54">
        <f t="shared" si="4"/>
        <v>14963359</v>
      </c>
      <c r="Z56" s="26"/>
      <c r="AA56" s="26">
        <v>1214</v>
      </c>
      <c r="AB56" s="26"/>
      <c r="AC56" s="26"/>
      <c r="AD56" s="26"/>
      <c r="AE56" s="26">
        <v>0</v>
      </c>
      <c r="AF56" s="26"/>
      <c r="AG56" s="26"/>
      <c r="AH56" s="26"/>
      <c r="AI56" s="26"/>
      <c r="AJ56" s="26"/>
      <c r="AK56" s="26">
        <f>500+3251</f>
        <v>3751</v>
      </c>
      <c r="AL56" s="26"/>
      <c r="AM56" s="26">
        <v>0</v>
      </c>
      <c r="AN56" s="26"/>
      <c r="AO56" s="26">
        <v>0</v>
      </c>
      <c r="AP56" s="26"/>
      <c r="AQ56" s="26">
        <v>0</v>
      </c>
      <c r="AR56" s="26"/>
      <c r="AS56" s="54">
        <f t="shared" si="1"/>
        <v>4965</v>
      </c>
      <c r="AT56" s="26"/>
      <c r="AU56" s="54">
        <f t="shared" si="2"/>
        <v>14968324</v>
      </c>
    </row>
    <row r="57" spans="1:48">
      <c r="A57" s="13" t="s">
        <v>680</v>
      </c>
      <c r="B57" s="13"/>
      <c r="C57" s="13" t="s">
        <v>64</v>
      </c>
      <c r="D57" s="13"/>
      <c r="E57" s="32">
        <v>50096</v>
      </c>
      <c r="F57" s="26"/>
      <c r="G57" s="26">
        <v>1248841</v>
      </c>
      <c r="H57" s="26"/>
      <c r="I57" s="26">
        <v>0</v>
      </c>
      <c r="J57" s="26"/>
      <c r="K57" s="26">
        <f>1754099+698544</f>
        <v>2452643</v>
      </c>
      <c r="L57" s="26"/>
      <c r="M57" s="26">
        <v>34760</v>
      </c>
      <c r="N57" s="26"/>
      <c r="O57" s="26">
        <f>167641+4845</f>
        <v>172486</v>
      </c>
      <c r="P57" s="26"/>
      <c r="Q57" s="26">
        <v>31609</v>
      </c>
      <c r="R57" s="26"/>
      <c r="S57" s="26">
        <v>0</v>
      </c>
      <c r="T57" s="26"/>
      <c r="U57" s="26">
        <v>0</v>
      </c>
      <c r="V57" s="26"/>
      <c r="W57" s="26">
        <f>26978+34396</f>
        <v>61374</v>
      </c>
      <c r="X57" s="26"/>
      <c r="Y57" s="54">
        <f t="shared" si="4"/>
        <v>4001713</v>
      </c>
      <c r="Z57" s="26"/>
      <c r="AA57" s="26">
        <v>0</v>
      </c>
      <c r="AB57" s="26"/>
      <c r="AC57" s="26"/>
      <c r="AD57" s="26"/>
      <c r="AE57" s="26">
        <v>0</v>
      </c>
      <c r="AF57" s="26"/>
      <c r="AG57" s="26"/>
      <c r="AH57" s="26"/>
      <c r="AI57" s="26"/>
      <c r="AJ57" s="26"/>
      <c r="AK57" s="26">
        <v>1558</v>
      </c>
      <c r="AL57" s="26"/>
      <c r="AM57" s="26">
        <v>0</v>
      </c>
      <c r="AN57" s="26"/>
      <c r="AO57" s="26">
        <v>0</v>
      </c>
      <c r="AP57" s="26"/>
      <c r="AQ57" s="26">
        <v>0</v>
      </c>
      <c r="AR57" s="26"/>
      <c r="AS57" s="54">
        <f t="shared" si="1"/>
        <v>1558</v>
      </c>
      <c r="AT57" s="26"/>
      <c r="AU57" s="54">
        <f t="shared" si="2"/>
        <v>4003271</v>
      </c>
    </row>
    <row r="58" spans="1:48">
      <c r="A58" s="13" t="s">
        <v>631</v>
      </c>
      <c r="B58" s="13"/>
      <c r="C58" s="13" t="s">
        <v>59</v>
      </c>
      <c r="D58" s="13"/>
      <c r="E58" s="32">
        <v>49593</v>
      </c>
      <c r="F58" s="26"/>
      <c r="G58" s="26">
        <v>1104090</v>
      </c>
      <c r="H58" s="26"/>
      <c r="I58" s="26">
        <v>0</v>
      </c>
      <c r="J58" s="26"/>
      <c r="K58" s="26">
        <v>7741903</v>
      </c>
      <c r="L58" s="26"/>
      <c r="M58" s="26">
        <v>31563</v>
      </c>
      <c r="N58" s="26"/>
      <c r="O58" s="26">
        <v>758564</v>
      </c>
      <c r="P58" s="26"/>
      <c r="Q58" s="26">
        <v>57397</v>
      </c>
      <c r="R58" s="26"/>
      <c r="S58" s="26">
        <v>0</v>
      </c>
      <c r="T58" s="26"/>
      <c r="U58" s="26">
        <v>4769</v>
      </c>
      <c r="V58" s="26"/>
      <c r="W58" s="26">
        <f>1400+171300+98347</f>
        <v>271047</v>
      </c>
      <c r="X58" s="26"/>
      <c r="Y58" s="54">
        <f>SUM(G58:W58)</f>
        <v>9969333</v>
      </c>
      <c r="Z58" s="26"/>
      <c r="AA58" s="26">
        <v>7794</v>
      </c>
      <c r="AB58" s="26"/>
      <c r="AC58" s="26"/>
      <c r="AD58" s="26"/>
      <c r="AE58" s="26">
        <v>0</v>
      </c>
      <c r="AF58" s="26"/>
      <c r="AG58" s="26"/>
      <c r="AH58" s="26"/>
      <c r="AI58" s="26"/>
      <c r="AJ58" s="26"/>
      <c r="AK58" s="26">
        <v>0</v>
      </c>
      <c r="AL58" s="26"/>
      <c r="AM58" s="26">
        <v>0</v>
      </c>
      <c r="AN58" s="26"/>
      <c r="AO58" s="26">
        <v>0</v>
      </c>
      <c r="AP58" s="26"/>
      <c r="AQ58" s="26">
        <v>0</v>
      </c>
      <c r="AR58" s="26"/>
      <c r="AS58" s="54">
        <f>AK58+AE58+AA58</f>
        <v>7794</v>
      </c>
      <c r="AT58" s="26"/>
      <c r="AU58" s="54">
        <f>Y58+AS58</f>
        <v>9977127</v>
      </c>
    </row>
    <row r="59" spans="1:48" hidden="1">
      <c r="A59" s="13" t="s">
        <v>916</v>
      </c>
      <c r="B59" s="13"/>
      <c r="C59" s="13" t="s">
        <v>10</v>
      </c>
      <c r="D59" s="13"/>
      <c r="E59" s="32">
        <v>49593</v>
      </c>
      <c r="F59" s="26"/>
      <c r="G59" s="26">
        <v>0</v>
      </c>
      <c r="H59" s="26"/>
      <c r="I59" s="26">
        <v>0</v>
      </c>
      <c r="J59" s="26"/>
      <c r="K59" s="26">
        <v>0</v>
      </c>
      <c r="L59" s="26"/>
      <c r="M59" s="26">
        <v>0</v>
      </c>
      <c r="N59" s="26"/>
      <c r="O59" s="26">
        <v>0</v>
      </c>
      <c r="P59" s="26"/>
      <c r="Q59" s="26">
        <v>0</v>
      </c>
      <c r="R59" s="26"/>
      <c r="S59" s="26">
        <v>0</v>
      </c>
      <c r="T59" s="26"/>
      <c r="U59" s="26">
        <v>0</v>
      </c>
      <c r="V59" s="26"/>
      <c r="W59" s="26">
        <v>0</v>
      </c>
      <c r="X59" s="26"/>
      <c r="Y59" s="54">
        <f t="shared" si="4"/>
        <v>0</v>
      </c>
      <c r="Z59" s="26"/>
      <c r="AA59" s="26">
        <v>0</v>
      </c>
      <c r="AB59" s="26"/>
      <c r="AC59" s="26"/>
      <c r="AD59" s="26"/>
      <c r="AE59" s="26">
        <v>0</v>
      </c>
      <c r="AF59" s="26"/>
      <c r="AG59" s="26"/>
      <c r="AH59" s="26"/>
      <c r="AI59" s="26"/>
      <c r="AJ59" s="26"/>
      <c r="AK59" s="26">
        <v>0</v>
      </c>
      <c r="AL59" s="26"/>
      <c r="AM59" s="26">
        <v>0</v>
      </c>
      <c r="AN59" s="26"/>
      <c r="AO59" s="26">
        <v>0</v>
      </c>
      <c r="AP59" s="26"/>
      <c r="AQ59" s="26">
        <v>0</v>
      </c>
      <c r="AR59" s="26"/>
      <c r="AS59" s="54">
        <f t="shared" si="1"/>
        <v>0</v>
      </c>
      <c r="AT59" s="26"/>
      <c r="AU59" s="54">
        <f t="shared" si="2"/>
        <v>0</v>
      </c>
      <c r="AV59" s="8" t="s">
        <v>917</v>
      </c>
    </row>
    <row r="60" spans="1:48">
      <c r="A60" s="13" t="s">
        <v>515</v>
      </c>
      <c r="B60" s="13"/>
      <c r="C60" s="13" t="s">
        <v>45</v>
      </c>
      <c r="D60" s="13"/>
      <c r="E60" s="32">
        <v>48306</v>
      </c>
      <c r="F60" s="26"/>
      <c r="G60" s="26">
        <v>29409993</v>
      </c>
      <c r="H60" s="26"/>
      <c r="I60" s="26">
        <v>0</v>
      </c>
      <c r="J60" s="26"/>
      <c r="K60" s="26">
        <v>14787224</v>
      </c>
      <c r="L60" s="26"/>
      <c r="M60" s="26">
        <v>736682</v>
      </c>
      <c r="N60" s="26"/>
      <c r="O60" s="26">
        <v>558089</v>
      </c>
      <c r="P60" s="26"/>
      <c r="Q60" s="26">
        <v>558260</v>
      </c>
      <c r="R60" s="26"/>
      <c r="S60" s="26">
        <v>0</v>
      </c>
      <c r="T60" s="26"/>
      <c r="U60" s="26">
        <v>31313</v>
      </c>
      <c r="V60" s="26"/>
      <c r="W60" s="26">
        <f>291116+46408+785818</f>
        <v>1123342</v>
      </c>
      <c r="X60" s="26"/>
      <c r="Y60" s="54">
        <f t="shared" si="4"/>
        <v>47204903</v>
      </c>
      <c r="Z60" s="26"/>
      <c r="AA60" s="26">
        <v>0</v>
      </c>
      <c r="AB60" s="26"/>
      <c r="AC60" s="26"/>
      <c r="AD60" s="26"/>
      <c r="AE60" s="26">
        <v>0</v>
      </c>
      <c r="AF60" s="26"/>
      <c r="AG60" s="26"/>
      <c r="AH60" s="26"/>
      <c r="AI60" s="26"/>
      <c r="AJ60" s="26"/>
      <c r="AK60" s="26">
        <v>0</v>
      </c>
      <c r="AL60" s="26"/>
      <c r="AM60" s="26">
        <v>0</v>
      </c>
      <c r="AN60" s="26"/>
      <c r="AO60" s="26">
        <v>0</v>
      </c>
      <c r="AP60" s="26"/>
      <c r="AQ60" s="26">
        <v>0</v>
      </c>
      <c r="AR60" s="26"/>
      <c r="AS60" s="54">
        <f t="shared" si="1"/>
        <v>0</v>
      </c>
      <c r="AT60" s="26"/>
      <c r="AU60" s="54">
        <f t="shared" si="2"/>
        <v>47204903</v>
      </c>
    </row>
    <row r="61" spans="1:48">
      <c r="A61" s="13" t="s">
        <v>647</v>
      </c>
      <c r="B61" s="13"/>
      <c r="C61" s="13" t="s">
        <v>61</v>
      </c>
      <c r="D61" s="13"/>
      <c r="E61" s="32">
        <v>49767</v>
      </c>
      <c r="F61" s="26"/>
      <c r="G61" s="26">
        <v>1152517</v>
      </c>
      <c r="H61" s="26"/>
      <c r="I61" s="26">
        <v>0</v>
      </c>
      <c r="J61" s="26"/>
      <c r="K61" s="26">
        <v>2834602</v>
      </c>
      <c r="L61" s="26"/>
      <c r="M61" s="26">
        <v>75074</v>
      </c>
      <c r="N61" s="26"/>
      <c r="O61" s="26">
        <v>581978</v>
      </c>
      <c r="P61" s="26"/>
      <c r="Q61" s="26">
        <v>133101</v>
      </c>
      <c r="R61" s="26"/>
      <c r="S61" s="26">
        <v>0</v>
      </c>
      <c r="T61" s="26"/>
      <c r="U61" s="26">
        <v>24133</v>
      </c>
      <c r="V61" s="26"/>
      <c r="W61" s="26">
        <f>6362+21560+136219</f>
        <v>164141</v>
      </c>
      <c r="X61" s="26"/>
      <c r="Y61" s="54">
        <f t="shared" si="4"/>
        <v>4965546</v>
      </c>
      <c r="Z61" s="26"/>
      <c r="AA61" s="26">
        <v>0</v>
      </c>
      <c r="AB61" s="26"/>
      <c r="AC61" s="26"/>
      <c r="AD61" s="26"/>
      <c r="AE61" s="26">
        <v>0</v>
      </c>
      <c r="AF61" s="26"/>
      <c r="AG61" s="26"/>
      <c r="AH61" s="26"/>
      <c r="AI61" s="26"/>
      <c r="AJ61" s="26"/>
      <c r="AK61" s="26">
        <v>1624</v>
      </c>
      <c r="AL61" s="26"/>
      <c r="AM61" s="26">
        <v>0</v>
      </c>
      <c r="AN61" s="26"/>
      <c r="AO61" s="26">
        <v>0</v>
      </c>
      <c r="AP61" s="26"/>
      <c r="AQ61" s="26">
        <v>0</v>
      </c>
      <c r="AR61" s="26"/>
      <c r="AS61" s="54">
        <f t="shared" si="1"/>
        <v>1624</v>
      </c>
      <c r="AT61" s="26"/>
      <c r="AU61" s="54">
        <f t="shared" si="2"/>
        <v>4967170</v>
      </c>
    </row>
    <row r="62" spans="1:48">
      <c r="A62" s="13" t="s">
        <v>739</v>
      </c>
      <c r="B62" s="13"/>
      <c r="C62" s="13" t="s">
        <v>72</v>
      </c>
      <c r="D62" s="13"/>
      <c r="E62" s="32">
        <v>43638</v>
      </c>
      <c r="F62" s="26"/>
      <c r="G62" s="26">
        <v>20520123</v>
      </c>
      <c r="H62" s="26"/>
      <c r="I62" s="26">
        <v>0</v>
      </c>
      <c r="J62" s="26"/>
      <c r="K62" s="26">
        <v>12204084</v>
      </c>
      <c r="L62" s="26"/>
      <c r="M62" s="26">
        <v>1956919</v>
      </c>
      <c r="N62" s="26"/>
      <c r="O62" s="26">
        <v>529999</v>
      </c>
      <c r="P62" s="26"/>
      <c r="Q62" s="26">
        <v>254920</v>
      </c>
      <c r="R62" s="26"/>
      <c r="S62" s="26">
        <v>0</v>
      </c>
      <c r="T62" s="26"/>
      <c r="U62" s="26">
        <v>29072</v>
      </c>
      <c r="V62" s="26"/>
      <c r="W62" s="26">
        <f>292884+8555</f>
        <v>301439</v>
      </c>
      <c r="X62" s="26"/>
      <c r="Y62" s="54">
        <f t="shared" si="4"/>
        <v>35796556</v>
      </c>
      <c r="Z62" s="26"/>
      <c r="AA62" s="26">
        <v>345000</v>
      </c>
      <c r="AB62" s="26"/>
      <c r="AC62" s="26"/>
      <c r="AD62" s="26"/>
      <c r="AE62" s="26">
        <v>113</v>
      </c>
      <c r="AF62" s="26"/>
      <c r="AG62" s="26"/>
      <c r="AH62" s="26"/>
      <c r="AI62" s="26"/>
      <c r="AJ62" s="26"/>
      <c r="AK62" s="26">
        <v>22655</v>
      </c>
      <c r="AL62" s="26"/>
      <c r="AM62" s="26">
        <v>0</v>
      </c>
      <c r="AN62" s="26"/>
      <c r="AO62" s="26">
        <v>0</v>
      </c>
      <c r="AP62" s="26"/>
      <c r="AQ62" s="26">
        <v>0</v>
      </c>
      <c r="AR62" s="26"/>
      <c r="AS62" s="54">
        <f t="shared" si="1"/>
        <v>367768</v>
      </c>
      <c r="AT62" s="26"/>
      <c r="AU62" s="54">
        <f t="shared" si="2"/>
        <v>36164324</v>
      </c>
    </row>
    <row r="63" spans="1:48" ht="12" hidden="1" customHeight="1">
      <c r="A63" s="13" t="s">
        <v>922</v>
      </c>
      <c r="B63" s="13"/>
      <c r="C63" s="13" t="s">
        <v>48</v>
      </c>
      <c r="D63" s="13"/>
      <c r="E63" s="32">
        <v>43646</v>
      </c>
      <c r="F63" s="26"/>
      <c r="G63" s="26">
        <v>0</v>
      </c>
      <c r="H63" s="26"/>
      <c r="I63" s="26">
        <v>0</v>
      </c>
      <c r="J63" s="26"/>
      <c r="K63" s="26">
        <v>0</v>
      </c>
      <c r="L63" s="26"/>
      <c r="M63" s="26">
        <v>0</v>
      </c>
      <c r="N63" s="26"/>
      <c r="O63" s="26">
        <v>0</v>
      </c>
      <c r="P63" s="26"/>
      <c r="Q63" s="26">
        <v>0</v>
      </c>
      <c r="R63" s="26"/>
      <c r="S63" s="26">
        <v>0</v>
      </c>
      <c r="T63" s="26"/>
      <c r="U63" s="26">
        <v>0</v>
      </c>
      <c r="V63" s="26"/>
      <c r="W63" s="26">
        <v>0</v>
      </c>
      <c r="X63" s="26"/>
      <c r="Y63" s="54">
        <f>SUM(G63:W63)</f>
        <v>0</v>
      </c>
      <c r="Z63" s="26"/>
      <c r="AA63" s="26">
        <v>0</v>
      </c>
      <c r="AB63" s="26"/>
      <c r="AC63" s="26"/>
      <c r="AD63" s="26"/>
      <c r="AE63" s="26">
        <v>0</v>
      </c>
      <c r="AF63" s="26"/>
      <c r="AG63" s="26"/>
      <c r="AH63" s="26" t="s">
        <v>917</v>
      </c>
      <c r="AI63" s="26"/>
      <c r="AJ63" s="26"/>
      <c r="AK63" s="26">
        <v>0</v>
      </c>
      <c r="AL63" s="26"/>
      <c r="AM63" s="26">
        <v>0</v>
      </c>
      <c r="AN63" s="26"/>
      <c r="AO63" s="26">
        <v>0</v>
      </c>
      <c r="AP63" s="26"/>
      <c r="AQ63" s="26">
        <v>0</v>
      </c>
      <c r="AR63" s="26"/>
      <c r="AS63" s="54">
        <f>AK63+AE63+AA63</f>
        <v>0</v>
      </c>
      <c r="AT63" s="26"/>
      <c r="AU63" s="54">
        <f>Y63+AS63</f>
        <v>0</v>
      </c>
    </row>
    <row r="64" spans="1:48">
      <c r="A64" s="12" t="s">
        <v>984</v>
      </c>
      <c r="B64" s="13"/>
      <c r="C64" s="13" t="s">
        <v>20</v>
      </c>
      <c r="D64" s="13"/>
      <c r="E64" s="32">
        <v>43646</v>
      </c>
      <c r="F64" s="26"/>
      <c r="G64" s="26">
        <v>41916898</v>
      </c>
      <c r="H64" s="26"/>
      <c r="I64" s="26">
        <v>0</v>
      </c>
      <c r="J64" s="26"/>
      <c r="K64" s="26">
        <v>14064093</v>
      </c>
      <c r="L64" s="26"/>
      <c r="M64" s="26">
        <v>1067108</v>
      </c>
      <c r="N64" s="26"/>
      <c r="O64" s="26">
        <v>644083</v>
      </c>
      <c r="P64" s="26"/>
      <c r="Q64" s="26">
        <v>872245</v>
      </c>
      <c r="R64" s="26"/>
      <c r="S64" s="26">
        <v>28250</v>
      </c>
      <c r="T64" s="26"/>
      <c r="U64" s="26">
        <v>193758</v>
      </c>
      <c r="V64" s="26"/>
      <c r="W64" s="26">
        <f>149873+1567120+76272</f>
        <v>1793265</v>
      </c>
      <c r="X64" s="26"/>
      <c r="Y64" s="54">
        <f t="shared" si="4"/>
        <v>60579700</v>
      </c>
      <c r="Z64" s="26"/>
      <c r="AA64" s="26">
        <v>47500</v>
      </c>
      <c r="AB64" s="26"/>
      <c r="AC64" s="26"/>
      <c r="AD64" s="26"/>
      <c r="AE64" s="26">
        <v>0</v>
      </c>
      <c r="AF64" s="26"/>
      <c r="AG64" s="26"/>
      <c r="AH64" s="26"/>
      <c r="AI64" s="26"/>
      <c r="AJ64" s="26"/>
      <c r="AK64" s="26">
        <v>250</v>
      </c>
      <c r="AL64" s="26"/>
      <c r="AM64" s="26">
        <v>0</v>
      </c>
      <c r="AN64" s="26"/>
      <c r="AO64" s="26">
        <v>0</v>
      </c>
      <c r="AP64" s="26"/>
      <c r="AQ64" s="26">
        <v>0</v>
      </c>
      <c r="AR64" s="26"/>
      <c r="AS64" s="54">
        <f t="shared" si="1"/>
        <v>47750</v>
      </c>
      <c r="AT64" s="26"/>
      <c r="AU64" s="54">
        <f t="shared" si="2"/>
        <v>60627450</v>
      </c>
    </row>
    <row r="65" spans="1:48">
      <c r="A65" s="13" t="s">
        <v>235</v>
      </c>
      <c r="B65" s="13"/>
      <c r="C65" s="13" t="s">
        <v>15</v>
      </c>
      <c r="D65" s="13"/>
      <c r="E65" s="32">
        <v>45237</v>
      </c>
      <c r="F65" s="26"/>
      <c r="G65" s="26">
        <v>1870062</v>
      </c>
      <c r="H65" s="26"/>
      <c r="I65" s="26">
        <v>0</v>
      </c>
      <c r="J65" s="26"/>
      <c r="K65" s="26">
        <f>4917335+834896</f>
        <v>5752231</v>
      </c>
      <c r="L65" s="26"/>
      <c r="M65" s="26">
        <v>54277</v>
      </c>
      <c r="N65" s="26"/>
      <c r="O65" s="26">
        <f>262108+12603</f>
        <v>274711</v>
      </c>
      <c r="P65" s="26"/>
      <c r="Q65" s="26">
        <v>56317</v>
      </c>
      <c r="R65" s="26"/>
      <c r="S65" s="26">
        <v>0</v>
      </c>
      <c r="T65" s="26"/>
      <c r="U65" s="26">
        <v>0</v>
      </c>
      <c r="V65" s="26"/>
      <c r="W65" s="26">
        <f>120926+25013</f>
        <v>145939</v>
      </c>
      <c r="X65" s="26"/>
      <c r="Y65" s="54">
        <f t="shared" si="4"/>
        <v>8153537</v>
      </c>
      <c r="Z65" s="26"/>
      <c r="AA65" s="26">
        <v>37600</v>
      </c>
      <c r="AB65" s="26"/>
      <c r="AC65" s="26"/>
      <c r="AD65" s="26"/>
      <c r="AE65" s="26">
        <v>0</v>
      </c>
      <c r="AF65" s="26"/>
      <c r="AG65" s="26"/>
      <c r="AH65" s="26"/>
      <c r="AI65" s="26"/>
      <c r="AJ65" s="26"/>
      <c r="AK65" s="26">
        <v>120000</v>
      </c>
      <c r="AL65" s="26"/>
      <c r="AM65" s="26">
        <v>0</v>
      </c>
      <c r="AN65" s="26"/>
      <c r="AO65" s="26">
        <v>0</v>
      </c>
      <c r="AP65" s="26"/>
      <c r="AQ65" s="26">
        <v>0</v>
      </c>
      <c r="AR65" s="26"/>
      <c r="AS65" s="54">
        <f t="shared" si="1"/>
        <v>157600</v>
      </c>
      <c r="AT65" s="26"/>
      <c r="AU65" s="54">
        <f t="shared" si="2"/>
        <v>8311137</v>
      </c>
    </row>
    <row r="66" spans="1:48">
      <c r="A66" s="13" t="s">
        <v>439</v>
      </c>
      <c r="B66" s="13"/>
      <c r="C66" s="13" t="s">
        <v>440</v>
      </c>
      <c r="D66" s="13"/>
      <c r="E66" s="32">
        <v>47613</v>
      </c>
      <c r="F66" s="26"/>
      <c r="G66" s="26">
        <v>1443460</v>
      </c>
      <c r="H66" s="26"/>
      <c r="I66" s="26">
        <v>0</v>
      </c>
      <c r="J66" s="26"/>
      <c r="K66" s="26">
        <v>5937353</v>
      </c>
      <c r="L66" s="26"/>
      <c r="M66" s="26">
        <v>126251</v>
      </c>
      <c r="N66" s="26"/>
      <c r="O66" s="26">
        <v>342005</v>
      </c>
      <c r="P66" s="26"/>
      <c r="Q66" s="26">
        <v>29490</v>
      </c>
      <c r="R66" s="26"/>
      <c r="S66" s="26">
        <v>0</v>
      </c>
      <c r="T66" s="26"/>
      <c r="U66" s="26">
        <v>380</v>
      </c>
      <c r="V66" s="26"/>
      <c r="W66" s="26">
        <f>48984+139969+8160</f>
        <v>197113</v>
      </c>
      <c r="X66" s="26"/>
      <c r="Y66" s="54">
        <f t="shared" si="4"/>
        <v>8076052</v>
      </c>
      <c r="Z66" s="26"/>
      <c r="AA66" s="26">
        <v>500</v>
      </c>
      <c r="AB66" s="26"/>
      <c r="AC66" s="26"/>
      <c r="AD66" s="26"/>
      <c r="AE66" s="26">
        <v>0</v>
      </c>
      <c r="AF66" s="26"/>
      <c r="AG66" s="26"/>
      <c r="AH66" s="26"/>
      <c r="AI66" s="26"/>
      <c r="AJ66" s="26"/>
      <c r="AK66" s="26">
        <v>2654</v>
      </c>
      <c r="AL66" s="26"/>
      <c r="AM66" s="26">
        <v>0</v>
      </c>
      <c r="AN66" s="26"/>
      <c r="AO66" s="26">
        <v>0</v>
      </c>
      <c r="AP66" s="26"/>
      <c r="AQ66" s="26">
        <v>0</v>
      </c>
      <c r="AR66" s="26"/>
      <c r="AS66" s="54">
        <f t="shared" si="1"/>
        <v>3154</v>
      </c>
      <c r="AT66" s="26"/>
      <c r="AU66" s="54">
        <f t="shared" si="2"/>
        <v>8079206</v>
      </c>
    </row>
    <row r="67" spans="1:48">
      <c r="A67" s="13" t="s">
        <v>681</v>
      </c>
      <c r="B67" s="13"/>
      <c r="C67" s="13" t="s">
        <v>64</v>
      </c>
      <c r="D67" s="13"/>
      <c r="E67" s="32">
        <v>50112</v>
      </c>
      <c r="F67" s="26"/>
      <c r="G67" s="26">
        <v>2551792</v>
      </c>
      <c r="H67" s="26"/>
      <c r="I67" s="26">
        <v>0</v>
      </c>
      <c r="J67" s="26"/>
      <c r="K67" s="26">
        <f>3975302+403795</f>
        <v>4379097</v>
      </c>
      <c r="L67" s="26"/>
      <c r="M67" s="26">
        <v>92607</v>
      </c>
      <c r="N67" s="26"/>
      <c r="O67" s="26">
        <f>220701+12064</f>
        <v>232765</v>
      </c>
      <c r="P67" s="26"/>
      <c r="Q67" s="26">
        <v>101981</v>
      </c>
      <c r="R67" s="26"/>
      <c r="S67" s="26">
        <v>0</v>
      </c>
      <c r="T67" s="26"/>
      <c r="U67" s="26">
        <v>0</v>
      </c>
      <c r="V67" s="26"/>
      <c r="W67" s="26">
        <f>519952+137367</f>
        <v>657319</v>
      </c>
      <c r="X67" s="26"/>
      <c r="Y67" s="54">
        <f t="shared" si="4"/>
        <v>8015561</v>
      </c>
      <c r="Z67" s="26"/>
      <c r="AA67" s="26">
        <v>85612</v>
      </c>
      <c r="AB67" s="26"/>
      <c r="AC67" s="26"/>
      <c r="AD67" s="26"/>
      <c r="AE67" s="26">
        <v>0</v>
      </c>
      <c r="AF67" s="26"/>
      <c r="AG67" s="26"/>
      <c r="AH67" s="26"/>
      <c r="AI67" s="26"/>
      <c r="AJ67" s="26"/>
      <c r="AK67" s="26">
        <v>0</v>
      </c>
      <c r="AL67" s="26"/>
      <c r="AM67" s="26">
        <v>0</v>
      </c>
      <c r="AN67" s="26"/>
      <c r="AO67" s="26">
        <v>0</v>
      </c>
      <c r="AP67" s="26"/>
      <c r="AQ67" s="26">
        <v>0</v>
      </c>
      <c r="AR67" s="26"/>
      <c r="AS67" s="54">
        <f t="shared" si="1"/>
        <v>85612</v>
      </c>
      <c r="AT67" s="26"/>
      <c r="AU67" s="54">
        <f t="shared" si="2"/>
        <v>8101173</v>
      </c>
    </row>
    <row r="68" spans="1:48">
      <c r="A68" s="13" t="s">
        <v>682</v>
      </c>
      <c r="B68" s="13"/>
      <c r="C68" s="13" t="s">
        <v>64</v>
      </c>
      <c r="D68" s="13"/>
      <c r="E68" s="32">
        <v>50120</v>
      </c>
      <c r="F68" s="26"/>
      <c r="G68" s="26">
        <v>3517276</v>
      </c>
      <c r="H68" s="26"/>
      <c r="I68" s="26">
        <v>0</v>
      </c>
      <c r="J68" s="26"/>
      <c r="K68" s="26">
        <f>8961025+1099626</f>
        <v>10060651</v>
      </c>
      <c r="L68" s="26"/>
      <c r="M68" s="26">
        <v>163733</v>
      </c>
      <c r="N68" s="26"/>
      <c r="O68" s="26">
        <f>195873+39+8290</f>
        <v>204202</v>
      </c>
      <c r="P68" s="26"/>
      <c r="Q68" s="26">
        <v>114256</v>
      </c>
      <c r="R68" s="26"/>
      <c r="S68" s="26">
        <v>0</v>
      </c>
      <c r="T68" s="26"/>
      <c r="U68" s="26">
        <v>0</v>
      </c>
      <c r="V68" s="26"/>
      <c r="W68" s="26">
        <f>90913+215136-214811</f>
        <v>91238</v>
      </c>
      <c r="X68" s="26"/>
      <c r="Y68" s="54">
        <f t="shared" si="4"/>
        <v>14151356</v>
      </c>
      <c r="Z68" s="26"/>
      <c r="AA68" s="26">
        <v>0</v>
      </c>
      <c r="AB68" s="26"/>
      <c r="AC68" s="26"/>
      <c r="AD68" s="26"/>
      <c r="AE68" s="26">
        <f>14810729+304956</f>
        <v>15115685</v>
      </c>
      <c r="AF68" s="26"/>
      <c r="AG68" s="26"/>
      <c r="AH68" s="26"/>
      <c r="AI68" s="26"/>
      <c r="AJ68" s="26"/>
      <c r="AK68" s="26">
        <v>139000</v>
      </c>
      <c r="AL68" s="26"/>
      <c r="AM68" s="26">
        <v>0</v>
      </c>
      <c r="AN68" s="26"/>
      <c r="AO68" s="26">
        <v>0</v>
      </c>
      <c r="AP68" s="26"/>
      <c r="AQ68" s="26">
        <v>0</v>
      </c>
      <c r="AR68" s="26"/>
      <c r="AS68" s="54">
        <f t="shared" si="1"/>
        <v>15254685</v>
      </c>
      <c r="AT68" s="26"/>
      <c r="AU68" s="54">
        <f t="shared" si="2"/>
        <v>29406041</v>
      </c>
    </row>
    <row r="69" spans="1:48">
      <c r="A69" s="13" t="s">
        <v>305</v>
      </c>
      <c r="B69" s="13"/>
      <c r="C69" s="13" t="s">
        <v>20</v>
      </c>
      <c r="D69" s="13"/>
      <c r="E69" s="32">
        <v>43653</v>
      </c>
      <c r="F69" s="26"/>
      <c r="G69" s="26">
        <v>10639820</v>
      </c>
      <c r="H69" s="26"/>
      <c r="I69" s="26">
        <v>0</v>
      </c>
      <c r="J69" s="26"/>
      <c r="K69" s="26">
        <v>4534713</v>
      </c>
      <c r="L69" s="26"/>
      <c r="M69" s="26">
        <v>105405</v>
      </c>
      <c r="N69" s="26"/>
      <c r="O69" s="26">
        <v>317203</v>
      </c>
      <c r="P69" s="26"/>
      <c r="Q69" s="26">
        <v>157062</v>
      </c>
      <c r="R69" s="26"/>
      <c r="S69" s="26">
        <v>0</v>
      </c>
      <c r="T69" s="26"/>
      <c r="U69" s="26">
        <v>67023</v>
      </c>
      <c r="V69" s="26"/>
      <c r="W69" s="26">
        <f>352526+2520+140860</f>
        <v>495906</v>
      </c>
      <c r="X69" s="26"/>
      <c r="Y69" s="54">
        <f t="shared" si="4"/>
        <v>16317132</v>
      </c>
      <c r="Z69" s="26"/>
      <c r="AA69" s="26">
        <v>27572</v>
      </c>
      <c r="AB69" s="26"/>
      <c r="AC69" s="26"/>
      <c r="AD69" s="26"/>
      <c r="AE69" s="26">
        <v>0</v>
      </c>
      <c r="AF69" s="26"/>
      <c r="AG69" s="26"/>
      <c r="AH69" s="26"/>
      <c r="AI69" s="26"/>
      <c r="AJ69" s="26"/>
      <c r="AK69" s="26">
        <v>0</v>
      </c>
      <c r="AL69" s="26"/>
      <c r="AM69" s="26">
        <v>0</v>
      </c>
      <c r="AN69" s="26"/>
      <c r="AO69" s="26">
        <v>0</v>
      </c>
      <c r="AP69" s="26"/>
      <c r="AQ69" s="26">
        <v>0</v>
      </c>
      <c r="AR69" s="26"/>
      <c r="AS69" s="54">
        <f t="shared" si="1"/>
        <v>27572</v>
      </c>
      <c r="AT69" s="26"/>
      <c r="AU69" s="54">
        <f t="shared" si="2"/>
        <v>16344704</v>
      </c>
    </row>
    <row r="70" spans="1:48">
      <c r="A70" s="13" t="s">
        <v>552</v>
      </c>
      <c r="B70" s="13"/>
      <c r="C70" s="13" t="s">
        <v>50</v>
      </c>
      <c r="D70" s="13"/>
      <c r="E70" s="32">
        <v>48678</v>
      </c>
      <c r="F70" s="26"/>
      <c r="G70" s="26">
        <v>6328550</v>
      </c>
      <c r="H70" s="26"/>
      <c r="I70" s="26">
        <v>0</v>
      </c>
      <c r="J70" s="26"/>
      <c r="K70" s="26">
        <v>7065507</v>
      </c>
      <c r="L70" s="26"/>
      <c r="M70" s="26">
        <v>190426</v>
      </c>
      <c r="N70" s="26"/>
      <c r="O70" s="26">
        <v>219080</v>
      </c>
      <c r="P70" s="26"/>
      <c r="Q70" s="26">
        <v>365575</v>
      </c>
      <c r="R70" s="26"/>
      <c r="S70" s="26">
        <v>0</v>
      </c>
      <c r="T70" s="26"/>
      <c r="U70" s="26">
        <v>0</v>
      </c>
      <c r="V70" s="26"/>
      <c r="W70" s="26">
        <f>479627+230661</f>
        <v>710288</v>
      </c>
      <c r="X70" s="26"/>
      <c r="Y70" s="54">
        <f t="shared" si="4"/>
        <v>14879426</v>
      </c>
      <c r="Z70" s="26"/>
      <c r="AA70" s="26">
        <v>141948</v>
      </c>
      <c r="AB70" s="26"/>
      <c r="AC70" s="26"/>
      <c r="AD70" s="26"/>
      <c r="AE70" s="26">
        <v>0</v>
      </c>
      <c r="AF70" s="26"/>
      <c r="AG70" s="26"/>
      <c r="AH70" s="26"/>
      <c r="AI70" s="26"/>
      <c r="AJ70" s="26"/>
      <c r="AK70" s="26">
        <v>1786</v>
      </c>
      <c r="AL70" s="26"/>
      <c r="AM70" s="26">
        <v>0</v>
      </c>
      <c r="AN70" s="26"/>
      <c r="AO70" s="26">
        <v>0</v>
      </c>
      <c r="AP70" s="26"/>
      <c r="AQ70" s="26">
        <v>0</v>
      </c>
      <c r="AR70" s="26"/>
      <c r="AS70" s="54">
        <f t="shared" si="1"/>
        <v>143734</v>
      </c>
      <c r="AT70" s="26"/>
      <c r="AU70" s="54">
        <f t="shared" si="2"/>
        <v>15023160</v>
      </c>
    </row>
    <row r="71" spans="1:48">
      <c r="A71" s="13" t="s">
        <v>256</v>
      </c>
      <c r="B71" s="13"/>
      <c r="C71" s="13" t="s">
        <v>16</v>
      </c>
      <c r="D71" s="13"/>
      <c r="E71" s="32">
        <v>46177</v>
      </c>
      <c r="F71" s="26"/>
      <c r="G71" s="26">
        <v>4279073</v>
      </c>
      <c r="H71" s="26"/>
      <c r="I71" s="26">
        <v>0</v>
      </c>
      <c r="J71" s="26"/>
      <c r="K71" s="26">
        <f>631067+3076239</f>
        <v>3707306</v>
      </c>
      <c r="L71" s="26"/>
      <c r="M71" s="26">
        <v>94031</v>
      </c>
      <c r="N71" s="26"/>
      <c r="O71" s="26">
        <f>273930+4925</f>
        <v>278855</v>
      </c>
      <c r="P71" s="26"/>
      <c r="Q71" s="26">
        <v>150259</v>
      </c>
      <c r="R71" s="26"/>
      <c r="S71" s="26">
        <v>68986</v>
      </c>
      <c r="T71" s="26"/>
      <c r="U71" s="26">
        <v>0</v>
      </c>
      <c r="V71" s="26"/>
      <c r="W71" s="26">
        <f>126634+18320</f>
        <v>144954</v>
      </c>
      <c r="X71" s="26"/>
      <c r="Y71" s="54">
        <f t="shared" si="4"/>
        <v>8723464</v>
      </c>
      <c r="Z71" s="26"/>
      <c r="AA71" s="26">
        <v>170100</v>
      </c>
      <c r="AB71" s="26"/>
      <c r="AC71" s="26"/>
      <c r="AD71" s="26"/>
      <c r="AE71" s="26">
        <v>0</v>
      </c>
      <c r="AF71" s="26"/>
      <c r="AG71" s="26"/>
      <c r="AH71" s="26"/>
      <c r="AI71" s="26"/>
      <c r="AJ71" s="26"/>
      <c r="AK71" s="26">
        <v>193</v>
      </c>
      <c r="AL71" s="26"/>
      <c r="AM71" s="26">
        <v>0</v>
      </c>
      <c r="AN71" s="26"/>
      <c r="AO71" s="26">
        <v>0</v>
      </c>
      <c r="AP71" s="26"/>
      <c r="AQ71" s="26">
        <v>0</v>
      </c>
      <c r="AR71" s="26"/>
      <c r="AS71" s="54">
        <f t="shared" si="1"/>
        <v>170293</v>
      </c>
      <c r="AT71" s="26"/>
      <c r="AU71" s="54">
        <f t="shared" si="2"/>
        <v>8893757</v>
      </c>
    </row>
    <row r="72" spans="1:48">
      <c r="A72" s="13" t="s">
        <v>532</v>
      </c>
      <c r="B72" s="13"/>
      <c r="C72" s="13" t="s">
        <v>47</v>
      </c>
      <c r="D72" s="13"/>
      <c r="E72" s="32">
        <v>43661</v>
      </c>
      <c r="F72" s="26"/>
      <c r="G72" s="26">
        <v>34213900</v>
      </c>
      <c r="H72" s="26"/>
      <c r="I72" s="26">
        <v>0</v>
      </c>
      <c r="J72" s="26"/>
      <c r="K72" s="26">
        <v>32862332</v>
      </c>
      <c r="L72" s="26"/>
      <c r="M72" s="26">
        <v>439528</v>
      </c>
      <c r="N72" s="26"/>
      <c r="O72" s="26">
        <v>638830</v>
      </c>
      <c r="P72" s="26"/>
      <c r="Q72" s="26">
        <v>1118509</v>
      </c>
      <c r="R72" s="26"/>
      <c r="S72" s="26">
        <v>0</v>
      </c>
      <c r="T72" s="26"/>
      <c r="U72" s="26">
        <v>37263</v>
      </c>
      <c r="V72" s="26"/>
      <c r="W72" s="26">
        <f>1163666+32801+1390013</f>
        <v>2586480</v>
      </c>
      <c r="X72" s="26"/>
      <c r="Y72" s="54">
        <f t="shared" si="4"/>
        <v>71896842</v>
      </c>
      <c r="Z72" s="26"/>
      <c r="AA72" s="26">
        <v>55685</v>
      </c>
      <c r="AB72" s="26"/>
      <c r="AC72" s="26"/>
      <c r="AD72" s="26"/>
      <c r="AE72" s="26">
        <v>2000000</v>
      </c>
      <c r="AF72" s="26"/>
      <c r="AG72" s="26"/>
      <c r="AH72" s="26"/>
      <c r="AI72" s="26"/>
      <c r="AJ72" s="26"/>
      <c r="AK72" s="26">
        <v>0</v>
      </c>
      <c r="AL72" s="26"/>
      <c r="AM72" s="26">
        <v>0</v>
      </c>
      <c r="AN72" s="26"/>
      <c r="AO72" s="26">
        <v>0</v>
      </c>
      <c r="AP72" s="26"/>
      <c r="AQ72" s="26">
        <v>0</v>
      </c>
      <c r="AR72" s="26"/>
      <c r="AS72" s="54">
        <f t="shared" si="1"/>
        <v>2055685</v>
      </c>
      <c r="AT72" s="26"/>
      <c r="AU72" s="54">
        <f t="shared" si="2"/>
        <v>73952527</v>
      </c>
    </row>
    <row r="73" spans="1:48" hidden="1">
      <c r="A73" s="13" t="s">
        <v>732</v>
      </c>
      <c r="B73" s="13"/>
      <c r="C73" s="13" t="s">
        <v>733</v>
      </c>
      <c r="D73" s="13"/>
      <c r="E73" s="32">
        <v>43679</v>
      </c>
      <c r="F73" s="26"/>
      <c r="G73" s="26">
        <v>0</v>
      </c>
      <c r="H73" s="26"/>
      <c r="I73" s="26">
        <v>0</v>
      </c>
      <c r="J73" s="26"/>
      <c r="K73" s="26">
        <v>0</v>
      </c>
      <c r="L73" s="26"/>
      <c r="M73" s="26">
        <v>0</v>
      </c>
      <c r="N73" s="26"/>
      <c r="O73" s="26">
        <v>0</v>
      </c>
      <c r="P73" s="26"/>
      <c r="Q73" s="26">
        <v>0</v>
      </c>
      <c r="R73" s="26"/>
      <c r="S73" s="26">
        <v>0</v>
      </c>
      <c r="T73" s="26"/>
      <c r="U73" s="26">
        <v>0</v>
      </c>
      <c r="V73" s="26"/>
      <c r="W73" s="26">
        <v>0</v>
      </c>
      <c r="X73" s="26"/>
      <c r="Y73" s="54">
        <f t="shared" si="4"/>
        <v>0</v>
      </c>
      <c r="Z73" s="26"/>
      <c r="AA73" s="26">
        <v>0</v>
      </c>
      <c r="AB73" s="26"/>
      <c r="AC73" s="26"/>
      <c r="AD73" s="26"/>
      <c r="AE73" s="26">
        <v>0</v>
      </c>
      <c r="AF73" s="26"/>
      <c r="AG73" s="26"/>
      <c r="AH73" s="26"/>
      <c r="AI73" s="26"/>
      <c r="AJ73" s="26"/>
      <c r="AK73" s="26">
        <v>0</v>
      </c>
      <c r="AL73" s="26"/>
      <c r="AM73" s="26">
        <v>0</v>
      </c>
      <c r="AN73" s="26"/>
      <c r="AO73" s="26">
        <v>0</v>
      </c>
      <c r="AP73" s="26"/>
      <c r="AQ73" s="26">
        <v>0</v>
      </c>
      <c r="AR73" s="26"/>
      <c r="AS73" s="54">
        <f t="shared" si="1"/>
        <v>0</v>
      </c>
      <c r="AT73" s="26"/>
      <c r="AU73" s="54">
        <f t="shared" si="2"/>
        <v>0</v>
      </c>
      <c r="AV73" s="8" t="s">
        <v>917</v>
      </c>
    </row>
    <row r="74" spans="1:48">
      <c r="A74" s="13" t="s">
        <v>294</v>
      </c>
      <c r="B74" s="13"/>
      <c r="C74" s="13" t="s">
        <v>114</v>
      </c>
      <c r="D74" s="13"/>
      <c r="E74" s="32">
        <v>46508</v>
      </c>
      <c r="F74" s="26"/>
      <c r="G74" s="26">
        <v>3717869</v>
      </c>
      <c r="H74" s="26"/>
      <c r="I74" s="26">
        <v>0</v>
      </c>
      <c r="J74" s="26"/>
      <c r="K74" s="26">
        <f>11612071+416609</f>
        <v>12028680</v>
      </c>
      <c r="L74" s="26"/>
      <c r="M74" s="26">
        <v>472932</v>
      </c>
      <c r="N74" s="26"/>
      <c r="O74" s="26">
        <f>200469+17231</f>
        <v>217700</v>
      </c>
      <c r="P74" s="26"/>
      <c r="Q74" s="26">
        <v>89379</v>
      </c>
      <c r="R74" s="26"/>
      <c r="S74" s="26">
        <v>0</v>
      </c>
      <c r="T74" s="26"/>
      <c r="U74" s="26">
        <v>0</v>
      </c>
      <c r="V74" s="26"/>
      <c r="W74" s="26">
        <f>54436+175067</f>
        <v>229503</v>
      </c>
      <c r="X74" s="26"/>
      <c r="Y74" s="54">
        <f t="shared" si="4"/>
        <v>16756063</v>
      </c>
      <c r="Z74" s="26"/>
      <c r="AA74" s="26">
        <v>82500</v>
      </c>
      <c r="AB74" s="26"/>
      <c r="AC74" s="26"/>
      <c r="AD74" s="26"/>
      <c r="AE74" s="26">
        <v>0</v>
      </c>
      <c r="AF74" s="26"/>
      <c r="AG74" s="26"/>
      <c r="AH74" s="26"/>
      <c r="AI74" s="26"/>
      <c r="AJ74" s="26"/>
      <c r="AK74" s="26">
        <v>0</v>
      </c>
      <c r="AL74" s="26"/>
      <c r="AM74" s="26">
        <v>0</v>
      </c>
      <c r="AN74" s="26"/>
      <c r="AO74" s="26">
        <v>0</v>
      </c>
      <c r="AP74" s="26"/>
      <c r="AQ74" s="26">
        <v>0</v>
      </c>
      <c r="AR74" s="26"/>
      <c r="AS74" s="54">
        <f t="shared" si="1"/>
        <v>82500</v>
      </c>
      <c r="AT74" s="26"/>
      <c r="AU74" s="54">
        <f t="shared" si="2"/>
        <v>16838563</v>
      </c>
    </row>
    <row r="75" spans="1:48">
      <c r="A75" s="13" t="s">
        <v>219</v>
      </c>
      <c r="B75" s="13"/>
      <c r="C75" s="13" t="s">
        <v>12</v>
      </c>
      <c r="D75" s="13"/>
      <c r="E75" s="32">
        <v>45856</v>
      </c>
      <c r="F75" s="26"/>
      <c r="G75" s="26">
        <v>8812928</v>
      </c>
      <c r="H75" s="26"/>
      <c r="I75" s="26">
        <v>0</v>
      </c>
      <c r="J75" s="26"/>
      <c r="K75" s="26">
        <v>10248626</v>
      </c>
      <c r="L75" s="26"/>
      <c r="M75" s="26">
        <v>227773</v>
      </c>
      <c r="N75" s="26"/>
      <c r="O75" s="26">
        <v>1318234</v>
      </c>
      <c r="P75" s="26"/>
      <c r="Q75" s="26">
        <v>144248</v>
      </c>
      <c r="R75" s="26"/>
      <c r="S75" s="26">
        <v>0</v>
      </c>
      <c r="T75" s="26"/>
      <c r="U75" s="26">
        <v>23677</v>
      </c>
      <c r="V75" s="26"/>
      <c r="W75" s="26">
        <f>450164+4574+78407</f>
        <v>533145</v>
      </c>
      <c r="X75" s="26"/>
      <c r="Y75" s="54">
        <f t="shared" si="4"/>
        <v>21308631</v>
      </c>
      <c r="Z75" s="26"/>
      <c r="AA75" s="26">
        <v>72789</v>
      </c>
      <c r="AB75" s="26"/>
      <c r="AC75" s="26"/>
      <c r="AD75" s="26"/>
      <c r="AE75" s="26">
        <v>0</v>
      </c>
      <c r="AF75" s="26"/>
      <c r="AG75" s="26"/>
      <c r="AH75" s="26"/>
      <c r="AI75" s="26"/>
      <c r="AJ75" s="26"/>
      <c r="AK75" s="26">
        <v>3453</v>
      </c>
      <c r="AL75" s="26"/>
      <c r="AM75" s="26">
        <v>0</v>
      </c>
      <c r="AN75" s="26"/>
      <c r="AO75" s="26">
        <v>0</v>
      </c>
      <c r="AP75" s="26"/>
      <c r="AQ75" s="26">
        <v>0</v>
      </c>
      <c r="AR75" s="26"/>
      <c r="AS75" s="54">
        <f t="shared" si="1"/>
        <v>76242</v>
      </c>
      <c r="AT75" s="26"/>
      <c r="AU75" s="54">
        <f t="shared" si="2"/>
        <v>21384873</v>
      </c>
    </row>
    <row r="76" spans="1:48">
      <c r="A76" s="13" t="s">
        <v>219</v>
      </c>
      <c r="B76" s="13"/>
      <c r="C76" s="13" t="s">
        <v>39</v>
      </c>
      <c r="D76" s="13"/>
      <c r="E76" s="32">
        <v>47787</v>
      </c>
      <c r="F76" s="26"/>
      <c r="G76" s="26">
        <v>6620813</v>
      </c>
      <c r="H76" s="26"/>
      <c r="I76" s="26">
        <v>0</v>
      </c>
      <c r="J76" s="26"/>
      <c r="K76" s="26">
        <v>13502848</v>
      </c>
      <c r="L76" s="26"/>
      <c r="M76" s="26">
        <v>103050</v>
      </c>
      <c r="N76" s="26"/>
      <c r="O76" s="26">
        <v>516663</v>
      </c>
      <c r="P76" s="26"/>
      <c r="Q76" s="26">
        <v>134400</v>
      </c>
      <c r="R76" s="26"/>
      <c r="S76" s="26">
        <v>0</v>
      </c>
      <c r="T76" s="26"/>
      <c r="U76" s="26">
        <v>66877</v>
      </c>
      <c r="V76" s="26"/>
      <c r="W76" s="26">
        <f>318553+26450</f>
        <v>345003</v>
      </c>
      <c r="X76" s="26"/>
      <c r="Y76" s="54">
        <f t="shared" si="4"/>
        <v>21289654</v>
      </c>
      <c r="Z76" s="26"/>
      <c r="AA76" s="26">
        <v>0</v>
      </c>
      <c r="AB76" s="26"/>
      <c r="AC76" s="26"/>
      <c r="AD76" s="26"/>
      <c r="AE76" s="26">
        <v>0</v>
      </c>
      <c r="AF76" s="26"/>
      <c r="AG76" s="26"/>
      <c r="AH76" s="26"/>
      <c r="AI76" s="26"/>
      <c r="AJ76" s="26"/>
      <c r="AK76" s="26">
        <v>250</v>
      </c>
      <c r="AL76" s="26"/>
      <c r="AM76" s="26">
        <v>0</v>
      </c>
      <c r="AN76" s="26"/>
      <c r="AO76" s="26">
        <v>0</v>
      </c>
      <c r="AP76" s="26"/>
      <c r="AQ76" s="26">
        <v>0</v>
      </c>
      <c r="AR76" s="26"/>
      <c r="AS76" s="54">
        <f t="shared" si="1"/>
        <v>250</v>
      </c>
      <c r="AT76" s="26"/>
      <c r="AU76" s="54">
        <f t="shared" si="2"/>
        <v>21289904</v>
      </c>
    </row>
    <row r="77" spans="1:48" hidden="1">
      <c r="A77" s="13" t="s">
        <v>219</v>
      </c>
      <c r="B77" s="13"/>
      <c r="C77" s="13" t="s">
        <v>47</v>
      </c>
      <c r="D77" s="13"/>
      <c r="E77" s="32">
        <v>48470</v>
      </c>
      <c r="F77" s="26"/>
      <c r="G77" s="26">
        <v>0</v>
      </c>
      <c r="H77" s="26"/>
      <c r="I77" s="26">
        <v>0</v>
      </c>
      <c r="J77" s="26"/>
      <c r="K77" s="26">
        <v>0</v>
      </c>
      <c r="L77" s="26"/>
      <c r="M77" s="26">
        <v>0</v>
      </c>
      <c r="N77" s="26"/>
      <c r="O77" s="26">
        <v>0</v>
      </c>
      <c r="P77" s="26"/>
      <c r="Q77" s="26">
        <v>0</v>
      </c>
      <c r="R77" s="26"/>
      <c r="S77" s="26">
        <v>0</v>
      </c>
      <c r="T77" s="26"/>
      <c r="U77" s="26">
        <v>0</v>
      </c>
      <c r="V77" s="26"/>
      <c r="W77" s="26">
        <v>0</v>
      </c>
      <c r="X77" s="26"/>
      <c r="Y77" s="54">
        <f t="shared" si="4"/>
        <v>0</v>
      </c>
      <c r="Z77" s="26"/>
      <c r="AA77" s="26">
        <v>0</v>
      </c>
      <c r="AB77" s="26"/>
      <c r="AC77" s="26"/>
      <c r="AD77" s="26"/>
      <c r="AE77" s="26">
        <v>0</v>
      </c>
      <c r="AF77" s="26"/>
      <c r="AG77" s="26"/>
      <c r="AH77" s="26"/>
      <c r="AI77" s="26"/>
      <c r="AJ77" s="26"/>
      <c r="AK77" s="26">
        <v>0</v>
      </c>
      <c r="AL77" s="26"/>
      <c r="AM77" s="26">
        <v>0</v>
      </c>
      <c r="AN77" s="26"/>
      <c r="AO77" s="26">
        <v>0</v>
      </c>
      <c r="AP77" s="26"/>
      <c r="AQ77" s="26">
        <v>0</v>
      </c>
      <c r="AR77" s="26"/>
      <c r="AS77" s="54">
        <f t="shared" si="1"/>
        <v>0</v>
      </c>
      <c r="AT77" s="26"/>
      <c r="AU77" s="54">
        <f t="shared" si="2"/>
        <v>0</v>
      </c>
    </row>
    <row r="78" spans="1:48" hidden="1">
      <c r="A78" s="13" t="s">
        <v>918</v>
      </c>
      <c r="B78" s="13"/>
      <c r="C78" s="13" t="s">
        <v>115</v>
      </c>
      <c r="D78" s="13"/>
      <c r="E78" s="32">
        <v>46755</v>
      </c>
      <c r="F78" s="26"/>
      <c r="G78" s="26">
        <v>0</v>
      </c>
      <c r="H78" s="26"/>
      <c r="I78" s="26">
        <v>0</v>
      </c>
      <c r="J78" s="26"/>
      <c r="K78" s="26">
        <v>0</v>
      </c>
      <c r="L78" s="26"/>
      <c r="M78" s="26">
        <v>0</v>
      </c>
      <c r="N78" s="26"/>
      <c r="O78" s="26">
        <v>0</v>
      </c>
      <c r="P78" s="26"/>
      <c r="Q78" s="26">
        <v>0</v>
      </c>
      <c r="R78" s="26"/>
      <c r="S78" s="26">
        <v>0</v>
      </c>
      <c r="T78" s="26"/>
      <c r="U78" s="26">
        <v>0</v>
      </c>
      <c r="V78" s="26"/>
      <c r="W78" s="26">
        <v>0</v>
      </c>
      <c r="X78" s="26"/>
      <c r="Y78" s="54">
        <f>SUM(G78:W78)</f>
        <v>0</v>
      </c>
      <c r="Z78" s="26"/>
      <c r="AA78" s="26">
        <v>0</v>
      </c>
      <c r="AB78" s="26"/>
      <c r="AC78" s="26"/>
      <c r="AD78" s="26"/>
      <c r="AE78" s="26">
        <v>0</v>
      </c>
      <c r="AF78" s="26"/>
      <c r="AG78" s="26"/>
      <c r="AH78" s="26"/>
      <c r="AI78" s="26"/>
      <c r="AJ78" s="26"/>
      <c r="AK78" s="26">
        <v>0</v>
      </c>
      <c r="AL78" s="26"/>
      <c r="AM78" s="26">
        <v>0</v>
      </c>
      <c r="AN78" s="26"/>
      <c r="AO78" s="26">
        <v>0</v>
      </c>
      <c r="AP78" s="26"/>
      <c r="AQ78" s="26">
        <v>0</v>
      </c>
      <c r="AR78" s="26"/>
      <c r="AS78" s="54">
        <f>AK78+AE78+AA78</f>
        <v>0</v>
      </c>
      <c r="AT78" s="26"/>
      <c r="AU78" s="54">
        <f>Y78+AS78</f>
        <v>0</v>
      </c>
      <c r="AV78" s="10" t="s">
        <v>926</v>
      </c>
    </row>
    <row r="79" spans="1:48">
      <c r="A79" s="13" t="s">
        <v>337</v>
      </c>
      <c r="B79" s="13"/>
      <c r="C79" s="13" t="s">
        <v>23</v>
      </c>
      <c r="D79" s="13"/>
      <c r="E79" s="32">
        <v>46755</v>
      </c>
      <c r="F79" s="26"/>
      <c r="G79" s="26">
        <v>10439483</v>
      </c>
      <c r="H79" s="26"/>
      <c r="I79" s="26">
        <v>4932111</v>
      </c>
      <c r="J79" s="26"/>
      <c r="K79" s="26">
        <f>6564338+1056743</f>
        <v>7621081</v>
      </c>
      <c r="L79" s="26"/>
      <c r="M79" s="26">
        <v>280428</v>
      </c>
      <c r="N79" s="26"/>
      <c r="O79" s="26">
        <f>882242+170190</f>
        <v>1052432</v>
      </c>
      <c r="P79" s="26"/>
      <c r="Q79" s="26">
        <v>230797</v>
      </c>
      <c r="R79" s="26"/>
      <c r="S79" s="26">
        <v>0</v>
      </c>
      <c r="T79" s="26"/>
      <c r="U79" s="26">
        <v>0</v>
      </c>
      <c r="V79" s="26"/>
      <c r="W79" s="26">
        <f>504281+110802</f>
        <v>615083</v>
      </c>
      <c r="X79" s="26"/>
      <c r="Y79" s="54">
        <f>SUM(G79:W79)</f>
        <v>25171415</v>
      </c>
      <c r="Z79" s="26"/>
      <c r="AA79" s="26">
        <v>550000</v>
      </c>
      <c r="AB79" s="26"/>
      <c r="AC79" s="26"/>
      <c r="AD79" s="26"/>
      <c r="AE79" s="26">
        <v>18934</v>
      </c>
      <c r="AF79" s="26"/>
      <c r="AG79" s="26"/>
      <c r="AH79" s="26"/>
      <c r="AI79" s="26"/>
      <c r="AJ79" s="26"/>
      <c r="AK79" s="26">
        <v>0</v>
      </c>
      <c r="AL79" s="26"/>
      <c r="AM79" s="26">
        <v>0</v>
      </c>
      <c r="AN79" s="26"/>
      <c r="AO79" s="26">
        <v>0</v>
      </c>
      <c r="AP79" s="26"/>
      <c r="AQ79" s="26">
        <v>0</v>
      </c>
      <c r="AR79" s="26"/>
      <c r="AS79" s="54">
        <f>AK79+AE79+AA79</f>
        <v>568934</v>
      </c>
      <c r="AT79" s="26"/>
      <c r="AU79" s="54">
        <f>Y79+AS79</f>
        <v>25740349</v>
      </c>
    </row>
    <row r="80" spans="1:48">
      <c r="A80" s="13" t="s">
        <v>295</v>
      </c>
      <c r="B80" s="13"/>
      <c r="C80" s="13" t="s">
        <v>114</v>
      </c>
      <c r="D80" s="13"/>
      <c r="E80" s="32">
        <v>43687</v>
      </c>
      <c r="F80" s="26"/>
      <c r="G80" s="26">
        <v>5431752</v>
      </c>
      <c r="H80" s="26"/>
      <c r="I80" s="26">
        <v>0</v>
      </c>
      <c r="J80" s="26"/>
      <c r="K80" s="26">
        <f>70723+26540783+2366596</f>
        <v>28978102</v>
      </c>
      <c r="L80" s="26"/>
      <c r="M80" s="26">
        <v>1104197</v>
      </c>
      <c r="N80" s="26"/>
      <c r="O80" s="26">
        <f>384613+47487</f>
        <v>432100</v>
      </c>
      <c r="P80" s="26"/>
      <c r="Q80" s="26">
        <v>108136</v>
      </c>
      <c r="R80" s="26"/>
      <c r="S80" s="26">
        <v>0</v>
      </c>
      <c r="T80" s="26"/>
      <c r="U80" s="26">
        <v>0</v>
      </c>
      <c r="V80" s="26"/>
      <c r="W80" s="26">
        <f>357397+112063</f>
        <v>469460</v>
      </c>
      <c r="X80" s="26"/>
      <c r="Y80" s="54">
        <f>SUM(G80:W80)</f>
        <v>36523747</v>
      </c>
      <c r="Z80" s="26"/>
      <c r="AA80" s="26">
        <v>1393923</v>
      </c>
      <c r="AB80" s="26"/>
      <c r="AC80" s="26"/>
      <c r="AD80" s="26"/>
      <c r="AE80" s="26">
        <v>0</v>
      </c>
      <c r="AF80" s="26"/>
      <c r="AG80" s="26"/>
      <c r="AH80" s="26"/>
      <c r="AI80" s="26"/>
      <c r="AJ80" s="26"/>
      <c r="AK80" s="26">
        <v>0</v>
      </c>
      <c r="AL80" s="26"/>
      <c r="AM80" s="26">
        <v>0</v>
      </c>
      <c r="AN80" s="26"/>
      <c r="AO80" s="26">
        <v>0</v>
      </c>
      <c r="AP80" s="26"/>
      <c r="AQ80" s="26">
        <v>0</v>
      </c>
      <c r="AR80" s="26"/>
      <c r="AS80" s="54">
        <f>AK80+AE80+AA80</f>
        <v>1393923</v>
      </c>
      <c r="AT80" s="26"/>
      <c r="AU80" s="54">
        <f>Y80+AS80</f>
        <v>37917670</v>
      </c>
    </row>
    <row r="81" spans="1:47">
      <c r="A81" s="13" t="s">
        <v>577</v>
      </c>
      <c r="B81" s="13"/>
      <c r="C81" s="13" t="s">
        <v>52</v>
      </c>
      <c r="D81" s="13"/>
      <c r="E81" s="32">
        <v>45252</v>
      </c>
      <c r="F81" s="26"/>
      <c r="G81" s="26">
        <v>2022670</v>
      </c>
      <c r="H81" s="26"/>
      <c r="I81" s="26">
        <v>0</v>
      </c>
      <c r="J81" s="26"/>
      <c r="K81" s="26">
        <v>5160145</v>
      </c>
      <c r="L81" s="26"/>
      <c r="M81" s="26">
        <v>102127</v>
      </c>
      <c r="N81" s="26"/>
      <c r="O81" s="26">
        <v>304217</v>
      </c>
      <c r="P81" s="26"/>
      <c r="Q81" s="26">
        <v>124719</v>
      </c>
      <c r="R81" s="26"/>
      <c r="S81" s="26">
        <v>0</v>
      </c>
      <c r="T81" s="26"/>
      <c r="U81" s="26">
        <v>141976</v>
      </c>
      <c r="V81" s="26"/>
      <c r="W81" s="26">
        <v>37093</v>
      </c>
      <c r="X81" s="26"/>
      <c r="Y81" s="54">
        <f t="shared" ref="Y81:Y142" si="5">SUM(G81:W81)</f>
        <v>7892947</v>
      </c>
      <c r="Z81" s="26"/>
      <c r="AA81" s="26">
        <v>43000</v>
      </c>
      <c r="AB81" s="26"/>
      <c r="AC81" s="26"/>
      <c r="AD81" s="26"/>
      <c r="AE81" s="26">
        <v>0</v>
      </c>
      <c r="AF81" s="26"/>
      <c r="AG81" s="26"/>
      <c r="AH81" s="26"/>
      <c r="AI81" s="26"/>
      <c r="AJ81" s="26"/>
      <c r="AK81" s="26">
        <v>1652</v>
      </c>
      <c r="AL81" s="26"/>
      <c r="AM81" s="26">
        <v>0</v>
      </c>
      <c r="AN81" s="26"/>
      <c r="AO81" s="26">
        <v>0</v>
      </c>
      <c r="AP81" s="26"/>
      <c r="AQ81" s="26">
        <v>0</v>
      </c>
      <c r="AR81" s="26"/>
      <c r="AS81" s="54">
        <f t="shared" ref="AS81:AS141" si="6">AK81+AE81+AA81</f>
        <v>44652</v>
      </c>
      <c r="AT81" s="26"/>
      <c r="AU81" s="54">
        <f t="shared" ref="AU81:AU141" si="7">Y81+AS81</f>
        <v>7937599</v>
      </c>
    </row>
    <row r="82" spans="1:47">
      <c r="A82" s="13" t="s">
        <v>393</v>
      </c>
      <c r="B82" s="13"/>
      <c r="C82" s="13" t="s">
        <v>31</v>
      </c>
      <c r="D82" s="13"/>
      <c r="E82" s="32">
        <v>43695</v>
      </c>
      <c r="F82" s="26"/>
      <c r="G82" s="26">
        <v>6182187</v>
      </c>
      <c r="H82" s="26"/>
      <c r="I82" s="26">
        <v>0</v>
      </c>
      <c r="J82" s="26"/>
      <c r="K82" s="26">
        <v>16384312</v>
      </c>
      <c r="L82" s="26"/>
      <c r="M82" s="26">
        <v>223240</v>
      </c>
      <c r="N82" s="26"/>
      <c r="O82" s="26">
        <v>828606</v>
      </c>
      <c r="P82" s="26"/>
      <c r="Q82" s="26">
        <v>241522</v>
      </c>
      <c r="R82" s="26"/>
      <c r="S82" s="26">
        <v>0</v>
      </c>
      <c r="T82" s="26"/>
      <c r="U82" s="26">
        <v>26343</v>
      </c>
      <c r="V82" s="26"/>
      <c r="W82" s="26">
        <v>368133</v>
      </c>
      <c r="X82" s="26"/>
      <c r="Y82" s="54">
        <f t="shared" si="5"/>
        <v>24254343</v>
      </c>
      <c r="Z82" s="26"/>
      <c r="AA82" s="26">
        <v>0</v>
      </c>
      <c r="AB82" s="26"/>
      <c r="AC82" s="26"/>
      <c r="AD82" s="26"/>
      <c r="AE82" s="26">
        <v>0</v>
      </c>
      <c r="AF82" s="26"/>
      <c r="AG82" s="26"/>
      <c r="AH82" s="26"/>
      <c r="AI82" s="26"/>
      <c r="AJ82" s="26"/>
      <c r="AK82" s="26">
        <v>0</v>
      </c>
      <c r="AL82" s="26"/>
      <c r="AM82" s="26">
        <v>0</v>
      </c>
      <c r="AN82" s="26"/>
      <c r="AO82" s="26">
        <v>0</v>
      </c>
      <c r="AP82" s="26"/>
      <c r="AQ82" s="26">
        <v>0</v>
      </c>
      <c r="AR82" s="26"/>
      <c r="AS82" s="54">
        <f t="shared" si="6"/>
        <v>0</v>
      </c>
      <c r="AT82" s="26"/>
      <c r="AU82" s="54">
        <f t="shared" si="7"/>
        <v>24254343</v>
      </c>
    </row>
    <row r="83" spans="1:47" hidden="1">
      <c r="A83" s="13" t="s">
        <v>516</v>
      </c>
      <c r="B83" s="13"/>
      <c r="C83" s="13" t="s">
        <v>45</v>
      </c>
      <c r="D83" s="13"/>
      <c r="E83" s="32">
        <v>43703</v>
      </c>
      <c r="F83" s="26"/>
      <c r="G83" s="26">
        <v>0</v>
      </c>
      <c r="H83" s="26"/>
      <c r="I83" s="26">
        <v>0</v>
      </c>
      <c r="J83" s="26"/>
      <c r="K83" s="26">
        <v>0</v>
      </c>
      <c r="L83" s="26"/>
      <c r="M83" s="26">
        <v>0</v>
      </c>
      <c r="N83" s="26"/>
      <c r="O83" s="26">
        <v>0</v>
      </c>
      <c r="P83" s="26"/>
      <c r="Q83" s="26">
        <v>0</v>
      </c>
      <c r="R83" s="26"/>
      <c r="S83" s="26">
        <v>0</v>
      </c>
      <c r="T83" s="26"/>
      <c r="U83" s="26">
        <v>0</v>
      </c>
      <c r="V83" s="26"/>
      <c r="W83" s="26">
        <v>0</v>
      </c>
      <c r="X83" s="26"/>
      <c r="Y83" s="54">
        <f t="shared" si="5"/>
        <v>0</v>
      </c>
      <c r="Z83" s="26"/>
      <c r="AA83" s="26">
        <v>0</v>
      </c>
      <c r="AB83" s="26"/>
      <c r="AC83" s="26"/>
      <c r="AD83" s="26"/>
      <c r="AE83" s="26">
        <v>0</v>
      </c>
      <c r="AF83" s="26"/>
      <c r="AG83" s="26"/>
      <c r="AH83" s="26"/>
      <c r="AI83" s="26"/>
      <c r="AJ83" s="26"/>
      <c r="AK83" s="26">
        <v>0</v>
      </c>
      <c r="AL83" s="26"/>
      <c r="AM83" s="26">
        <v>0</v>
      </c>
      <c r="AN83" s="26"/>
      <c r="AO83" s="26">
        <v>0</v>
      </c>
      <c r="AP83" s="26"/>
      <c r="AQ83" s="26">
        <v>0</v>
      </c>
      <c r="AR83" s="26"/>
      <c r="AS83" s="54">
        <f t="shared" si="6"/>
        <v>0</v>
      </c>
      <c r="AT83" s="26"/>
      <c r="AU83" s="54">
        <f t="shared" si="7"/>
        <v>0</v>
      </c>
    </row>
    <row r="84" spans="1:47">
      <c r="A84" s="13" t="s">
        <v>357</v>
      </c>
      <c r="B84" s="13"/>
      <c r="C84" s="13" t="s">
        <v>27</v>
      </c>
      <c r="D84" s="13"/>
      <c r="E84" s="32">
        <v>46946</v>
      </c>
      <c r="F84" s="26"/>
      <c r="G84" s="26">
        <v>16322531</v>
      </c>
      <c r="H84" s="26"/>
      <c r="I84" s="26">
        <v>0</v>
      </c>
      <c r="J84" s="26"/>
      <c r="K84" s="26">
        <v>16375328</v>
      </c>
      <c r="L84" s="26"/>
      <c r="M84" s="26">
        <v>710227</v>
      </c>
      <c r="N84" s="26"/>
      <c r="O84" s="26">
        <v>420339</v>
      </c>
      <c r="P84" s="26"/>
      <c r="Q84" s="26">
        <v>550585</v>
      </c>
      <c r="R84" s="26"/>
      <c r="S84" s="26">
        <v>0</v>
      </c>
      <c r="T84" s="26"/>
      <c r="U84" s="26">
        <v>0</v>
      </c>
      <c r="V84" s="26"/>
      <c r="W84" s="26">
        <v>440557</v>
      </c>
      <c r="X84" s="26"/>
      <c r="Y84" s="54">
        <f t="shared" si="5"/>
        <v>34819567</v>
      </c>
      <c r="Z84" s="26"/>
      <c r="AA84" s="26">
        <v>26388</v>
      </c>
      <c r="AB84" s="26"/>
      <c r="AC84" s="26"/>
      <c r="AD84" s="26"/>
      <c r="AE84" s="26">
        <v>3242940</v>
      </c>
      <c r="AF84" s="26"/>
      <c r="AG84" s="26"/>
      <c r="AH84" s="26"/>
      <c r="AI84" s="26"/>
      <c r="AJ84" s="26"/>
      <c r="AK84" s="26">
        <v>175000</v>
      </c>
      <c r="AL84" s="26"/>
      <c r="AM84" s="26">
        <v>0</v>
      </c>
      <c r="AN84" s="26"/>
      <c r="AO84" s="26">
        <v>0</v>
      </c>
      <c r="AP84" s="26"/>
      <c r="AQ84" s="26">
        <v>0</v>
      </c>
      <c r="AR84" s="26"/>
      <c r="AS84" s="54">
        <f t="shared" si="6"/>
        <v>3444328</v>
      </c>
      <c r="AT84" s="26"/>
      <c r="AU84" s="54">
        <f t="shared" si="7"/>
        <v>38263895</v>
      </c>
    </row>
    <row r="85" spans="1:47">
      <c r="A85" s="13" t="s">
        <v>517</v>
      </c>
      <c r="B85" s="13"/>
      <c r="C85" s="13" t="s">
        <v>45</v>
      </c>
      <c r="D85" s="13"/>
      <c r="E85" s="32">
        <v>48314</v>
      </c>
      <c r="F85" s="26"/>
      <c r="G85" s="26">
        <v>16400159</v>
      </c>
      <c r="H85" s="26"/>
      <c r="I85" s="26">
        <v>0</v>
      </c>
      <c r="J85" s="26"/>
      <c r="K85" s="26">
        <v>10163485</v>
      </c>
      <c r="L85" s="26"/>
      <c r="M85" s="26">
        <v>421699</v>
      </c>
      <c r="N85" s="26"/>
      <c r="O85" s="26">
        <v>144833</v>
      </c>
      <c r="P85" s="26"/>
      <c r="Q85" s="26">
        <v>381823</v>
      </c>
      <c r="R85" s="26"/>
      <c r="S85" s="26">
        <v>0</v>
      </c>
      <c r="T85" s="26"/>
      <c r="U85" s="26">
        <v>39450</v>
      </c>
      <c r="V85" s="26"/>
      <c r="W85" s="26">
        <v>831698</v>
      </c>
      <c r="X85" s="26"/>
      <c r="Y85" s="54">
        <f t="shared" si="5"/>
        <v>28383147</v>
      </c>
      <c r="Z85" s="26"/>
      <c r="AA85" s="26">
        <v>85000</v>
      </c>
      <c r="AB85" s="26"/>
      <c r="AC85" s="26"/>
      <c r="AD85" s="26"/>
      <c r="AE85" s="26">
        <v>6060000</v>
      </c>
      <c r="AF85" s="26"/>
      <c r="AG85" s="26"/>
      <c r="AH85" s="26"/>
      <c r="AI85" s="26"/>
      <c r="AJ85" s="26"/>
      <c r="AK85" s="26">
        <v>0</v>
      </c>
      <c r="AL85" s="26"/>
      <c r="AM85" s="26">
        <v>0</v>
      </c>
      <c r="AN85" s="26"/>
      <c r="AO85" s="26">
        <v>0</v>
      </c>
      <c r="AP85" s="26"/>
      <c r="AQ85" s="26">
        <v>0</v>
      </c>
      <c r="AR85" s="26"/>
      <c r="AS85" s="54">
        <f t="shared" si="6"/>
        <v>6145000</v>
      </c>
      <c r="AT85" s="26"/>
      <c r="AU85" s="54">
        <f t="shared" si="7"/>
        <v>34528147</v>
      </c>
    </row>
    <row r="86" spans="1:47">
      <c r="A86" s="13" t="s">
        <v>655</v>
      </c>
      <c r="B86" s="13"/>
      <c r="C86" s="13" t="s">
        <v>62</v>
      </c>
      <c r="D86" s="13"/>
      <c r="E86" s="32">
        <v>43711</v>
      </c>
      <c r="F86" s="26"/>
      <c r="G86" s="26">
        <v>10731520</v>
      </c>
      <c r="H86" s="26"/>
      <c r="I86" s="26">
        <v>0</v>
      </c>
      <c r="J86" s="26"/>
      <c r="K86" s="26">
        <v>13074677</v>
      </c>
      <c r="L86" s="26"/>
      <c r="M86" s="26">
        <v>99247</v>
      </c>
      <c r="N86" s="26"/>
      <c r="O86" s="26">
        <v>1729924</v>
      </c>
      <c r="P86" s="26"/>
      <c r="Q86" s="26">
        <v>162801</v>
      </c>
      <c r="R86" s="26"/>
      <c r="S86" s="26">
        <v>0</v>
      </c>
      <c r="T86" s="26"/>
      <c r="U86" s="26">
        <v>0</v>
      </c>
      <c r="V86" s="26"/>
      <c r="W86" s="26">
        <v>1485594</v>
      </c>
      <c r="X86" s="26"/>
      <c r="Y86" s="54">
        <f t="shared" si="5"/>
        <v>27283763</v>
      </c>
      <c r="Z86" s="26"/>
      <c r="AA86" s="26">
        <v>17258</v>
      </c>
      <c r="AB86" s="26"/>
      <c r="AC86" s="26"/>
      <c r="AD86" s="26"/>
      <c r="AE86" s="26">
        <v>1116670</v>
      </c>
      <c r="AF86" s="26"/>
      <c r="AG86" s="26"/>
      <c r="AH86" s="26"/>
      <c r="AI86" s="26"/>
      <c r="AJ86" s="26"/>
      <c r="AK86" s="26">
        <v>0</v>
      </c>
      <c r="AL86" s="26"/>
      <c r="AM86" s="26">
        <v>0</v>
      </c>
      <c r="AN86" s="26"/>
      <c r="AO86" s="26">
        <v>0</v>
      </c>
      <c r="AP86" s="26"/>
      <c r="AQ86" s="26">
        <v>0</v>
      </c>
      <c r="AR86" s="26"/>
      <c r="AS86" s="54">
        <f t="shared" si="6"/>
        <v>1133928</v>
      </c>
      <c r="AT86" s="26"/>
      <c r="AU86" s="54">
        <f t="shared" si="7"/>
        <v>28417691</v>
      </c>
    </row>
    <row r="87" spans="1:47">
      <c r="A87" s="13" t="s">
        <v>654</v>
      </c>
      <c r="B87" s="13"/>
      <c r="C87" s="13" t="s">
        <v>62</v>
      </c>
      <c r="D87" s="13"/>
      <c r="E87" s="32">
        <v>49833</v>
      </c>
      <c r="F87" s="26"/>
      <c r="G87" s="26">
        <v>31373</v>
      </c>
      <c r="H87" s="26"/>
      <c r="I87" s="26">
        <v>0</v>
      </c>
      <c r="J87" s="26"/>
      <c r="K87" s="26">
        <v>89964</v>
      </c>
      <c r="L87" s="26"/>
      <c r="M87" s="26">
        <v>1995</v>
      </c>
      <c r="N87" s="26"/>
      <c r="O87" s="26">
        <v>552</v>
      </c>
      <c r="P87" s="26"/>
      <c r="Q87" s="26">
        <v>844</v>
      </c>
      <c r="R87" s="26"/>
      <c r="S87" s="26">
        <v>0</v>
      </c>
      <c r="T87" s="26"/>
      <c r="U87" s="26">
        <v>165</v>
      </c>
      <c r="V87" s="26"/>
      <c r="W87" s="26">
        <v>2067</v>
      </c>
      <c r="X87" s="26"/>
      <c r="Y87" s="54">
        <f t="shared" si="5"/>
        <v>126960</v>
      </c>
      <c r="Z87" s="26"/>
      <c r="AA87" s="26">
        <v>8836</v>
      </c>
      <c r="AB87" s="26"/>
      <c r="AC87" s="26"/>
      <c r="AD87" s="26"/>
      <c r="AE87" s="26">
        <v>0</v>
      </c>
      <c r="AF87" s="26"/>
      <c r="AG87" s="26"/>
      <c r="AH87" s="26"/>
      <c r="AI87" s="26"/>
      <c r="AJ87" s="26"/>
      <c r="AK87" s="26">
        <f>38+146</f>
        <v>184</v>
      </c>
      <c r="AL87" s="26"/>
      <c r="AM87" s="26">
        <v>0</v>
      </c>
      <c r="AN87" s="26"/>
      <c r="AO87" s="26">
        <v>0</v>
      </c>
      <c r="AP87" s="26"/>
      <c r="AQ87" s="26">
        <v>0</v>
      </c>
      <c r="AR87" s="26"/>
      <c r="AS87" s="54">
        <f t="shared" si="6"/>
        <v>9020</v>
      </c>
      <c r="AT87" s="26"/>
      <c r="AU87" s="54">
        <f t="shared" si="7"/>
        <v>135980</v>
      </c>
    </row>
    <row r="88" spans="1:47">
      <c r="A88" s="13" t="s">
        <v>382</v>
      </c>
      <c r="B88" s="13"/>
      <c r="C88" s="13" t="s">
        <v>30</v>
      </c>
      <c r="D88" s="13"/>
      <c r="E88" s="32">
        <v>47175</v>
      </c>
      <c r="F88" s="26"/>
      <c r="G88" s="26">
        <v>7754387</v>
      </c>
      <c r="H88" s="26"/>
      <c r="I88" s="26">
        <v>0</v>
      </c>
      <c r="J88" s="26"/>
      <c r="K88" s="26">
        <v>6413866</v>
      </c>
      <c r="L88" s="26"/>
      <c r="M88" s="26">
        <v>158857</v>
      </c>
      <c r="N88" s="26"/>
      <c r="O88" s="26">
        <v>574581</v>
      </c>
      <c r="P88" s="26"/>
      <c r="Q88" s="26">
        <v>220608</v>
      </c>
      <c r="R88" s="26"/>
      <c r="S88" s="26">
        <v>0</v>
      </c>
      <c r="T88" s="26"/>
      <c r="U88" s="26">
        <v>14227</v>
      </c>
      <c r="V88" s="26"/>
      <c r="W88" s="26">
        <v>311162</v>
      </c>
      <c r="X88" s="26"/>
      <c r="Y88" s="54">
        <f t="shared" si="5"/>
        <v>15447688</v>
      </c>
      <c r="Z88" s="26"/>
      <c r="AA88" s="26">
        <v>399525</v>
      </c>
      <c r="AB88" s="26"/>
      <c r="AC88" s="26"/>
      <c r="AD88" s="26"/>
      <c r="AE88" s="26">
        <v>0</v>
      </c>
      <c r="AF88" s="26"/>
      <c r="AG88" s="26"/>
      <c r="AH88" s="26"/>
      <c r="AI88" s="26"/>
      <c r="AJ88" s="26"/>
      <c r="AK88" s="26">
        <v>0</v>
      </c>
      <c r="AL88" s="26"/>
      <c r="AM88" s="26">
        <v>0</v>
      </c>
      <c r="AN88" s="26"/>
      <c r="AO88" s="26">
        <v>0</v>
      </c>
      <c r="AP88" s="26"/>
      <c r="AQ88" s="26">
        <v>0</v>
      </c>
      <c r="AR88" s="26"/>
      <c r="AS88" s="54">
        <f t="shared" si="6"/>
        <v>399525</v>
      </c>
      <c r="AT88" s="26"/>
      <c r="AU88" s="54">
        <f t="shared" si="7"/>
        <v>15847213</v>
      </c>
    </row>
    <row r="89" spans="1:47">
      <c r="A89" s="13" t="s">
        <v>568</v>
      </c>
      <c r="B89" s="13"/>
      <c r="C89" s="13" t="s">
        <v>78</v>
      </c>
      <c r="D89" s="13"/>
      <c r="E89" s="32">
        <v>48793</v>
      </c>
      <c r="F89" s="26"/>
      <c r="G89" s="26">
        <v>3183903</v>
      </c>
      <c r="H89" s="26"/>
      <c r="I89" s="26">
        <v>0</v>
      </c>
      <c r="J89" s="26"/>
      <c r="K89" s="26">
        <v>8312065</v>
      </c>
      <c r="L89" s="26"/>
      <c r="M89" s="26">
        <v>184424</v>
      </c>
      <c r="N89" s="26"/>
      <c r="O89" s="26">
        <v>580767</v>
      </c>
      <c r="P89" s="26"/>
      <c r="Q89" s="26">
        <v>164401</v>
      </c>
      <c r="R89" s="26"/>
      <c r="S89" s="26">
        <v>285923</v>
      </c>
      <c r="T89" s="26"/>
      <c r="U89" s="26">
        <v>0</v>
      </c>
      <c r="V89" s="26"/>
      <c r="W89" s="26">
        <v>334957</v>
      </c>
      <c r="X89" s="26"/>
      <c r="Y89" s="54">
        <f t="shared" si="5"/>
        <v>13046440</v>
      </c>
      <c r="Z89" s="26"/>
      <c r="AA89" s="26">
        <v>0</v>
      </c>
      <c r="AB89" s="26"/>
      <c r="AC89" s="26"/>
      <c r="AD89" s="26"/>
      <c r="AE89" s="26">
        <v>118210</v>
      </c>
      <c r="AF89" s="26"/>
      <c r="AG89" s="26"/>
      <c r="AH89" s="26"/>
      <c r="AI89" s="26"/>
      <c r="AJ89" s="26"/>
      <c r="AK89" s="26">
        <v>0</v>
      </c>
      <c r="AL89" s="26"/>
      <c r="AM89" s="26">
        <v>0</v>
      </c>
      <c r="AN89" s="26"/>
      <c r="AO89" s="26">
        <v>0</v>
      </c>
      <c r="AP89" s="26"/>
      <c r="AQ89" s="26">
        <v>0</v>
      </c>
      <c r="AR89" s="26"/>
      <c r="AS89" s="54">
        <f t="shared" si="6"/>
        <v>118210</v>
      </c>
      <c r="AT89" s="26"/>
      <c r="AU89" s="54">
        <f t="shared" si="7"/>
        <v>13164650</v>
      </c>
    </row>
    <row r="90" spans="1:47" hidden="1">
      <c r="A90" s="13" t="s">
        <v>746</v>
      </c>
      <c r="B90" s="13"/>
      <c r="C90" s="13" t="s">
        <v>747</v>
      </c>
      <c r="D90" s="13"/>
      <c r="E90" s="32">
        <v>45260</v>
      </c>
      <c r="F90" s="26"/>
      <c r="G90" s="26">
        <v>0</v>
      </c>
      <c r="H90" s="26"/>
      <c r="I90" s="26">
        <v>0</v>
      </c>
      <c r="J90" s="26"/>
      <c r="K90" s="26">
        <v>0</v>
      </c>
      <c r="L90" s="26"/>
      <c r="M90" s="26">
        <v>0</v>
      </c>
      <c r="N90" s="26"/>
      <c r="O90" s="26">
        <v>0</v>
      </c>
      <c r="P90" s="26"/>
      <c r="Q90" s="26">
        <v>0</v>
      </c>
      <c r="R90" s="26"/>
      <c r="S90" s="26">
        <v>0</v>
      </c>
      <c r="T90" s="26"/>
      <c r="U90" s="26">
        <v>0</v>
      </c>
      <c r="V90" s="26"/>
      <c r="W90" s="26">
        <v>0</v>
      </c>
      <c r="X90" s="26"/>
      <c r="Y90" s="54">
        <f t="shared" si="5"/>
        <v>0</v>
      </c>
      <c r="Z90" s="26"/>
      <c r="AA90" s="26">
        <v>0</v>
      </c>
      <c r="AB90" s="26"/>
      <c r="AC90" s="26"/>
      <c r="AD90" s="26"/>
      <c r="AE90" s="26">
        <v>0</v>
      </c>
      <c r="AF90" s="26"/>
      <c r="AG90" s="26"/>
      <c r="AH90" s="26"/>
      <c r="AI90" s="26"/>
      <c r="AJ90" s="26"/>
      <c r="AK90" s="26">
        <v>0</v>
      </c>
      <c r="AL90" s="26"/>
      <c r="AM90" s="26">
        <v>0</v>
      </c>
      <c r="AN90" s="26"/>
      <c r="AO90" s="26">
        <v>0</v>
      </c>
      <c r="AP90" s="26"/>
      <c r="AQ90" s="26">
        <v>0</v>
      </c>
      <c r="AR90" s="26"/>
      <c r="AS90" s="54">
        <f t="shared" si="6"/>
        <v>0</v>
      </c>
      <c r="AT90" s="26"/>
      <c r="AU90" s="54">
        <f t="shared" si="7"/>
        <v>0</v>
      </c>
    </row>
    <row r="91" spans="1:47">
      <c r="A91" s="13" t="s">
        <v>713</v>
      </c>
      <c r="B91" s="13"/>
      <c r="C91" s="13" t="s">
        <v>69</v>
      </c>
      <c r="D91" s="13"/>
      <c r="E91" s="32">
        <v>50419</v>
      </c>
      <c r="F91" s="26"/>
      <c r="G91" s="26">
        <v>4635223</v>
      </c>
      <c r="H91" s="26"/>
      <c r="I91" s="26">
        <v>1821810</v>
      </c>
      <c r="J91" s="26"/>
      <c r="K91" s="26">
        <v>9226567</v>
      </c>
      <c r="L91" s="26"/>
      <c r="M91" s="26">
        <v>39816</v>
      </c>
      <c r="N91" s="26"/>
      <c r="O91" s="26">
        <v>116175</v>
      </c>
      <c r="P91" s="26"/>
      <c r="Q91" s="26">
        <v>91971</v>
      </c>
      <c r="R91" s="26"/>
      <c r="S91" s="26">
        <v>0</v>
      </c>
      <c r="T91" s="26"/>
      <c r="U91" s="26">
        <v>7321</v>
      </c>
      <c r="V91" s="26"/>
      <c r="W91" s="26">
        <f>10122+203935+416846</f>
        <v>630903</v>
      </c>
      <c r="X91" s="26"/>
      <c r="Y91" s="54">
        <f t="shared" si="5"/>
        <v>16569786</v>
      </c>
      <c r="Z91" s="26"/>
      <c r="AA91" s="26">
        <v>0</v>
      </c>
      <c r="AB91" s="26"/>
      <c r="AC91" s="26"/>
      <c r="AD91" s="26"/>
      <c r="AE91" s="26">
        <v>0</v>
      </c>
      <c r="AF91" s="26"/>
      <c r="AG91" s="26"/>
      <c r="AH91" s="26"/>
      <c r="AI91" s="26"/>
      <c r="AJ91" s="26"/>
      <c r="AK91" s="26">
        <v>43198</v>
      </c>
      <c r="AL91" s="26"/>
      <c r="AM91" s="26">
        <v>0</v>
      </c>
      <c r="AN91" s="26"/>
      <c r="AO91" s="26">
        <v>0</v>
      </c>
      <c r="AP91" s="26"/>
      <c r="AQ91" s="26">
        <v>0</v>
      </c>
      <c r="AR91" s="26"/>
      <c r="AS91" s="54">
        <f t="shared" si="6"/>
        <v>43198</v>
      </c>
      <c r="AT91" s="26"/>
      <c r="AU91" s="54">
        <f t="shared" si="7"/>
        <v>16612984</v>
      </c>
    </row>
    <row r="92" spans="1:47">
      <c r="A92" s="13" t="s">
        <v>257</v>
      </c>
      <c r="B92" s="13"/>
      <c r="C92" s="13" t="s">
        <v>16</v>
      </c>
      <c r="D92" s="13"/>
      <c r="E92" s="32">
        <v>45278</v>
      </c>
      <c r="F92" s="26"/>
      <c r="G92" s="26">
        <v>7254646</v>
      </c>
      <c r="H92" s="26"/>
      <c r="I92" s="26">
        <v>0</v>
      </c>
      <c r="J92" s="26"/>
      <c r="K92" s="26">
        <v>14836252</v>
      </c>
      <c r="L92" s="26"/>
      <c r="M92" s="26">
        <v>106689</v>
      </c>
      <c r="N92" s="26"/>
      <c r="O92" s="26">
        <v>565718</v>
      </c>
      <c r="P92" s="26"/>
      <c r="Q92" s="26">
        <v>136324</v>
      </c>
      <c r="R92" s="26"/>
      <c r="S92" s="26">
        <v>0</v>
      </c>
      <c r="T92" s="26"/>
      <c r="U92" s="26">
        <v>60415</v>
      </c>
      <c r="V92" s="26"/>
      <c r="W92" s="26">
        <v>395586</v>
      </c>
      <c r="X92" s="26"/>
      <c r="Y92" s="54">
        <f t="shared" si="5"/>
        <v>23355630</v>
      </c>
      <c r="Z92" s="26"/>
      <c r="AA92" s="26">
        <v>81000</v>
      </c>
      <c r="AB92" s="26"/>
      <c r="AC92" s="26"/>
      <c r="AD92" s="26"/>
      <c r="AE92" s="26">
        <v>4690</v>
      </c>
      <c r="AF92" s="26"/>
      <c r="AG92" s="26"/>
      <c r="AH92" s="26"/>
      <c r="AI92" s="26"/>
      <c r="AJ92" s="26"/>
      <c r="AK92" s="26">
        <v>0</v>
      </c>
      <c r="AL92" s="26"/>
      <c r="AM92" s="26">
        <v>0</v>
      </c>
      <c r="AN92" s="26"/>
      <c r="AO92" s="26">
        <v>0</v>
      </c>
      <c r="AP92" s="26"/>
      <c r="AQ92" s="26">
        <v>0</v>
      </c>
      <c r="AR92" s="26"/>
      <c r="AS92" s="54">
        <f t="shared" si="6"/>
        <v>85690</v>
      </c>
      <c r="AT92" s="26"/>
      <c r="AU92" s="54">
        <f t="shared" si="7"/>
        <v>23441320</v>
      </c>
    </row>
    <row r="93" spans="1:47">
      <c r="A93" s="13" t="s">
        <v>389</v>
      </c>
      <c r="B93" s="13"/>
      <c r="C93" s="13" t="s">
        <v>117</v>
      </c>
      <c r="D93" s="13"/>
      <c r="E93" s="32">
        <v>47258</v>
      </c>
      <c r="F93" s="26"/>
      <c r="G93" s="26">
        <v>1882778</v>
      </c>
      <c r="H93" s="26"/>
      <c r="I93" s="26">
        <v>751112</v>
      </c>
      <c r="J93" s="26"/>
      <c r="K93" s="26">
        <v>3350000</v>
      </c>
      <c r="L93" s="26"/>
      <c r="M93" s="26">
        <v>75536</v>
      </c>
      <c r="N93" s="26"/>
      <c r="O93" s="26">
        <v>149293</v>
      </c>
      <c r="P93" s="26"/>
      <c r="Q93" s="26">
        <v>130349</v>
      </c>
      <c r="R93" s="26"/>
      <c r="S93" s="26">
        <v>0</v>
      </c>
      <c r="T93" s="26"/>
      <c r="U93" s="26">
        <v>12905</v>
      </c>
      <c r="V93" s="26"/>
      <c r="W93" s="26">
        <v>157736</v>
      </c>
      <c r="X93" s="26"/>
      <c r="Y93" s="54">
        <f t="shared" si="5"/>
        <v>6509709</v>
      </c>
      <c r="Z93" s="26"/>
      <c r="AA93" s="26">
        <v>5000</v>
      </c>
      <c r="AB93" s="26"/>
      <c r="AC93" s="26"/>
      <c r="AD93" s="26"/>
      <c r="AE93" s="26">
        <v>263</v>
      </c>
      <c r="AF93" s="26"/>
      <c r="AG93" s="26"/>
      <c r="AH93" s="26"/>
      <c r="AI93" s="26"/>
      <c r="AJ93" s="26"/>
      <c r="AK93" s="26">
        <v>0</v>
      </c>
      <c r="AL93" s="26"/>
      <c r="AM93" s="26">
        <v>0</v>
      </c>
      <c r="AN93" s="26"/>
      <c r="AO93" s="26">
        <v>0</v>
      </c>
      <c r="AP93" s="26"/>
      <c r="AQ93" s="26">
        <v>0</v>
      </c>
      <c r="AR93" s="26"/>
      <c r="AS93" s="54">
        <f t="shared" si="6"/>
        <v>5263</v>
      </c>
      <c r="AT93" s="26"/>
      <c r="AU93" s="54">
        <f t="shared" si="7"/>
        <v>6514972</v>
      </c>
    </row>
    <row r="94" spans="1:47" hidden="1">
      <c r="A94" s="13" t="s">
        <v>539</v>
      </c>
      <c r="B94" s="13"/>
      <c r="C94" s="13" t="s">
        <v>540</v>
      </c>
      <c r="D94" s="13"/>
      <c r="E94" s="32">
        <v>43729</v>
      </c>
      <c r="F94" s="26"/>
      <c r="G94" s="26">
        <v>0</v>
      </c>
      <c r="H94" s="26"/>
      <c r="I94" s="26">
        <v>0</v>
      </c>
      <c r="J94" s="26"/>
      <c r="K94" s="26">
        <v>0</v>
      </c>
      <c r="L94" s="26"/>
      <c r="M94" s="26">
        <v>0</v>
      </c>
      <c r="N94" s="26"/>
      <c r="O94" s="26">
        <v>0</v>
      </c>
      <c r="P94" s="26"/>
      <c r="Q94" s="26">
        <v>0</v>
      </c>
      <c r="R94" s="26"/>
      <c r="S94" s="26">
        <v>0</v>
      </c>
      <c r="T94" s="26"/>
      <c r="U94" s="26">
        <v>0</v>
      </c>
      <c r="V94" s="26"/>
      <c r="W94" s="26">
        <v>0</v>
      </c>
      <c r="X94" s="26"/>
      <c r="Y94" s="54">
        <f t="shared" si="5"/>
        <v>0</v>
      </c>
      <c r="Z94" s="26"/>
      <c r="AA94" s="26">
        <v>0</v>
      </c>
      <c r="AB94" s="26"/>
      <c r="AC94" s="26"/>
      <c r="AD94" s="26"/>
      <c r="AE94" s="26">
        <v>0</v>
      </c>
      <c r="AF94" s="26"/>
      <c r="AG94" s="26"/>
      <c r="AH94" s="26"/>
      <c r="AI94" s="26"/>
      <c r="AJ94" s="26"/>
      <c r="AK94" s="26">
        <v>0</v>
      </c>
      <c r="AL94" s="26"/>
      <c r="AM94" s="26">
        <v>0</v>
      </c>
      <c r="AN94" s="26"/>
      <c r="AO94" s="26">
        <v>0</v>
      </c>
      <c r="AP94" s="26"/>
      <c r="AQ94" s="26">
        <v>0</v>
      </c>
      <c r="AR94" s="26"/>
      <c r="AS94" s="54">
        <f t="shared" si="6"/>
        <v>0</v>
      </c>
      <c r="AT94" s="26"/>
      <c r="AU94" s="54">
        <f t="shared" si="7"/>
        <v>0</v>
      </c>
    </row>
    <row r="95" spans="1:47">
      <c r="A95" s="13" t="s">
        <v>459</v>
      </c>
      <c r="B95" s="13"/>
      <c r="C95" s="13" t="s">
        <v>40</v>
      </c>
      <c r="D95" s="13"/>
      <c r="E95" s="32">
        <v>47829</v>
      </c>
      <c r="F95" s="26"/>
      <c r="G95" s="26">
        <v>2245451</v>
      </c>
      <c r="H95" s="26"/>
      <c r="I95" s="26">
        <v>823331</v>
      </c>
      <c r="J95" s="26"/>
      <c r="K95" s="26">
        <v>6366838</v>
      </c>
      <c r="L95" s="26"/>
      <c r="M95" s="26">
        <v>219098</v>
      </c>
      <c r="N95" s="26"/>
      <c r="O95" s="26">
        <v>46100</v>
      </c>
      <c r="P95" s="26"/>
      <c r="Q95" s="26">
        <v>140023</v>
      </c>
      <c r="R95" s="26"/>
      <c r="S95" s="26">
        <v>0</v>
      </c>
      <c r="T95" s="26"/>
      <c r="U95" s="26">
        <v>7792</v>
      </c>
      <c r="V95" s="26"/>
      <c r="W95" s="26">
        <v>202450</v>
      </c>
      <c r="X95" s="26"/>
      <c r="Y95" s="54">
        <f t="shared" si="5"/>
        <v>10051083</v>
      </c>
      <c r="Z95" s="26"/>
      <c r="AA95" s="26">
        <v>0</v>
      </c>
      <c r="AB95" s="26"/>
      <c r="AC95" s="26"/>
      <c r="AD95" s="26"/>
      <c r="AE95" s="26">
        <v>0</v>
      </c>
      <c r="AF95" s="26"/>
      <c r="AG95" s="26"/>
      <c r="AH95" s="26"/>
      <c r="AI95" s="26"/>
      <c r="AJ95" s="26"/>
      <c r="AK95" s="26">
        <v>0</v>
      </c>
      <c r="AL95" s="26"/>
      <c r="AM95" s="26">
        <v>0</v>
      </c>
      <c r="AN95" s="26"/>
      <c r="AO95" s="26">
        <v>0</v>
      </c>
      <c r="AP95" s="26"/>
      <c r="AQ95" s="26">
        <v>0</v>
      </c>
      <c r="AR95" s="26"/>
      <c r="AS95" s="54">
        <f t="shared" si="6"/>
        <v>0</v>
      </c>
      <c r="AT95" s="26"/>
      <c r="AU95" s="54">
        <f t="shared" si="7"/>
        <v>10051083</v>
      </c>
    </row>
    <row r="96" spans="1:47">
      <c r="A96" s="13"/>
      <c r="B96" s="13"/>
      <c r="C96" s="13"/>
      <c r="D96" s="13"/>
      <c r="E96" s="32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54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54"/>
      <c r="AT96" s="26"/>
      <c r="AU96" s="54"/>
    </row>
    <row r="97" spans="1:47" ht="12" customHeight="1">
      <c r="A97" s="13"/>
      <c r="B97" s="13"/>
      <c r="C97" s="13"/>
      <c r="D97" s="13"/>
      <c r="E97" s="32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54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54"/>
      <c r="AT97" s="26"/>
      <c r="AU97" s="92" t="s">
        <v>819</v>
      </c>
    </row>
    <row r="98" spans="1:47" s="35" customFormat="1">
      <c r="A98" s="34" t="s">
        <v>553</v>
      </c>
      <c r="B98" s="34"/>
      <c r="C98" s="34" t="s">
        <v>50</v>
      </c>
      <c r="D98" s="34"/>
      <c r="E98" s="34">
        <v>43737</v>
      </c>
      <c r="F98" s="43"/>
      <c r="G98" s="43">
        <v>59168982</v>
      </c>
      <c r="H98" s="43"/>
      <c r="I98" s="43">
        <v>0</v>
      </c>
      <c r="J98" s="43"/>
      <c r="K98" s="43">
        <v>24991512</v>
      </c>
      <c r="L98" s="43"/>
      <c r="M98" s="43">
        <v>2625527</v>
      </c>
      <c r="N98" s="43"/>
      <c r="O98" s="43">
        <v>1097171</v>
      </c>
      <c r="P98" s="43"/>
      <c r="Q98" s="43">
        <v>1233915</v>
      </c>
      <c r="R98" s="43"/>
      <c r="S98" s="43">
        <v>0</v>
      </c>
      <c r="T98" s="43"/>
      <c r="U98" s="43">
        <v>0</v>
      </c>
      <c r="V98" s="43"/>
      <c r="W98" s="43">
        <v>2770319</v>
      </c>
      <c r="X98" s="43"/>
      <c r="Y98" s="66">
        <f t="shared" si="5"/>
        <v>91887426</v>
      </c>
      <c r="Z98" s="43"/>
      <c r="AA98" s="43">
        <v>0</v>
      </c>
      <c r="AB98" s="43"/>
      <c r="AC98" s="43"/>
      <c r="AD98" s="43"/>
      <c r="AE98" s="43">
        <v>0</v>
      </c>
      <c r="AF98" s="43"/>
      <c r="AG98" s="43"/>
      <c r="AH98" s="43"/>
      <c r="AI98" s="43"/>
      <c r="AJ98" s="43"/>
      <c r="AK98" s="43">
        <v>0</v>
      </c>
      <c r="AL98" s="43"/>
      <c r="AM98" s="43">
        <v>0</v>
      </c>
      <c r="AN98" s="43"/>
      <c r="AO98" s="43">
        <v>0</v>
      </c>
      <c r="AP98" s="43"/>
      <c r="AQ98" s="43">
        <v>0</v>
      </c>
      <c r="AR98" s="43"/>
      <c r="AS98" s="66">
        <f t="shared" si="6"/>
        <v>0</v>
      </c>
      <c r="AT98" s="43"/>
      <c r="AU98" s="66">
        <f t="shared" si="7"/>
        <v>91887426</v>
      </c>
    </row>
    <row r="99" spans="1:47">
      <c r="A99" s="13" t="s">
        <v>807</v>
      </c>
      <c r="B99" s="13"/>
      <c r="C99" s="13" t="s">
        <v>22</v>
      </c>
      <c r="D99" s="13"/>
      <c r="E99" s="32">
        <v>46714</v>
      </c>
      <c r="F99" s="26"/>
      <c r="G99" s="26">
        <v>2405600</v>
      </c>
      <c r="H99" s="26"/>
      <c r="I99" s="26">
        <v>827126</v>
      </c>
      <c r="J99" s="26"/>
      <c r="K99" s="26">
        <v>7042461</v>
      </c>
      <c r="L99" s="26"/>
      <c r="M99" s="26">
        <v>170141</v>
      </c>
      <c r="N99" s="26"/>
      <c r="O99" s="26">
        <v>70123</v>
      </c>
      <c r="P99" s="26"/>
      <c r="Q99" s="26">
        <v>218255</v>
      </c>
      <c r="R99" s="26"/>
      <c r="S99" s="26">
        <v>0</v>
      </c>
      <c r="T99" s="26"/>
      <c r="U99" s="26">
        <v>36464</v>
      </c>
      <c r="V99" s="26"/>
      <c r="W99" s="26">
        <v>350971</v>
      </c>
      <c r="X99" s="26"/>
      <c r="Y99" s="54">
        <f t="shared" si="5"/>
        <v>11121141</v>
      </c>
      <c r="Z99" s="26"/>
      <c r="AA99" s="26">
        <v>10600</v>
      </c>
      <c r="AB99" s="26"/>
      <c r="AC99" s="26"/>
      <c r="AD99" s="26"/>
      <c r="AE99" s="26">
        <v>1550</v>
      </c>
      <c r="AF99" s="26"/>
      <c r="AG99" s="26"/>
      <c r="AH99" s="26"/>
      <c r="AI99" s="26"/>
      <c r="AJ99" s="26"/>
      <c r="AK99" s="26">
        <v>0</v>
      </c>
      <c r="AL99" s="26"/>
      <c r="AM99" s="26">
        <v>0</v>
      </c>
      <c r="AN99" s="26"/>
      <c r="AO99" s="26">
        <v>0</v>
      </c>
      <c r="AP99" s="26"/>
      <c r="AQ99" s="26">
        <v>0</v>
      </c>
      <c r="AR99" s="26"/>
      <c r="AS99" s="54">
        <f t="shared" si="6"/>
        <v>12150</v>
      </c>
      <c r="AT99" s="26"/>
      <c r="AU99" s="54">
        <f t="shared" si="7"/>
        <v>11133291</v>
      </c>
    </row>
    <row r="100" spans="1:47">
      <c r="A100" s="13" t="s">
        <v>306</v>
      </c>
      <c r="B100" s="13"/>
      <c r="C100" s="13" t="s">
        <v>20</v>
      </c>
      <c r="D100" s="13"/>
      <c r="E100" s="13">
        <v>45286</v>
      </c>
      <c r="F100" s="26"/>
      <c r="G100" s="26">
        <v>19398904</v>
      </c>
      <c r="H100" s="26"/>
      <c r="I100" s="26">
        <v>0</v>
      </c>
      <c r="J100" s="26"/>
      <c r="K100" s="26">
        <v>4882381</v>
      </c>
      <c r="L100" s="26"/>
      <c r="M100" s="26">
        <v>269161</v>
      </c>
      <c r="N100" s="26"/>
      <c r="O100" s="26">
        <v>108321</v>
      </c>
      <c r="P100" s="26"/>
      <c r="Q100" s="26">
        <v>0</v>
      </c>
      <c r="R100" s="26"/>
      <c r="S100" s="26">
        <v>0</v>
      </c>
      <c r="T100" s="26"/>
      <c r="U100" s="26">
        <v>44927</v>
      </c>
      <c r="V100" s="26"/>
      <c r="W100" s="26">
        <v>64204</v>
      </c>
      <c r="X100" s="26"/>
      <c r="Y100" s="54">
        <f t="shared" si="5"/>
        <v>24767898</v>
      </c>
      <c r="Z100" s="26"/>
      <c r="AA100" s="26">
        <v>300000</v>
      </c>
      <c r="AB100" s="26"/>
      <c r="AC100" s="26"/>
      <c r="AD100" s="26"/>
      <c r="AE100" s="26">
        <v>400</v>
      </c>
      <c r="AF100" s="26"/>
      <c r="AG100" s="26"/>
      <c r="AH100" s="26"/>
      <c r="AI100" s="26"/>
      <c r="AJ100" s="26"/>
      <c r="AK100" s="26">
        <v>0</v>
      </c>
      <c r="AL100" s="26"/>
      <c r="AM100" s="26">
        <v>0</v>
      </c>
      <c r="AN100" s="26"/>
      <c r="AO100" s="26">
        <v>0</v>
      </c>
      <c r="AP100" s="26"/>
      <c r="AQ100" s="26">
        <v>0</v>
      </c>
      <c r="AR100" s="26"/>
      <c r="AS100" s="54">
        <f t="shared" si="6"/>
        <v>300400</v>
      </c>
      <c r="AT100" s="26"/>
      <c r="AU100" s="54">
        <f t="shared" si="7"/>
        <v>25068298</v>
      </c>
    </row>
    <row r="101" spans="1:47">
      <c r="A101" s="13" t="s">
        <v>683</v>
      </c>
      <c r="B101" s="13"/>
      <c r="C101" s="13" t="s">
        <v>64</v>
      </c>
      <c r="D101" s="13"/>
      <c r="E101" s="32">
        <v>50138</v>
      </c>
      <c r="F101" s="26"/>
      <c r="G101" s="26">
        <v>5028339</v>
      </c>
      <c r="H101" s="26"/>
      <c r="I101" s="26">
        <v>0</v>
      </c>
      <c r="J101" s="26"/>
      <c r="K101" s="26">
        <v>8637824</v>
      </c>
      <c r="L101" s="26"/>
      <c r="M101" s="26">
        <v>45539</v>
      </c>
      <c r="N101" s="26"/>
      <c r="O101" s="26">
        <v>841235</v>
      </c>
      <c r="P101" s="26"/>
      <c r="Q101" s="26">
        <v>102124</v>
      </c>
      <c r="R101" s="26"/>
      <c r="S101" s="26">
        <v>0</v>
      </c>
      <c r="T101" s="26"/>
      <c r="U101" s="26">
        <v>0</v>
      </c>
      <c r="V101" s="26"/>
      <c r="W101" s="26">
        <v>439949</v>
      </c>
      <c r="X101" s="26"/>
      <c r="Y101" s="54">
        <f t="shared" si="5"/>
        <v>15095010</v>
      </c>
      <c r="Z101" s="26"/>
      <c r="AA101" s="26">
        <v>48742</v>
      </c>
      <c r="AB101" s="26"/>
      <c r="AC101" s="26"/>
      <c r="AD101" s="26"/>
      <c r="AE101" s="26">
        <v>3135</v>
      </c>
      <c r="AF101" s="26"/>
      <c r="AG101" s="26"/>
      <c r="AH101" s="26"/>
      <c r="AI101" s="26"/>
      <c r="AJ101" s="26"/>
      <c r="AK101" s="26">
        <v>1990</v>
      </c>
      <c r="AL101" s="26"/>
      <c r="AM101" s="26">
        <v>0</v>
      </c>
      <c r="AN101" s="26"/>
      <c r="AO101" s="26">
        <v>0</v>
      </c>
      <c r="AP101" s="26"/>
      <c r="AQ101" s="26">
        <v>0</v>
      </c>
      <c r="AR101" s="26"/>
      <c r="AS101" s="54">
        <f t="shared" si="6"/>
        <v>53867</v>
      </c>
      <c r="AT101" s="26"/>
      <c r="AU101" s="54">
        <f t="shared" si="7"/>
        <v>15148877</v>
      </c>
    </row>
    <row r="102" spans="1:47">
      <c r="A102" s="13" t="s">
        <v>383</v>
      </c>
      <c r="B102" s="13"/>
      <c r="C102" s="13" t="s">
        <v>30</v>
      </c>
      <c r="D102" s="13"/>
      <c r="E102" s="32">
        <v>47183</v>
      </c>
      <c r="F102" s="26"/>
      <c r="G102" s="26">
        <v>19653810</v>
      </c>
      <c r="H102" s="26"/>
      <c r="I102" s="26">
        <v>0</v>
      </c>
      <c r="J102" s="26"/>
      <c r="K102" s="26">
        <v>11605931</v>
      </c>
      <c r="L102" s="26"/>
      <c r="M102" s="26">
        <v>309047</v>
      </c>
      <c r="N102" s="26"/>
      <c r="O102" s="26">
        <v>331347</v>
      </c>
      <c r="P102" s="26"/>
      <c r="Q102" s="26">
        <v>250854</v>
      </c>
      <c r="R102" s="26"/>
      <c r="S102" s="26">
        <v>12081</v>
      </c>
      <c r="T102" s="26"/>
      <c r="U102" s="26">
        <v>41516</v>
      </c>
      <c r="V102" s="26"/>
      <c r="W102" s="26">
        <v>807033</v>
      </c>
      <c r="X102" s="26"/>
      <c r="Y102" s="54">
        <f t="shared" si="5"/>
        <v>33011619</v>
      </c>
      <c r="Z102" s="26"/>
      <c r="AA102" s="26">
        <v>204506</v>
      </c>
      <c r="AB102" s="26"/>
      <c r="AC102" s="26"/>
      <c r="AD102" s="26"/>
      <c r="AE102" s="26">
        <v>3292</v>
      </c>
      <c r="AF102" s="26"/>
      <c r="AG102" s="26"/>
      <c r="AH102" s="26"/>
      <c r="AI102" s="26"/>
      <c r="AJ102" s="26"/>
      <c r="AK102" s="26">
        <v>0</v>
      </c>
      <c r="AL102" s="26"/>
      <c r="AM102" s="26">
        <v>0</v>
      </c>
      <c r="AN102" s="26"/>
      <c r="AO102" s="26">
        <v>0</v>
      </c>
      <c r="AP102" s="26"/>
      <c r="AQ102" s="26">
        <v>0</v>
      </c>
      <c r="AR102" s="26"/>
      <c r="AS102" s="54">
        <f t="shared" si="6"/>
        <v>207798</v>
      </c>
      <c r="AT102" s="26"/>
      <c r="AU102" s="54">
        <f t="shared" si="7"/>
        <v>33219417</v>
      </c>
    </row>
    <row r="103" spans="1:47">
      <c r="A103" s="13" t="s">
        <v>470</v>
      </c>
      <c r="B103" s="13"/>
      <c r="C103" s="13" t="s">
        <v>471</v>
      </c>
      <c r="D103" s="13"/>
      <c r="E103" s="32">
        <v>45294</v>
      </c>
      <c r="F103" s="26"/>
      <c r="G103" s="26">
        <v>2034161</v>
      </c>
      <c r="H103" s="26"/>
      <c r="I103" s="26">
        <v>0</v>
      </c>
      <c r="J103" s="26"/>
      <c r="K103" s="26">
        <v>8940268</v>
      </c>
      <c r="L103" s="26"/>
      <c r="M103" s="26">
        <v>128976</v>
      </c>
      <c r="N103" s="26"/>
      <c r="O103" s="26">
        <v>862997</v>
      </c>
      <c r="P103" s="26"/>
      <c r="Q103" s="26">
        <v>95069</v>
      </c>
      <c r="R103" s="26"/>
      <c r="S103" s="26">
        <v>0</v>
      </c>
      <c r="T103" s="26"/>
      <c r="U103" s="26">
        <v>36075</v>
      </c>
      <c r="V103" s="26"/>
      <c r="W103" s="26">
        <v>191368</v>
      </c>
      <c r="X103" s="26"/>
      <c r="Y103" s="54">
        <f t="shared" si="5"/>
        <v>12288914</v>
      </c>
      <c r="Z103" s="26"/>
      <c r="AA103" s="26">
        <v>199769</v>
      </c>
      <c r="AB103" s="26"/>
      <c r="AC103" s="26"/>
      <c r="AD103" s="26"/>
      <c r="AE103" s="26">
        <v>0</v>
      </c>
      <c r="AF103" s="26"/>
      <c r="AG103" s="26"/>
      <c r="AH103" s="26"/>
      <c r="AI103" s="26"/>
      <c r="AJ103" s="26"/>
      <c r="AK103" s="26">
        <v>0</v>
      </c>
      <c r="AL103" s="26"/>
      <c r="AM103" s="26">
        <v>0</v>
      </c>
      <c r="AN103" s="26"/>
      <c r="AO103" s="26">
        <v>0</v>
      </c>
      <c r="AP103" s="26"/>
      <c r="AQ103" s="26">
        <v>0</v>
      </c>
      <c r="AR103" s="26"/>
      <c r="AS103" s="54">
        <f t="shared" si="6"/>
        <v>199769</v>
      </c>
      <c r="AT103" s="26"/>
      <c r="AU103" s="54">
        <f t="shared" si="7"/>
        <v>12488683</v>
      </c>
    </row>
    <row r="104" spans="1:47">
      <c r="A104" s="13" t="s">
        <v>622</v>
      </c>
      <c r="B104" s="13"/>
      <c r="C104" s="13" t="s">
        <v>58</v>
      </c>
      <c r="D104" s="13"/>
      <c r="E104" s="32">
        <v>43745</v>
      </c>
      <c r="F104" s="26"/>
      <c r="G104" s="26">
        <v>14567886</v>
      </c>
      <c r="H104" s="26"/>
      <c r="I104" s="26">
        <v>0</v>
      </c>
      <c r="J104" s="26"/>
      <c r="K104" s="26">
        <v>17901577</v>
      </c>
      <c r="L104" s="26"/>
      <c r="M104" s="26">
        <v>445516</v>
      </c>
      <c r="N104" s="26"/>
      <c r="O104" s="26">
        <v>1268441</v>
      </c>
      <c r="P104" s="26"/>
      <c r="Q104" s="26">
        <v>148001</v>
      </c>
      <c r="R104" s="26"/>
      <c r="S104" s="26">
        <v>63797</v>
      </c>
      <c r="T104" s="26"/>
      <c r="U104" s="26">
        <v>64944</v>
      </c>
      <c r="V104" s="26"/>
      <c r="W104" s="26">
        <f>155259+48910+518438</f>
        <v>722607</v>
      </c>
      <c r="X104" s="26"/>
      <c r="Y104" s="54">
        <f t="shared" si="5"/>
        <v>35182769</v>
      </c>
      <c r="Z104" s="26"/>
      <c r="AA104" s="26">
        <v>109035</v>
      </c>
      <c r="AB104" s="26"/>
      <c r="AC104" s="26"/>
      <c r="AD104" s="26"/>
      <c r="AE104" s="26">
        <v>0</v>
      </c>
      <c r="AF104" s="26"/>
      <c r="AG104" s="26"/>
      <c r="AH104" s="26"/>
      <c r="AI104" s="26"/>
      <c r="AJ104" s="26"/>
      <c r="AK104" s="26">
        <v>0</v>
      </c>
      <c r="AL104" s="26"/>
      <c r="AM104" s="26">
        <v>0</v>
      </c>
      <c r="AN104" s="26"/>
      <c r="AO104" s="26">
        <v>0</v>
      </c>
      <c r="AP104" s="26"/>
      <c r="AQ104" s="26">
        <v>0</v>
      </c>
      <c r="AR104" s="26"/>
      <c r="AS104" s="54">
        <f t="shared" si="6"/>
        <v>109035</v>
      </c>
      <c r="AT104" s="26"/>
      <c r="AU104" s="54">
        <f t="shared" si="7"/>
        <v>35291804</v>
      </c>
    </row>
    <row r="105" spans="1:47">
      <c r="A105" s="13" t="s">
        <v>727</v>
      </c>
      <c r="B105" s="13"/>
      <c r="C105" s="13" t="s">
        <v>71</v>
      </c>
      <c r="D105" s="13"/>
      <c r="E105" s="32"/>
      <c r="F105" s="26"/>
      <c r="G105" s="26">
        <v>4441444</v>
      </c>
      <c r="H105" s="26"/>
      <c r="I105" s="26">
        <v>272853</v>
      </c>
      <c r="J105" s="26"/>
      <c r="K105" s="26">
        <f>8569+5878360+925718</f>
        <v>6812647</v>
      </c>
      <c r="L105" s="26"/>
      <c r="M105" s="26">
        <v>125111</v>
      </c>
      <c r="N105" s="26"/>
      <c r="O105" s="26">
        <v>111560</v>
      </c>
      <c r="P105" s="26"/>
      <c r="Q105" s="26">
        <v>214573</v>
      </c>
      <c r="R105" s="26"/>
      <c r="S105" s="26"/>
      <c r="T105" s="26"/>
      <c r="U105" s="26"/>
      <c r="V105" s="26"/>
      <c r="W105" s="26">
        <f>22012+335348</f>
        <v>357360</v>
      </c>
      <c r="X105" s="26"/>
      <c r="Y105" s="54">
        <f t="shared" si="5"/>
        <v>12335548</v>
      </c>
      <c r="Z105" s="26"/>
      <c r="AA105" s="26">
        <v>506129</v>
      </c>
      <c r="AB105" s="26"/>
      <c r="AC105" s="26"/>
      <c r="AD105" s="26"/>
      <c r="AE105" s="26">
        <v>0</v>
      </c>
      <c r="AF105" s="26"/>
      <c r="AG105" s="26"/>
      <c r="AH105" s="26"/>
      <c r="AI105" s="26"/>
      <c r="AJ105" s="26"/>
      <c r="AK105" s="26">
        <v>0</v>
      </c>
      <c r="AL105" s="26"/>
      <c r="AM105" s="26"/>
      <c r="AN105" s="26"/>
      <c r="AO105" s="26"/>
      <c r="AP105" s="26"/>
      <c r="AQ105" s="26"/>
      <c r="AR105" s="26"/>
      <c r="AS105" s="54">
        <f t="shared" si="6"/>
        <v>506129</v>
      </c>
      <c r="AT105" s="26"/>
      <c r="AU105" s="54">
        <f t="shared" si="7"/>
        <v>12841677</v>
      </c>
    </row>
    <row r="106" spans="1:47">
      <c r="A106" s="13" t="s">
        <v>396</v>
      </c>
      <c r="B106" s="13"/>
      <c r="C106" s="13" t="s">
        <v>32</v>
      </c>
      <c r="D106" s="13"/>
      <c r="E106" s="32"/>
      <c r="F106" s="26"/>
      <c r="G106" s="26">
        <v>248560390</v>
      </c>
      <c r="H106" s="26"/>
      <c r="I106" s="26">
        <v>0</v>
      </c>
      <c r="J106" s="26"/>
      <c r="K106" s="26">
        <f>218696480+69088928</f>
        <v>287785408</v>
      </c>
      <c r="L106" s="26"/>
      <c r="M106" s="26">
        <v>31299042</v>
      </c>
      <c r="N106" s="26"/>
      <c r="O106" s="26">
        <v>2436623</v>
      </c>
      <c r="P106" s="26"/>
      <c r="Q106" s="26">
        <v>0</v>
      </c>
      <c r="R106" s="26"/>
      <c r="S106" s="26">
        <v>10949847</v>
      </c>
      <c r="T106" s="26"/>
      <c r="U106" s="26">
        <v>0</v>
      </c>
      <c r="V106" s="26"/>
      <c r="W106" s="26">
        <f>2183555+22821498</f>
        <v>25005053</v>
      </c>
      <c r="X106" s="26"/>
      <c r="Y106" s="54">
        <f t="shared" si="5"/>
        <v>606036363</v>
      </c>
      <c r="Z106" s="26"/>
      <c r="AA106" s="26">
        <v>155775182</v>
      </c>
      <c r="AB106" s="26"/>
      <c r="AC106" s="26"/>
      <c r="AD106" s="26"/>
      <c r="AE106" s="26">
        <v>0</v>
      </c>
      <c r="AF106" s="26"/>
      <c r="AG106" s="26"/>
      <c r="AH106" s="26"/>
      <c r="AI106" s="26"/>
      <c r="AJ106" s="26"/>
      <c r="AK106" s="26">
        <v>0</v>
      </c>
      <c r="AL106" s="26"/>
      <c r="AM106" s="26"/>
      <c r="AN106" s="26"/>
      <c r="AO106" s="26"/>
      <c r="AP106" s="26"/>
      <c r="AQ106" s="26"/>
      <c r="AR106" s="26"/>
      <c r="AS106" s="54">
        <f t="shared" si="6"/>
        <v>155775182</v>
      </c>
      <c r="AT106" s="26"/>
      <c r="AU106" s="54">
        <f t="shared" si="7"/>
        <v>761811545</v>
      </c>
    </row>
    <row r="107" spans="1:47" ht="11.4" customHeight="1">
      <c r="A107" s="13" t="s">
        <v>588</v>
      </c>
      <c r="B107" s="13"/>
      <c r="C107" s="13" t="s">
        <v>54</v>
      </c>
      <c r="D107" s="13"/>
      <c r="E107" s="32">
        <v>43760</v>
      </c>
      <c r="F107" s="26"/>
      <c r="G107" s="26">
        <v>10910414</v>
      </c>
      <c r="H107" s="26"/>
      <c r="I107" s="26">
        <v>0</v>
      </c>
      <c r="J107" s="26"/>
      <c r="K107" s="26">
        <v>13941030</v>
      </c>
      <c r="L107" s="26"/>
      <c r="M107" s="26">
        <v>566592</v>
      </c>
      <c r="N107" s="26"/>
      <c r="O107" s="26">
        <v>426878</v>
      </c>
      <c r="P107" s="26"/>
      <c r="Q107" s="26">
        <v>166030</v>
      </c>
      <c r="R107" s="26"/>
      <c r="S107" s="26">
        <v>123421</v>
      </c>
      <c r="T107" s="26"/>
      <c r="U107" s="26">
        <v>0</v>
      </c>
      <c r="V107" s="26"/>
      <c r="W107" s="26">
        <v>567786</v>
      </c>
      <c r="X107" s="26"/>
      <c r="Y107" s="54">
        <f t="shared" si="5"/>
        <v>26702151</v>
      </c>
      <c r="Z107" s="26"/>
      <c r="AA107" s="26">
        <v>177029</v>
      </c>
      <c r="AB107" s="26"/>
      <c r="AC107" s="26"/>
      <c r="AD107" s="26"/>
      <c r="AE107" s="26">
        <v>352555</v>
      </c>
      <c r="AF107" s="26"/>
      <c r="AG107" s="26"/>
      <c r="AH107" s="26"/>
      <c r="AI107" s="26"/>
      <c r="AJ107" s="26"/>
      <c r="AK107" s="26">
        <v>352555</v>
      </c>
      <c r="AL107" s="26"/>
      <c r="AM107" s="26">
        <v>0</v>
      </c>
      <c r="AN107" s="26"/>
      <c r="AO107" s="26">
        <v>0</v>
      </c>
      <c r="AP107" s="26"/>
      <c r="AQ107" s="26">
        <v>0</v>
      </c>
      <c r="AR107" s="26"/>
      <c r="AS107" s="54">
        <f t="shared" si="6"/>
        <v>882139</v>
      </c>
      <c r="AT107" s="26"/>
      <c r="AU107" s="54">
        <f t="shared" si="7"/>
        <v>27584290</v>
      </c>
    </row>
    <row r="108" spans="1:47">
      <c r="A108" s="13" t="s">
        <v>264</v>
      </c>
      <c r="B108" s="13"/>
      <c r="C108" s="13" t="s">
        <v>17</v>
      </c>
      <c r="D108" s="13"/>
      <c r="E108" s="32">
        <v>46284</v>
      </c>
      <c r="F108" s="26"/>
      <c r="G108" s="26">
        <v>8006695</v>
      </c>
      <c r="H108" s="26"/>
      <c r="I108" s="26">
        <v>0</v>
      </c>
      <c r="J108" s="26"/>
      <c r="K108" s="26">
        <v>8392299</v>
      </c>
      <c r="L108" s="26"/>
      <c r="M108" s="26">
        <v>243556</v>
      </c>
      <c r="N108" s="26"/>
      <c r="O108" s="26">
        <v>2519540</v>
      </c>
      <c r="P108" s="26"/>
      <c r="Q108" s="26">
        <v>357124</v>
      </c>
      <c r="R108" s="26"/>
      <c r="S108" s="26">
        <v>172236</v>
      </c>
      <c r="T108" s="26"/>
      <c r="U108" s="26">
        <v>122316</v>
      </c>
      <c r="V108" s="26"/>
      <c r="W108" s="26">
        <v>709382</v>
      </c>
      <c r="X108" s="26"/>
      <c r="Y108" s="54">
        <f t="shared" si="5"/>
        <v>20523148</v>
      </c>
      <c r="Z108" s="26"/>
      <c r="AA108" s="26">
        <v>0</v>
      </c>
      <c r="AB108" s="26"/>
      <c r="AC108" s="26"/>
      <c r="AD108" s="26"/>
      <c r="AE108" s="26">
        <v>113601</v>
      </c>
      <c r="AF108" s="26"/>
      <c r="AG108" s="26"/>
      <c r="AH108" s="26"/>
      <c r="AI108" s="26"/>
      <c r="AJ108" s="26"/>
      <c r="AK108" s="26">
        <v>113601</v>
      </c>
      <c r="AL108" s="26"/>
      <c r="AM108" s="26">
        <v>0</v>
      </c>
      <c r="AN108" s="26"/>
      <c r="AO108" s="26">
        <v>0</v>
      </c>
      <c r="AP108" s="26"/>
      <c r="AQ108" s="26">
        <v>0</v>
      </c>
      <c r="AR108" s="26"/>
      <c r="AS108" s="54">
        <f t="shared" si="6"/>
        <v>227202</v>
      </c>
      <c r="AT108" s="26"/>
      <c r="AU108" s="54">
        <f t="shared" si="7"/>
        <v>20750350</v>
      </c>
    </row>
    <row r="109" spans="1:47" s="35" customFormat="1">
      <c r="A109" s="34" t="s">
        <v>632</v>
      </c>
      <c r="B109" s="34"/>
      <c r="C109" s="34" t="s">
        <v>59</v>
      </c>
      <c r="D109" s="34"/>
      <c r="E109" s="34">
        <v>49601</v>
      </c>
      <c r="F109" s="43"/>
      <c r="G109" s="26">
        <v>1129752</v>
      </c>
      <c r="H109" s="26"/>
      <c r="I109" s="26">
        <v>0</v>
      </c>
      <c r="J109" s="26"/>
      <c r="K109" s="26">
        <v>3603055</v>
      </c>
      <c r="L109" s="26"/>
      <c r="M109" s="26">
        <v>47402</v>
      </c>
      <c r="N109" s="26"/>
      <c r="O109" s="26">
        <v>1096993</v>
      </c>
      <c r="P109" s="26"/>
      <c r="Q109" s="26">
        <v>62835</v>
      </c>
      <c r="R109" s="26"/>
      <c r="S109" s="26">
        <v>0</v>
      </c>
      <c r="T109" s="26"/>
      <c r="U109" s="26">
        <v>26510</v>
      </c>
      <c r="V109" s="26"/>
      <c r="W109" s="26">
        <v>235129</v>
      </c>
      <c r="X109" s="26"/>
      <c r="Y109" s="54">
        <f t="shared" si="5"/>
        <v>6201676</v>
      </c>
      <c r="Z109" s="26"/>
      <c r="AA109" s="26">
        <v>149199</v>
      </c>
      <c r="AB109" s="26"/>
      <c r="AC109" s="26"/>
      <c r="AD109" s="26"/>
      <c r="AE109" s="26">
        <v>400</v>
      </c>
      <c r="AF109" s="26"/>
      <c r="AG109" s="26"/>
      <c r="AH109" s="26"/>
      <c r="AI109" s="26"/>
      <c r="AJ109" s="26"/>
      <c r="AK109" s="26">
        <v>400</v>
      </c>
      <c r="AL109" s="26"/>
      <c r="AM109" s="26">
        <v>0</v>
      </c>
      <c r="AN109" s="26"/>
      <c r="AO109" s="26">
        <v>0</v>
      </c>
      <c r="AP109" s="26"/>
      <c r="AQ109" s="26">
        <v>0</v>
      </c>
      <c r="AR109" s="26"/>
      <c r="AS109" s="54">
        <f t="shared" si="6"/>
        <v>149999</v>
      </c>
      <c r="AT109" s="26"/>
      <c r="AU109" s="54">
        <f t="shared" si="7"/>
        <v>6351675</v>
      </c>
    </row>
    <row r="110" spans="1:47">
      <c r="A110" s="13" t="s">
        <v>699</v>
      </c>
      <c r="B110" s="13"/>
      <c r="C110" s="13" t="s">
        <v>65</v>
      </c>
      <c r="D110" s="13"/>
      <c r="E110" s="32">
        <v>43778</v>
      </c>
      <c r="F110" s="26"/>
      <c r="G110" s="26">
        <v>3329690</v>
      </c>
      <c r="H110" s="26"/>
      <c r="I110" s="26">
        <v>0</v>
      </c>
      <c r="J110" s="26"/>
      <c r="K110" s="26">
        <v>14732592</v>
      </c>
      <c r="L110" s="26"/>
      <c r="M110" s="26">
        <v>208537</v>
      </c>
      <c r="N110" s="26"/>
      <c r="O110" s="26">
        <v>852495</v>
      </c>
      <c r="P110" s="26"/>
      <c r="Q110" s="26">
        <v>213331</v>
      </c>
      <c r="R110" s="26"/>
      <c r="S110" s="26">
        <v>0</v>
      </c>
      <c r="T110" s="26"/>
      <c r="U110" s="26">
        <v>0</v>
      </c>
      <c r="V110" s="26"/>
      <c r="W110" s="26">
        <v>417842</v>
      </c>
      <c r="X110" s="26"/>
      <c r="Y110" s="54">
        <f t="shared" si="5"/>
        <v>19754487</v>
      </c>
      <c r="Z110" s="26"/>
      <c r="AA110" s="26">
        <v>59075</v>
      </c>
      <c r="AB110" s="26"/>
      <c r="AC110" s="26"/>
      <c r="AD110" s="26"/>
      <c r="AE110" s="26">
        <v>1346</v>
      </c>
      <c r="AF110" s="26"/>
      <c r="AG110" s="26"/>
      <c r="AH110" s="26"/>
      <c r="AI110" s="26"/>
      <c r="AJ110" s="26"/>
      <c r="AK110" s="26">
        <v>0</v>
      </c>
      <c r="AL110" s="26"/>
      <c r="AM110" s="26">
        <v>0</v>
      </c>
      <c r="AN110" s="26"/>
      <c r="AO110" s="26">
        <v>0</v>
      </c>
      <c r="AP110" s="26"/>
      <c r="AQ110" s="26">
        <v>0</v>
      </c>
      <c r="AR110" s="26"/>
      <c r="AS110" s="54">
        <f t="shared" si="6"/>
        <v>60421</v>
      </c>
      <c r="AT110" s="26"/>
      <c r="AU110" s="54">
        <f t="shared" si="7"/>
        <v>19814908</v>
      </c>
    </row>
    <row r="111" spans="1:47">
      <c r="A111" s="13" t="s">
        <v>614</v>
      </c>
      <c r="B111" s="13"/>
      <c r="C111" s="13" t="s">
        <v>113</v>
      </c>
      <c r="D111" s="13"/>
      <c r="E111" s="32">
        <v>49411</v>
      </c>
      <c r="F111" s="26"/>
      <c r="G111" s="26">
        <v>4732866</v>
      </c>
      <c r="H111" s="26"/>
      <c r="I111" s="26">
        <v>0</v>
      </c>
      <c r="J111" s="26"/>
      <c r="K111" s="26">
        <f>9089704+995436</f>
        <v>10085140</v>
      </c>
      <c r="L111" s="26"/>
      <c r="M111" s="26">
        <v>318007</v>
      </c>
      <c r="N111" s="26"/>
      <c r="O111" s="26">
        <v>508366</v>
      </c>
      <c r="P111" s="26"/>
      <c r="Q111" s="26">
        <v>177895</v>
      </c>
      <c r="R111" s="26"/>
      <c r="S111" s="26">
        <v>0</v>
      </c>
      <c r="T111" s="26"/>
      <c r="U111" s="26">
        <v>0</v>
      </c>
      <c r="V111" s="26"/>
      <c r="W111" s="26">
        <f>430804+67434+65409</f>
        <v>563647</v>
      </c>
      <c r="X111" s="26"/>
      <c r="Y111" s="54">
        <f t="shared" si="5"/>
        <v>16385921</v>
      </c>
      <c r="Z111" s="26"/>
      <c r="AA111" s="26">
        <v>25000</v>
      </c>
      <c r="AB111" s="26"/>
      <c r="AC111" s="26"/>
      <c r="AD111" s="26"/>
      <c r="AE111" s="26">
        <v>0</v>
      </c>
      <c r="AF111" s="26"/>
      <c r="AG111" s="26"/>
      <c r="AH111" s="26"/>
      <c r="AI111" s="26"/>
      <c r="AJ111" s="26"/>
      <c r="AK111" s="26">
        <v>0</v>
      </c>
      <c r="AL111" s="26"/>
      <c r="AM111" s="26">
        <v>0</v>
      </c>
      <c r="AN111" s="26"/>
      <c r="AO111" s="26">
        <v>0</v>
      </c>
      <c r="AP111" s="26"/>
      <c r="AQ111" s="26">
        <v>0</v>
      </c>
      <c r="AR111" s="26"/>
      <c r="AS111" s="54">
        <f t="shared" si="6"/>
        <v>25000</v>
      </c>
      <c r="AT111" s="26"/>
      <c r="AU111" s="54">
        <f t="shared" si="7"/>
        <v>16410921</v>
      </c>
    </row>
    <row r="112" spans="1:47">
      <c r="A112" s="13" t="s">
        <v>491</v>
      </c>
      <c r="B112" s="13"/>
      <c r="C112" s="13" t="s">
        <v>44</v>
      </c>
      <c r="D112" s="13"/>
      <c r="E112" s="32">
        <v>48132</v>
      </c>
      <c r="F112" s="26"/>
      <c r="G112" s="26">
        <v>2626611</v>
      </c>
      <c r="H112" s="26"/>
      <c r="I112" s="26">
        <v>0</v>
      </c>
      <c r="J112" s="26"/>
      <c r="K112" s="26">
        <v>9287782</v>
      </c>
      <c r="L112" s="26"/>
      <c r="M112" s="26">
        <v>49145</v>
      </c>
      <c r="N112" s="26"/>
      <c r="O112" s="26">
        <v>2876461</v>
      </c>
      <c r="P112" s="26"/>
      <c r="Q112" s="26">
        <v>211058</v>
      </c>
      <c r="R112" s="26"/>
      <c r="S112" s="26">
        <v>0</v>
      </c>
      <c r="T112" s="26"/>
      <c r="U112" s="26">
        <v>0</v>
      </c>
      <c r="V112" s="26"/>
      <c r="W112" s="26">
        <v>315535</v>
      </c>
      <c r="X112" s="26"/>
      <c r="Y112" s="54">
        <f t="shared" si="5"/>
        <v>15366592</v>
      </c>
      <c r="Z112" s="26"/>
      <c r="AA112" s="26">
        <v>346057</v>
      </c>
      <c r="AB112" s="26"/>
      <c r="AC112" s="26"/>
      <c r="AD112" s="26"/>
      <c r="AE112" s="26">
        <v>190291</v>
      </c>
      <c r="AF112" s="26"/>
      <c r="AG112" s="26"/>
      <c r="AH112" s="26"/>
      <c r="AI112" s="26"/>
      <c r="AJ112" s="26"/>
      <c r="AK112" s="26">
        <v>99667</v>
      </c>
      <c r="AL112" s="26"/>
      <c r="AM112" s="26">
        <v>0</v>
      </c>
      <c r="AN112" s="26"/>
      <c r="AO112" s="26">
        <v>0</v>
      </c>
      <c r="AP112" s="26"/>
      <c r="AQ112" s="26">
        <v>0</v>
      </c>
      <c r="AR112" s="26"/>
      <c r="AS112" s="54">
        <f t="shared" si="6"/>
        <v>636015</v>
      </c>
      <c r="AT112" s="26"/>
      <c r="AU112" s="54">
        <f t="shared" si="7"/>
        <v>16002607</v>
      </c>
    </row>
    <row r="113" spans="1:47">
      <c r="A113" s="13" t="s">
        <v>971</v>
      </c>
      <c r="B113" s="13"/>
      <c r="C113" s="13" t="s">
        <v>116</v>
      </c>
      <c r="D113" s="13"/>
      <c r="E113" s="32">
        <v>48132</v>
      </c>
      <c r="F113" s="26"/>
      <c r="G113" s="26">
        <v>8832319</v>
      </c>
      <c r="H113" s="26"/>
      <c r="I113" s="26">
        <v>0</v>
      </c>
      <c r="J113" s="26"/>
      <c r="K113" s="26">
        <v>7982323</v>
      </c>
      <c r="L113" s="26"/>
      <c r="M113" s="26">
        <v>241677</v>
      </c>
      <c r="N113" s="26"/>
      <c r="O113" s="26">
        <v>454697</v>
      </c>
      <c r="P113" s="26"/>
      <c r="Q113" s="26">
        <v>0</v>
      </c>
      <c r="R113" s="26"/>
      <c r="S113" s="26">
        <v>0</v>
      </c>
      <c r="T113" s="26"/>
      <c r="U113" s="26">
        <v>0</v>
      </c>
      <c r="V113" s="26"/>
      <c r="W113" s="26">
        <f>461708+486672</f>
        <v>948380</v>
      </c>
      <c r="X113" s="26"/>
      <c r="Y113" s="54">
        <f>SUM(G113:W113)</f>
        <v>18459396</v>
      </c>
      <c r="Z113" s="26"/>
      <c r="AA113" s="26">
        <v>947611</v>
      </c>
      <c r="AB113" s="26"/>
      <c r="AC113" s="26"/>
      <c r="AD113" s="26"/>
      <c r="AE113" s="26">
        <v>0</v>
      </c>
      <c r="AF113" s="26"/>
      <c r="AG113" s="26"/>
      <c r="AH113" s="26"/>
      <c r="AI113" s="26"/>
      <c r="AJ113" s="26"/>
      <c r="AK113" s="26">
        <v>0</v>
      </c>
      <c r="AL113" s="26"/>
      <c r="AM113" s="26">
        <v>0</v>
      </c>
      <c r="AN113" s="26"/>
      <c r="AO113" s="26">
        <v>0</v>
      </c>
      <c r="AP113" s="26"/>
      <c r="AQ113" s="26">
        <v>0</v>
      </c>
      <c r="AR113" s="26"/>
      <c r="AS113" s="54">
        <f>AK113+AE113+AA113</f>
        <v>947611</v>
      </c>
      <c r="AT113" s="26"/>
      <c r="AU113" s="54">
        <f>Y113+AS113</f>
        <v>19407007</v>
      </c>
    </row>
    <row r="114" spans="1:47">
      <c r="A114" s="13" t="s">
        <v>307</v>
      </c>
      <c r="B114" s="13"/>
      <c r="C114" s="13" t="s">
        <v>20</v>
      </c>
      <c r="D114" s="13"/>
      <c r="E114" s="13">
        <v>43794</v>
      </c>
      <c r="F114" s="26"/>
      <c r="G114" s="26">
        <v>70309309</v>
      </c>
      <c r="H114" s="26"/>
      <c r="I114" s="26">
        <v>0</v>
      </c>
      <c r="J114" s="26"/>
      <c r="K114" s="26">
        <v>37665113</v>
      </c>
      <c r="L114" s="26"/>
      <c r="M114" s="26">
        <v>1900552</v>
      </c>
      <c r="N114" s="26"/>
      <c r="O114" s="26">
        <v>744967</v>
      </c>
      <c r="P114" s="26"/>
      <c r="Q114" s="26">
        <v>225465</v>
      </c>
      <c r="R114" s="26"/>
      <c r="S114" s="26">
        <v>85089</v>
      </c>
      <c r="T114" s="26"/>
      <c r="U114" s="26">
        <v>0</v>
      </c>
      <c r="V114" s="26"/>
      <c r="W114" s="26">
        <v>1840138</v>
      </c>
      <c r="X114" s="26"/>
      <c r="Y114" s="54">
        <f t="shared" si="5"/>
        <v>112770633</v>
      </c>
      <c r="Z114" s="26"/>
      <c r="AA114" s="26">
        <v>1383323</v>
      </c>
      <c r="AB114" s="26"/>
      <c r="AC114" s="26"/>
      <c r="AD114" s="26"/>
      <c r="AE114" s="26">
        <v>796303</v>
      </c>
      <c r="AF114" s="26"/>
      <c r="AG114" s="26"/>
      <c r="AH114" s="26"/>
      <c r="AI114" s="26"/>
      <c r="AJ114" s="26"/>
      <c r="AK114" s="26">
        <v>796303</v>
      </c>
      <c r="AL114" s="26"/>
      <c r="AM114" s="26">
        <v>0</v>
      </c>
      <c r="AN114" s="26"/>
      <c r="AO114" s="26">
        <v>0</v>
      </c>
      <c r="AP114" s="26"/>
      <c r="AQ114" s="26">
        <v>0</v>
      </c>
      <c r="AR114" s="26"/>
      <c r="AS114" s="54">
        <f t="shared" si="6"/>
        <v>2975929</v>
      </c>
      <c r="AT114" s="26"/>
      <c r="AU114" s="54">
        <f t="shared" si="7"/>
        <v>115746562</v>
      </c>
    </row>
    <row r="115" spans="1:47">
      <c r="A115" s="13" t="s">
        <v>308</v>
      </c>
      <c r="B115" s="13"/>
      <c r="C115" s="13" t="s">
        <v>20</v>
      </c>
      <c r="D115" s="13"/>
      <c r="E115" s="32">
        <v>43786</v>
      </c>
      <c r="F115" s="26"/>
      <c r="G115" s="26">
        <v>216291084</v>
      </c>
      <c r="H115" s="26"/>
      <c r="I115" s="26">
        <v>0</v>
      </c>
      <c r="J115" s="26"/>
      <c r="K115" s="26">
        <v>673627764</v>
      </c>
      <c r="L115" s="26"/>
      <c r="M115" s="26">
        <v>18682784</v>
      </c>
      <c r="N115" s="26"/>
      <c r="O115" s="26">
        <v>1373458</v>
      </c>
      <c r="P115" s="26"/>
      <c r="Q115" s="26">
        <v>807414</v>
      </c>
      <c r="R115" s="26"/>
      <c r="S115" s="26">
        <v>0</v>
      </c>
      <c r="T115" s="26"/>
      <c r="U115" s="26">
        <v>9533478</v>
      </c>
      <c r="V115" s="26"/>
      <c r="W115" s="26">
        <v>7100867</v>
      </c>
      <c r="X115" s="26"/>
      <c r="Y115" s="54">
        <f t="shared" si="5"/>
        <v>927416849</v>
      </c>
      <c r="Z115" s="26"/>
      <c r="AA115" s="26">
        <v>29532247</v>
      </c>
      <c r="AB115" s="26"/>
      <c r="AC115" s="26"/>
      <c r="AD115" s="26"/>
      <c r="AE115" s="26">
        <v>0</v>
      </c>
      <c r="AF115" s="26"/>
      <c r="AG115" s="26"/>
      <c r="AH115" s="26"/>
      <c r="AI115" s="26"/>
      <c r="AJ115" s="26"/>
      <c r="AK115" s="26">
        <v>0</v>
      </c>
      <c r="AL115" s="26"/>
      <c r="AM115" s="26">
        <v>0</v>
      </c>
      <c r="AN115" s="26"/>
      <c r="AO115" s="26">
        <v>0</v>
      </c>
      <c r="AP115" s="26"/>
      <c r="AQ115" s="26">
        <v>0</v>
      </c>
      <c r="AR115" s="26"/>
      <c r="AS115" s="54">
        <f t="shared" si="6"/>
        <v>29532247</v>
      </c>
      <c r="AT115" s="26"/>
      <c r="AU115" s="54">
        <f t="shared" si="7"/>
        <v>956949096</v>
      </c>
    </row>
    <row r="116" spans="1:47">
      <c r="A116" s="13" t="s">
        <v>279</v>
      </c>
      <c r="B116" s="13"/>
      <c r="C116" s="13" t="s">
        <v>18</v>
      </c>
      <c r="D116" s="13"/>
      <c r="E116" s="32">
        <v>46391</v>
      </c>
      <c r="F116" s="26"/>
      <c r="G116" s="26">
        <v>5729743</v>
      </c>
      <c r="H116" s="26"/>
      <c r="I116" s="26">
        <v>0</v>
      </c>
      <c r="J116" s="26"/>
      <c r="K116" s="26">
        <f>28638758+738477</f>
        <v>29377235</v>
      </c>
      <c r="L116" s="26"/>
      <c r="M116" s="26">
        <v>581673</v>
      </c>
      <c r="N116" s="26"/>
      <c r="O116" s="26">
        <v>54303</v>
      </c>
      <c r="P116" s="26"/>
      <c r="Q116" s="26">
        <v>238063</v>
      </c>
      <c r="R116" s="26"/>
      <c r="S116" s="26">
        <v>0</v>
      </c>
      <c r="T116" s="26"/>
      <c r="U116" s="26">
        <v>0</v>
      </c>
      <c r="V116" s="26"/>
      <c r="W116" s="26">
        <f>445220+122409+4594+114554</f>
        <v>686777</v>
      </c>
      <c r="X116" s="26"/>
      <c r="Y116" s="54">
        <f t="shared" si="5"/>
        <v>36667794</v>
      </c>
      <c r="Z116" s="26"/>
      <c r="AA116" s="26">
        <v>650830</v>
      </c>
      <c r="AB116" s="26"/>
      <c r="AC116" s="26"/>
      <c r="AD116" s="26"/>
      <c r="AE116" s="26">
        <v>0</v>
      </c>
      <c r="AF116" s="26"/>
      <c r="AG116" s="26"/>
      <c r="AH116" s="26"/>
      <c r="AI116" s="26"/>
      <c r="AJ116" s="26"/>
      <c r="AK116" s="26">
        <f>17000+6539000+3500000</f>
        <v>10056000</v>
      </c>
      <c r="AL116" s="26"/>
      <c r="AM116" s="26">
        <v>0</v>
      </c>
      <c r="AN116" s="26"/>
      <c r="AO116" s="26">
        <v>0</v>
      </c>
      <c r="AP116" s="26"/>
      <c r="AQ116" s="26">
        <v>0</v>
      </c>
      <c r="AR116" s="26"/>
      <c r="AS116" s="54">
        <f t="shared" si="6"/>
        <v>10706830</v>
      </c>
      <c r="AT116" s="26"/>
      <c r="AU116" s="54">
        <f t="shared" si="7"/>
        <v>47374624</v>
      </c>
    </row>
    <row r="117" spans="1:47">
      <c r="A117" s="13" t="s">
        <v>533</v>
      </c>
      <c r="B117" s="13"/>
      <c r="C117" s="13" t="s">
        <v>47</v>
      </c>
      <c r="D117" s="13"/>
      <c r="E117" s="13">
        <v>48488</v>
      </c>
      <c r="F117" s="26"/>
      <c r="G117" s="26">
        <v>13646942</v>
      </c>
      <c r="H117" s="26"/>
      <c r="I117" s="26">
        <v>0</v>
      </c>
      <c r="J117" s="26"/>
      <c r="K117" s="26">
        <v>14415654</v>
      </c>
      <c r="L117" s="26"/>
      <c r="M117" s="26">
        <v>133751</v>
      </c>
      <c r="N117" s="26"/>
      <c r="O117" s="26">
        <v>469161</v>
      </c>
      <c r="P117" s="26"/>
      <c r="Q117" s="26">
        <v>281152</v>
      </c>
      <c r="R117" s="26"/>
      <c r="S117" s="26">
        <v>0</v>
      </c>
      <c r="T117" s="26"/>
      <c r="U117" s="26">
        <v>96</v>
      </c>
      <c r="V117" s="26"/>
      <c r="W117" s="26">
        <v>1177613</v>
      </c>
      <c r="X117" s="26"/>
      <c r="Y117" s="54">
        <f t="shared" si="5"/>
        <v>30124369</v>
      </c>
      <c r="Z117" s="26"/>
      <c r="AA117" s="26">
        <v>81208</v>
      </c>
      <c r="AB117" s="26"/>
      <c r="AC117" s="26"/>
      <c r="AD117" s="26"/>
      <c r="AE117" s="26">
        <v>214</v>
      </c>
      <c r="AF117" s="26"/>
      <c r="AG117" s="26"/>
      <c r="AH117" s="26"/>
      <c r="AI117" s="26"/>
      <c r="AJ117" s="26"/>
      <c r="AK117" s="26">
        <v>214</v>
      </c>
      <c r="AL117" s="26"/>
      <c r="AM117" s="26">
        <v>0</v>
      </c>
      <c r="AN117" s="26"/>
      <c r="AO117" s="26">
        <v>0</v>
      </c>
      <c r="AP117" s="26"/>
      <c r="AQ117" s="26">
        <v>0</v>
      </c>
      <c r="AR117" s="26"/>
      <c r="AS117" s="54">
        <f t="shared" si="6"/>
        <v>81636</v>
      </c>
      <c r="AT117" s="26"/>
      <c r="AU117" s="54">
        <f t="shared" si="7"/>
        <v>30206005</v>
      </c>
    </row>
    <row r="118" spans="1:47">
      <c r="A118" s="13" t="s">
        <v>627</v>
      </c>
      <c r="B118" s="13"/>
      <c r="C118" s="13" t="s">
        <v>79</v>
      </c>
      <c r="D118" s="13"/>
      <c r="E118" s="32">
        <v>45302</v>
      </c>
      <c r="F118" s="26"/>
      <c r="G118" s="26">
        <v>7605398</v>
      </c>
      <c r="H118" s="26"/>
      <c r="I118" s="26">
        <v>0</v>
      </c>
      <c r="J118" s="26"/>
      <c r="K118" s="26">
        <v>12613121</v>
      </c>
      <c r="L118" s="26"/>
      <c r="M118" s="26">
        <v>215103</v>
      </c>
      <c r="N118" s="26"/>
      <c r="O118" s="26">
        <v>603479</v>
      </c>
      <c r="P118" s="26"/>
      <c r="Q118" s="26">
        <v>301120</v>
      </c>
      <c r="R118" s="26"/>
      <c r="S118" s="26">
        <v>0</v>
      </c>
      <c r="T118" s="26"/>
      <c r="U118" s="26">
        <v>0</v>
      </c>
      <c r="V118" s="26"/>
      <c r="W118" s="26">
        <v>1154054</v>
      </c>
      <c r="X118" s="26"/>
      <c r="Y118" s="54">
        <f t="shared" si="5"/>
        <v>22492275</v>
      </c>
      <c r="Z118" s="26"/>
      <c r="AA118" s="26">
        <v>0</v>
      </c>
      <c r="AB118" s="26"/>
      <c r="AC118" s="26"/>
      <c r="AD118" s="26"/>
      <c r="AE118" s="26">
        <v>22072221</v>
      </c>
      <c r="AF118" s="26"/>
      <c r="AG118" s="26"/>
      <c r="AH118" s="26"/>
      <c r="AI118" s="26"/>
      <c r="AJ118" s="26"/>
      <c r="AK118" s="26">
        <v>974835</v>
      </c>
      <c r="AL118" s="26"/>
      <c r="AM118" s="26">
        <v>0</v>
      </c>
      <c r="AN118" s="26"/>
      <c r="AO118" s="26">
        <v>0</v>
      </c>
      <c r="AP118" s="26"/>
      <c r="AQ118" s="26">
        <v>0</v>
      </c>
      <c r="AR118" s="26"/>
      <c r="AS118" s="54">
        <f t="shared" si="6"/>
        <v>23047056</v>
      </c>
      <c r="AT118" s="26"/>
      <c r="AU118" s="54">
        <f t="shared" si="7"/>
        <v>45539331</v>
      </c>
    </row>
    <row r="119" spans="1:47">
      <c r="A119" s="13" t="s">
        <v>296</v>
      </c>
      <c r="B119" s="13"/>
      <c r="C119" s="13" t="s">
        <v>114</v>
      </c>
      <c r="D119" s="13"/>
      <c r="E119" s="32">
        <v>46516</v>
      </c>
      <c r="F119" s="26"/>
      <c r="G119" s="26">
        <v>4095207</v>
      </c>
      <c r="H119" s="26"/>
      <c r="I119" s="26">
        <v>0</v>
      </c>
      <c r="J119" s="26"/>
      <c r="K119" s="26">
        <f>12624+3633238+606465</f>
        <v>4252327</v>
      </c>
      <c r="L119" s="26"/>
      <c r="M119" s="26">
        <v>125934</v>
      </c>
      <c r="N119" s="26"/>
      <c r="O119" s="26">
        <v>823059</v>
      </c>
      <c r="P119" s="26"/>
      <c r="Q119" s="26">
        <v>117316</v>
      </c>
      <c r="R119" s="26"/>
      <c r="S119" s="26">
        <v>0</v>
      </c>
      <c r="T119" s="26"/>
      <c r="U119" s="26">
        <v>0</v>
      </c>
      <c r="V119" s="26"/>
      <c r="W119" s="26">
        <f>250874+63891+51665</f>
        <v>366430</v>
      </c>
      <c r="X119" s="26"/>
      <c r="Y119" s="54">
        <f t="shared" si="5"/>
        <v>9780273</v>
      </c>
      <c r="Z119" s="26"/>
      <c r="AA119" s="26">
        <v>348506</v>
      </c>
      <c r="AB119" s="26"/>
      <c r="AC119" s="26"/>
      <c r="AD119" s="26"/>
      <c r="AE119" s="26">
        <v>0</v>
      </c>
      <c r="AF119" s="26"/>
      <c r="AG119" s="26"/>
      <c r="AH119" s="26"/>
      <c r="AI119" s="26"/>
      <c r="AJ119" s="26"/>
      <c r="AK119" s="26">
        <f>9515000+482334</f>
        <v>9997334</v>
      </c>
      <c r="AL119" s="26"/>
      <c r="AM119" s="26">
        <v>0</v>
      </c>
      <c r="AN119" s="26"/>
      <c r="AO119" s="26">
        <v>0</v>
      </c>
      <c r="AP119" s="26"/>
      <c r="AQ119" s="26">
        <v>0</v>
      </c>
      <c r="AR119" s="26"/>
      <c r="AS119" s="54">
        <f t="shared" si="6"/>
        <v>10345840</v>
      </c>
      <c r="AT119" s="26"/>
      <c r="AU119" s="54">
        <f t="shared" si="7"/>
        <v>20126113</v>
      </c>
    </row>
    <row r="120" spans="1:47">
      <c r="A120" s="13" t="s">
        <v>492</v>
      </c>
      <c r="B120" s="13"/>
      <c r="C120" s="13" t="s">
        <v>44</v>
      </c>
      <c r="D120" s="13"/>
      <c r="E120" s="32">
        <v>48140</v>
      </c>
      <c r="F120" s="26"/>
      <c r="G120" s="26">
        <v>5570237</v>
      </c>
      <c r="H120" s="26"/>
      <c r="I120" s="26">
        <v>0</v>
      </c>
      <c r="J120" s="26"/>
      <c r="K120" s="26">
        <v>4281519</v>
      </c>
      <c r="L120" s="26"/>
      <c r="M120" s="26">
        <v>141079</v>
      </c>
      <c r="N120" s="26"/>
      <c r="O120" s="26">
        <v>52012</v>
      </c>
      <c r="P120" s="26"/>
      <c r="Q120" s="26">
        <v>92845</v>
      </c>
      <c r="R120" s="26"/>
      <c r="S120" s="26">
        <v>0</v>
      </c>
      <c r="T120" s="26"/>
      <c r="U120" s="26">
        <v>19905</v>
      </c>
      <c r="V120" s="26"/>
      <c r="W120" s="26">
        <f>258797+23324+435686</f>
        <v>717807</v>
      </c>
      <c r="X120" s="26"/>
      <c r="Y120" s="54">
        <f t="shared" si="5"/>
        <v>10875404</v>
      </c>
      <c r="Z120" s="26"/>
      <c r="AA120" s="26">
        <v>34500</v>
      </c>
      <c r="AB120" s="26"/>
      <c r="AC120" s="26"/>
      <c r="AD120" s="26"/>
      <c r="AE120" s="26">
        <v>0</v>
      </c>
      <c r="AF120" s="26"/>
      <c r="AG120" s="26"/>
      <c r="AH120" s="26"/>
      <c r="AI120" s="26"/>
      <c r="AJ120" s="26"/>
      <c r="AK120" s="26">
        <v>0</v>
      </c>
      <c r="AL120" s="26"/>
      <c r="AM120" s="26">
        <v>0</v>
      </c>
      <c r="AN120" s="26"/>
      <c r="AO120" s="26">
        <v>0</v>
      </c>
      <c r="AP120" s="26"/>
      <c r="AQ120" s="26">
        <v>0</v>
      </c>
      <c r="AR120" s="26"/>
      <c r="AS120" s="54">
        <f t="shared" si="6"/>
        <v>34500</v>
      </c>
      <c r="AT120" s="26"/>
      <c r="AU120" s="54">
        <f t="shared" si="7"/>
        <v>10909904</v>
      </c>
    </row>
    <row r="121" spans="1:47">
      <c r="A121" s="13" t="s">
        <v>283</v>
      </c>
      <c r="B121" s="13"/>
      <c r="C121" s="13" t="s">
        <v>115</v>
      </c>
      <c r="D121" s="13"/>
      <c r="E121" s="32">
        <v>45328</v>
      </c>
      <c r="F121" s="26"/>
      <c r="G121" s="26">
        <v>3980313</v>
      </c>
      <c r="H121" s="26"/>
      <c r="I121" s="26">
        <v>1552857</v>
      </c>
      <c r="J121" s="26"/>
      <c r="K121" s="26">
        <v>3647236</v>
      </c>
      <c r="L121" s="26"/>
      <c r="M121" s="26">
        <v>189365</v>
      </c>
      <c r="N121" s="26"/>
      <c r="O121" s="26">
        <v>720406</v>
      </c>
      <c r="P121" s="26"/>
      <c r="Q121" s="26">
        <v>224033</v>
      </c>
      <c r="R121" s="26"/>
      <c r="S121" s="26">
        <v>0</v>
      </c>
      <c r="T121" s="26"/>
      <c r="U121" s="26">
        <v>75267</v>
      </c>
      <c r="V121" s="26"/>
      <c r="W121" s="26">
        <v>244859</v>
      </c>
      <c r="X121" s="26"/>
      <c r="Y121" s="54">
        <f t="shared" si="5"/>
        <v>10634336</v>
      </c>
      <c r="Z121" s="26"/>
      <c r="AA121" s="26">
        <v>0</v>
      </c>
      <c r="AB121" s="26"/>
      <c r="AC121" s="26"/>
      <c r="AD121" s="26"/>
      <c r="AE121" s="26">
        <v>2035</v>
      </c>
      <c r="AF121" s="26"/>
      <c r="AG121" s="26"/>
      <c r="AH121" s="26"/>
      <c r="AI121" s="26"/>
      <c r="AJ121" s="26"/>
      <c r="AK121" s="26">
        <v>2035</v>
      </c>
      <c r="AL121" s="26"/>
      <c r="AM121" s="26">
        <v>0</v>
      </c>
      <c r="AN121" s="26"/>
      <c r="AO121" s="26">
        <v>0</v>
      </c>
      <c r="AP121" s="26"/>
      <c r="AQ121" s="26">
        <v>0</v>
      </c>
      <c r="AR121" s="26"/>
      <c r="AS121" s="54">
        <f t="shared" si="6"/>
        <v>4070</v>
      </c>
      <c r="AT121" s="26"/>
      <c r="AU121" s="54">
        <f t="shared" si="7"/>
        <v>10638406</v>
      </c>
    </row>
    <row r="122" spans="1:47">
      <c r="A122" s="13" t="s">
        <v>358</v>
      </c>
      <c r="B122" s="13"/>
      <c r="C122" s="13" t="s">
        <v>27</v>
      </c>
      <c r="D122" s="13"/>
      <c r="E122" s="32">
        <v>43802</v>
      </c>
      <c r="F122" s="26"/>
      <c r="G122" s="26">
        <v>368231415</v>
      </c>
      <c r="H122" s="26"/>
      <c r="I122" s="26">
        <v>0</v>
      </c>
      <c r="J122" s="26"/>
      <c r="K122" s="26">
        <v>436302413</v>
      </c>
      <c r="L122" s="26"/>
      <c r="M122" s="26">
        <v>19136612</v>
      </c>
      <c r="N122" s="26"/>
      <c r="O122" s="26">
        <v>8949533</v>
      </c>
      <c r="P122" s="26"/>
      <c r="Q122" s="26">
        <v>1570609</v>
      </c>
      <c r="R122" s="26"/>
      <c r="S122" s="26">
        <v>5992191</v>
      </c>
      <c r="T122" s="26"/>
      <c r="U122" s="26">
        <v>2352029</v>
      </c>
      <c r="V122" s="26"/>
      <c r="W122" s="26">
        <v>17063168</v>
      </c>
      <c r="X122" s="26"/>
      <c r="Y122" s="54">
        <f t="shared" si="5"/>
        <v>859597970</v>
      </c>
      <c r="Z122" s="26"/>
      <c r="AA122" s="26">
        <v>10494172</v>
      </c>
      <c r="AB122" s="26"/>
      <c r="AC122" s="26"/>
      <c r="AD122" s="26"/>
      <c r="AE122" s="26">
        <v>54269183</v>
      </c>
      <c r="AF122" s="26"/>
      <c r="AG122" s="26"/>
      <c r="AH122" s="26"/>
      <c r="AI122" s="26"/>
      <c r="AJ122" s="26"/>
      <c r="AK122" s="26">
        <v>89927</v>
      </c>
      <c r="AL122" s="26"/>
      <c r="AM122" s="26">
        <v>0</v>
      </c>
      <c r="AN122" s="26"/>
      <c r="AO122" s="26">
        <v>0</v>
      </c>
      <c r="AP122" s="26"/>
      <c r="AQ122" s="26">
        <v>0</v>
      </c>
      <c r="AR122" s="26"/>
      <c r="AS122" s="54">
        <f t="shared" si="6"/>
        <v>64853282</v>
      </c>
      <c r="AT122" s="26"/>
      <c r="AU122" s="54">
        <f t="shared" si="7"/>
        <v>924451252</v>
      </c>
    </row>
    <row r="123" spans="1:47">
      <c r="A123" s="13" t="s">
        <v>220</v>
      </c>
      <c r="B123" s="13"/>
      <c r="C123" s="13" t="s">
        <v>12</v>
      </c>
      <c r="D123" s="13"/>
      <c r="E123" s="32">
        <v>43810</v>
      </c>
      <c r="F123" s="26"/>
      <c r="G123" s="26">
        <v>4584495</v>
      </c>
      <c r="H123" s="26"/>
      <c r="I123" s="26">
        <v>0</v>
      </c>
      <c r="J123" s="26"/>
      <c r="K123" s="26">
        <v>15659646</v>
      </c>
      <c r="L123" s="26"/>
      <c r="M123" s="26">
        <v>302856</v>
      </c>
      <c r="N123" s="26"/>
      <c r="O123" s="26">
        <v>200641</v>
      </c>
      <c r="P123" s="26"/>
      <c r="Q123" s="26">
        <v>109837</v>
      </c>
      <c r="R123" s="26"/>
      <c r="S123" s="26">
        <v>0</v>
      </c>
      <c r="T123" s="26"/>
      <c r="U123" s="26">
        <v>253495</v>
      </c>
      <c r="V123" s="26"/>
      <c r="W123" s="26">
        <v>496572</v>
      </c>
      <c r="X123" s="26"/>
      <c r="Y123" s="54">
        <f t="shared" si="5"/>
        <v>21607542</v>
      </c>
      <c r="Z123" s="26"/>
      <c r="AA123" s="26">
        <v>13124</v>
      </c>
      <c r="AB123" s="26"/>
      <c r="AC123" s="26"/>
      <c r="AD123" s="26"/>
      <c r="AE123" s="26">
        <v>0</v>
      </c>
      <c r="AF123" s="26"/>
      <c r="AG123" s="26"/>
      <c r="AH123" s="26"/>
      <c r="AI123" s="26"/>
      <c r="AJ123" s="26"/>
      <c r="AK123" s="26">
        <v>0</v>
      </c>
      <c r="AL123" s="26"/>
      <c r="AM123" s="26">
        <v>0</v>
      </c>
      <c r="AN123" s="26"/>
      <c r="AO123" s="26">
        <v>0</v>
      </c>
      <c r="AP123" s="26"/>
      <c r="AQ123" s="26">
        <v>0</v>
      </c>
      <c r="AR123" s="26"/>
      <c r="AS123" s="54">
        <f t="shared" si="6"/>
        <v>13124</v>
      </c>
      <c r="AT123" s="26"/>
      <c r="AU123" s="54">
        <f t="shared" si="7"/>
        <v>21620666</v>
      </c>
    </row>
    <row r="124" spans="1:47">
      <c r="A124" s="13" t="s">
        <v>432</v>
      </c>
      <c r="B124" s="13"/>
      <c r="C124" s="13" t="s">
        <v>433</v>
      </c>
      <c r="D124" s="13"/>
      <c r="E124" s="32">
        <v>47548</v>
      </c>
      <c r="F124" s="26"/>
      <c r="G124" s="26">
        <v>2265038</v>
      </c>
      <c r="H124" s="26"/>
      <c r="I124" s="26">
        <v>0</v>
      </c>
      <c r="J124" s="26"/>
      <c r="K124" s="26">
        <v>3170502</v>
      </c>
      <c r="L124" s="26"/>
      <c r="M124" s="26">
        <v>85107</v>
      </c>
      <c r="N124" s="26"/>
      <c r="O124" s="26">
        <v>306843</v>
      </c>
      <c r="P124" s="26"/>
      <c r="Q124" s="26">
        <v>60014</v>
      </c>
      <c r="R124" s="26"/>
      <c r="S124" s="26">
        <v>0</v>
      </c>
      <c r="T124" s="26"/>
      <c r="U124" s="26">
        <v>0</v>
      </c>
      <c r="V124" s="26"/>
      <c r="W124" s="26">
        <v>119351</v>
      </c>
      <c r="X124" s="26"/>
      <c r="Y124" s="54">
        <f t="shared" si="5"/>
        <v>6006855</v>
      </c>
      <c r="Z124" s="26"/>
      <c r="AA124" s="26">
        <v>142000</v>
      </c>
      <c r="AB124" s="26"/>
      <c r="AC124" s="26"/>
      <c r="AD124" s="26"/>
      <c r="AE124" s="26">
        <v>0</v>
      </c>
      <c r="AF124" s="26"/>
      <c r="AG124" s="26"/>
      <c r="AH124" s="26"/>
      <c r="AI124" s="26"/>
      <c r="AJ124" s="26"/>
      <c r="AK124" s="26">
        <v>0</v>
      </c>
      <c r="AL124" s="26"/>
      <c r="AM124" s="26">
        <v>0</v>
      </c>
      <c r="AN124" s="26"/>
      <c r="AO124" s="26">
        <v>0</v>
      </c>
      <c r="AP124" s="26"/>
      <c r="AQ124" s="26">
        <v>0</v>
      </c>
      <c r="AR124" s="26"/>
      <c r="AS124" s="54">
        <f t="shared" si="6"/>
        <v>142000</v>
      </c>
      <c r="AT124" s="26"/>
      <c r="AU124" s="54">
        <f t="shared" si="7"/>
        <v>6148855</v>
      </c>
    </row>
    <row r="125" spans="1:47">
      <c r="A125" s="13" t="s">
        <v>669</v>
      </c>
      <c r="B125" s="13"/>
      <c r="C125" s="13" t="s">
        <v>63</v>
      </c>
      <c r="D125" s="13"/>
      <c r="E125" s="32">
        <v>49981</v>
      </c>
      <c r="F125" s="26"/>
      <c r="G125" s="26">
        <v>23879458</v>
      </c>
      <c r="H125" s="26"/>
      <c r="I125" s="26">
        <v>0</v>
      </c>
      <c r="J125" s="26"/>
      <c r="K125" s="26">
        <v>7746404</v>
      </c>
      <c r="L125" s="26"/>
      <c r="M125" s="26">
        <v>596338</v>
      </c>
      <c r="N125" s="26"/>
      <c r="O125" s="26">
        <v>487023</v>
      </c>
      <c r="P125" s="26"/>
      <c r="Q125" s="26">
        <v>166217</v>
      </c>
      <c r="R125" s="26"/>
      <c r="S125" s="26">
        <v>0</v>
      </c>
      <c r="T125" s="26"/>
      <c r="U125" s="26">
        <v>43926</v>
      </c>
      <c r="V125" s="26"/>
      <c r="W125" s="26">
        <v>1134871</v>
      </c>
      <c r="X125" s="26"/>
      <c r="Y125" s="54">
        <f t="shared" si="5"/>
        <v>34054237</v>
      </c>
      <c r="Z125" s="26"/>
      <c r="AA125" s="26">
        <v>30000</v>
      </c>
      <c r="AB125" s="26"/>
      <c r="AC125" s="26"/>
      <c r="AD125" s="26"/>
      <c r="AE125" s="26">
        <v>0</v>
      </c>
      <c r="AF125" s="26"/>
      <c r="AG125" s="26"/>
      <c r="AH125" s="26"/>
      <c r="AI125" s="26"/>
      <c r="AJ125" s="26"/>
      <c r="AK125" s="26">
        <v>0</v>
      </c>
      <c r="AL125" s="26"/>
      <c r="AM125" s="26">
        <v>0</v>
      </c>
      <c r="AN125" s="26"/>
      <c r="AO125" s="26">
        <v>0</v>
      </c>
      <c r="AP125" s="26"/>
      <c r="AQ125" s="26">
        <v>0</v>
      </c>
      <c r="AR125" s="26"/>
      <c r="AS125" s="54">
        <f t="shared" si="6"/>
        <v>30000</v>
      </c>
      <c r="AT125" s="26"/>
      <c r="AU125" s="54">
        <f t="shared" si="7"/>
        <v>34084237</v>
      </c>
    </row>
    <row r="126" spans="1:47">
      <c r="A126" s="13" t="s">
        <v>420</v>
      </c>
      <c r="B126" s="13"/>
      <c r="C126" s="13" t="s">
        <v>33</v>
      </c>
      <c r="D126" s="13"/>
      <c r="E126" s="32">
        <v>47431</v>
      </c>
      <c r="F126" s="26"/>
      <c r="G126" s="26">
        <v>1636879</v>
      </c>
      <c r="H126" s="26"/>
      <c r="I126" s="26">
        <v>1396152</v>
      </c>
      <c r="J126" s="26"/>
      <c r="K126" s="26">
        <v>3442575</v>
      </c>
      <c r="L126" s="26"/>
      <c r="M126" s="26">
        <v>48741</v>
      </c>
      <c r="N126" s="26"/>
      <c r="O126" s="26">
        <v>260962</v>
      </c>
      <c r="P126" s="26"/>
      <c r="Q126" s="26">
        <v>108414</v>
      </c>
      <c r="R126" s="26"/>
      <c r="S126" s="26">
        <v>23292</v>
      </c>
      <c r="T126" s="26"/>
      <c r="U126" s="26">
        <v>38482</v>
      </c>
      <c r="V126" s="26"/>
      <c r="W126" s="26">
        <v>182917</v>
      </c>
      <c r="X126" s="26"/>
      <c r="Y126" s="54">
        <f t="shared" si="5"/>
        <v>7138414</v>
      </c>
      <c r="Z126" s="26"/>
      <c r="AA126" s="26">
        <v>27698</v>
      </c>
      <c r="AB126" s="26"/>
      <c r="AC126" s="26"/>
      <c r="AD126" s="26"/>
      <c r="AE126" s="26">
        <v>0</v>
      </c>
      <c r="AF126" s="26"/>
      <c r="AG126" s="26"/>
      <c r="AH126" s="26"/>
      <c r="AI126" s="26"/>
      <c r="AJ126" s="26"/>
      <c r="AK126" s="26">
        <v>0</v>
      </c>
      <c r="AL126" s="26"/>
      <c r="AM126" s="26">
        <v>0</v>
      </c>
      <c r="AN126" s="26"/>
      <c r="AO126" s="26">
        <v>0</v>
      </c>
      <c r="AP126" s="26"/>
      <c r="AQ126" s="26">
        <v>0</v>
      </c>
      <c r="AR126" s="26"/>
      <c r="AS126" s="54">
        <f t="shared" si="6"/>
        <v>27698</v>
      </c>
      <c r="AT126" s="26"/>
      <c r="AU126" s="54">
        <f t="shared" si="7"/>
        <v>7166112</v>
      </c>
    </row>
    <row r="127" spans="1:47">
      <c r="A127" s="13" t="s">
        <v>291</v>
      </c>
      <c r="B127" s="13"/>
      <c r="C127" s="13" t="s">
        <v>19</v>
      </c>
      <c r="D127" s="13"/>
      <c r="E127" s="32">
        <v>43828</v>
      </c>
      <c r="F127" s="26"/>
      <c r="G127" s="26">
        <v>4814450</v>
      </c>
      <c r="H127" s="26"/>
      <c r="I127" s="26">
        <v>0</v>
      </c>
      <c r="J127" s="26"/>
      <c r="K127" s="26">
        <v>10991083</v>
      </c>
      <c r="L127" s="26"/>
      <c r="M127" s="26">
        <v>177826</v>
      </c>
      <c r="N127" s="26"/>
      <c r="O127" s="26">
        <v>874546</v>
      </c>
      <c r="P127" s="26"/>
      <c r="Q127" s="26">
        <v>180360</v>
      </c>
      <c r="R127" s="26"/>
      <c r="S127" s="26">
        <v>0</v>
      </c>
      <c r="T127" s="26"/>
      <c r="U127" s="26">
        <v>0</v>
      </c>
      <c r="V127" s="26"/>
      <c r="W127" s="26">
        <v>458640</v>
      </c>
      <c r="X127" s="26"/>
      <c r="Y127" s="54">
        <f t="shared" si="5"/>
        <v>17496905</v>
      </c>
      <c r="Z127" s="26"/>
      <c r="AA127" s="26">
        <v>113</v>
      </c>
      <c r="AB127" s="26"/>
      <c r="AC127" s="26"/>
      <c r="AD127" s="26"/>
      <c r="AE127" s="26">
        <v>0</v>
      </c>
      <c r="AF127" s="26"/>
      <c r="AG127" s="26"/>
      <c r="AH127" s="26"/>
      <c r="AI127" s="26"/>
      <c r="AJ127" s="26"/>
      <c r="AK127" s="26">
        <v>113</v>
      </c>
      <c r="AL127" s="26"/>
      <c r="AM127" s="26">
        <v>0</v>
      </c>
      <c r="AN127" s="26"/>
      <c r="AO127" s="26">
        <v>0</v>
      </c>
      <c r="AP127" s="26"/>
      <c r="AQ127" s="26">
        <v>0</v>
      </c>
      <c r="AR127" s="26"/>
      <c r="AS127" s="54">
        <f t="shared" si="6"/>
        <v>226</v>
      </c>
      <c r="AT127" s="26"/>
      <c r="AU127" s="54">
        <f t="shared" si="7"/>
        <v>17497131</v>
      </c>
    </row>
    <row r="128" spans="1:47">
      <c r="A128" s="13" t="s">
        <v>832</v>
      </c>
      <c r="B128" s="13"/>
      <c r="C128" s="13" t="s">
        <v>63</v>
      </c>
      <c r="D128" s="13"/>
      <c r="E128" s="32"/>
      <c r="F128" s="26"/>
      <c r="G128" s="26">
        <v>8958993</v>
      </c>
      <c r="H128" s="26"/>
      <c r="I128" s="26">
        <v>0</v>
      </c>
      <c r="J128" s="26"/>
      <c r="K128" s="26">
        <v>6629429</v>
      </c>
      <c r="L128" s="26"/>
      <c r="M128" s="26">
        <v>123403</v>
      </c>
      <c r="N128" s="26"/>
      <c r="O128" s="26">
        <v>4944005</v>
      </c>
      <c r="P128" s="26"/>
      <c r="Q128" s="26">
        <v>132870</v>
      </c>
      <c r="R128" s="26"/>
      <c r="S128" s="26">
        <v>0</v>
      </c>
      <c r="T128" s="26"/>
      <c r="U128" s="26">
        <v>49011</v>
      </c>
      <c r="V128" s="26"/>
      <c r="W128" s="26">
        <v>534121</v>
      </c>
      <c r="X128" s="26"/>
      <c r="Y128" s="54">
        <f t="shared" si="5"/>
        <v>21371832</v>
      </c>
      <c r="Z128" s="26"/>
      <c r="AA128" s="26">
        <v>41160</v>
      </c>
      <c r="AB128" s="26"/>
      <c r="AC128" s="26"/>
      <c r="AD128" s="26"/>
      <c r="AE128" s="26">
        <v>1500000</v>
      </c>
      <c r="AF128" s="26"/>
      <c r="AG128" s="26"/>
      <c r="AH128" s="26"/>
      <c r="AI128" s="26"/>
      <c r="AJ128" s="26"/>
      <c r="AK128" s="26">
        <v>0</v>
      </c>
      <c r="AL128" s="26"/>
      <c r="AM128" s="26">
        <v>0</v>
      </c>
      <c r="AN128" s="26"/>
      <c r="AO128" s="26">
        <v>0</v>
      </c>
      <c r="AP128" s="26"/>
      <c r="AQ128" s="26">
        <v>0</v>
      </c>
      <c r="AR128" s="26"/>
      <c r="AS128" s="54">
        <f t="shared" si="6"/>
        <v>1541160</v>
      </c>
      <c r="AT128" s="26"/>
      <c r="AU128" s="54">
        <f t="shared" si="7"/>
        <v>22912992</v>
      </c>
    </row>
    <row r="129" spans="1:47">
      <c r="A129" s="13" t="s">
        <v>544</v>
      </c>
      <c r="B129" s="13"/>
      <c r="C129" s="13" t="s">
        <v>48</v>
      </c>
      <c r="D129" s="13"/>
      <c r="E129" s="32">
        <v>45336</v>
      </c>
      <c r="F129" s="26"/>
      <c r="G129" s="26">
        <v>3332231</v>
      </c>
      <c r="H129" s="26"/>
      <c r="I129" s="26">
        <v>0</v>
      </c>
      <c r="J129" s="26"/>
      <c r="K129" s="26">
        <v>3828411</v>
      </c>
      <c r="L129" s="26"/>
      <c r="M129" s="26">
        <v>69237</v>
      </c>
      <c r="N129" s="26"/>
      <c r="O129" s="26">
        <v>387922</v>
      </c>
      <c r="P129" s="26"/>
      <c r="Q129" s="26">
        <v>174405</v>
      </c>
      <c r="R129" s="26"/>
      <c r="S129" s="26">
        <v>0</v>
      </c>
      <c r="T129" s="26"/>
      <c r="U129" s="26">
        <v>0</v>
      </c>
      <c r="V129" s="26"/>
      <c r="W129" s="26">
        <v>425927</v>
      </c>
      <c r="X129" s="26"/>
      <c r="Y129" s="54">
        <f t="shared" si="5"/>
        <v>8218133</v>
      </c>
      <c r="Z129" s="26"/>
      <c r="AA129" s="26">
        <v>0</v>
      </c>
      <c r="AB129" s="26"/>
      <c r="AC129" s="26"/>
      <c r="AD129" s="26"/>
      <c r="AE129" s="26">
        <v>0</v>
      </c>
      <c r="AF129" s="26"/>
      <c r="AG129" s="26"/>
      <c r="AH129" s="26"/>
      <c r="AI129" s="26"/>
      <c r="AJ129" s="26"/>
      <c r="AK129" s="26">
        <v>0</v>
      </c>
      <c r="AL129" s="26"/>
      <c r="AM129" s="26">
        <v>0</v>
      </c>
      <c r="AN129" s="26"/>
      <c r="AO129" s="26">
        <v>0</v>
      </c>
      <c r="AP129" s="26"/>
      <c r="AQ129" s="26">
        <v>0</v>
      </c>
      <c r="AR129" s="26"/>
      <c r="AS129" s="54">
        <f t="shared" si="6"/>
        <v>0</v>
      </c>
      <c r="AT129" s="26"/>
      <c r="AU129" s="54">
        <f t="shared" si="7"/>
        <v>8218133</v>
      </c>
    </row>
    <row r="130" spans="1:47">
      <c r="A130" s="13" t="s">
        <v>297</v>
      </c>
      <c r="B130" s="13"/>
      <c r="C130" s="13" t="s">
        <v>114</v>
      </c>
      <c r="D130" s="13"/>
      <c r="E130" s="32">
        <v>45344</v>
      </c>
      <c r="F130" s="26"/>
      <c r="G130" s="26">
        <v>2626735</v>
      </c>
      <c r="H130" s="26"/>
      <c r="I130" s="26">
        <v>0</v>
      </c>
      <c r="J130" s="26"/>
      <c r="K130" s="26">
        <f>4497175+1041366</f>
        <v>5538541</v>
      </c>
      <c r="L130" s="26"/>
      <c r="M130" s="26">
        <v>103268</v>
      </c>
      <c r="N130" s="26"/>
      <c r="O130" s="26">
        <v>254101</v>
      </c>
      <c r="P130" s="26"/>
      <c r="Q130" s="26">
        <v>71583</v>
      </c>
      <c r="R130" s="26"/>
      <c r="S130" s="26">
        <v>0</v>
      </c>
      <c r="T130" s="26"/>
      <c r="U130" s="26">
        <v>0</v>
      </c>
      <c r="V130" s="26"/>
      <c r="W130" s="26">
        <f>93226+85759+29030</f>
        <v>208015</v>
      </c>
      <c r="X130" s="26"/>
      <c r="Y130" s="54">
        <f t="shared" si="5"/>
        <v>8802243</v>
      </c>
      <c r="Z130" s="26"/>
      <c r="AA130" s="26">
        <v>0</v>
      </c>
      <c r="AB130" s="26"/>
      <c r="AC130" s="26"/>
      <c r="AD130" s="26"/>
      <c r="AE130" s="26">
        <v>0</v>
      </c>
      <c r="AF130" s="26"/>
      <c r="AG130" s="26"/>
      <c r="AH130" s="26"/>
      <c r="AI130" s="26"/>
      <c r="AJ130" s="26"/>
      <c r="AK130" s="26">
        <v>0</v>
      </c>
      <c r="AL130" s="26"/>
      <c r="AM130" s="26">
        <v>0</v>
      </c>
      <c r="AN130" s="26"/>
      <c r="AO130" s="26">
        <v>0</v>
      </c>
      <c r="AP130" s="26"/>
      <c r="AQ130" s="26">
        <v>0</v>
      </c>
      <c r="AR130" s="26"/>
      <c r="AS130" s="54">
        <f t="shared" si="6"/>
        <v>0</v>
      </c>
      <c r="AT130" s="26"/>
      <c r="AU130" s="54">
        <f t="shared" si="7"/>
        <v>8802243</v>
      </c>
    </row>
    <row r="131" spans="1:47">
      <c r="A131" s="13" t="s">
        <v>284</v>
      </c>
      <c r="B131" s="13"/>
      <c r="C131" s="13" t="s">
        <v>115</v>
      </c>
      <c r="D131" s="13"/>
      <c r="E131" s="32">
        <v>46433</v>
      </c>
      <c r="F131" s="26"/>
      <c r="G131" s="26">
        <v>2354859</v>
      </c>
      <c r="H131" s="26"/>
      <c r="I131" s="26">
        <v>1231003</v>
      </c>
      <c r="J131" s="26"/>
      <c r="K131" s="26">
        <v>5577302</v>
      </c>
      <c r="L131" s="26"/>
      <c r="M131" s="26">
        <v>90424</v>
      </c>
      <c r="N131" s="26"/>
      <c r="O131" s="26">
        <v>1390680</v>
      </c>
      <c r="P131" s="26"/>
      <c r="Q131" s="26">
        <v>153356</v>
      </c>
      <c r="R131" s="26"/>
      <c r="S131" s="26">
        <v>0</v>
      </c>
      <c r="T131" s="26"/>
      <c r="U131" s="26">
        <v>24043</v>
      </c>
      <c r="V131" s="26"/>
      <c r="W131" s="26">
        <v>385375</v>
      </c>
      <c r="X131" s="26"/>
      <c r="Y131" s="54">
        <f t="shared" si="5"/>
        <v>11207042</v>
      </c>
      <c r="Z131" s="26"/>
      <c r="AA131" s="26">
        <v>0</v>
      </c>
      <c r="AB131" s="26"/>
      <c r="AC131" s="26"/>
      <c r="AD131" s="26"/>
      <c r="AE131" s="26">
        <v>2200</v>
      </c>
      <c r="AF131" s="26"/>
      <c r="AG131" s="26"/>
      <c r="AH131" s="26"/>
      <c r="AI131" s="26"/>
      <c r="AJ131" s="26"/>
      <c r="AK131" s="26">
        <v>2200</v>
      </c>
      <c r="AL131" s="26"/>
      <c r="AM131" s="26">
        <v>0</v>
      </c>
      <c r="AN131" s="26"/>
      <c r="AO131" s="26">
        <v>0</v>
      </c>
      <c r="AP131" s="26"/>
      <c r="AQ131" s="26">
        <v>0</v>
      </c>
      <c r="AR131" s="26"/>
      <c r="AS131" s="54">
        <f t="shared" si="6"/>
        <v>4400</v>
      </c>
      <c r="AT131" s="26"/>
      <c r="AU131" s="54">
        <f t="shared" si="7"/>
        <v>11211442</v>
      </c>
    </row>
    <row r="132" spans="1:47">
      <c r="A132" s="13" t="s">
        <v>284</v>
      </c>
      <c r="B132" s="13"/>
      <c r="C132" s="13" t="s">
        <v>113</v>
      </c>
      <c r="D132" s="13"/>
      <c r="E132" s="32">
        <v>49429</v>
      </c>
      <c r="F132" s="26"/>
      <c r="G132" s="26">
        <v>2905730</v>
      </c>
      <c r="H132" s="26"/>
      <c r="I132" s="26">
        <v>0</v>
      </c>
      <c r="J132" s="26"/>
      <c r="K132" s="26">
        <v>8103777</v>
      </c>
      <c r="L132" s="26"/>
      <c r="M132" s="26">
        <v>316415</v>
      </c>
      <c r="N132" s="26"/>
      <c r="O132" s="26">
        <v>168871</v>
      </c>
      <c r="P132" s="26"/>
      <c r="Q132" s="26">
        <v>133618</v>
      </c>
      <c r="R132" s="26"/>
      <c r="S132" s="26">
        <v>0</v>
      </c>
      <c r="T132" s="26"/>
      <c r="U132" s="26">
        <v>0</v>
      </c>
      <c r="V132" s="26"/>
      <c r="W132" s="26">
        <v>327238</v>
      </c>
      <c r="X132" s="26"/>
      <c r="Y132" s="54">
        <f t="shared" si="5"/>
        <v>11955649</v>
      </c>
      <c r="Z132" s="26"/>
      <c r="AA132" s="26">
        <v>0</v>
      </c>
      <c r="AB132" s="26"/>
      <c r="AC132" s="26"/>
      <c r="AD132" s="26"/>
      <c r="AE132" s="26">
        <v>0</v>
      </c>
      <c r="AF132" s="26"/>
      <c r="AG132" s="26"/>
      <c r="AH132" s="26"/>
      <c r="AI132" s="26"/>
      <c r="AJ132" s="26"/>
      <c r="AK132" s="26">
        <v>0</v>
      </c>
      <c r="AL132" s="26"/>
      <c r="AM132" s="26">
        <v>0</v>
      </c>
      <c r="AN132" s="26"/>
      <c r="AO132" s="26">
        <v>0</v>
      </c>
      <c r="AP132" s="26"/>
      <c r="AQ132" s="26">
        <v>0</v>
      </c>
      <c r="AR132" s="26"/>
      <c r="AS132" s="54">
        <f t="shared" si="6"/>
        <v>0</v>
      </c>
      <c r="AT132" s="26"/>
      <c r="AU132" s="54">
        <f t="shared" si="7"/>
        <v>11955649</v>
      </c>
    </row>
    <row r="133" spans="1:47">
      <c r="A133" s="13" t="s">
        <v>596</v>
      </c>
      <c r="B133" s="13"/>
      <c r="C133" s="13" t="s">
        <v>56</v>
      </c>
      <c r="D133" s="13"/>
      <c r="E133" s="32">
        <v>49189</v>
      </c>
      <c r="F133" s="26"/>
      <c r="G133" s="26">
        <v>6934992</v>
      </c>
      <c r="H133" s="26"/>
      <c r="I133" s="26">
        <v>0</v>
      </c>
      <c r="J133" s="26"/>
      <c r="K133" s="26">
        <v>14341054</v>
      </c>
      <c r="L133" s="26"/>
      <c r="M133" s="26">
        <v>313752</v>
      </c>
      <c r="N133" s="26"/>
      <c r="O133" s="26">
        <v>1258338</v>
      </c>
      <c r="P133" s="26"/>
      <c r="Q133" s="26">
        <v>93401</v>
      </c>
      <c r="R133" s="26"/>
      <c r="S133" s="26">
        <v>0</v>
      </c>
      <c r="T133" s="26"/>
      <c r="U133" s="26">
        <v>0</v>
      </c>
      <c r="V133" s="26"/>
      <c r="W133" s="26">
        <v>744672</v>
      </c>
      <c r="X133" s="26"/>
      <c r="Y133" s="54">
        <f t="shared" si="5"/>
        <v>23686209</v>
      </c>
      <c r="Z133" s="26"/>
      <c r="AA133" s="26">
        <v>6901</v>
      </c>
      <c r="AB133" s="26"/>
      <c r="AC133" s="26"/>
      <c r="AD133" s="26"/>
      <c r="AE133" s="26">
        <v>0</v>
      </c>
      <c r="AF133" s="26"/>
      <c r="AG133" s="26"/>
      <c r="AH133" s="26"/>
      <c r="AI133" s="26"/>
      <c r="AJ133" s="26"/>
      <c r="AK133" s="26">
        <v>0</v>
      </c>
      <c r="AL133" s="26"/>
      <c r="AM133" s="26">
        <v>0</v>
      </c>
      <c r="AN133" s="26"/>
      <c r="AO133" s="26">
        <v>0</v>
      </c>
      <c r="AP133" s="26"/>
      <c r="AQ133" s="26">
        <v>0</v>
      </c>
      <c r="AR133" s="26"/>
      <c r="AS133" s="54">
        <f t="shared" si="6"/>
        <v>6901</v>
      </c>
      <c r="AT133" s="26"/>
      <c r="AU133" s="54">
        <f t="shared" si="7"/>
        <v>23693110</v>
      </c>
    </row>
    <row r="134" spans="1:47">
      <c r="A134" s="13" t="s">
        <v>833</v>
      </c>
      <c r="B134" s="13"/>
      <c r="C134" s="13" t="s">
        <v>586</v>
      </c>
      <c r="D134" s="13"/>
      <c r="E134" s="32"/>
      <c r="F134" s="26"/>
      <c r="G134" s="26">
        <v>450968</v>
      </c>
      <c r="H134" s="26"/>
      <c r="I134" s="26">
        <v>0</v>
      </c>
      <c r="J134" s="26"/>
      <c r="K134" s="26">
        <v>8449338</v>
      </c>
      <c r="L134" s="26"/>
      <c r="M134" s="26">
        <v>138990</v>
      </c>
      <c r="N134" s="26"/>
      <c r="O134" s="26">
        <v>548357</v>
      </c>
      <c r="P134" s="26"/>
      <c r="Q134" s="26">
        <v>221294</v>
      </c>
      <c r="R134" s="26"/>
      <c r="S134" s="26">
        <v>0</v>
      </c>
      <c r="T134" s="26"/>
      <c r="U134" s="26">
        <v>0</v>
      </c>
      <c r="V134" s="26"/>
      <c r="W134" s="26">
        <v>162900</v>
      </c>
      <c r="X134" s="26"/>
      <c r="Y134" s="54">
        <f t="shared" si="5"/>
        <v>9971847</v>
      </c>
      <c r="Z134" s="26"/>
      <c r="AA134" s="26">
        <v>0</v>
      </c>
      <c r="AB134" s="26"/>
      <c r="AC134" s="26"/>
      <c r="AD134" s="26"/>
      <c r="AE134" s="26">
        <v>0</v>
      </c>
      <c r="AF134" s="26"/>
      <c r="AG134" s="26"/>
      <c r="AH134" s="26"/>
      <c r="AI134" s="26"/>
      <c r="AJ134" s="26"/>
      <c r="AK134" s="26">
        <v>0</v>
      </c>
      <c r="AL134" s="26"/>
      <c r="AM134" s="26">
        <v>0</v>
      </c>
      <c r="AN134" s="26"/>
      <c r="AO134" s="26">
        <v>0</v>
      </c>
      <c r="AP134" s="26"/>
      <c r="AQ134" s="26">
        <v>0</v>
      </c>
      <c r="AR134" s="26"/>
      <c r="AS134" s="54">
        <f t="shared" si="6"/>
        <v>0</v>
      </c>
      <c r="AT134" s="26"/>
      <c r="AU134" s="54">
        <f t="shared" si="7"/>
        <v>9971847</v>
      </c>
    </row>
    <row r="135" spans="1:47">
      <c r="A135" s="13" t="s">
        <v>670</v>
      </c>
      <c r="B135" s="13"/>
      <c r="C135" s="13" t="s">
        <v>63</v>
      </c>
      <c r="D135" s="13"/>
      <c r="E135" s="32">
        <v>43836</v>
      </c>
      <c r="F135" s="26"/>
      <c r="G135" s="26">
        <v>26441022</v>
      </c>
      <c r="H135" s="26"/>
      <c r="I135" s="26">
        <v>0</v>
      </c>
      <c r="J135" s="26"/>
      <c r="K135" s="26">
        <v>21262908</v>
      </c>
      <c r="L135" s="26"/>
      <c r="M135" s="26">
        <v>502738</v>
      </c>
      <c r="N135" s="26"/>
      <c r="O135" s="26">
        <v>3617625</v>
      </c>
      <c r="P135" s="26"/>
      <c r="Q135" s="26">
        <v>442255</v>
      </c>
      <c r="R135" s="26"/>
      <c r="S135" s="26">
        <v>0</v>
      </c>
      <c r="T135" s="26"/>
      <c r="U135" s="26">
        <v>0</v>
      </c>
      <c r="V135" s="26"/>
      <c r="W135" s="26">
        <v>1625745</v>
      </c>
      <c r="X135" s="26"/>
      <c r="Y135" s="54">
        <f t="shared" si="5"/>
        <v>53892293</v>
      </c>
      <c r="Z135" s="26"/>
      <c r="AA135" s="26">
        <v>1546887</v>
      </c>
      <c r="AB135" s="26"/>
      <c r="AC135" s="26"/>
      <c r="AD135" s="26"/>
      <c r="AE135" s="26">
        <v>484995</v>
      </c>
      <c r="AF135" s="26"/>
      <c r="AG135" s="26"/>
      <c r="AH135" s="26"/>
      <c r="AI135" s="26"/>
      <c r="AJ135" s="26"/>
      <c r="AK135" s="26">
        <v>484995</v>
      </c>
      <c r="AL135" s="26"/>
      <c r="AM135" s="26">
        <v>0</v>
      </c>
      <c r="AN135" s="26"/>
      <c r="AO135" s="26">
        <v>0</v>
      </c>
      <c r="AP135" s="26"/>
      <c r="AQ135" s="26">
        <v>0</v>
      </c>
      <c r="AR135" s="26"/>
      <c r="AS135" s="54">
        <f t="shared" si="6"/>
        <v>2516877</v>
      </c>
      <c r="AT135" s="26"/>
      <c r="AU135" s="54">
        <f t="shared" si="7"/>
        <v>56409170</v>
      </c>
    </row>
    <row r="136" spans="1:47">
      <c r="A136" s="13" t="s">
        <v>309</v>
      </c>
      <c r="B136" s="13"/>
      <c r="C136" s="13" t="s">
        <v>20</v>
      </c>
      <c r="D136" s="13"/>
      <c r="E136" s="32">
        <v>46557</v>
      </c>
      <c r="F136" s="26"/>
      <c r="G136" s="26">
        <v>11969820</v>
      </c>
      <c r="H136" s="26"/>
      <c r="I136" s="26">
        <v>0</v>
      </c>
      <c r="J136" s="26"/>
      <c r="K136" s="26">
        <v>3762912</v>
      </c>
      <c r="L136" s="26"/>
      <c r="M136" s="26">
        <v>519398</v>
      </c>
      <c r="N136" s="26"/>
      <c r="O136" s="26">
        <v>467495</v>
      </c>
      <c r="P136" s="26"/>
      <c r="Q136" s="26">
        <v>76941</v>
      </c>
      <c r="R136" s="26"/>
      <c r="S136" s="26">
        <v>0</v>
      </c>
      <c r="T136" s="26"/>
      <c r="U136" s="26">
        <v>7196</v>
      </c>
      <c r="V136" s="26"/>
      <c r="W136" s="26">
        <v>375911</v>
      </c>
      <c r="X136" s="26"/>
      <c r="Y136" s="54">
        <f t="shared" si="5"/>
        <v>17179673</v>
      </c>
      <c r="Z136" s="26"/>
      <c r="AA136" s="26">
        <v>210658</v>
      </c>
      <c r="AB136" s="26"/>
      <c r="AC136" s="26"/>
      <c r="AD136" s="26"/>
      <c r="AE136" s="26">
        <v>1219800</v>
      </c>
      <c r="AF136" s="26"/>
      <c r="AG136" s="26"/>
      <c r="AH136" s="26"/>
      <c r="AI136" s="26"/>
      <c r="AJ136" s="26"/>
      <c r="AK136" s="26">
        <v>33979</v>
      </c>
      <c r="AL136" s="26"/>
      <c r="AM136" s="26">
        <v>0</v>
      </c>
      <c r="AN136" s="26"/>
      <c r="AO136" s="26">
        <v>0</v>
      </c>
      <c r="AP136" s="26"/>
      <c r="AQ136" s="26">
        <v>0</v>
      </c>
      <c r="AR136" s="26"/>
      <c r="AS136" s="54">
        <f t="shared" si="6"/>
        <v>1464437</v>
      </c>
      <c r="AT136" s="26"/>
      <c r="AU136" s="54">
        <f t="shared" si="7"/>
        <v>18644110</v>
      </c>
    </row>
    <row r="137" spans="1:47">
      <c r="A137" s="13" t="s">
        <v>846</v>
      </c>
      <c r="B137" s="13"/>
      <c r="C137" s="13" t="s">
        <v>71</v>
      </c>
      <c r="D137" s="13"/>
      <c r="E137" s="32">
        <v>48934</v>
      </c>
      <c r="F137" s="26"/>
      <c r="G137" s="26">
        <v>3891590</v>
      </c>
      <c r="H137" s="26"/>
      <c r="I137" s="26">
        <v>0</v>
      </c>
      <c r="J137" s="26"/>
      <c r="K137" s="26">
        <f>3900710+623422</f>
        <v>4524132</v>
      </c>
      <c r="L137" s="26"/>
      <c r="M137" s="26">
        <v>54881</v>
      </c>
      <c r="N137" s="26"/>
      <c r="O137" s="26">
        <v>7748</v>
      </c>
      <c r="P137" s="26"/>
      <c r="Q137" s="26">
        <v>163688</v>
      </c>
      <c r="R137" s="26"/>
      <c r="S137" s="26">
        <v>0</v>
      </c>
      <c r="T137" s="26"/>
      <c r="U137" s="26">
        <v>0</v>
      </c>
      <c r="V137" s="26"/>
      <c r="W137" s="26">
        <f>66343+2110+192150</f>
        <v>260603</v>
      </c>
      <c r="X137" s="26"/>
      <c r="Y137" s="54">
        <f t="shared" si="5"/>
        <v>8902642</v>
      </c>
      <c r="Z137" s="26"/>
      <c r="AA137" s="26">
        <v>157072</v>
      </c>
      <c r="AB137" s="26"/>
      <c r="AC137" s="26"/>
      <c r="AD137" s="26"/>
      <c r="AE137" s="26">
        <v>0</v>
      </c>
      <c r="AF137" s="26"/>
      <c r="AG137" s="26"/>
      <c r="AH137" s="26"/>
      <c r="AI137" s="26"/>
      <c r="AJ137" s="26"/>
      <c r="AK137" s="26">
        <v>83502</v>
      </c>
      <c r="AL137" s="26"/>
      <c r="AM137" s="26">
        <v>0</v>
      </c>
      <c r="AN137" s="26"/>
      <c r="AO137" s="26">
        <v>0</v>
      </c>
      <c r="AP137" s="26"/>
      <c r="AQ137" s="26">
        <v>0</v>
      </c>
      <c r="AR137" s="26"/>
      <c r="AS137" s="54">
        <f t="shared" si="6"/>
        <v>240574</v>
      </c>
      <c r="AT137" s="26"/>
      <c r="AU137" s="54">
        <f t="shared" si="7"/>
        <v>9143216</v>
      </c>
    </row>
    <row r="138" spans="1:47">
      <c r="A138" s="13" t="s">
        <v>460</v>
      </c>
      <c r="B138" s="13"/>
      <c r="C138" s="13" t="s">
        <v>40</v>
      </c>
      <c r="D138" s="13"/>
      <c r="E138" s="32">
        <v>47837</v>
      </c>
      <c r="F138" s="26"/>
      <c r="G138" s="26">
        <v>983680</v>
      </c>
      <c r="H138" s="26"/>
      <c r="I138" s="26">
        <v>1005922</v>
      </c>
      <c r="J138" s="26"/>
      <c r="K138" s="26">
        <v>3880916</v>
      </c>
      <c r="L138" s="26"/>
      <c r="M138" s="26">
        <v>126158</v>
      </c>
      <c r="N138" s="26"/>
      <c r="O138" s="26">
        <v>597818</v>
      </c>
      <c r="P138" s="26"/>
      <c r="Q138" s="26">
        <v>68702</v>
      </c>
      <c r="R138" s="26"/>
      <c r="S138" s="26">
        <v>0</v>
      </c>
      <c r="T138" s="26"/>
      <c r="U138" s="26">
        <v>5745</v>
      </c>
      <c r="V138" s="26"/>
      <c r="W138" s="26">
        <f>116667+14725+94749</f>
        <v>226141</v>
      </c>
      <c r="X138" s="26"/>
      <c r="Y138" s="54">
        <f t="shared" si="5"/>
        <v>6895082</v>
      </c>
      <c r="Z138" s="26"/>
      <c r="AA138" s="26">
        <v>0</v>
      </c>
      <c r="AB138" s="26"/>
      <c r="AC138" s="26"/>
      <c r="AD138" s="26"/>
      <c r="AE138" s="26">
        <v>0</v>
      </c>
      <c r="AF138" s="26"/>
      <c r="AG138" s="26"/>
      <c r="AH138" s="26"/>
      <c r="AI138" s="26"/>
      <c r="AJ138" s="26"/>
      <c r="AK138" s="26">
        <v>0</v>
      </c>
      <c r="AL138" s="26"/>
      <c r="AM138" s="26">
        <v>0</v>
      </c>
      <c r="AN138" s="26"/>
      <c r="AO138" s="26">
        <v>0</v>
      </c>
      <c r="AP138" s="26"/>
      <c r="AQ138" s="26">
        <v>0</v>
      </c>
      <c r="AR138" s="26"/>
      <c r="AS138" s="54">
        <f t="shared" si="6"/>
        <v>0</v>
      </c>
      <c r="AT138" s="26"/>
      <c r="AU138" s="54">
        <f t="shared" si="7"/>
        <v>6895082</v>
      </c>
    </row>
    <row r="139" spans="1:47">
      <c r="A139" s="13" t="s">
        <v>472</v>
      </c>
      <c r="B139" s="13"/>
      <c r="C139" s="13" t="s">
        <v>471</v>
      </c>
      <c r="D139" s="13"/>
      <c r="E139" s="32">
        <v>47928</v>
      </c>
      <c r="F139" s="26"/>
      <c r="G139" s="26">
        <v>1459141</v>
      </c>
      <c r="H139" s="26"/>
      <c r="I139" s="26">
        <v>0</v>
      </c>
      <c r="J139" s="26"/>
      <c r="K139" s="26">
        <v>12940096</v>
      </c>
      <c r="L139" s="26"/>
      <c r="M139" s="26">
        <v>309259</v>
      </c>
      <c r="N139" s="26"/>
      <c r="O139" s="26">
        <v>824704</v>
      </c>
      <c r="P139" s="26"/>
      <c r="Q139" s="26">
        <v>161245</v>
      </c>
      <c r="R139" s="26"/>
      <c r="S139" s="26">
        <v>0</v>
      </c>
      <c r="T139" s="26"/>
      <c r="U139" s="26">
        <v>55473</v>
      </c>
      <c r="V139" s="26"/>
      <c r="W139" s="26">
        <f>78566+202061</f>
        <v>280627</v>
      </c>
      <c r="X139" s="26"/>
      <c r="Y139" s="54">
        <f t="shared" si="5"/>
        <v>16030545</v>
      </c>
      <c r="Z139" s="26"/>
      <c r="AA139" s="26">
        <v>501114</v>
      </c>
      <c r="AB139" s="26"/>
      <c r="AC139" s="26"/>
      <c r="AD139" s="26"/>
      <c r="AE139" s="26">
        <v>0</v>
      </c>
      <c r="AF139" s="26"/>
      <c r="AG139" s="26"/>
      <c r="AH139" s="26"/>
      <c r="AI139" s="26"/>
      <c r="AJ139" s="26"/>
      <c r="AK139" s="26">
        <v>0</v>
      </c>
      <c r="AL139" s="26"/>
      <c r="AM139" s="26">
        <v>0</v>
      </c>
      <c r="AN139" s="26"/>
      <c r="AO139" s="26">
        <v>0</v>
      </c>
      <c r="AP139" s="26"/>
      <c r="AQ139" s="26">
        <v>0</v>
      </c>
      <c r="AR139" s="26"/>
      <c r="AS139" s="54">
        <f t="shared" si="6"/>
        <v>501114</v>
      </c>
      <c r="AT139" s="26"/>
      <c r="AU139" s="54">
        <f t="shared" si="7"/>
        <v>16531659</v>
      </c>
    </row>
    <row r="140" spans="1:47">
      <c r="A140" s="13" t="s">
        <v>554</v>
      </c>
      <c r="B140" s="13"/>
      <c r="C140" s="13" t="s">
        <v>50</v>
      </c>
      <c r="D140" s="13"/>
      <c r="E140" s="32">
        <v>43844</v>
      </c>
      <c r="F140" s="26"/>
      <c r="G140" s="26">
        <v>81561049</v>
      </c>
      <c r="H140" s="26"/>
      <c r="I140" s="26">
        <v>0</v>
      </c>
      <c r="J140" s="26"/>
      <c r="K140" s="26">
        <v>226479942</v>
      </c>
      <c r="L140" s="26"/>
      <c r="M140" s="26">
        <v>13782073</v>
      </c>
      <c r="N140" s="26"/>
      <c r="O140" s="26">
        <v>2103573</v>
      </c>
      <c r="P140" s="26"/>
      <c r="Q140" s="26">
        <v>1393243</v>
      </c>
      <c r="R140" s="26"/>
      <c r="S140" s="26">
        <v>0</v>
      </c>
      <c r="T140" s="26"/>
      <c r="U140" s="26">
        <v>111921</v>
      </c>
      <c r="V140" s="26"/>
      <c r="W140" s="26">
        <f>1663596+5422664</f>
        <v>7086260</v>
      </c>
      <c r="X140" s="26"/>
      <c r="Y140" s="54">
        <f t="shared" si="5"/>
        <v>332518061</v>
      </c>
      <c r="Z140" s="26"/>
      <c r="AA140" s="26">
        <v>20600018</v>
      </c>
      <c r="AB140" s="26"/>
      <c r="AC140" s="26"/>
      <c r="AD140" s="26"/>
      <c r="AE140" s="26">
        <v>0</v>
      </c>
      <c r="AF140" s="26"/>
      <c r="AG140" s="26"/>
      <c r="AH140" s="26"/>
      <c r="AI140" s="26"/>
      <c r="AJ140" s="26"/>
      <c r="AK140" s="26">
        <v>91060</v>
      </c>
      <c r="AL140" s="26"/>
      <c r="AM140" s="26">
        <v>0</v>
      </c>
      <c r="AN140" s="26"/>
      <c r="AO140" s="26">
        <v>0</v>
      </c>
      <c r="AP140" s="26"/>
      <c r="AQ140" s="26">
        <v>0</v>
      </c>
      <c r="AR140" s="26"/>
      <c r="AS140" s="54">
        <f t="shared" si="6"/>
        <v>20691078</v>
      </c>
      <c r="AT140" s="26"/>
      <c r="AU140" s="54">
        <f t="shared" si="7"/>
        <v>353209139</v>
      </c>
    </row>
    <row r="141" spans="1:47">
      <c r="A141" s="13" t="s">
        <v>397</v>
      </c>
      <c r="B141" s="13"/>
      <c r="C141" s="13" t="s">
        <v>32</v>
      </c>
      <c r="D141" s="13"/>
      <c r="E141" s="32">
        <v>43851</v>
      </c>
      <c r="F141" s="26"/>
      <c r="G141" s="26">
        <v>9365083</v>
      </c>
      <c r="H141" s="26"/>
      <c r="I141" s="26">
        <v>0</v>
      </c>
      <c r="J141" s="26"/>
      <c r="K141" s="26">
        <v>5636554</v>
      </c>
      <c r="L141" s="26"/>
      <c r="M141" s="26">
        <v>180050</v>
      </c>
      <c r="N141" s="26"/>
      <c r="O141" s="26">
        <v>143895</v>
      </c>
      <c r="P141" s="26"/>
      <c r="Q141" s="26">
        <v>157628</v>
      </c>
      <c r="R141" s="26"/>
      <c r="S141" s="26">
        <v>335189</v>
      </c>
      <c r="T141" s="26"/>
      <c r="U141" s="26">
        <v>0</v>
      </c>
      <c r="V141" s="26"/>
      <c r="W141" s="26">
        <f>138913+260282</f>
        <v>399195</v>
      </c>
      <c r="X141" s="26"/>
      <c r="Y141" s="54">
        <f t="shared" si="5"/>
        <v>16217594</v>
      </c>
      <c r="Z141" s="26"/>
      <c r="AA141" s="26">
        <v>35467</v>
      </c>
      <c r="AB141" s="26"/>
      <c r="AC141" s="26"/>
      <c r="AD141" s="26"/>
      <c r="AE141" s="26">
        <v>0</v>
      </c>
      <c r="AF141" s="26"/>
      <c r="AG141" s="26"/>
      <c r="AH141" s="26"/>
      <c r="AI141" s="26"/>
      <c r="AJ141" s="26"/>
      <c r="AK141" s="26">
        <v>1275</v>
      </c>
      <c r="AL141" s="26"/>
      <c r="AM141" s="26">
        <v>0</v>
      </c>
      <c r="AN141" s="26"/>
      <c r="AO141" s="26">
        <v>0</v>
      </c>
      <c r="AP141" s="26"/>
      <c r="AQ141" s="26">
        <v>0</v>
      </c>
      <c r="AR141" s="26"/>
      <c r="AS141" s="54">
        <f t="shared" si="6"/>
        <v>36742</v>
      </c>
      <c r="AT141" s="26"/>
      <c r="AU141" s="54">
        <f t="shared" si="7"/>
        <v>16254336</v>
      </c>
    </row>
    <row r="142" spans="1:47">
      <c r="A142" s="13" t="s">
        <v>338</v>
      </c>
      <c r="B142" s="13"/>
      <c r="C142" s="13" t="s">
        <v>23</v>
      </c>
      <c r="D142" s="13"/>
      <c r="E142" s="32">
        <v>43877</v>
      </c>
      <c r="F142" s="26"/>
      <c r="G142" s="26">
        <v>31426021</v>
      </c>
      <c r="H142" s="26"/>
      <c r="I142" s="26">
        <v>0</v>
      </c>
      <c r="J142" s="26"/>
      <c r="K142" s="26">
        <v>20294213</v>
      </c>
      <c r="L142" s="26"/>
      <c r="M142" s="26">
        <v>653706</v>
      </c>
      <c r="N142" s="26"/>
      <c r="O142" s="26">
        <v>1209865</v>
      </c>
      <c r="P142" s="26"/>
      <c r="Q142" s="26">
        <v>319403</v>
      </c>
      <c r="R142" s="26"/>
      <c r="S142" s="26">
        <v>0</v>
      </c>
      <c r="T142" s="26"/>
      <c r="U142" s="26">
        <v>116337</v>
      </c>
      <c r="V142" s="26"/>
      <c r="W142" s="26">
        <f>376410+1055520+7645</f>
        <v>1439575</v>
      </c>
      <c r="X142" s="26"/>
      <c r="Y142" s="54">
        <f t="shared" si="5"/>
        <v>55459120</v>
      </c>
      <c r="Z142" s="26"/>
      <c r="AA142" s="26">
        <v>20000</v>
      </c>
      <c r="AB142" s="26"/>
      <c r="AC142" s="26"/>
      <c r="AD142" s="26"/>
      <c r="AE142" s="26">
        <v>0</v>
      </c>
      <c r="AF142" s="26"/>
      <c r="AG142" s="26"/>
      <c r="AH142" s="26"/>
      <c r="AI142" s="26"/>
      <c r="AJ142" s="26"/>
      <c r="AK142" s="26">
        <v>255237</v>
      </c>
      <c r="AL142" s="26"/>
      <c r="AM142" s="26">
        <v>0</v>
      </c>
      <c r="AN142" s="26"/>
      <c r="AO142" s="26">
        <v>0</v>
      </c>
      <c r="AP142" s="26"/>
      <c r="AQ142" s="26">
        <v>0</v>
      </c>
      <c r="AR142" s="26"/>
      <c r="AS142" s="54">
        <f t="shared" ref="AS142:AS204" si="8">AK142+AE142+AA142</f>
        <v>275237</v>
      </c>
      <c r="AT142" s="26"/>
      <c r="AU142" s="54">
        <f t="shared" ref="AU142:AU204" si="9">Y142+AS142</f>
        <v>55734357</v>
      </c>
    </row>
    <row r="143" spans="1:47">
      <c r="A143" s="13" t="s">
        <v>212</v>
      </c>
      <c r="B143" s="13"/>
      <c r="C143" s="13" t="s">
        <v>10</v>
      </c>
      <c r="D143" s="13"/>
      <c r="E143" s="32">
        <v>43885</v>
      </c>
      <c r="F143" s="26"/>
      <c r="G143" s="26">
        <v>4354930</v>
      </c>
      <c r="H143" s="26"/>
      <c r="I143" s="26">
        <v>0</v>
      </c>
      <c r="J143" s="26"/>
      <c r="K143" s="26">
        <v>5084413</v>
      </c>
      <c r="L143" s="26"/>
      <c r="M143" s="26">
        <v>74335</v>
      </c>
      <c r="N143" s="26"/>
      <c r="O143" s="26">
        <v>668826</v>
      </c>
      <c r="P143" s="26"/>
      <c r="Q143" s="26">
        <v>78916</v>
      </c>
      <c r="R143" s="26"/>
      <c r="S143" s="26">
        <v>41959</v>
      </c>
      <c r="T143" s="26"/>
      <c r="U143" s="26">
        <v>108618</v>
      </c>
      <c r="V143" s="26"/>
      <c r="W143" s="26">
        <f>69500+248995</f>
        <v>318495</v>
      </c>
      <c r="X143" s="26"/>
      <c r="Y143" s="54">
        <f>SUM(G143:W143)</f>
        <v>10730492</v>
      </c>
      <c r="Z143" s="26"/>
      <c r="AA143" s="26">
        <v>1712</v>
      </c>
      <c r="AB143" s="26"/>
      <c r="AC143" s="26"/>
      <c r="AD143" s="26"/>
      <c r="AE143" s="26">
        <v>0</v>
      </c>
      <c r="AF143" s="26"/>
      <c r="AG143" s="26"/>
      <c r="AH143" s="26"/>
      <c r="AI143" s="26"/>
      <c r="AJ143" s="26"/>
      <c r="AK143" s="26">
        <v>10000</v>
      </c>
      <c r="AL143" s="26"/>
      <c r="AM143" s="26">
        <v>0</v>
      </c>
      <c r="AN143" s="26"/>
      <c r="AO143" s="26">
        <v>0</v>
      </c>
      <c r="AP143" s="26"/>
      <c r="AQ143" s="26">
        <v>0</v>
      </c>
      <c r="AR143" s="26"/>
      <c r="AS143" s="54">
        <f t="shared" si="8"/>
        <v>11712</v>
      </c>
      <c r="AT143" s="26"/>
      <c r="AU143" s="54">
        <f t="shared" si="9"/>
        <v>10742204</v>
      </c>
    </row>
    <row r="144" spans="1:47">
      <c r="A144" s="13" t="s">
        <v>700</v>
      </c>
      <c r="B144" s="13"/>
      <c r="C144" s="13" t="s">
        <v>65</v>
      </c>
      <c r="D144" s="13"/>
      <c r="E144" s="32">
        <v>43893</v>
      </c>
      <c r="F144" s="26"/>
      <c r="G144" s="26">
        <v>9606382</v>
      </c>
      <c r="H144" s="26"/>
      <c r="I144" s="26">
        <v>0</v>
      </c>
      <c r="J144" s="26"/>
      <c r="K144" s="26">
        <v>10245682</v>
      </c>
      <c r="L144" s="26"/>
      <c r="M144" s="26">
        <v>224749</v>
      </c>
      <c r="N144" s="26"/>
      <c r="O144" s="26">
        <v>65678</v>
      </c>
      <c r="P144" s="26"/>
      <c r="Q144" s="26">
        <v>205477</v>
      </c>
      <c r="R144" s="26"/>
      <c r="S144" s="26">
        <v>0</v>
      </c>
      <c r="T144" s="26"/>
      <c r="U144" s="26">
        <v>22520</v>
      </c>
      <c r="V144" s="26"/>
      <c r="W144" s="26">
        <f>709913+222124</f>
        <v>932037</v>
      </c>
      <c r="X144" s="26"/>
      <c r="Y144" s="54">
        <f>SUM(G144:W144)</f>
        <v>21302525</v>
      </c>
      <c r="Z144" s="26"/>
      <c r="AA144" s="26">
        <v>138000</v>
      </c>
      <c r="AB144" s="26"/>
      <c r="AC144" s="26"/>
      <c r="AD144" s="26"/>
      <c r="AE144" s="26">
        <v>0</v>
      </c>
      <c r="AF144" s="26"/>
      <c r="AG144" s="26"/>
      <c r="AH144" s="26"/>
      <c r="AI144" s="26"/>
      <c r="AJ144" s="26"/>
      <c r="AK144" s="26">
        <v>205250</v>
      </c>
      <c r="AL144" s="26"/>
      <c r="AM144" s="26">
        <v>0</v>
      </c>
      <c r="AN144" s="26"/>
      <c r="AO144" s="26">
        <v>0</v>
      </c>
      <c r="AP144" s="26"/>
      <c r="AQ144" s="26">
        <v>0</v>
      </c>
      <c r="AR144" s="26"/>
      <c r="AS144" s="54">
        <f t="shared" si="8"/>
        <v>343250</v>
      </c>
      <c r="AT144" s="26"/>
      <c r="AU144" s="54">
        <f t="shared" si="9"/>
        <v>21645775</v>
      </c>
    </row>
    <row r="145" spans="1:47">
      <c r="A145" s="13" t="s">
        <v>359</v>
      </c>
      <c r="B145" s="13"/>
      <c r="C145" s="13" t="s">
        <v>27</v>
      </c>
      <c r="D145" s="13"/>
      <c r="E145" s="32">
        <v>47027</v>
      </c>
      <c r="F145" s="26"/>
      <c r="G145" s="26">
        <v>119298918</v>
      </c>
      <c r="H145" s="26"/>
      <c r="I145" s="26">
        <v>0</v>
      </c>
      <c r="J145" s="26"/>
      <c r="K145" s="26">
        <f>31863321+3442217</f>
        <v>35305538</v>
      </c>
      <c r="L145" s="26"/>
      <c r="M145" s="26">
        <v>4169210</v>
      </c>
      <c r="N145" s="26"/>
      <c r="O145" s="26">
        <v>452331</v>
      </c>
      <c r="P145" s="26"/>
      <c r="Q145" s="26">
        <v>0</v>
      </c>
      <c r="R145" s="26"/>
      <c r="S145" s="26">
        <v>0</v>
      </c>
      <c r="T145" s="26"/>
      <c r="U145" s="26">
        <v>0</v>
      </c>
      <c r="V145" s="26"/>
      <c r="W145" s="26">
        <f>2412518+259956</f>
        <v>2672474</v>
      </c>
      <c r="X145" s="26"/>
      <c r="Y145" s="54">
        <f>SUM(G145:W145)</f>
        <v>161898471</v>
      </c>
      <c r="Z145" s="26"/>
      <c r="AA145" s="26">
        <v>992000</v>
      </c>
      <c r="AB145" s="26"/>
      <c r="AC145" s="26"/>
      <c r="AD145" s="26"/>
      <c r="AE145" s="26">
        <f>358782+10000000+501993+17945000+3500000</f>
        <v>32305775</v>
      </c>
      <c r="AF145" s="26"/>
      <c r="AG145" s="26"/>
      <c r="AH145" s="26"/>
      <c r="AI145" s="26"/>
      <c r="AJ145" s="26"/>
      <c r="AK145" s="26">
        <v>0</v>
      </c>
      <c r="AL145" s="26"/>
      <c r="AM145" s="26">
        <v>0</v>
      </c>
      <c r="AN145" s="26"/>
      <c r="AO145" s="26">
        <v>0</v>
      </c>
      <c r="AP145" s="26"/>
      <c r="AQ145" s="26">
        <v>0</v>
      </c>
      <c r="AR145" s="26"/>
      <c r="AS145" s="54">
        <f t="shared" si="8"/>
        <v>33297775</v>
      </c>
      <c r="AT145" s="26"/>
      <c r="AU145" s="54">
        <f t="shared" si="9"/>
        <v>195196246</v>
      </c>
    </row>
    <row r="146" spans="1:47">
      <c r="A146" s="13" t="s">
        <v>280</v>
      </c>
      <c r="B146" s="13"/>
      <c r="C146" s="13" t="s">
        <v>18</v>
      </c>
      <c r="D146" s="13"/>
      <c r="E146" s="32">
        <v>46409</v>
      </c>
      <c r="F146" s="26"/>
      <c r="G146" s="26">
        <v>3271313</v>
      </c>
      <c r="H146" s="26"/>
      <c r="I146" s="26">
        <v>0</v>
      </c>
      <c r="J146" s="26"/>
      <c r="K146" s="26">
        <v>8617865</v>
      </c>
      <c r="L146" s="26"/>
      <c r="M146" s="26">
        <v>135022</v>
      </c>
      <c r="N146" s="26"/>
      <c r="O146" s="26">
        <v>512952</v>
      </c>
      <c r="P146" s="26"/>
      <c r="Q146" s="26">
        <v>90268</v>
      </c>
      <c r="R146" s="26"/>
      <c r="S146" s="26">
        <v>0</v>
      </c>
      <c r="T146" s="26"/>
      <c r="U146" s="26">
        <v>15525</v>
      </c>
      <c r="V146" s="26"/>
      <c r="W146" s="26">
        <f>102308+313731+2165</f>
        <v>418204</v>
      </c>
      <c r="X146" s="26"/>
      <c r="Y146" s="54">
        <f>SUM(G146:W146)</f>
        <v>13061149</v>
      </c>
      <c r="Z146" s="26"/>
      <c r="AA146" s="26">
        <v>0</v>
      </c>
      <c r="AB146" s="26"/>
      <c r="AC146" s="26"/>
      <c r="AD146" s="26"/>
      <c r="AE146" s="26">
        <v>0</v>
      </c>
      <c r="AF146" s="26"/>
      <c r="AG146" s="26"/>
      <c r="AH146" s="26"/>
      <c r="AI146" s="26"/>
      <c r="AJ146" s="26"/>
      <c r="AK146" s="26">
        <v>0</v>
      </c>
      <c r="AL146" s="26"/>
      <c r="AM146" s="26">
        <v>0</v>
      </c>
      <c r="AN146" s="26"/>
      <c r="AO146" s="26">
        <v>0</v>
      </c>
      <c r="AP146" s="26"/>
      <c r="AQ146" s="26">
        <v>0</v>
      </c>
      <c r="AR146" s="26"/>
      <c r="AS146" s="54">
        <f t="shared" si="8"/>
        <v>0</v>
      </c>
      <c r="AT146" s="26"/>
      <c r="AU146" s="54">
        <f t="shared" si="9"/>
        <v>13061149</v>
      </c>
    </row>
    <row r="147" spans="1:47">
      <c r="A147" s="13" t="s">
        <v>394</v>
      </c>
      <c r="B147" s="13"/>
      <c r="C147" s="13" t="s">
        <v>31</v>
      </c>
      <c r="D147" s="13"/>
      <c r="E147" s="32">
        <v>69682</v>
      </c>
      <c r="F147" s="26"/>
      <c r="G147" s="26">
        <v>2518152</v>
      </c>
      <c r="H147" s="26"/>
      <c r="I147" s="26">
        <v>0</v>
      </c>
      <c r="J147" s="26"/>
      <c r="K147" s="26">
        <v>7929084</v>
      </c>
      <c r="L147" s="26"/>
      <c r="M147" s="26">
        <v>192958</v>
      </c>
      <c r="N147" s="26"/>
      <c r="O147" s="26">
        <v>953465</v>
      </c>
      <c r="P147" s="26"/>
      <c r="Q147" s="26">
        <v>221722</v>
      </c>
      <c r="R147" s="26"/>
      <c r="S147" s="26">
        <v>0</v>
      </c>
      <c r="T147" s="26"/>
      <c r="U147" s="26">
        <v>9357</v>
      </c>
      <c r="V147" s="26"/>
      <c r="W147" s="26">
        <f>2614+164796+46806</f>
        <v>214216</v>
      </c>
      <c r="X147" s="26"/>
      <c r="Y147" s="54">
        <f t="shared" ref="Y147:Y204" si="10">SUM(G147:W147)</f>
        <v>12038954</v>
      </c>
      <c r="Z147" s="26"/>
      <c r="AA147" s="26">
        <v>36837</v>
      </c>
      <c r="AB147" s="26"/>
      <c r="AC147" s="26"/>
      <c r="AD147" s="26"/>
      <c r="AE147" s="26">
        <v>0</v>
      </c>
      <c r="AF147" s="26"/>
      <c r="AG147" s="26"/>
      <c r="AH147" s="26"/>
      <c r="AI147" s="26"/>
      <c r="AJ147" s="26"/>
      <c r="AK147" s="26">
        <f>2959+19530</f>
        <v>22489</v>
      </c>
      <c r="AL147" s="26"/>
      <c r="AM147" s="26">
        <v>0</v>
      </c>
      <c r="AN147" s="26"/>
      <c r="AO147" s="26">
        <v>0</v>
      </c>
      <c r="AP147" s="26"/>
      <c r="AQ147" s="26">
        <v>0</v>
      </c>
      <c r="AR147" s="26"/>
      <c r="AS147" s="54">
        <f t="shared" si="8"/>
        <v>59326</v>
      </c>
      <c r="AT147" s="26"/>
      <c r="AU147" s="54">
        <f t="shared" si="9"/>
        <v>12098280</v>
      </c>
    </row>
    <row r="148" spans="1:47">
      <c r="A148" s="13" t="s">
        <v>446</v>
      </c>
      <c r="B148" s="13"/>
      <c r="C148" s="13" t="s">
        <v>36</v>
      </c>
      <c r="D148" s="13"/>
      <c r="E148" s="32">
        <v>47688</v>
      </c>
      <c r="F148" s="26"/>
      <c r="G148" s="26">
        <v>539012</v>
      </c>
      <c r="H148" s="26"/>
      <c r="I148" s="26">
        <v>0</v>
      </c>
      <c r="J148" s="26"/>
      <c r="K148" s="26">
        <v>2516553</v>
      </c>
      <c r="L148" s="26"/>
      <c r="M148" s="26">
        <v>2506</v>
      </c>
      <c r="N148" s="26"/>
      <c r="O148" s="26">
        <v>11256</v>
      </c>
      <c r="P148" s="26"/>
      <c r="Q148" s="26">
        <v>330060</v>
      </c>
      <c r="R148" s="26"/>
      <c r="S148" s="26">
        <v>0</v>
      </c>
      <c r="T148" s="26"/>
      <c r="U148" s="26">
        <v>23987</v>
      </c>
      <c r="V148" s="26"/>
      <c r="W148" s="26">
        <f>384882+35627</f>
        <v>420509</v>
      </c>
      <c r="X148" s="26"/>
      <c r="Y148" s="54">
        <f t="shared" si="10"/>
        <v>3843883</v>
      </c>
      <c r="Z148" s="26"/>
      <c r="AA148" s="26">
        <v>0</v>
      </c>
      <c r="AB148" s="26"/>
      <c r="AC148" s="26"/>
      <c r="AD148" s="26"/>
      <c r="AE148" s="26">
        <v>0</v>
      </c>
      <c r="AF148" s="26"/>
      <c r="AG148" s="26"/>
      <c r="AH148" s="26"/>
      <c r="AI148" s="26"/>
      <c r="AJ148" s="26"/>
      <c r="AK148" s="26">
        <v>0</v>
      </c>
      <c r="AL148" s="26"/>
      <c r="AM148" s="26">
        <v>0</v>
      </c>
      <c r="AN148" s="26"/>
      <c r="AO148" s="26">
        <v>0</v>
      </c>
      <c r="AP148" s="26"/>
      <c r="AQ148" s="26">
        <v>0</v>
      </c>
      <c r="AR148" s="26"/>
      <c r="AS148" s="54">
        <f t="shared" si="8"/>
        <v>0</v>
      </c>
      <c r="AT148" s="26"/>
      <c r="AU148" s="54">
        <f t="shared" si="9"/>
        <v>3843883</v>
      </c>
    </row>
    <row r="149" spans="1:47">
      <c r="A149" s="13" t="s">
        <v>285</v>
      </c>
      <c r="B149" s="13"/>
      <c r="C149" s="13" t="s">
        <v>115</v>
      </c>
      <c r="D149" s="13"/>
      <c r="E149" s="32">
        <v>43919</v>
      </c>
      <c r="F149" s="26"/>
      <c r="G149" s="26">
        <v>4081124</v>
      </c>
      <c r="H149" s="26"/>
      <c r="I149" s="26">
        <v>0</v>
      </c>
      <c r="J149" s="26"/>
      <c r="K149" s="26">
        <f>32907426+3539468+7031</f>
        <v>36453925</v>
      </c>
      <c r="L149" s="26"/>
      <c r="M149" s="26">
        <v>771437</v>
      </c>
      <c r="N149" s="26"/>
      <c r="O149" s="26">
        <v>559059</v>
      </c>
      <c r="P149" s="26"/>
      <c r="Q149" s="26">
        <v>147650</v>
      </c>
      <c r="R149" s="26"/>
      <c r="S149" s="26">
        <v>0</v>
      </c>
      <c r="T149" s="26"/>
      <c r="U149" s="26">
        <v>0</v>
      </c>
      <c r="V149" s="26"/>
      <c r="W149" s="26">
        <f>43218+193717+1950+114452</f>
        <v>353337</v>
      </c>
      <c r="X149" s="26"/>
      <c r="Y149" s="54">
        <f t="shared" si="10"/>
        <v>42366532</v>
      </c>
      <c r="Z149" s="26"/>
      <c r="AA149" s="26">
        <v>2606589</v>
      </c>
      <c r="AB149" s="26"/>
      <c r="AC149" s="26"/>
      <c r="AD149" s="26"/>
      <c r="AE149" s="26">
        <v>0</v>
      </c>
      <c r="AF149" s="26"/>
      <c r="AG149" s="26"/>
      <c r="AH149" s="26"/>
      <c r="AI149" s="26"/>
      <c r="AJ149" s="26"/>
      <c r="AK149" s="26">
        <v>0</v>
      </c>
      <c r="AL149" s="26"/>
      <c r="AM149" s="26">
        <v>0</v>
      </c>
      <c r="AN149" s="26"/>
      <c r="AO149" s="26">
        <v>0</v>
      </c>
      <c r="AP149" s="26"/>
      <c r="AQ149" s="26">
        <v>0</v>
      </c>
      <c r="AR149" s="26"/>
      <c r="AS149" s="54">
        <f t="shared" si="8"/>
        <v>2606589</v>
      </c>
      <c r="AT149" s="26"/>
      <c r="AU149" s="54">
        <f t="shared" si="9"/>
        <v>44973121</v>
      </c>
    </row>
    <row r="150" spans="1:47">
      <c r="A150" s="13" t="s">
        <v>571</v>
      </c>
      <c r="B150" s="13"/>
      <c r="C150" s="13" t="s">
        <v>51</v>
      </c>
      <c r="D150" s="13"/>
      <c r="E150" s="32">
        <v>48835</v>
      </c>
      <c r="F150" s="26"/>
      <c r="G150" s="26">
        <v>4441972</v>
      </c>
      <c r="H150" s="26"/>
      <c r="I150" s="26">
        <v>0</v>
      </c>
      <c r="J150" s="26"/>
      <c r="K150" s="26">
        <v>11386977</v>
      </c>
      <c r="L150" s="26"/>
      <c r="M150" s="26">
        <v>246856</v>
      </c>
      <c r="N150" s="26"/>
      <c r="O150" s="26">
        <v>1033894</v>
      </c>
      <c r="P150" s="26"/>
      <c r="Q150" s="26">
        <v>200214</v>
      </c>
      <c r="R150" s="26"/>
      <c r="S150" s="26">
        <v>97549</v>
      </c>
      <c r="T150" s="26"/>
      <c r="U150" s="26">
        <v>0</v>
      </c>
      <c r="V150" s="26"/>
      <c r="W150" s="26">
        <f>8803+527347+128691</f>
        <v>664841</v>
      </c>
      <c r="X150" s="26"/>
      <c r="Y150" s="54">
        <f t="shared" si="10"/>
        <v>18072303</v>
      </c>
      <c r="Z150" s="26"/>
      <c r="AA150" s="26">
        <v>10095</v>
      </c>
      <c r="AB150" s="26"/>
      <c r="AC150" s="26"/>
      <c r="AD150" s="26"/>
      <c r="AE150" s="26">
        <v>0</v>
      </c>
      <c r="AF150" s="26"/>
      <c r="AG150" s="26"/>
      <c r="AH150" s="26"/>
      <c r="AI150" s="26"/>
      <c r="AJ150" s="26"/>
      <c r="AK150" s="26">
        <v>5717</v>
      </c>
      <c r="AL150" s="26"/>
      <c r="AM150" s="26">
        <v>0</v>
      </c>
      <c r="AN150" s="26"/>
      <c r="AO150" s="26">
        <v>0</v>
      </c>
      <c r="AP150" s="26"/>
      <c r="AQ150" s="26">
        <v>0</v>
      </c>
      <c r="AR150" s="26"/>
      <c r="AS150" s="54">
        <f t="shared" si="8"/>
        <v>15812</v>
      </c>
      <c r="AT150" s="26"/>
      <c r="AU150" s="54">
        <f t="shared" si="9"/>
        <v>18088115</v>
      </c>
    </row>
    <row r="151" spans="1:47">
      <c r="A151" s="13" t="s">
        <v>286</v>
      </c>
      <c r="B151" s="13"/>
      <c r="C151" s="13" t="s">
        <v>115</v>
      </c>
      <c r="D151" s="13"/>
      <c r="E151" s="32">
        <v>43927</v>
      </c>
      <c r="F151" s="26"/>
      <c r="G151" s="26">
        <v>3295620</v>
      </c>
      <c r="H151" s="26"/>
      <c r="I151" s="26">
        <v>0</v>
      </c>
      <c r="J151" s="26"/>
      <c r="K151" s="26">
        <v>8661615</v>
      </c>
      <c r="L151" s="26"/>
      <c r="M151" s="26">
        <v>79633</v>
      </c>
      <c r="N151" s="26"/>
      <c r="O151" s="26">
        <v>301325</v>
      </c>
      <c r="P151" s="26"/>
      <c r="Q151" s="26">
        <v>180836</v>
      </c>
      <c r="R151" s="26"/>
      <c r="S151" s="26">
        <v>0</v>
      </c>
      <c r="T151" s="26"/>
      <c r="U151" s="26">
        <v>22286</v>
      </c>
      <c r="V151" s="26"/>
      <c r="W151" s="26">
        <f>24968+1598+195025+7674</f>
        <v>229265</v>
      </c>
      <c r="X151" s="26"/>
      <c r="Y151" s="54">
        <f t="shared" si="10"/>
        <v>12770580</v>
      </c>
      <c r="Z151" s="26"/>
      <c r="AA151" s="26">
        <v>58701</v>
      </c>
      <c r="AB151" s="26"/>
      <c r="AC151" s="26"/>
      <c r="AD151" s="26"/>
      <c r="AE151" s="26">
        <v>0</v>
      </c>
      <c r="AF151" s="26"/>
      <c r="AG151" s="26"/>
      <c r="AH151" s="26"/>
      <c r="AI151" s="26"/>
      <c r="AJ151" s="26"/>
      <c r="AK151" s="26">
        <f>480+1044683</f>
        <v>1045163</v>
      </c>
      <c r="AL151" s="26"/>
      <c r="AM151" s="26">
        <v>0</v>
      </c>
      <c r="AN151" s="26"/>
      <c r="AO151" s="26">
        <v>0</v>
      </c>
      <c r="AP151" s="26"/>
      <c r="AQ151" s="26">
        <v>0</v>
      </c>
      <c r="AR151" s="26"/>
      <c r="AS151" s="54">
        <f t="shared" si="8"/>
        <v>1103864</v>
      </c>
      <c r="AT151" s="26"/>
      <c r="AU151" s="54">
        <f t="shared" si="9"/>
        <v>13874444</v>
      </c>
    </row>
    <row r="152" spans="1:47">
      <c r="A152" s="13" t="s">
        <v>240</v>
      </c>
      <c r="B152" s="13"/>
      <c r="C152" s="13" t="s">
        <v>77</v>
      </c>
      <c r="D152" s="13"/>
      <c r="E152" s="32">
        <v>46037</v>
      </c>
      <c r="F152" s="26"/>
      <c r="G152" s="26">
        <v>3428981</v>
      </c>
      <c r="H152" s="26"/>
      <c r="I152" s="26">
        <v>0</v>
      </c>
      <c r="J152" s="26"/>
      <c r="K152" s="26">
        <v>11882327</v>
      </c>
      <c r="L152" s="26"/>
      <c r="M152" s="26">
        <v>480571</v>
      </c>
      <c r="N152" s="26"/>
      <c r="O152" s="26">
        <v>499508</v>
      </c>
      <c r="P152" s="26"/>
      <c r="Q152" s="26">
        <v>0</v>
      </c>
      <c r="R152" s="26"/>
      <c r="S152" s="26">
        <v>69576</v>
      </c>
      <c r="T152" s="26"/>
      <c r="U152" s="26">
        <v>94136</v>
      </c>
      <c r="V152" s="26"/>
      <c r="W152" s="26">
        <f>13894+6648+263411+85998</f>
        <v>369951</v>
      </c>
      <c r="X152" s="26"/>
      <c r="Y152" s="54">
        <f t="shared" si="10"/>
        <v>16825050</v>
      </c>
      <c r="Z152" s="26"/>
      <c r="AA152" s="26">
        <v>0</v>
      </c>
      <c r="AB152" s="26"/>
      <c r="AC152" s="26"/>
      <c r="AD152" s="26"/>
      <c r="AE152" s="26">
        <f>7165000+187117</f>
        <v>7352117</v>
      </c>
      <c r="AF152" s="26"/>
      <c r="AG152" s="26"/>
      <c r="AH152" s="26"/>
      <c r="AI152" s="26"/>
      <c r="AJ152" s="26"/>
      <c r="AK152" s="26">
        <v>655</v>
      </c>
      <c r="AL152" s="26"/>
      <c r="AM152" s="26">
        <v>0</v>
      </c>
      <c r="AN152" s="26"/>
      <c r="AO152" s="26">
        <v>0</v>
      </c>
      <c r="AP152" s="26"/>
      <c r="AQ152" s="26">
        <v>0</v>
      </c>
      <c r="AR152" s="26"/>
      <c r="AS152" s="54">
        <f t="shared" si="8"/>
        <v>7352772</v>
      </c>
      <c r="AT152" s="26"/>
      <c r="AU152" s="54">
        <f t="shared" si="9"/>
        <v>24177822</v>
      </c>
    </row>
    <row r="153" spans="1:47">
      <c r="A153" s="13" t="s">
        <v>740</v>
      </c>
      <c r="B153" s="13"/>
      <c r="C153" s="13" t="s">
        <v>72</v>
      </c>
      <c r="D153" s="13"/>
      <c r="E153" s="32">
        <v>50674</v>
      </c>
      <c r="F153" s="26"/>
      <c r="G153" s="26">
        <v>4969059</v>
      </c>
      <c r="H153" s="26"/>
      <c r="I153" s="26">
        <v>1740398</v>
      </c>
      <c r="J153" s="26"/>
      <c r="K153" s="26">
        <v>8417166</v>
      </c>
      <c r="L153" s="26"/>
      <c r="M153" s="26">
        <v>220776</v>
      </c>
      <c r="N153" s="26"/>
      <c r="O153" s="26">
        <v>588900</v>
      </c>
      <c r="P153" s="26"/>
      <c r="Q153" s="26">
        <v>330636</v>
      </c>
      <c r="R153" s="26"/>
      <c r="S153" s="26">
        <v>480000</v>
      </c>
      <c r="T153" s="26"/>
      <c r="U153" s="26">
        <v>413</v>
      </c>
      <c r="V153" s="26"/>
      <c r="W153" s="26">
        <f>504361+51045+5958</f>
        <v>561364</v>
      </c>
      <c r="X153" s="26"/>
      <c r="Y153" s="54">
        <f t="shared" si="10"/>
        <v>17308712</v>
      </c>
      <c r="Z153" s="26"/>
      <c r="AA153" s="26">
        <v>24826</v>
      </c>
      <c r="AB153" s="26"/>
      <c r="AC153" s="26"/>
      <c r="AD153" s="26"/>
      <c r="AE153" s="26">
        <v>0</v>
      </c>
      <c r="AF153" s="26"/>
      <c r="AG153" s="26"/>
      <c r="AH153" s="26"/>
      <c r="AI153" s="26"/>
      <c r="AJ153" s="26"/>
      <c r="AK153" s="26">
        <v>0</v>
      </c>
      <c r="AL153" s="26"/>
      <c r="AM153" s="26">
        <v>0</v>
      </c>
      <c r="AN153" s="26"/>
      <c r="AO153" s="26">
        <v>0</v>
      </c>
      <c r="AP153" s="26"/>
      <c r="AQ153" s="26">
        <v>0</v>
      </c>
      <c r="AR153" s="26"/>
      <c r="AS153" s="54">
        <f t="shared" si="8"/>
        <v>24826</v>
      </c>
      <c r="AT153" s="26"/>
      <c r="AU153" s="54">
        <f t="shared" si="9"/>
        <v>17333538</v>
      </c>
    </row>
    <row r="154" spans="1:47">
      <c r="A154" s="12" t="s">
        <v>974</v>
      </c>
      <c r="B154" s="13"/>
      <c r="C154" s="13" t="s">
        <v>57</v>
      </c>
      <c r="D154" s="13"/>
      <c r="E154" s="32">
        <v>43935</v>
      </c>
      <c r="F154" s="26"/>
      <c r="G154" s="26">
        <v>11301229</v>
      </c>
      <c r="H154" s="26"/>
      <c r="I154" s="26">
        <v>0</v>
      </c>
      <c r="J154" s="26"/>
      <c r="K154" s="26">
        <f>854270+9237044</f>
        <v>10091314</v>
      </c>
      <c r="L154" s="26"/>
      <c r="M154" s="26">
        <v>496833</v>
      </c>
      <c r="N154" s="26"/>
      <c r="O154" s="26">
        <v>266387</v>
      </c>
      <c r="P154" s="26"/>
      <c r="Q154" s="26">
        <v>278968</v>
      </c>
      <c r="R154" s="26"/>
      <c r="S154" s="26">
        <v>0</v>
      </c>
      <c r="T154" s="26"/>
      <c r="U154" s="26">
        <v>0</v>
      </c>
      <c r="V154" s="26"/>
      <c r="W154" s="26">
        <f>157235+26366+124238+3000</f>
        <v>310839</v>
      </c>
      <c r="X154" s="26"/>
      <c r="Y154" s="54">
        <f t="shared" si="10"/>
        <v>22745570</v>
      </c>
      <c r="Z154" s="26"/>
      <c r="AA154" s="26">
        <v>0</v>
      </c>
      <c r="AB154" s="26"/>
      <c r="AC154" s="26"/>
      <c r="AD154" s="26"/>
      <c r="AE154" s="26">
        <v>0</v>
      </c>
      <c r="AF154" s="26"/>
      <c r="AG154" s="26"/>
      <c r="AH154" s="26"/>
      <c r="AI154" s="26"/>
      <c r="AJ154" s="26"/>
      <c r="AK154" s="26">
        <v>0</v>
      </c>
      <c r="AL154" s="26"/>
      <c r="AM154" s="26">
        <v>0</v>
      </c>
      <c r="AN154" s="26"/>
      <c r="AO154" s="26">
        <v>0</v>
      </c>
      <c r="AP154" s="26"/>
      <c r="AQ154" s="26">
        <v>0</v>
      </c>
      <c r="AR154" s="26"/>
      <c r="AS154" s="54">
        <f t="shared" si="8"/>
        <v>0</v>
      </c>
      <c r="AT154" s="26"/>
      <c r="AU154" s="54">
        <f t="shared" si="9"/>
        <v>22745570</v>
      </c>
    </row>
    <row r="155" spans="1:47" hidden="1">
      <c r="A155" s="13" t="s">
        <v>734</v>
      </c>
      <c r="B155" s="13"/>
      <c r="C155" s="13" t="s">
        <v>733</v>
      </c>
      <c r="D155" s="13"/>
      <c r="E155" s="32">
        <v>50617</v>
      </c>
      <c r="F155" s="26"/>
      <c r="G155" s="26">
        <v>0</v>
      </c>
      <c r="H155" s="26"/>
      <c r="I155" s="26">
        <v>0</v>
      </c>
      <c r="J155" s="26"/>
      <c r="K155" s="26">
        <v>0</v>
      </c>
      <c r="L155" s="26"/>
      <c r="M155" s="26">
        <v>0</v>
      </c>
      <c r="N155" s="26"/>
      <c r="O155" s="26">
        <v>0</v>
      </c>
      <c r="P155" s="26"/>
      <c r="Q155" s="26">
        <v>0</v>
      </c>
      <c r="R155" s="26"/>
      <c r="S155" s="26">
        <v>0</v>
      </c>
      <c r="T155" s="26"/>
      <c r="U155" s="26">
        <v>0</v>
      </c>
      <c r="V155" s="26"/>
      <c r="W155" s="26">
        <v>0</v>
      </c>
      <c r="X155" s="26"/>
      <c r="Y155" s="54">
        <f t="shared" si="10"/>
        <v>0</v>
      </c>
      <c r="Z155" s="26"/>
      <c r="AA155" s="26">
        <v>0</v>
      </c>
      <c r="AB155" s="26"/>
      <c r="AC155" s="26"/>
      <c r="AD155" s="26"/>
      <c r="AE155" s="26">
        <v>0</v>
      </c>
      <c r="AF155" s="26"/>
      <c r="AG155" s="26"/>
      <c r="AH155" s="26"/>
      <c r="AI155" s="26"/>
      <c r="AJ155" s="26"/>
      <c r="AK155" s="26">
        <v>0</v>
      </c>
      <c r="AL155" s="26"/>
      <c r="AM155" s="26">
        <v>0</v>
      </c>
      <c r="AN155" s="26"/>
      <c r="AO155" s="26">
        <v>0</v>
      </c>
      <c r="AP155" s="26"/>
      <c r="AQ155" s="26">
        <v>0</v>
      </c>
      <c r="AR155" s="26"/>
      <c r="AS155" s="54">
        <f t="shared" si="8"/>
        <v>0</v>
      </c>
      <c r="AT155" s="26"/>
      <c r="AU155" s="54">
        <f t="shared" si="9"/>
        <v>0</v>
      </c>
    </row>
    <row r="156" spans="1:47" hidden="1">
      <c r="A156" s="13" t="s">
        <v>245</v>
      </c>
      <c r="B156" s="13"/>
      <c r="C156" s="13" t="s">
        <v>246</v>
      </c>
      <c r="D156" s="13"/>
      <c r="E156" s="32">
        <v>46094</v>
      </c>
      <c r="F156" s="26"/>
      <c r="G156" s="26">
        <v>0</v>
      </c>
      <c r="H156" s="26"/>
      <c r="I156" s="26">
        <v>0</v>
      </c>
      <c r="J156" s="26"/>
      <c r="K156" s="26">
        <v>0</v>
      </c>
      <c r="L156" s="26"/>
      <c r="M156" s="26">
        <v>0</v>
      </c>
      <c r="N156" s="26"/>
      <c r="O156" s="26">
        <v>0</v>
      </c>
      <c r="P156" s="26"/>
      <c r="Q156" s="26">
        <v>0</v>
      </c>
      <c r="R156" s="26"/>
      <c r="S156" s="26">
        <v>0</v>
      </c>
      <c r="T156" s="26"/>
      <c r="U156" s="26">
        <v>0</v>
      </c>
      <c r="V156" s="26"/>
      <c r="W156" s="26">
        <v>0</v>
      </c>
      <c r="X156" s="26"/>
      <c r="Y156" s="54">
        <f t="shared" si="10"/>
        <v>0</v>
      </c>
      <c r="Z156" s="26"/>
      <c r="AA156" s="26">
        <v>0</v>
      </c>
      <c r="AB156" s="26"/>
      <c r="AC156" s="26"/>
      <c r="AD156" s="26"/>
      <c r="AE156" s="26">
        <v>0</v>
      </c>
      <c r="AF156" s="26"/>
      <c r="AG156" s="26"/>
      <c r="AH156" s="26"/>
      <c r="AI156" s="26"/>
      <c r="AJ156" s="26"/>
      <c r="AK156" s="26">
        <v>0</v>
      </c>
      <c r="AL156" s="26"/>
      <c r="AM156" s="26">
        <v>0</v>
      </c>
      <c r="AN156" s="26"/>
      <c r="AO156" s="26">
        <v>0</v>
      </c>
      <c r="AP156" s="26"/>
      <c r="AQ156" s="26">
        <v>0</v>
      </c>
      <c r="AR156" s="26"/>
      <c r="AS156" s="54">
        <f t="shared" si="8"/>
        <v>0</v>
      </c>
      <c r="AT156" s="26"/>
      <c r="AU156" s="54">
        <f t="shared" si="9"/>
        <v>0</v>
      </c>
    </row>
    <row r="157" spans="1:47">
      <c r="A157" s="13" t="s">
        <v>245</v>
      </c>
      <c r="B157" s="13"/>
      <c r="C157" s="13" t="s">
        <v>246</v>
      </c>
      <c r="D157" s="13"/>
      <c r="E157" s="32"/>
      <c r="F157" s="26"/>
      <c r="G157" s="26">
        <v>13846458</v>
      </c>
      <c r="H157" s="26"/>
      <c r="I157" s="26">
        <v>0</v>
      </c>
      <c r="J157" s="26"/>
      <c r="K157" s="26">
        <f>17519376+1456124</f>
        <v>18975500</v>
      </c>
      <c r="L157" s="26"/>
      <c r="M157" s="26">
        <v>428333</v>
      </c>
      <c r="N157" s="26"/>
      <c r="O157" s="26">
        <v>127422</v>
      </c>
      <c r="P157" s="26"/>
      <c r="Q157" s="26">
        <v>187039</v>
      </c>
      <c r="R157" s="26"/>
      <c r="S157" s="26">
        <v>0</v>
      </c>
      <c r="T157" s="26"/>
      <c r="U157" s="26">
        <v>0</v>
      </c>
      <c r="V157" s="26"/>
      <c r="W157" s="26">
        <f>1936+836212+993218+269327</f>
        <v>2100693</v>
      </c>
      <c r="X157" s="26"/>
      <c r="Y157" s="54">
        <f t="shared" si="10"/>
        <v>35665445</v>
      </c>
      <c r="Z157" s="26"/>
      <c r="AA157" s="26">
        <v>1370</v>
      </c>
      <c r="AB157" s="26"/>
      <c r="AC157" s="26"/>
      <c r="AD157" s="26"/>
      <c r="AE157" s="26">
        <v>0</v>
      </c>
      <c r="AF157" s="26"/>
      <c r="AG157" s="26"/>
      <c r="AH157" s="26"/>
      <c r="AI157" s="26"/>
      <c r="AJ157" s="26"/>
      <c r="AK157" s="26">
        <v>0</v>
      </c>
      <c r="AL157" s="26"/>
      <c r="AM157" s="26"/>
      <c r="AN157" s="26"/>
      <c r="AO157" s="26"/>
      <c r="AP157" s="26"/>
      <c r="AQ157" s="26"/>
      <c r="AR157" s="26"/>
      <c r="AS157" s="54">
        <f t="shared" si="8"/>
        <v>1370</v>
      </c>
      <c r="AT157" s="26"/>
      <c r="AU157" s="54">
        <f t="shared" si="9"/>
        <v>35666815</v>
      </c>
    </row>
    <row r="158" spans="1:47">
      <c r="A158" s="13" t="s">
        <v>455</v>
      </c>
      <c r="B158" s="13"/>
      <c r="C158" s="13" t="s">
        <v>39</v>
      </c>
      <c r="D158" s="13"/>
      <c r="E158" s="32">
        <v>47795</v>
      </c>
      <c r="F158" s="26"/>
      <c r="G158" s="26">
        <v>6583822</v>
      </c>
      <c r="H158" s="26"/>
      <c r="I158" s="26">
        <v>0</v>
      </c>
      <c r="J158" s="26"/>
      <c r="K158" s="26">
        <f>9939000+1913851</f>
        <v>11852851</v>
      </c>
      <c r="L158" s="26"/>
      <c r="M158" s="26">
        <v>56307</v>
      </c>
      <c r="N158" s="26"/>
      <c r="O158" s="26">
        <v>786416</v>
      </c>
      <c r="P158" s="26"/>
      <c r="Q158" s="26">
        <v>137259</v>
      </c>
      <c r="R158" s="26"/>
      <c r="S158" s="26">
        <v>0</v>
      </c>
      <c r="T158" s="26"/>
      <c r="U158" s="26">
        <v>0</v>
      </c>
      <c r="V158" s="26"/>
      <c r="W158" s="26">
        <f>84545+79195+213769</f>
        <v>377509</v>
      </c>
      <c r="X158" s="26"/>
      <c r="Y158" s="54">
        <f t="shared" si="10"/>
        <v>19794164</v>
      </c>
      <c r="Z158" s="26"/>
      <c r="AA158" s="26">
        <v>224409</v>
      </c>
      <c r="AB158" s="26"/>
      <c r="AC158" s="26"/>
      <c r="AD158" s="26"/>
      <c r="AE158" s="26">
        <v>0</v>
      </c>
      <c r="AF158" s="26"/>
      <c r="AG158" s="26"/>
      <c r="AH158" s="26"/>
      <c r="AI158" s="26"/>
      <c r="AJ158" s="26"/>
      <c r="AK158" s="26">
        <f>647166+82314</f>
        <v>729480</v>
      </c>
      <c r="AL158" s="26"/>
      <c r="AM158" s="26">
        <v>0</v>
      </c>
      <c r="AN158" s="26"/>
      <c r="AO158" s="26">
        <v>0</v>
      </c>
      <c r="AP158" s="26"/>
      <c r="AQ158" s="26">
        <v>0</v>
      </c>
      <c r="AR158" s="26"/>
      <c r="AS158" s="54">
        <f t="shared" si="8"/>
        <v>953889</v>
      </c>
      <c r="AT158" s="26"/>
      <c r="AU158" s="54">
        <f t="shared" si="9"/>
        <v>20748053</v>
      </c>
    </row>
    <row r="159" spans="1:47">
      <c r="A159" s="13" t="s">
        <v>735</v>
      </c>
      <c r="B159" s="13"/>
      <c r="C159" s="13" t="s">
        <v>733</v>
      </c>
      <c r="D159" s="13"/>
      <c r="E159" s="32">
        <v>50625</v>
      </c>
      <c r="F159" s="26"/>
      <c r="G159" s="26">
        <v>1797101</v>
      </c>
      <c r="H159" s="26"/>
      <c r="I159" s="26">
        <v>0</v>
      </c>
      <c r="J159" s="26"/>
      <c r="K159" s="26">
        <v>3964223</v>
      </c>
      <c r="L159" s="26"/>
      <c r="M159" s="26">
        <f>212485+1996</f>
        <v>214481</v>
      </c>
      <c r="N159" s="26"/>
      <c r="O159" s="26">
        <v>524011</v>
      </c>
      <c r="P159" s="26"/>
      <c r="Q159" s="26">
        <v>81653</v>
      </c>
      <c r="R159" s="26"/>
      <c r="S159" s="26">
        <v>0</v>
      </c>
      <c r="T159" s="26"/>
      <c r="U159" s="26">
        <v>18348</v>
      </c>
      <c r="V159" s="26"/>
      <c r="W159" s="26">
        <f>180675+38615+5400</f>
        <v>224690</v>
      </c>
      <c r="X159" s="26"/>
      <c r="Y159" s="54">
        <f t="shared" si="10"/>
        <v>6824507</v>
      </c>
      <c r="Z159" s="26"/>
      <c r="AA159" s="26">
        <v>577330</v>
      </c>
      <c r="AB159" s="26"/>
      <c r="AC159" s="26"/>
      <c r="AD159" s="26"/>
      <c r="AE159" s="26">
        <v>0</v>
      </c>
      <c r="AF159" s="26"/>
      <c r="AG159" s="26"/>
      <c r="AH159" s="26"/>
      <c r="AI159" s="26"/>
      <c r="AJ159" s="26"/>
      <c r="AK159" s="26">
        <f>685+6522</f>
        <v>7207</v>
      </c>
      <c r="AL159" s="26"/>
      <c r="AM159" s="26">
        <v>0</v>
      </c>
      <c r="AN159" s="26"/>
      <c r="AO159" s="26">
        <v>0</v>
      </c>
      <c r="AP159" s="26"/>
      <c r="AQ159" s="26">
        <v>0</v>
      </c>
      <c r="AR159" s="26"/>
      <c r="AS159" s="54">
        <f t="shared" si="8"/>
        <v>584537</v>
      </c>
      <c r="AT159" s="26"/>
      <c r="AU159" s="54">
        <f t="shared" si="9"/>
        <v>7409044</v>
      </c>
    </row>
    <row r="160" spans="1:47">
      <c r="A160" s="13" t="s">
        <v>526</v>
      </c>
      <c r="B160" s="13"/>
      <c r="C160" s="13" t="s">
        <v>46</v>
      </c>
      <c r="D160" s="13"/>
      <c r="E160" s="32">
        <v>48413</v>
      </c>
      <c r="F160" s="26"/>
      <c r="G160" s="26">
        <v>4020795</v>
      </c>
      <c r="H160" s="26"/>
      <c r="I160" s="26">
        <v>0</v>
      </c>
      <c r="J160" s="26"/>
      <c r="K160" s="26">
        <v>8243324</v>
      </c>
      <c r="L160" s="26"/>
      <c r="M160" s="26">
        <v>109799</v>
      </c>
      <c r="N160" s="26"/>
      <c r="O160" s="26">
        <v>1387247</v>
      </c>
      <c r="P160" s="26"/>
      <c r="Q160" s="26">
        <v>86302</v>
      </c>
      <c r="R160" s="26"/>
      <c r="S160" s="26">
        <v>0</v>
      </c>
      <c r="T160" s="26"/>
      <c r="U160" s="26">
        <v>17108</v>
      </c>
      <c r="V160" s="26"/>
      <c r="W160" s="26">
        <f>170767+366055</f>
        <v>536822</v>
      </c>
      <c r="X160" s="26"/>
      <c r="Y160" s="54">
        <f t="shared" si="10"/>
        <v>14401397</v>
      </c>
      <c r="Z160" s="26"/>
      <c r="AA160" s="26">
        <v>40000</v>
      </c>
      <c r="AB160" s="26"/>
      <c r="AC160" s="26"/>
      <c r="AD160" s="26"/>
      <c r="AE160" s="26">
        <v>0</v>
      </c>
      <c r="AF160" s="26"/>
      <c r="AG160" s="26"/>
      <c r="AH160" s="26"/>
      <c r="AI160" s="26"/>
      <c r="AJ160" s="26"/>
      <c r="AK160" s="26">
        <v>0</v>
      </c>
      <c r="AL160" s="26"/>
      <c r="AM160" s="26">
        <v>0</v>
      </c>
      <c r="AN160" s="26"/>
      <c r="AO160" s="26">
        <v>0</v>
      </c>
      <c r="AP160" s="26"/>
      <c r="AQ160" s="26">
        <v>0</v>
      </c>
      <c r="AR160" s="26"/>
      <c r="AS160" s="54">
        <f t="shared" si="8"/>
        <v>40000</v>
      </c>
      <c r="AT160" s="26"/>
      <c r="AU160" s="54">
        <f t="shared" si="9"/>
        <v>14441397</v>
      </c>
    </row>
    <row r="161" spans="1:47">
      <c r="A161" s="13" t="s">
        <v>493</v>
      </c>
      <c r="B161" s="13"/>
      <c r="C161" s="13" t="s">
        <v>44</v>
      </c>
      <c r="D161" s="13"/>
      <c r="E161" s="32">
        <v>43943</v>
      </c>
      <c r="F161" s="26"/>
      <c r="G161" s="26">
        <v>30892056</v>
      </c>
      <c r="H161" s="26"/>
      <c r="I161" s="26">
        <v>0</v>
      </c>
      <c r="J161" s="26"/>
      <c r="K161" s="26">
        <v>47210747</v>
      </c>
      <c r="L161" s="26"/>
      <c r="M161" s="26">
        <v>2319616</v>
      </c>
      <c r="N161" s="26"/>
      <c r="O161" s="26">
        <v>1914967</v>
      </c>
      <c r="P161" s="26"/>
      <c r="Q161" s="26">
        <v>360412</v>
      </c>
      <c r="R161" s="26"/>
      <c r="S161" s="26">
        <v>0</v>
      </c>
      <c r="T161" s="26"/>
      <c r="U161" s="26">
        <v>200399</v>
      </c>
      <c r="V161" s="26"/>
      <c r="W161" s="26">
        <f>74311+748506</f>
        <v>822817</v>
      </c>
      <c r="X161" s="26"/>
      <c r="Y161" s="54">
        <f t="shared" si="10"/>
        <v>83721014</v>
      </c>
      <c r="Z161" s="26"/>
      <c r="AA161" s="26">
        <v>1465002</v>
      </c>
      <c r="AB161" s="26"/>
      <c r="AC161" s="26"/>
      <c r="AD161" s="26"/>
      <c r="AE161" s="26">
        <v>44999971</v>
      </c>
      <c r="AF161" s="26"/>
      <c r="AG161" s="26"/>
      <c r="AH161" s="26"/>
      <c r="AI161" s="26"/>
      <c r="AJ161" s="26"/>
      <c r="AK161" s="26">
        <v>631723</v>
      </c>
      <c r="AL161" s="26"/>
      <c r="AM161" s="26">
        <v>0</v>
      </c>
      <c r="AN161" s="26"/>
      <c r="AO161" s="26">
        <v>0</v>
      </c>
      <c r="AP161" s="26"/>
      <c r="AQ161" s="26">
        <v>0</v>
      </c>
      <c r="AR161" s="26"/>
      <c r="AS161" s="54">
        <f t="shared" si="8"/>
        <v>47096696</v>
      </c>
      <c r="AT161" s="26"/>
      <c r="AU161" s="54">
        <f t="shared" si="9"/>
        <v>130817710</v>
      </c>
    </row>
    <row r="162" spans="1:47">
      <c r="A162" s="13" t="s">
        <v>310</v>
      </c>
      <c r="B162" s="13"/>
      <c r="C162" s="13" t="s">
        <v>20</v>
      </c>
      <c r="D162" s="13"/>
      <c r="E162" s="32">
        <v>43950</v>
      </c>
      <c r="F162" s="26"/>
      <c r="G162" s="26">
        <v>42360154</v>
      </c>
      <c r="H162" s="26"/>
      <c r="I162" s="26">
        <v>0</v>
      </c>
      <c r="J162" s="26"/>
      <c r="K162" s="26">
        <v>33878473</v>
      </c>
      <c r="L162" s="26"/>
      <c r="M162" s="26">
        <v>966778</v>
      </c>
      <c r="N162" s="26"/>
      <c r="O162" s="26">
        <v>3841629</v>
      </c>
      <c r="P162" s="26"/>
      <c r="Q162" s="26">
        <v>331341</v>
      </c>
      <c r="R162" s="26"/>
      <c r="S162" s="26">
        <v>0</v>
      </c>
      <c r="T162" s="26"/>
      <c r="U162" s="26">
        <v>0</v>
      </c>
      <c r="V162" s="26"/>
      <c r="W162" s="26">
        <f>237652+209768+830199+97824</f>
        <v>1375443</v>
      </c>
      <c r="X162" s="26"/>
      <c r="Y162" s="54">
        <f t="shared" si="10"/>
        <v>82753818</v>
      </c>
      <c r="Z162" s="26"/>
      <c r="AA162" s="26">
        <v>256881</v>
      </c>
      <c r="AB162" s="26"/>
      <c r="AC162" s="26"/>
      <c r="AD162" s="26"/>
      <c r="AE162" s="26">
        <v>0</v>
      </c>
      <c r="AF162" s="26"/>
      <c r="AG162" s="26"/>
      <c r="AH162" s="26"/>
      <c r="AI162" s="26"/>
      <c r="AJ162" s="26"/>
      <c r="AK162" s="26">
        <v>6563</v>
      </c>
      <c r="AL162" s="26"/>
      <c r="AM162" s="26">
        <v>0</v>
      </c>
      <c r="AN162" s="26"/>
      <c r="AO162" s="26">
        <v>0</v>
      </c>
      <c r="AP162" s="26"/>
      <c r="AQ162" s="26">
        <v>0</v>
      </c>
      <c r="AR162" s="26"/>
      <c r="AS162" s="54">
        <f t="shared" si="8"/>
        <v>263444</v>
      </c>
      <c r="AT162" s="26"/>
      <c r="AU162" s="54">
        <f t="shared" si="9"/>
        <v>83017262</v>
      </c>
    </row>
    <row r="163" spans="1:47" hidden="1">
      <c r="A163" s="13" t="s">
        <v>373</v>
      </c>
      <c r="B163" s="13"/>
      <c r="C163" s="13" t="s">
        <v>28</v>
      </c>
      <c r="D163" s="13"/>
      <c r="E163" s="32">
        <v>47050</v>
      </c>
      <c r="F163" s="26"/>
      <c r="G163" s="26">
        <v>0</v>
      </c>
      <c r="H163" s="26"/>
      <c r="I163" s="26">
        <v>0</v>
      </c>
      <c r="J163" s="26"/>
      <c r="K163" s="26">
        <v>0</v>
      </c>
      <c r="L163" s="26"/>
      <c r="M163" s="26">
        <v>0</v>
      </c>
      <c r="N163" s="26"/>
      <c r="O163" s="26">
        <v>0</v>
      </c>
      <c r="P163" s="26"/>
      <c r="Q163" s="26">
        <v>0</v>
      </c>
      <c r="R163" s="26"/>
      <c r="S163" s="26">
        <v>0</v>
      </c>
      <c r="T163" s="26"/>
      <c r="U163" s="26">
        <v>0</v>
      </c>
      <c r="V163" s="26"/>
      <c r="W163" s="26">
        <v>0</v>
      </c>
      <c r="X163" s="26"/>
      <c r="Y163" s="54">
        <f t="shared" si="10"/>
        <v>0</v>
      </c>
      <c r="Z163" s="26"/>
      <c r="AA163" s="26">
        <v>0</v>
      </c>
      <c r="AB163" s="26"/>
      <c r="AC163" s="26"/>
      <c r="AD163" s="26"/>
      <c r="AE163" s="26">
        <v>0</v>
      </c>
      <c r="AF163" s="26"/>
      <c r="AG163" s="26"/>
      <c r="AH163" s="26"/>
      <c r="AI163" s="26"/>
      <c r="AJ163" s="26"/>
      <c r="AK163" s="26">
        <v>0</v>
      </c>
      <c r="AL163" s="26"/>
      <c r="AM163" s="26">
        <v>0</v>
      </c>
      <c r="AN163" s="26"/>
      <c r="AO163" s="26">
        <v>0</v>
      </c>
      <c r="AP163" s="26"/>
      <c r="AQ163" s="26">
        <v>0</v>
      </c>
      <c r="AR163" s="26"/>
      <c r="AS163" s="54">
        <f t="shared" si="8"/>
        <v>0</v>
      </c>
      <c r="AT163" s="26"/>
      <c r="AU163" s="54">
        <f t="shared" si="9"/>
        <v>0</v>
      </c>
    </row>
    <row r="164" spans="1:47">
      <c r="A164" s="13" t="s">
        <v>707</v>
      </c>
      <c r="B164" s="13"/>
      <c r="C164" s="13" t="s">
        <v>66</v>
      </c>
      <c r="D164" s="13"/>
      <c r="E164" s="32">
        <v>50328</v>
      </c>
      <c r="F164" s="26"/>
      <c r="G164" s="26">
        <v>7303417</v>
      </c>
      <c r="H164" s="26"/>
      <c r="I164" s="26">
        <v>0</v>
      </c>
      <c r="J164" s="26"/>
      <c r="K164" s="26">
        <f>3213467+353243</f>
        <v>3566710</v>
      </c>
      <c r="L164" s="26"/>
      <c r="M164" s="26">
        <v>606740</v>
      </c>
      <c r="N164" s="26"/>
      <c r="O164" s="26">
        <f>158688+20980+127076+43816</f>
        <v>350560</v>
      </c>
      <c r="P164" s="26"/>
      <c r="Q164" s="26">
        <v>75589</v>
      </c>
      <c r="R164" s="26"/>
      <c r="S164" s="26">
        <v>0</v>
      </c>
      <c r="T164" s="26"/>
      <c r="U164" s="26">
        <v>0</v>
      </c>
      <c r="V164" s="26"/>
      <c r="W164" s="26">
        <v>133503</v>
      </c>
      <c r="X164" s="26"/>
      <c r="Y164" s="54">
        <f t="shared" si="10"/>
        <v>12036519</v>
      </c>
      <c r="Z164" s="26"/>
      <c r="AA164" s="26">
        <v>405585</v>
      </c>
      <c r="AB164" s="26"/>
      <c r="AC164" s="26"/>
      <c r="AD164" s="26"/>
      <c r="AE164" s="26">
        <v>0</v>
      </c>
      <c r="AF164" s="26"/>
      <c r="AG164" s="26"/>
      <c r="AH164" s="26"/>
      <c r="AI164" s="26"/>
      <c r="AJ164" s="26"/>
      <c r="AK164" s="26">
        <v>0</v>
      </c>
      <c r="AL164" s="26"/>
      <c r="AM164" s="26">
        <v>0</v>
      </c>
      <c r="AN164" s="26"/>
      <c r="AO164" s="26">
        <v>0</v>
      </c>
      <c r="AP164" s="26"/>
      <c r="AQ164" s="26">
        <v>0</v>
      </c>
      <c r="AR164" s="26"/>
      <c r="AS164" s="54">
        <f t="shared" si="8"/>
        <v>405585</v>
      </c>
      <c r="AT164" s="26"/>
      <c r="AU164" s="54">
        <f t="shared" si="9"/>
        <v>12442104</v>
      </c>
    </row>
    <row r="165" spans="1:47">
      <c r="A165" s="13" t="s">
        <v>884</v>
      </c>
      <c r="B165" s="13"/>
      <c r="C165" s="13" t="s">
        <v>885</v>
      </c>
      <c r="D165" s="13"/>
      <c r="E165" s="32">
        <v>46102</v>
      </c>
      <c r="F165" s="26"/>
      <c r="G165" s="26">
        <v>16240618</v>
      </c>
      <c r="H165" s="26"/>
      <c r="I165" s="26">
        <v>3446917</v>
      </c>
      <c r="J165" s="26"/>
      <c r="K165" s="26">
        <v>25499548</v>
      </c>
      <c r="L165" s="26"/>
      <c r="M165" s="26">
        <v>336931</v>
      </c>
      <c r="N165" s="26"/>
      <c r="O165" s="26">
        <f>332398+730351+21394</f>
        <v>1084143</v>
      </c>
      <c r="P165" s="26"/>
      <c r="Q165" s="26">
        <v>241760</v>
      </c>
      <c r="R165" s="26"/>
      <c r="S165" s="26">
        <v>148712</v>
      </c>
      <c r="T165" s="26"/>
      <c r="U165" s="26">
        <v>18342</v>
      </c>
      <c r="V165" s="26"/>
      <c r="W165" s="26">
        <v>109279</v>
      </c>
      <c r="X165" s="26"/>
      <c r="Y165" s="54">
        <f t="shared" si="10"/>
        <v>47126250</v>
      </c>
      <c r="Z165" s="26"/>
      <c r="AA165" s="26">
        <v>389000</v>
      </c>
      <c r="AB165" s="26"/>
      <c r="AC165" s="26"/>
      <c r="AD165" s="26"/>
      <c r="AE165" s="26">
        <v>0</v>
      </c>
      <c r="AF165" s="26"/>
      <c r="AG165" s="26"/>
      <c r="AH165" s="26"/>
      <c r="AI165" s="26"/>
      <c r="AJ165" s="26"/>
      <c r="AK165" s="26">
        <v>480</v>
      </c>
      <c r="AL165" s="26"/>
      <c r="AM165" s="26">
        <v>0</v>
      </c>
      <c r="AN165" s="26"/>
      <c r="AO165" s="26">
        <v>0</v>
      </c>
      <c r="AP165" s="26"/>
      <c r="AQ165" s="26">
        <v>0</v>
      </c>
      <c r="AR165" s="26"/>
      <c r="AS165" s="54">
        <f t="shared" si="8"/>
        <v>389480</v>
      </c>
      <c r="AT165" s="26"/>
      <c r="AU165" s="54">
        <f t="shared" si="9"/>
        <v>47515730</v>
      </c>
    </row>
    <row r="166" spans="1:47" ht="12" customHeight="1">
      <c r="A166" s="13" t="s">
        <v>247</v>
      </c>
      <c r="B166" s="13"/>
      <c r="C166" s="13" t="s">
        <v>246</v>
      </c>
      <c r="D166" s="13"/>
      <c r="E166" s="32">
        <v>46102</v>
      </c>
      <c r="F166" s="26"/>
      <c r="G166" s="26">
        <v>45898035</v>
      </c>
      <c r="H166" s="26"/>
      <c r="I166" s="26">
        <v>0</v>
      </c>
      <c r="J166" s="26"/>
      <c r="K166" s="26">
        <v>36871440</v>
      </c>
      <c r="L166" s="26"/>
      <c r="M166" s="26">
        <v>997999</v>
      </c>
      <c r="N166" s="26"/>
      <c r="O166" s="26">
        <f>1120611+3711767</f>
        <v>4832378</v>
      </c>
      <c r="P166" s="26"/>
      <c r="Q166" s="26">
        <v>403341</v>
      </c>
      <c r="R166" s="26"/>
      <c r="S166" s="26">
        <v>1143259</v>
      </c>
      <c r="T166" s="26"/>
      <c r="U166" s="26">
        <v>0</v>
      </c>
      <c r="V166" s="26"/>
      <c r="W166" s="26">
        <v>832163</v>
      </c>
      <c r="X166" s="26"/>
      <c r="Y166" s="54">
        <f t="shared" si="10"/>
        <v>90978615</v>
      </c>
      <c r="Z166" s="26"/>
      <c r="AA166" s="26">
        <v>13268</v>
      </c>
      <c r="AB166" s="26"/>
      <c r="AC166" s="26"/>
      <c r="AD166" s="26"/>
      <c r="AE166" s="26">
        <v>0</v>
      </c>
      <c r="AF166" s="26"/>
      <c r="AG166" s="26"/>
      <c r="AH166" s="26"/>
      <c r="AI166" s="26"/>
      <c r="AJ166" s="26"/>
      <c r="AK166" s="26">
        <v>275</v>
      </c>
      <c r="AL166" s="26"/>
      <c r="AM166" s="26">
        <v>0</v>
      </c>
      <c r="AN166" s="26"/>
      <c r="AO166" s="26">
        <v>0</v>
      </c>
      <c r="AP166" s="26"/>
      <c r="AQ166" s="26">
        <v>0</v>
      </c>
      <c r="AR166" s="26"/>
      <c r="AS166" s="54">
        <f t="shared" si="8"/>
        <v>13543</v>
      </c>
      <c r="AT166" s="26"/>
      <c r="AU166" s="54">
        <f t="shared" si="9"/>
        <v>90992158</v>
      </c>
    </row>
    <row r="167" spans="1:47" ht="12" customHeight="1">
      <c r="A167" s="13" t="s">
        <v>441</v>
      </c>
      <c r="B167" s="13"/>
      <c r="C167" s="13" t="s">
        <v>440</v>
      </c>
      <c r="D167" s="13"/>
      <c r="E167" s="32">
        <v>47621</v>
      </c>
      <c r="F167" s="26"/>
      <c r="G167" s="26">
        <v>1569456</v>
      </c>
      <c r="H167" s="26"/>
      <c r="I167" s="26">
        <v>0</v>
      </c>
      <c r="J167" s="26"/>
      <c r="K167" s="26">
        <v>5651590</v>
      </c>
      <c r="L167" s="26"/>
      <c r="M167" s="26">
        <v>55321</v>
      </c>
      <c r="N167" s="26"/>
      <c r="O167" s="26">
        <v>307099</v>
      </c>
      <c r="P167" s="26"/>
      <c r="Q167" s="26">
        <v>57389</v>
      </c>
      <c r="R167" s="26"/>
      <c r="S167" s="26">
        <v>0</v>
      </c>
      <c r="T167" s="26"/>
      <c r="U167" s="26">
        <v>25945</v>
      </c>
      <c r="V167" s="26"/>
      <c r="W167" s="26">
        <f>218673+6020+71902</f>
        <v>296595</v>
      </c>
      <c r="X167" s="26"/>
      <c r="Y167" s="54">
        <f t="shared" si="10"/>
        <v>7963395</v>
      </c>
      <c r="Z167" s="26"/>
      <c r="AA167" s="26">
        <v>0</v>
      </c>
      <c r="AB167" s="26"/>
      <c r="AC167" s="26"/>
      <c r="AD167" s="26"/>
      <c r="AE167" s="26">
        <v>0</v>
      </c>
      <c r="AF167" s="26"/>
      <c r="AG167" s="26"/>
      <c r="AH167" s="26"/>
      <c r="AI167" s="26"/>
      <c r="AJ167" s="26"/>
      <c r="AK167" s="26">
        <v>0</v>
      </c>
      <c r="AL167" s="26"/>
      <c r="AM167" s="26">
        <v>0</v>
      </c>
      <c r="AN167" s="26"/>
      <c r="AO167" s="26">
        <v>0</v>
      </c>
      <c r="AP167" s="26"/>
      <c r="AQ167" s="26">
        <v>0</v>
      </c>
      <c r="AR167" s="26"/>
      <c r="AS167" s="54">
        <f t="shared" si="8"/>
        <v>0</v>
      </c>
      <c r="AT167" s="26"/>
      <c r="AU167" s="54">
        <f t="shared" si="9"/>
        <v>7963395</v>
      </c>
    </row>
    <row r="168" spans="1:47">
      <c r="A168" s="13" t="s">
        <v>350</v>
      </c>
      <c r="B168" s="13"/>
      <c r="C168" s="13" t="s">
        <v>25</v>
      </c>
      <c r="D168" s="13"/>
      <c r="E168" s="32">
        <v>46870</v>
      </c>
      <c r="F168" s="26"/>
      <c r="G168" s="26">
        <v>4336392</v>
      </c>
      <c r="H168" s="26"/>
      <c r="I168" s="26">
        <v>3553396</v>
      </c>
      <c r="J168" s="26"/>
      <c r="K168" s="26">
        <v>26099487</v>
      </c>
      <c r="L168" s="26"/>
      <c r="M168" s="26">
        <v>2405808</v>
      </c>
      <c r="N168" s="26"/>
      <c r="O168" s="26">
        <f>1482383+22865+426050</f>
        <v>1931298</v>
      </c>
      <c r="P168" s="26"/>
      <c r="Q168" s="26">
        <v>228741</v>
      </c>
      <c r="R168" s="26"/>
      <c r="S168" s="26">
        <v>0</v>
      </c>
      <c r="T168" s="26"/>
      <c r="U168" s="26">
        <v>6581</v>
      </c>
      <c r="V168" s="26"/>
      <c r="W168" s="26">
        <v>855427</v>
      </c>
      <c r="X168" s="26"/>
      <c r="Y168" s="54">
        <f t="shared" si="10"/>
        <v>39417130</v>
      </c>
      <c r="Z168" s="26"/>
      <c r="AA168" s="26">
        <v>1210717</v>
      </c>
      <c r="AB168" s="26"/>
      <c r="AC168" s="26"/>
      <c r="AD168" s="26"/>
      <c r="AE168" s="26">
        <v>0</v>
      </c>
      <c r="AF168" s="26"/>
      <c r="AG168" s="26"/>
      <c r="AH168" s="26"/>
      <c r="AI168" s="26"/>
      <c r="AJ168" s="26"/>
      <c r="AK168" s="26">
        <f>21004+30104</f>
        <v>51108</v>
      </c>
      <c r="AL168" s="26"/>
      <c r="AM168" s="26">
        <v>0</v>
      </c>
      <c r="AN168" s="26"/>
      <c r="AO168" s="26">
        <v>0</v>
      </c>
      <c r="AP168" s="26"/>
      <c r="AQ168" s="26">
        <v>0</v>
      </c>
      <c r="AR168" s="26"/>
      <c r="AS168" s="54">
        <f t="shared" si="8"/>
        <v>1261825</v>
      </c>
      <c r="AT168" s="26"/>
      <c r="AU168" s="54">
        <f t="shared" si="9"/>
        <v>40678955</v>
      </c>
    </row>
    <row r="169" spans="1:47">
      <c r="A169" s="13" t="s">
        <v>473</v>
      </c>
      <c r="B169" s="13"/>
      <c r="C169" s="13" t="s">
        <v>471</v>
      </c>
      <c r="D169" s="13"/>
      <c r="E169" s="32">
        <v>47936</v>
      </c>
      <c r="F169" s="26"/>
      <c r="G169" s="26">
        <v>3650200</v>
      </c>
      <c r="H169" s="26"/>
      <c r="I169" s="26">
        <v>0</v>
      </c>
      <c r="J169" s="26"/>
      <c r="K169" s="26">
        <v>12029241</v>
      </c>
      <c r="L169" s="26"/>
      <c r="M169" s="26">
        <v>236714</v>
      </c>
      <c r="N169" s="26"/>
      <c r="O169" s="26">
        <v>58185</v>
      </c>
      <c r="P169" s="26"/>
      <c r="Q169" s="26">
        <v>219013</v>
      </c>
      <c r="R169" s="26"/>
      <c r="S169" s="26">
        <v>0</v>
      </c>
      <c r="T169" s="26"/>
      <c r="U169" s="26">
        <v>17666</v>
      </c>
      <c r="V169" s="26"/>
      <c r="W169" s="26">
        <f>10456+259490</f>
        <v>269946</v>
      </c>
      <c r="X169" s="26"/>
      <c r="Y169" s="54">
        <f t="shared" si="10"/>
        <v>16480965</v>
      </c>
      <c r="Z169" s="26"/>
      <c r="AA169" s="26">
        <v>46878</v>
      </c>
      <c r="AB169" s="26"/>
      <c r="AC169" s="26"/>
      <c r="AD169" s="26"/>
      <c r="AE169" s="26">
        <v>0</v>
      </c>
      <c r="AF169" s="26"/>
      <c r="AG169" s="26"/>
      <c r="AH169" s="26"/>
      <c r="AI169" s="26"/>
      <c r="AJ169" s="26"/>
      <c r="AK169" s="26">
        <f>1190+200362</f>
        <v>201552</v>
      </c>
      <c r="AL169" s="26"/>
      <c r="AM169" s="26">
        <v>0</v>
      </c>
      <c r="AN169" s="26"/>
      <c r="AO169" s="26">
        <v>0</v>
      </c>
      <c r="AP169" s="26"/>
      <c r="AQ169" s="26">
        <v>0</v>
      </c>
      <c r="AR169" s="26"/>
      <c r="AS169" s="54">
        <f t="shared" si="8"/>
        <v>248430</v>
      </c>
      <c r="AT169" s="26"/>
      <c r="AU169" s="54">
        <f t="shared" si="9"/>
        <v>16729395</v>
      </c>
    </row>
    <row r="170" spans="1:47" hidden="1">
      <c r="A170" s="13" t="s">
        <v>648</v>
      </c>
      <c r="B170" s="13"/>
      <c r="C170" s="13" t="s">
        <v>61</v>
      </c>
      <c r="D170" s="13"/>
      <c r="E170" s="32">
        <v>49775</v>
      </c>
      <c r="F170" s="26"/>
      <c r="G170" s="26">
        <v>0</v>
      </c>
      <c r="H170" s="26"/>
      <c r="I170" s="26">
        <v>0</v>
      </c>
      <c r="J170" s="26"/>
      <c r="K170" s="26">
        <v>0</v>
      </c>
      <c r="L170" s="26"/>
      <c r="M170" s="26">
        <v>0</v>
      </c>
      <c r="N170" s="26"/>
      <c r="O170" s="26">
        <v>0</v>
      </c>
      <c r="P170" s="26"/>
      <c r="Q170" s="26">
        <v>0</v>
      </c>
      <c r="R170" s="26"/>
      <c r="S170" s="26">
        <v>0</v>
      </c>
      <c r="T170" s="26"/>
      <c r="U170" s="26">
        <v>0</v>
      </c>
      <c r="V170" s="26"/>
      <c r="W170" s="26">
        <v>0</v>
      </c>
      <c r="X170" s="26"/>
      <c r="Y170" s="54">
        <f t="shared" si="10"/>
        <v>0</v>
      </c>
      <c r="Z170" s="26"/>
      <c r="AA170" s="26">
        <v>0</v>
      </c>
      <c r="AB170" s="26"/>
      <c r="AC170" s="26"/>
      <c r="AD170" s="26"/>
      <c r="AE170" s="26">
        <v>0</v>
      </c>
      <c r="AF170" s="26"/>
      <c r="AG170" s="26"/>
      <c r="AH170" s="26"/>
      <c r="AI170" s="26"/>
      <c r="AJ170" s="26"/>
      <c r="AK170" s="26">
        <v>0</v>
      </c>
      <c r="AL170" s="26"/>
      <c r="AM170" s="26">
        <v>0</v>
      </c>
      <c r="AN170" s="26"/>
      <c r="AO170" s="26">
        <v>0</v>
      </c>
      <c r="AP170" s="26"/>
      <c r="AQ170" s="26">
        <v>0</v>
      </c>
      <c r="AR170" s="26"/>
      <c r="AS170" s="54">
        <f t="shared" si="8"/>
        <v>0</v>
      </c>
      <c r="AT170" s="26"/>
      <c r="AU170" s="54">
        <f t="shared" si="9"/>
        <v>0</v>
      </c>
    </row>
    <row r="171" spans="1:47">
      <c r="A171" s="13" t="s">
        <v>656</v>
      </c>
      <c r="B171" s="13"/>
      <c r="C171" s="13" t="s">
        <v>62</v>
      </c>
      <c r="D171" s="13"/>
      <c r="E171" s="32">
        <v>49841</v>
      </c>
      <c r="F171" s="26"/>
      <c r="G171" s="26">
        <v>6185292</v>
      </c>
      <c r="H171" s="26"/>
      <c r="I171" s="26">
        <v>0</v>
      </c>
      <c r="J171" s="26"/>
      <c r="K171" s="26">
        <f>9244859+1044164</f>
        <v>10289023</v>
      </c>
      <c r="L171" s="26"/>
      <c r="M171" s="26">
        <v>394558</v>
      </c>
      <c r="N171" s="26"/>
      <c r="O171" s="26">
        <f>510325+381558+56104</f>
        <v>947987</v>
      </c>
      <c r="P171" s="26"/>
      <c r="Q171" s="26">
        <v>162122</v>
      </c>
      <c r="R171" s="26"/>
      <c r="S171" s="26">
        <v>0</v>
      </c>
      <c r="T171" s="26"/>
      <c r="U171" s="26">
        <v>0</v>
      </c>
      <c r="V171" s="26"/>
      <c r="W171" s="26">
        <v>71396</v>
      </c>
      <c r="X171" s="26"/>
      <c r="Y171" s="54">
        <f t="shared" si="10"/>
        <v>18050378</v>
      </c>
      <c r="Z171" s="26"/>
      <c r="AA171" s="26">
        <v>400000</v>
      </c>
      <c r="AB171" s="26"/>
      <c r="AC171" s="26"/>
      <c r="AD171" s="26"/>
      <c r="AE171" s="26">
        <v>0</v>
      </c>
      <c r="AF171" s="26"/>
      <c r="AG171" s="26"/>
      <c r="AH171" s="26"/>
      <c r="AI171" s="26"/>
      <c r="AJ171" s="26"/>
      <c r="AK171" s="26">
        <v>352802</v>
      </c>
      <c r="AL171" s="26"/>
      <c r="AM171" s="26">
        <v>0</v>
      </c>
      <c r="AN171" s="26"/>
      <c r="AO171" s="26">
        <v>0</v>
      </c>
      <c r="AP171" s="26"/>
      <c r="AQ171" s="26">
        <v>0</v>
      </c>
      <c r="AR171" s="26"/>
      <c r="AS171" s="54">
        <f t="shared" si="8"/>
        <v>752802</v>
      </c>
      <c r="AT171" s="26"/>
      <c r="AU171" s="54">
        <f t="shared" si="9"/>
        <v>18803180</v>
      </c>
    </row>
    <row r="172" spans="1:47" hidden="1">
      <c r="A172" s="13" t="s">
        <v>463</v>
      </c>
      <c r="B172" s="13"/>
      <c r="C172" s="13" t="s">
        <v>41</v>
      </c>
      <c r="D172" s="13"/>
      <c r="E172" s="32">
        <v>45369</v>
      </c>
      <c r="F172" s="26"/>
      <c r="G172" s="26">
        <v>0</v>
      </c>
      <c r="H172" s="26"/>
      <c r="I172" s="26">
        <v>0</v>
      </c>
      <c r="J172" s="26"/>
      <c r="K172" s="26">
        <v>0</v>
      </c>
      <c r="L172" s="26"/>
      <c r="M172" s="26">
        <v>0</v>
      </c>
      <c r="N172" s="26"/>
      <c r="O172" s="26">
        <v>0</v>
      </c>
      <c r="P172" s="26"/>
      <c r="Q172" s="26">
        <v>0</v>
      </c>
      <c r="R172" s="26"/>
      <c r="S172" s="26">
        <v>0</v>
      </c>
      <c r="T172" s="26"/>
      <c r="U172" s="26">
        <v>0</v>
      </c>
      <c r="V172" s="26"/>
      <c r="W172" s="26">
        <v>0</v>
      </c>
      <c r="X172" s="26"/>
      <c r="Y172" s="54">
        <f t="shared" si="10"/>
        <v>0</v>
      </c>
      <c r="Z172" s="26"/>
      <c r="AA172" s="26">
        <v>0</v>
      </c>
      <c r="AB172" s="26"/>
      <c r="AC172" s="26"/>
      <c r="AD172" s="26"/>
      <c r="AE172" s="26">
        <v>0</v>
      </c>
      <c r="AF172" s="26"/>
      <c r="AG172" s="26"/>
      <c r="AH172" s="26"/>
      <c r="AI172" s="26"/>
      <c r="AJ172" s="26"/>
      <c r="AK172" s="26">
        <v>0</v>
      </c>
      <c r="AL172" s="26"/>
      <c r="AM172" s="26">
        <v>0</v>
      </c>
      <c r="AN172" s="26"/>
      <c r="AO172" s="26">
        <v>0</v>
      </c>
      <c r="AP172" s="26"/>
      <c r="AQ172" s="26">
        <v>0</v>
      </c>
      <c r="AR172" s="26"/>
      <c r="AS172" s="54">
        <f t="shared" si="8"/>
        <v>0</v>
      </c>
      <c r="AT172" s="26"/>
      <c r="AU172" s="54">
        <f t="shared" si="9"/>
        <v>0</v>
      </c>
    </row>
    <row r="173" spans="1:47">
      <c r="A173" s="13" t="s">
        <v>311</v>
      </c>
      <c r="B173" s="13"/>
      <c r="C173" s="13" t="s">
        <v>20</v>
      </c>
      <c r="D173" s="13"/>
      <c r="E173" s="32">
        <v>43976</v>
      </c>
      <c r="F173" s="26"/>
      <c r="G173" s="26">
        <v>18215926</v>
      </c>
      <c r="H173" s="26"/>
      <c r="I173" s="26">
        <v>0</v>
      </c>
      <c r="J173" s="26"/>
      <c r="K173" s="26">
        <v>6058755</v>
      </c>
      <c r="L173" s="26"/>
      <c r="M173" s="26">
        <v>905764</v>
      </c>
      <c r="N173" s="26"/>
      <c r="O173" s="26">
        <v>320322</v>
      </c>
      <c r="P173" s="26"/>
      <c r="Q173" s="26">
        <v>157585</v>
      </c>
      <c r="R173" s="26"/>
      <c r="S173" s="26">
        <v>0</v>
      </c>
      <c r="T173" s="26"/>
      <c r="U173" s="26">
        <v>15744</v>
      </c>
      <c r="V173" s="26"/>
      <c r="W173" s="26">
        <f>97534+107987</f>
        <v>205521</v>
      </c>
      <c r="X173" s="26"/>
      <c r="Y173" s="54">
        <f t="shared" si="10"/>
        <v>25879617</v>
      </c>
      <c r="Z173" s="26"/>
      <c r="AA173" s="26">
        <v>650529</v>
      </c>
      <c r="AB173" s="26"/>
      <c r="AC173" s="26"/>
      <c r="AD173" s="26"/>
      <c r="AE173" s="26">
        <v>0</v>
      </c>
      <c r="AF173" s="26"/>
      <c r="AG173" s="26"/>
      <c r="AH173" s="26"/>
      <c r="AI173" s="26"/>
      <c r="AJ173" s="26"/>
      <c r="AK173" s="26">
        <v>0</v>
      </c>
      <c r="AL173" s="26"/>
      <c r="AM173" s="26">
        <v>0</v>
      </c>
      <c r="AN173" s="26"/>
      <c r="AO173" s="26">
        <v>0</v>
      </c>
      <c r="AP173" s="26"/>
      <c r="AQ173" s="26">
        <v>0</v>
      </c>
      <c r="AR173" s="26"/>
      <c r="AS173" s="54">
        <f t="shared" si="8"/>
        <v>650529</v>
      </c>
      <c r="AT173" s="26"/>
      <c r="AU173" s="54">
        <f t="shared" si="9"/>
        <v>26530146</v>
      </c>
    </row>
    <row r="174" spans="1:47">
      <c r="A174" s="13" t="s">
        <v>241</v>
      </c>
      <c r="B174" s="13"/>
      <c r="C174" s="13" t="s">
        <v>77</v>
      </c>
      <c r="D174" s="13"/>
      <c r="E174" s="32">
        <v>46045</v>
      </c>
      <c r="F174" s="26"/>
      <c r="G174" s="26">
        <v>2262330</v>
      </c>
      <c r="H174" s="26"/>
      <c r="I174" s="26">
        <v>0</v>
      </c>
      <c r="J174" s="26"/>
      <c r="K174" s="26">
        <v>16391543</v>
      </c>
      <c r="L174" s="26"/>
      <c r="M174" s="26">
        <v>583236</v>
      </c>
      <c r="N174" s="26"/>
      <c r="O174" s="26">
        <f>808434+247580</f>
        <v>1056014</v>
      </c>
      <c r="P174" s="26"/>
      <c r="Q174" s="26">
        <v>57494</v>
      </c>
      <c r="R174" s="26"/>
      <c r="S174" s="26">
        <v>0</v>
      </c>
      <c r="T174" s="26"/>
      <c r="U174" s="26">
        <v>10757</v>
      </c>
      <c r="V174" s="26"/>
      <c r="W174" s="26">
        <v>66219</v>
      </c>
      <c r="X174" s="26"/>
      <c r="Y174" s="54">
        <f t="shared" si="10"/>
        <v>20427593</v>
      </c>
      <c r="Z174" s="26"/>
      <c r="AA174" s="26">
        <v>0</v>
      </c>
      <c r="AB174" s="26"/>
      <c r="AC174" s="26"/>
      <c r="AD174" s="26"/>
      <c r="AE174" s="26">
        <v>0</v>
      </c>
      <c r="AF174" s="26"/>
      <c r="AG174" s="26"/>
      <c r="AH174" s="26"/>
      <c r="AI174" s="26"/>
      <c r="AJ174" s="26"/>
      <c r="AK174" s="26">
        <v>0</v>
      </c>
      <c r="AL174" s="26"/>
      <c r="AM174" s="26">
        <v>0</v>
      </c>
      <c r="AN174" s="26"/>
      <c r="AO174" s="26">
        <v>0</v>
      </c>
      <c r="AP174" s="26"/>
      <c r="AQ174" s="26">
        <v>0</v>
      </c>
      <c r="AR174" s="26"/>
      <c r="AS174" s="54">
        <f t="shared" si="8"/>
        <v>0</v>
      </c>
      <c r="AT174" s="26"/>
      <c r="AU174" s="54">
        <f t="shared" si="9"/>
        <v>20427593</v>
      </c>
    </row>
    <row r="175" spans="1:47">
      <c r="A175" s="13"/>
      <c r="B175" s="13"/>
      <c r="C175" s="13"/>
      <c r="D175" s="13"/>
      <c r="E175" s="32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54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54"/>
      <c r="AT175" s="26"/>
      <c r="AU175" s="54"/>
    </row>
    <row r="176" spans="1:47">
      <c r="A176" s="13"/>
      <c r="B176" s="13"/>
      <c r="C176" s="13"/>
      <c r="D176" s="13"/>
      <c r="E176" s="32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54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54"/>
      <c r="AT176" s="26"/>
      <c r="AU176" s="92" t="s">
        <v>819</v>
      </c>
    </row>
    <row r="177" spans="1:47" s="43" customFormat="1">
      <c r="A177" s="34" t="s">
        <v>272</v>
      </c>
      <c r="B177" s="34"/>
      <c r="C177" s="34" t="s">
        <v>116</v>
      </c>
      <c r="D177" s="34"/>
      <c r="E177" s="34">
        <v>46334</v>
      </c>
      <c r="G177" s="43">
        <v>1703230</v>
      </c>
      <c r="I177" s="43">
        <v>0</v>
      </c>
      <c r="K177" s="43">
        <v>8592443</v>
      </c>
      <c r="M177" s="43">
        <v>130456</v>
      </c>
      <c r="O177" s="43">
        <f>179754+442532</f>
        <v>622286</v>
      </c>
      <c r="Q177" s="43">
        <v>0</v>
      </c>
      <c r="S177" s="43">
        <v>0</v>
      </c>
      <c r="U177" s="43">
        <v>0</v>
      </c>
      <c r="W177" s="43">
        <v>183060</v>
      </c>
      <c r="Y177" s="66">
        <f t="shared" si="10"/>
        <v>11231475</v>
      </c>
      <c r="AA177" s="43">
        <v>0</v>
      </c>
      <c r="AE177" s="43">
        <v>0</v>
      </c>
      <c r="AK177" s="43">
        <v>101640</v>
      </c>
      <c r="AM177" s="43">
        <v>0</v>
      </c>
      <c r="AO177" s="43">
        <v>0</v>
      </c>
      <c r="AQ177" s="43">
        <v>0</v>
      </c>
      <c r="AS177" s="66">
        <f t="shared" si="8"/>
        <v>101640</v>
      </c>
      <c r="AU177" s="66">
        <f t="shared" si="9"/>
        <v>11333115</v>
      </c>
    </row>
    <row r="178" spans="1:47">
      <c r="A178" s="13" t="s">
        <v>597</v>
      </c>
      <c r="B178" s="13"/>
      <c r="C178" s="13" t="s">
        <v>56</v>
      </c>
      <c r="D178" s="13"/>
      <c r="E178" s="32">
        <v>49197</v>
      </c>
      <c r="F178" s="26"/>
      <c r="G178" s="26">
        <v>10041682</v>
      </c>
      <c r="H178" s="26"/>
      <c r="I178" s="26">
        <v>0</v>
      </c>
      <c r="J178" s="26"/>
      <c r="K178" s="26">
        <v>9133580</v>
      </c>
      <c r="L178" s="26"/>
      <c r="M178" s="26">
        <v>63594</v>
      </c>
      <c r="N178" s="26"/>
      <c r="O178" s="26">
        <v>1375912</v>
      </c>
      <c r="P178" s="26"/>
      <c r="Q178" s="26">
        <v>87279</v>
      </c>
      <c r="R178" s="26"/>
      <c r="S178" s="26">
        <v>0</v>
      </c>
      <c r="T178" s="26"/>
      <c r="U178" s="26">
        <v>30515</v>
      </c>
      <c r="V178" s="26"/>
      <c r="W178" s="26">
        <f>18164+800+896863</f>
        <v>915827</v>
      </c>
      <c r="X178" s="26"/>
      <c r="Y178" s="54">
        <f t="shared" si="10"/>
        <v>21648389</v>
      </c>
      <c r="Z178" s="26"/>
      <c r="AA178" s="26">
        <v>365243</v>
      </c>
      <c r="AB178" s="26"/>
      <c r="AC178" s="26"/>
      <c r="AD178" s="26"/>
      <c r="AE178" s="26">
        <v>0</v>
      </c>
      <c r="AF178" s="26"/>
      <c r="AG178" s="26"/>
      <c r="AH178" s="26"/>
      <c r="AI178" s="26"/>
      <c r="AJ178" s="26"/>
      <c r="AK178" s="26">
        <v>9379</v>
      </c>
      <c r="AL178" s="26"/>
      <c r="AM178" s="26">
        <v>0</v>
      </c>
      <c r="AN178" s="26"/>
      <c r="AO178" s="26">
        <v>0</v>
      </c>
      <c r="AP178" s="26"/>
      <c r="AQ178" s="26">
        <v>0</v>
      </c>
      <c r="AR178" s="26"/>
      <c r="AS178" s="54">
        <f t="shared" si="8"/>
        <v>374622</v>
      </c>
      <c r="AT178" s="26"/>
      <c r="AU178" s="54">
        <f t="shared" si="9"/>
        <v>22023011</v>
      </c>
    </row>
    <row r="179" spans="1:47">
      <c r="A179" s="13" t="s">
        <v>421</v>
      </c>
      <c r="B179" s="13"/>
      <c r="C179" s="13" t="s">
        <v>33</v>
      </c>
      <c r="D179" s="13"/>
      <c r="E179" s="32">
        <v>43984</v>
      </c>
      <c r="F179" s="26"/>
      <c r="G179" s="26">
        <v>29267804</v>
      </c>
      <c r="H179" s="26"/>
      <c r="I179" s="26">
        <v>0</v>
      </c>
      <c r="J179" s="26"/>
      <c r="K179" s="26">
        <f>26078163+5561700</f>
        <v>31639863</v>
      </c>
      <c r="L179" s="26"/>
      <c r="M179" s="26">
        <v>664436</v>
      </c>
      <c r="N179" s="26"/>
      <c r="O179" s="26">
        <f>2561600+851519+358127</f>
        <v>3771246</v>
      </c>
      <c r="P179" s="26"/>
      <c r="Q179" s="26">
        <v>475029</v>
      </c>
      <c r="R179" s="26"/>
      <c r="S179" s="26">
        <v>0</v>
      </c>
      <c r="T179" s="26"/>
      <c r="U179" s="26">
        <v>0</v>
      </c>
      <c r="V179" s="26"/>
      <c r="W179" s="26">
        <v>1062082</v>
      </c>
      <c r="X179" s="26"/>
      <c r="Y179" s="54">
        <f t="shared" si="10"/>
        <v>66880460</v>
      </c>
      <c r="Z179" s="26"/>
      <c r="AA179" s="26">
        <v>665000</v>
      </c>
      <c r="AB179" s="26"/>
      <c r="AC179" s="26"/>
      <c r="AD179" s="26"/>
      <c r="AE179" s="26">
        <v>0</v>
      </c>
      <c r="AF179" s="26"/>
      <c r="AG179" s="26"/>
      <c r="AH179" s="26"/>
      <c r="AI179" s="26"/>
      <c r="AJ179" s="26"/>
      <c r="AK179" s="26">
        <v>0</v>
      </c>
      <c r="AL179" s="26"/>
      <c r="AM179" s="26">
        <v>0</v>
      </c>
      <c r="AN179" s="26"/>
      <c r="AO179" s="26">
        <v>0</v>
      </c>
      <c r="AP179" s="26"/>
      <c r="AQ179" s="26">
        <v>0</v>
      </c>
      <c r="AR179" s="26"/>
      <c r="AS179" s="54">
        <f t="shared" si="8"/>
        <v>665000</v>
      </c>
      <c r="AT179" s="26"/>
      <c r="AU179" s="54">
        <f t="shared" si="9"/>
        <v>67545460</v>
      </c>
    </row>
    <row r="180" spans="1:47">
      <c r="A180" s="13" t="s">
        <v>398</v>
      </c>
      <c r="B180" s="13"/>
      <c r="C180" s="13" t="s">
        <v>32</v>
      </c>
      <c r="D180" s="13"/>
      <c r="E180" s="32">
        <v>47332</v>
      </c>
      <c r="F180" s="26"/>
      <c r="G180" s="26">
        <v>9791091</v>
      </c>
      <c r="H180" s="26"/>
      <c r="I180" s="26">
        <v>0</v>
      </c>
      <c r="J180" s="26"/>
      <c r="K180" s="26">
        <v>10431806</v>
      </c>
      <c r="L180" s="26"/>
      <c r="M180" s="26">
        <v>253184</v>
      </c>
      <c r="N180" s="26"/>
      <c r="O180" s="26">
        <f>265166+252417</f>
        <v>517583</v>
      </c>
      <c r="P180" s="26"/>
      <c r="Q180" s="26">
        <v>211618</v>
      </c>
      <c r="R180" s="26"/>
      <c r="S180" s="26">
        <v>0</v>
      </c>
      <c r="T180" s="26"/>
      <c r="U180" s="26">
        <v>0</v>
      </c>
      <c r="V180" s="26"/>
      <c r="W180" s="26">
        <v>446546</v>
      </c>
      <c r="X180" s="26"/>
      <c r="Y180" s="54">
        <f t="shared" si="10"/>
        <v>21651828</v>
      </c>
      <c r="Z180" s="26"/>
      <c r="AA180" s="26">
        <v>20130</v>
      </c>
      <c r="AB180" s="26"/>
      <c r="AC180" s="26"/>
      <c r="AD180" s="26"/>
      <c r="AE180" s="26">
        <v>0</v>
      </c>
      <c r="AF180" s="26"/>
      <c r="AG180" s="26"/>
      <c r="AH180" s="26"/>
      <c r="AI180" s="26"/>
      <c r="AJ180" s="26"/>
      <c r="AK180" s="26">
        <v>62692</v>
      </c>
      <c r="AL180" s="26"/>
      <c r="AM180" s="26">
        <v>0</v>
      </c>
      <c r="AN180" s="26"/>
      <c r="AO180" s="26">
        <v>0</v>
      </c>
      <c r="AP180" s="26"/>
      <c r="AQ180" s="26">
        <v>0</v>
      </c>
      <c r="AR180" s="26"/>
      <c r="AS180" s="54">
        <f t="shared" si="8"/>
        <v>82822</v>
      </c>
      <c r="AT180" s="26"/>
      <c r="AU180" s="54">
        <f t="shared" si="9"/>
        <v>21734650</v>
      </c>
    </row>
    <row r="181" spans="1:47">
      <c r="A181" s="13" t="s">
        <v>494</v>
      </c>
      <c r="B181" s="13"/>
      <c r="C181" s="13" t="s">
        <v>44</v>
      </c>
      <c r="D181" s="13"/>
      <c r="E181" s="32">
        <v>48157</v>
      </c>
      <c r="F181" s="26"/>
      <c r="G181" s="26">
        <v>6466787</v>
      </c>
      <c r="H181" s="26"/>
      <c r="I181" s="26">
        <v>0</v>
      </c>
      <c r="J181" s="26"/>
      <c r="K181" s="26">
        <f>706086+8992290+482</f>
        <v>9698858</v>
      </c>
      <c r="L181" s="26"/>
      <c r="M181" s="26">
        <v>257862</v>
      </c>
      <c r="N181" s="26"/>
      <c r="O181" s="26">
        <f>635578+10526+437202+112037</f>
        <v>1195343</v>
      </c>
      <c r="P181" s="26"/>
      <c r="Q181" s="26">
        <v>210447</v>
      </c>
      <c r="R181" s="26"/>
      <c r="S181" s="26">
        <v>0</v>
      </c>
      <c r="T181" s="26"/>
      <c r="U181" s="26">
        <v>0</v>
      </c>
      <c r="V181" s="26"/>
      <c r="W181" s="26">
        <v>160969</v>
      </c>
      <c r="X181" s="26"/>
      <c r="Y181" s="54">
        <f t="shared" si="10"/>
        <v>17990266</v>
      </c>
      <c r="Z181" s="26"/>
      <c r="AA181" s="26">
        <v>1156433</v>
      </c>
      <c r="AB181" s="26"/>
      <c r="AC181" s="26"/>
      <c r="AD181" s="26"/>
      <c r="AE181" s="26">
        <v>0</v>
      </c>
      <c r="AF181" s="26"/>
      <c r="AG181" s="26"/>
      <c r="AH181" s="26"/>
      <c r="AI181" s="26"/>
      <c r="AJ181" s="26"/>
      <c r="AK181" s="26">
        <v>64301</v>
      </c>
      <c r="AL181" s="26"/>
      <c r="AM181" s="26">
        <v>0</v>
      </c>
      <c r="AN181" s="26"/>
      <c r="AO181" s="26">
        <v>0</v>
      </c>
      <c r="AP181" s="26"/>
      <c r="AQ181" s="26">
        <v>0</v>
      </c>
      <c r="AR181" s="26"/>
      <c r="AS181" s="54">
        <f t="shared" si="8"/>
        <v>1220734</v>
      </c>
      <c r="AT181" s="26"/>
      <c r="AU181" s="54">
        <f t="shared" si="9"/>
        <v>19211000</v>
      </c>
    </row>
    <row r="182" spans="1:47">
      <c r="A182" s="13" t="s">
        <v>399</v>
      </c>
      <c r="B182" s="13"/>
      <c r="C182" s="13" t="s">
        <v>32</v>
      </c>
      <c r="D182" s="13"/>
      <c r="E182" s="32">
        <v>47340</v>
      </c>
      <c r="F182" s="26"/>
      <c r="G182" s="26">
        <v>41412278</v>
      </c>
      <c r="H182" s="26"/>
      <c r="I182" s="26">
        <v>0</v>
      </c>
      <c r="J182" s="26"/>
      <c r="K182" s="26">
        <v>28445739</v>
      </c>
      <c r="L182" s="26"/>
      <c r="M182" s="26">
        <v>1325210</v>
      </c>
      <c r="N182" s="26"/>
      <c r="O182" s="26">
        <f>918146+1562124</f>
        <v>2480270</v>
      </c>
      <c r="P182" s="26"/>
      <c r="Q182" s="26">
        <v>0</v>
      </c>
      <c r="R182" s="26"/>
      <c r="S182" s="26">
        <v>6196687</v>
      </c>
      <c r="T182" s="26"/>
      <c r="U182" s="26">
        <v>0</v>
      </c>
      <c r="V182" s="26"/>
      <c r="W182" s="26">
        <v>1474828</v>
      </c>
      <c r="X182" s="26"/>
      <c r="Y182" s="54">
        <f t="shared" si="10"/>
        <v>81335012</v>
      </c>
      <c r="Z182" s="26"/>
      <c r="AA182" s="26">
        <v>290917</v>
      </c>
      <c r="AB182" s="26"/>
      <c r="AC182" s="26"/>
      <c r="AD182" s="26"/>
      <c r="AE182" s="26">
        <v>0</v>
      </c>
      <c r="AF182" s="26"/>
      <c r="AG182" s="26"/>
      <c r="AH182" s="26"/>
      <c r="AI182" s="26"/>
      <c r="AJ182" s="26"/>
      <c r="AK182" s="26">
        <v>14184</v>
      </c>
      <c r="AL182" s="26"/>
      <c r="AM182" s="26">
        <v>0</v>
      </c>
      <c r="AN182" s="26"/>
      <c r="AO182" s="26">
        <v>0</v>
      </c>
      <c r="AP182" s="26"/>
      <c r="AQ182" s="26">
        <v>0</v>
      </c>
      <c r="AR182" s="26"/>
      <c r="AS182" s="54">
        <f t="shared" si="8"/>
        <v>305101</v>
      </c>
      <c r="AT182" s="26"/>
      <c r="AU182" s="54">
        <f t="shared" si="9"/>
        <v>81640113</v>
      </c>
    </row>
    <row r="183" spans="1:47" hidden="1">
      <c r="A183" s="13" t="s">
        <v>722</v>
      </c>
      <c r="B183" s="13"/>
      <c r="C183" s="13" t="s">
        <v>70</v>
      </c>
      <c r="D183" s="13"/>
      <c r="E183" s="32">
        <v>50484</v>
      </c>
      <c r="F183" s="26"/>
      <c r="G183" s="26">
        <v>0</v>
      </c>
      <c r="H183" s="26"/>
      <c r="I183" s="26">
        <v>0</v>
      </c>
      <c r="J183" s="26"/>
      <c r="K183" s="26">
        <v>0</v>
      </c>
      <c r="L183" s="26"/>
      <c r="M183" s="26">
        <v>0</v>
      </c>
      <c r="N183" s="26"/>
      <c r="O183" s="26">
        <v>0</v>
      </c>
      <c r="P183" s="26"/>
      <c r="Q183" s="26">
        <v>0</v>
      </c>
      <c r="R183" s="26"/>
      <c r="S183" s="26">
        <v>0</v>
      </c>
      <c r="T183" s="26"/>
      <c r="U183" s="26">
        <v>0</v>
      </c>
      <c r="V183" s="26"/>
      <c r="W183" s="26">
        <v>0</v>
      </c>
      <c r="X183" s="26"/>
      <c r="Y183" s="54">
        <f t="shared" si="10"/>
        <v>0</v>
      </c>
      <c r="Z183" s="26"/>
      <c r="AA183" s="26">
        <v>0</v>
      </c>
      <c r="AB183" s="26"/>
      <c r="AC183" s="26"/>
      <c r="AD183" s="26"/>
      <c r="AE183" s="26">
        <v>0</v>
      </c>
      <c r="AF183" s="26"/>
      <c r="AG183" s="26"/>
      <c r="AH183" s="26"/>
      <c r="AI183" s="26"/>
      <c r="AJ183" s="26"/>
      <c r="AK183" s="26">
        <v>0</v>
      </c>
      <c r="AL183" s="26"/>
      <c r="AM183" s="26">
        <v>0</v>
      </c>
      <c r="AN183" s="26"/>
      <c r="AO183" s="26">
        <v>0</v>
      </c>
      <c r="AP183" s="26"/>
      <c r="AQ183" s="26">
        <v>0</v>
      </c>
      <c r="AR183" s="26"/>
      <c r="AS183" s="54">
        <f t="shared" si="8"/>
        <v>0</v>
      </c>
      <c r="AT183" s="26"/>
      <c r="AU183" s="54">
        <f t="shared" si="9"/>
        <v>0</v>
      </c>
    </row>
    <row r="184" spans="1:47">
      <c r="A184" s="13" t="s">
        <v>649</v>
      </c>
      <c r="B184" s="13"/>
      <c r="C184" s="13" t="s">
        <v>61</v>
      </c>
      <c r="D184" s="13"/>
      <c r="E184" s="32">
        <v>49783</v>
      </c>
      <c r="F184" s="26"/>
      <c r="G184" s="26">
        <v>2546327</v>
      </c>
      <c r="H184" s="26"/>
      <c r="I184" s="26">
        <v>1511417</v>
      </c>
      <c r="J184" s="26"/>
      <c r="K184" s="26">
        <v>10781687</v>
      </c>
      <c r="L184" s="26"/>
      <c r="M184" s="26">
        <v>484740</v>
      </c>
      <c r="N184" s="26"/>
      <c r="O184" s="26">
        <f>143418+256105</f>
        <v>399523</v>
      </c>
      <c r="P184" s="26"/>
      <c r="Q184" s="26">
        <v>141320</v>
      </c>
      <c r="R184" s="26"/>
      <c r="S184" s="26">
        <v>0</v>
      </c>
      <c r="T184" s="26"/>
      <c r="U184" s="26">
        <v>31059</v>
      </c>
      <c r="V184" s="26"/>
      <c r="W184" s="26">
        <v>30015</v>
      </c>
      <c r="X184" s="26"/>
      <c r="Y184" s="54">
        <f t="shared" si="10"/>
        <v>15926088</v>
      </c>
      <c r="Z184" s="26"/>
      <c r="AA184" s="26">
        <v>314595</v>
      </c>
      <c r="AB184" s="26"/>
      <c r="AC184" s="26"/>
      <c r="AD184" s="26"/>
      <c r="AE184" s="26">
        <v>1480000</v>
      </c>
      <c r="AF184" s="26"/>
      <c r="AG184" s="26"/>
      <c r="AH184" s="26"/>
      <c r="AI184" s="26"/>
      <c r="AJ184" s="26"/>
      <c r="AK184" s="26">
        <v>8915</v>
      </c>
      <c r="AL184" s="26"/>
      <c r="AM184" s="26">
        <v>0</v>
      </c>
      <c r="AN184" s="26"/>
      <c r="AO184" s="26">
        <v>0</v>
      </c>
      <c r="AP184" s="26"/>
      <c r="AQ184" s="26">
        <v>0</v>
      </c>
      <c r="AR184" s="26"/>
      <c r="AS184" s="54">
        <f t="shared" si="8"/>
        <v>1803510</v>
      </c>
      <c r="AT184" s="26"/>
      <c r="AU184" s="54">
        <f t="shared" si="9"/>
        <v>17729598</v>
      </c>
    </row>
    <row r="185" spans="1:47">
      <c r="A185" s="13" t="s">
        <v>641</v>
      </c>
      <c r="B185" s="13"/>
      <c r="C185" s="13" t="s">
        <v>60</v>
      </c>
      <c r="D185" s="13"/>
      <c r="E185" s="13">
        <v>43992</v>
      </c>
      <c r="F185" s="26"/>
      <c r="G185" s="26">
        <v>8647189</v>
      </c>
      <c r="H185" s="26"/>
      <c r="I185" s="26">
        <v>0</v>
      </c>
      <c r="J185" s="26"/>
      <c r="K185" s="26">
        <f>12689805+2613628</f>
        <v>15303433</v>
      </c>
      <c r="L185" s="26"/>
      <c r="M185" s="26">
        <v>598146</v>
      </c>
      <c r="N185" s="26"/>
      <c r="O185" s="26">
        <f>330841+34696+388209+44121</f>
        <v>797867</v>
      </c>
      <c r="P185" s="26"/>
      <c r="Q185" s="26">
        <v>93123</v>
      </c>
      <c r="R185" s="26"/>
      <c r="S185" s="26">
        <v>0</v>
      </c>
      <c r="T185" s="26"/>
      <c r="U185" s="26">
        <v>0</v>
      </c>
      <c r="V185" s="26"/>
      <c r="W185" s="26">
        <f>221257+132734</f>
        <v>353991</v>
      </c>
      <c r="X185" s="26"/>
      <c r="Y185" s="54">
        <f t="shared" si="10"/>
        <v>25793749</v>
      </c>
      <c r="Z185" s="26"/>
      <c r="AA185" s="26">
        <v>281558</v>
      </c>
      <c r="AB185" s="26"/>
      <c r="AC185" s="26"/>
      <c r="AD185" s="26"/>
      <c r="AE185" s="26">
        <v>0</v>
      </c>
      <c r="AF185" s="26"/>
      <c r="AG185" s="26"/>
      <c r="AH185" s="26"/>
      <c r="AI185" s="26"/>
      <c r="AJ185" s="26"/>
      <c r="AK185" s="26">
        <v>0</v>
      </c>
      <c r="AL185" s="26"/>
      <c r="AM185" s="26">
        <v>0</v>
      </c>
      <c r="AN185" s="26"/>
      <c r="AO185" s="26">
        <v>0</v>
      </c>
      <c r="AP185" s="26"/>
      <c r="AQ185" s="26">
        <v>0</v>
      </c>
      <c r="AR185" s="26"/>
      <c r="AS185" s="54">
        <f t="shared" si="8"/>
        <v>281558</v>
      </c>
      <c r="AT185" s="26"/>
      <c r="AU185" s="54">
        <f t="shared" si="9"/>
        <v>26075307</v>
      </c>
    </row>
    <row r="186" spans="1:47">
      <c r="A186" s="13" t="s">
        <v>714</v>
      </c>
      <c r="B186" s="13"/>
      <c r="C186" s="13" t="s">
        <v>69</v>
      </c>
      <c r="D186" s="13"/>
      <c r="E186" s="32">
        <v>44008</v>
      </c>
      <c r="F186" s="26"/>
      <c r="G186" s="26">
        <v>14243791</v>
      </c>
      <c r="H186" s="26"/>
      <c r="I186" s="26">
        <v>0</v>
      </c>
      <c r="J186" s="26"/>
      <c r="K186" s="26">
        <v>15916553</v>
      </c>
      <c r="L186" s="26"/>
      <c r="M186" s="26">
        <v>331681</v>
      </c>
      <c r="N186" s="26"/>
      <c r="O186" s="26">
        <f>507242+565506+34342</f>
        <v>1107090</v>
      </c>
      <c r="P186" s="26"/>
      <c r="Q186" s="26">
        <v>206837</v>
      </c>
      <c r="R186" s="26"/>
      <c r="S186" s="26">
        <v>108557</v>
      </c>
      <c r="T186" s="26"/>
      <c r="U186" s="26">
        <v>664519</v>
      </c>
      <c r="V186" s="26"/>
      <c r="W186" s="26">
        <v>30162</v>
      </c>
      <c r="X186" s="26"/>
      <c r="Y186" s="54">
        <f t="shared" si="10"/>
        <v>32609190</v>
      </c>
      <c r="Z186" s="26"/>
      <c r="AA186" s="26">
        <v>0</v>
      </c>
      <c r="AB186" s="26"/>
      <c r="AC186" s="26"/>
      <c r="AD186" s="26"/>
      <c r="AE186" s="26">
        <f>2354997+194307</f>
        <v>2549304</v>
      </c>
      <c r="AF186" s="26"/>
      <c r="AG186" s="26"/>
      <c r="AH186" s="26"/>
      <c r="AI186" s="26"/>
      <c r="AJ186" s="26"/>
      <c r="AK186" s="26">
        <f>60+9276</f>
        <v>9336</v>
      </c>
      <c r="AL186" s="26"/>
      <c r="AM186" s="26">
        <v>0</v>
      </c>
      <c r="AN186" s="26"/>
      <c r="AO186" s="26">
        <v>0</v>
      </c>
      <c r="AP186" s="26"/>
      <c r="AQ186" s="26">
        <v>0</v>
      </c>
      <c r="AR186" s="26"/>
      <c r="AS186" s="54">
        <f t="shared" si="8"/>
        <v>2558640</v>
      </c>
      <c r="AT186" s="26"/>
      <c r="AU186" s="54">
        <f t="shared" si="9"/>
        <v>35167830</v>
      </c>
    </row>
    <row r="187" spans="1:47">
      <c r="A187" s="13" t="s">
        <v>572</v>
      </c>
      <c r="B187" s="13"/>
      <c r="C187" s="13" t="s">
        <v>51</v>
      </c>
      <c r="D187" s="13"/>
      <c r="E187" s="32">
        <v>48843</v>
      </c>
      <c r="F187" s="26"/>
      <c r="G187" s="26">
        <v>3044546</v>
      </c>
      <c r="H187" s="26"/>
      <c r="I187" s="26">
        <v>0</v>
      </c>
      <c r="J187" s="26"/>
      <c r="K187" s="26">
        <v>15767539</v>
      </c>
      <c r="L187" s="26"/>
      <c r="M187" s="26">
        <v>460581</v>
      </c>
      <c r="N187" s="26"/>
      <c r="O187" s="26">
        <f>834269+446794</f>
        <v>1281063</v>
      </c>
      <c r="P187" s="26"/>
      <c r="Q187" s="26">
        <v>125843</v>
      </c>
      <c r="R187" s="26"/>
      <c r="S187" s="26">
        <v>4295</v>
      </c>
      <c r="T187" s="26"/>
      <c r="U187" s="26">
        <v>8769</v>
      </c>
      <c r="V187" s="26"/>
      <c r="W187" s="26">
        <v>42088</v>
      </c>
      <c r="X187" s="26"/>
      <c r="Y187" s="54">
        <f t="shared" si="10"/>
        <v>20734724</v>
      </c>
      <c r="Z187" s="26"/>
      <c r="AA187" s="26">
        <v>94000</v>
      </c>
      <c r="AB187" s="26"/>
      <c r="AC187" s="26"/>
      <c r="AD187" s="26"/>
      <c r="AE187" s="26">
        <v>0</v>
      </c>
      <c r="AF187" s="26"/>
      <c r="AG187" s="26"/>
      <c r="AH187" s="26"/>
      <c r="AI187" s="26"/>
      <c r="AJ187" s="26"/>
      <c r="AK187" s="26">
        <v>0</v>
      </c>
      <c r="AL187" s="26"/>
      <c r="AM187" s="26">
        <v>0</v>
      </c>
      <c r="AN187" s="26"/>
      <c r="AO187" s="26">
        <v>0</v>
      </c>
      <c r="AP187" s="26"/>
      <c r="AQ187" s="26">
        <v>0</v>
      </c>
      <c r="AR187" s="26"/>
      <c r="AS187" s="54">
        <f t="shared" si="8"/>
        <v>94000</v>
      </c>
      <c r="AT187" s="26"/>
      <c r="AU187" s="54">
        <f t="shared" si="9"/>
        <v>20828724</v>
      </c>
    </row>
    <row r="188" spans="1:47" hidden="1">
      <c r="A188" s="13" t="s">
        <v>330</v>
      </c>
      <c r="B188" s="13"/>
      <c r="C188" s="13" t="s">
        <v>21</v>
      </c>
      <c r="D188" s="13"/>
      <c r="E188" s="32">
        <v>46649</v>
      </c>
      <c r="F188" s="26"/>
      <c r="G188" s="26">
        <v>0</v>
      </c>
      <c r="H188" s="26"/>
      <c r="I188" s="26">
        <v>0</v>
      </c>
      <c r="J188" s="26"/>
      <c r="K188" s="26">
        <v>0</v>
      </c>
      <c r="L188" s="26"/>
      <c r="M188" s="26">
        <v>0</v>
      </c>
      <c r="N188" s="26"/>
      <c r="O188" s="26">
        <v>0</v>
      </c>
      <c r="P188" s="26"/>
      <c r="Q188" s="26">
        <v>0</v>
      </c>
      <c r="R188" s="26"/>
      <c r="S188" s="26">
        <v>0</v>
      </c>
      <c r="T188" s="26"/>
      <c r="U188" s="26">
        <v>0</v>
      </c>
      <c r="V188" s="26"/>
      <c r="W188" s="26">
        <v>0</v>
      </c>
      <c r="X188" s="26"/>
      <c r="Y188" s="54">
        <f t="shared" si="10"/>
        <v>0</v>
      </c>
      <c r="Z188" s="26"/>
      <c r="AA188" s="26">
        <v>0</v>
      </c>
      <c r="AB188" s="26"/>
      <c r="AC188" s="26"/>
      <c r="AD188" s="26"/>
      <c r="AE188" s="26">
        <v>0</v>
      </c>
      <c r="AF188" s="26"/>
      <c r="AG188" s="26"/>
      <c r="AH188" s="26"/>
      <c r="AI188" s="26"/>
      <c r="AJ188" s="26"/>
      <c r="AK188" s="26">
        <v>0</v>
      </c>
      <c r="AL188" s="26"/>
      <c r="AM188" s="26">
        <v>0</v>
      </c>
      <c r="AN188" s="26"/>
      <c r="AO188" s="26">
        <v>0</v>
      </c>
      <c r="AP188" s="26"/>
      <c r="AQ188" s="26">
        <v>0</v>
      </c>
      <c r="AR188" s="26"/>
      <c r="AS188" s="54">
        <f t="shared" si="8"/>
        <v>0</v>
      </c>
      <c r="AT188" s="26"/>
      <c r="AU188" s="54">
        <f t="shared" si="9"/>
        <v>0</v>
      </c>
    </row>
    <row r="189" spans="1:47">
      <c r="A189" s="13" t="s">
        <v>461</v>
      </c>
      <c r="B189" s="13"/>
      <c r="C189" s="13" t="s">
        <v>40</v>
      </c>
      <c r="D189" s="13"/>
      <c r="E189" s="32">
        <v>47852</v>
      </c>
      <c r="F189" s="26"/>
      <c r="G189" s="26">
        <v>3338850</v>
      </c>
      <c r="H189" s="26"/>
      <c r="I189" s="26">
        <v>0</v>
      </c>
      <c r="J189" s="26"/>
      <c r="K189" s="26">
        <v>16013966</v>
      </c>
      <c r="L189" s="26"/>
      <c r="M189" s="26">
        <v>374058</v>
      </c>
      <c r="N189" s="26"/>
      <c r="O189" s="26">
        <f>556095+2245+207601</f>
        <v>765941</v>
      </c>
      <c r="P189" s="26"/>
      <c r="Q189" s="26">
        <v>221646</v>
      </c>
      <c r="R189" s="26"/>
      <c r="S189" s="26">
        <v>0</v>
      </c>
      <c r="T189" s="26"/>
      <c r="U189" s="26">
        <v>360</v>
      </c>
      <c r="V189" s="26"/>
      <c r="W189" s="26">
        <v>443002</v>
      </c>
      <c r="X189" s="26"/>
      <c r="Y189" s="54">
        <f t="shared" si="10"/>
        <v>21157823</v>
      </c>
      <c r="Z189" s="26"/>
      <c r="AA189" s="26">
        <v>33600</v>
      </c>
      <c r="AB189" s="26"/>
      <c r="AC189" s="26"/>
      <c r="AD189" s="26"/>
      <c r="AE189" s="26">
        <v>0</v>
      </c>
      <c r="AF189" s="26"/>
      <c r="AG189" s="26"/>
      <c r="AH189" s="26"/>
      <c r="AI189" s="26"/>
      <c r="AJ189" s="26"/>
      <c r="AK189" s="26">
        <v>0</v>
      </c>
      <c r="AL189" s="26"/>
      <c r="AM189" s="26">
        <v>0</v>
      </c>
      <c r="AN189" s="26"/>
      <c r="AO189" s="26">
        <v>0</v>
      </c>
      <c r="AP189" s="26"/>
      <c r="AQ189" s="26">
        <v>0</v>
      </c>
      <c r="AR189" s="26"/>
      <c r="AS189" s="54">
        <f t="shared" si="8"/>
        <v>33600</v>
      </c>
      <c r="AT189" s="26"/>
      <c r="AU189" s="54">
        <f t="shared" si="9"/>
        <v>21191423</v>
      </c>
    </row>
    <row r="190" spans="1:47">
      <c r="A190" s="13" t="s">
        <v>628</v>
      </c>
      <c r="B190" s="13"/>
      <c r="C190" s="13" t="s">
        <v>79</v>
      </c>
      <c r="D190" s="13"/>
      <c r="E190" s="32">
        <v>44016</v>
      </c>
      <c r="F190" s="26"/>
      <c r="G190" s="26">
        <v>11375081</v>
      </c>
      <c r="H190" s="26"/>
      <c r="I190" s="26">
        <v>6862519</v>
      </c>
      <c r="J190" s="26"/>
      <c r="K190" s="26">
        <v>20344601</v>
      </c>
      <c r="L190" s="26"/>
      <c r="M190" s="26">
        <v>419314</v>
      </c>
      <c r="N190" s="26"/>
      <c r="O190" s="26">
        <v>516189</v>
      </c>
      <c r="P190" s="26"/>
      <c r="Q190" s="26">
        <v>430219</v>
      </c>
      <c r="R190" s="26"/>
      <c r="S190" s="26">
        <v>20452</v>
      </c>
      <c r="T190" s="26"/>
      <c r="U190" s="26">
        <v>6401</v>
      </c>
      <c r="V190" s="26"/>
      <c r="W190" s="26">
        <f>603762+1444249+516786</f>
        <v>2564797</v>
      </c>
      <c r="X190" s="26"/>
      <c r="Y190" s="54">
        <f t="shared" si="10"/>
        <v>42539573</v>
      </c>
      <c r="Z190" s="26"/>
      <c r="AA190" s="26">
        <v>0</v>
      </c>
      <c r="AB190" s="26"/>
      <c r="AC190" s="26"/>
      <c r="AD190" s="26"/>
      <c r="AE190" s="26">
        <v>0</v>
      </c>
      <c r="AF190" s="26"/>
      <c r="AG190" s="26"/>
      <c r="AH190" s="26"/>
      <c r="AI190" s="26"/>
      <c r="AJ190" s="26"/>
      <c r="AK190" s="26">
        <v>0</v>
      </c>
      <c r="AL190" s="26"/>
      <c r="AM190" s="26">
        <v>0</v>
      </c>
      <c r="AN190" s="26"/>
      <c r="AO190" s="26">
        <v>0</v>
      </c>
      <c r="AP190" s="26"/>
      <c r="AQ190" s="26">
        <v>0</v>
      </c>
      <c r="AR190" s="26"/>
      <c r="AS190" s="54">
        <f t="shared" si="8"/>
        <v>0</v>
      </c>
      <c r="AT190" s="26"/>
      <c r="AU190" s="54">
        <f t="shared" si="9"/>
        <v>42539573</v>
      </c>
    </row>
    <row r="191" spans="1:47">
      <c r="A191" s="13" t="s">
        <v>723</v>
      </c>
      <c r="B191" s="13"/>
      <c r="C191" s="13" t="s">
        <v>70</v>
      </c>
      <c r="D191" s="13"/>
      <c r="E191" s="32">
        <v>50492</v>
      </c>
      <c r="F191" s="26"/>
      <c r="G191" s="26">
        <v>1421348</v>
      </c>
      <c r="H191" s="26"/>
      <c r="I191" s="26">
        <v>0</v>
      </c>
      <c r="J191" s="26"/>
      <c r="K191" s="26">
        <f>1538767+6704069+74386</f>
        <v>8317222</v>
      </c>
      <c r="L191" s="26"/>
      <c r="M191" s="26">
        <v>12655</v>
      </c>
      <c r="N191" s="26"/>
      <c r="O191" s="26">
        <f>217050+103287+21704</f>
        <v>342041</v>
      </c>
      <c r="P191" s="26"/>
      <c r="Q191" s="26">
        <v>62814</v>
      </c>
      <c r="R191" s="26"/>
      <c r="S191" s="26">
        <v>0</v>
      </c>
      <c r="T191" s="26"/>
      <c r="U191" s="26">
        <v>0</v>
      </c>
      <c r="V191" s="26"/>
      <c r="W191" s="26">
        <v>23921</v>
      </c>
      <c r="X191" s="26"/>
      <c r="Y191" s="54">
        <f t="shared" si="10"/>
        <v>10180001</v>
      </c>
      <c r="Z191" s="26"/>
      <c r="AA191" s="26">
        <v>0</v>
      </c>
      <c r="AB191" s="26"/>
      <c r="AC191" s="26"/>
      <c r="AD191" s="26"/>
      <c r="AE191" s="26">
        <v>0</v>
      </c>
      <c r="AF191" s="26"/>
      <c r="AG191" s="26"/>
      <c r="AH191" s="26"/>
      <c r="AI191" s="26"/>
      <c r="AJ191" s="26"/>
      <c r="AK191" s="26">
        <v>91689</v>
      </c>
      <c r="AL191" s="26"/>
      <c r="AM191" s="26">
        <v>0</v>
      </c>
      <c r="AN191" s="26"/>
      <c r="AO191" s="26">
        <v>0</v>
      </c>
      <c r="AP191" s="26"/>
      <c r="AQ191" s="26">
        <v>0</v>
      </c>
      <c r="AR191" s="26"/>
      <c r="AS191" s="54">
        <f t="shared" si="8"/>
        <v>91689</v>
      </c>
      <c r="AT191" s="26"/>
      <c r="AU191" s="54">
        <f t="shared" si="9"/>
        <v>10271690</v>
      </c>
    </row>
    <row r="192" spans="1:47">
      <c r="A192" s="13" t="s">
        <v>360</v>
      </c>
      <c r="B192" s="13"/>
      <c r="C192" s="13" t="s">
        <v>27</v>
      </c>
      <c r="D192" s="13"/>
      <c r="E192" s="32">
        <v>46961</v>
      </c>
      <c r="F192" s="26"/>
      <c r="G192" s="26">
        <v>48149561</v>
      </c>
      <c r="H192" s="26"/>
      <c r="I192" s="26">
        <v>0</v>
      </c>
      <c r="J192" s="26"/>
      <c r="K192" s="26">
        <f>21192714+2093886</f>
        <v>23286600</v>
      </c>
      <c r="L192" s="26"/>
      <c r="M192" s="26">
        <v>1206670</v>
      </c>
      <c r="N192" s="26"/>
      <c r="O192" s="26">
        <v>300879</v>
      </c>
      <c r="P192" s="26"/>
      <c r="Q192" s="26">
        <v>0</v>
      </c>
      <c r="R192" s="26"/>
      <c r="S192" s="26">
        <v>0</v>
      </c>
      <c r="T192" s="26"/>
      <c r="U192" s="26">
        <v>0</v>
      </c>
      <c r="V192" s="26"/>
      <c r="W192" s="26">
        <v>2262595</v>
      </c>
      <c r="X192" s="26"/>
      <c r="Y192" s="54">
        <f t="shared" si="10"/>
        <v>75206305</v>
      </c>
      <c r="Z192" s="26"/>
      <c r="AA192" s="26">
        <v>0</v>
      </c>
      <c r="AB192" s="26"/>
      <c r="AC192" s="26"/>
      <c r="AD192" s="26"/>
      <c r="AE192" s="26">
        <v>0</v>
      </c>
      <c r="AF192" s="26"/>
      <c r="AG192" s="26"/>
      <c r="AH192" s="26"/>
      <c r="AI192" s="26"/>
      <c r="AJ192" s="26"/>
      <c r="AK192" s="26">
        <v>1216840</v>
      </c>
      <c r="AL192" s="26"/>
      <c r="AM192" s="26">
        <v>0</v>
      </c>
      <c r="AN192" s="26"/>
      <c r="AO192" s="26">
        <v>0</v>
      </c>
      <c r="AP192" s="26"/>
      <c r="AQ192" s="26">
        <v>0</v>
      </c>
      <c r="AR192" s="26"/>
      <c r="AS192" s="54">
        <f t="shared" si="8"/>
        <v>1216840</v>
      </c>
      <c r="AT192" s="26"/>
      <c r="AU192" s="54">
        <f t="shared" si="9"/>
        <v>76423145</v>
      </c>
    </row>
    <row r="193" spans="1:47">
      <c r="A193" s="13" t="s">
        <v>298</v>
      </c>
      <c r="B193" s="13"/>
      <c r="C193" s="13" t="s">
        <v>114</v>
      </c>
      <c r="D193" s="13"/>
      <c r="E193" s="32">
        <v>44024</v>
      </c>
      <c r="F193" s="26"/>
      <c r="G193" s="26">
        <v>5821833</v>
      </c>
      <c r="H193" s="26"/>
      <c r="I193" s="26">
        <v>0</v>
      </c>
      <c r="J193" s="26"/>
      <c r="K193" s="26">
        <v>15902414</v>
      </c>
      <c r="L193" s="26"/>
      <c r="M193" s="26">
        <v>548136</v>
      </c>
      <c r="N193" s="26"/>
      <c r="O193" s="26">
        <v>390135</v>
      </c>
      <c r="P193" s="26"/>
      <c r="Q193" s="26">
        <v>135546</v>
      </c>
      <c r="R193" s="26"/>
      <c r="S193" s="26">
        <v>101239</v>
      </c>
      <c r="T193" s="26"/>
      <c r="U193" s="26">
        <v>83032</v>
      </c>
      <c r="V193" s="26"/>
      <c r="W193" s="26">
        <f>201610+330574</f>
        <v>532184</v>
      </c>
      <c r="X193" s="26"/>
      <c r="Y193" s="54">
        <f t="shared" si="10"/>
        <v>23514519</v>
      </c>
      <c r="Z193" s="26"/>
      <c r="AA193" s="26">
        <v>1041465</v>
      </c>
      <c r="AB193" s="26"/>
      <c r="AC193" s="26"/>
      <c r="AD193" s="26"/>
      <c r="AE193" s="26">
        <v>0</v>
      </c>
      <c r="AF193" s="26"/>
      <c r="AG193" s="26"/>
      <c r="AH193" s="26"/>
      <c r="AI193" s="26"/>
      <c r="AJ193" s="26"/>
      <c r="AK193" s="26">
        <v>77050</v>
      </c>
      <c r="AL193" s="26"/>
      <c r="AM193" s="26">
        <v>0</v>
      </c>
      <c r="AN193" s="26"/>
      <c r="AO193" s="26">
        <v>0</v>
      </c>
      <c r="AP193" s="26"/>
      <c r="AQ193" s="26">
        <v>0</v>
      </c>
      <c r="AR193" s="26"/>
      <c r="AS193" s="54">
        <f t="shared" si="8"/>
        <v>1118515</v>
      </c>
      <c r="AT193" s="26"/>
      <c r="AU193" s="54">
        <f t="shared" si="9"/>
        <v>24633034</v>
      </c>
    </row>
    <row r="194" spans="1:47">
      <c r="A194" s="13" t="s">
        <v>379</v>
      </c>
      <c r="B194" s="13"/>
      <c r="C194" s="13" t="s">
        <v>29</v>
      </c>
      <c r="D194" s="13"/>
      <c r="E194" s="32">
        <v>65680</v>
      </c>
      <c r="F194" s="26"/>
      <c r="G194" s="26">
        <v>11283384</v>
      </c>
      <c r="H194" s="26"/>
      <c r="I194" s="26">
        <v>0</v>
      </c>
      <c r="J194" s="26"/>
      <c r="K194" s="26">
        <v>14878178</v>
      </c>
      <c r="L194" s="26"/>
      <c r="M194" s="26">
        <v>2138282</v>
      </c>
      <c r="N194" s="26"/>
      <c r="O194" s="26">
        <v>1086647</v>
      </c>
      <c r="P194" s="26"/>
      <c r="Q194" s="26">
        <v>180670</v>
      </c>
      <c r="R194" s="26"/>
      <c r="S194" s="26">
        <v>0</v>
      </c>
      <c r="T194" s="26"/>
      <c r="U194" s="26">
        <v>4350</v>
      </c>
      <c r="V194" s="26"/>
      <c r="W194" s="26">
        <f>241336+279262</f>
        <v>520598</v>
      </c>
      <c r="X194" s="26"/>
      <c r="Y194" s="54">
        <f t="shared" si="10"/>
        <v>30092109</v>
      </c>
      <c r="Z194" s="26"/>
      <c r="AA194" s="26">
        <v>1200</v>
      </c>
      <c r="AB194" s="26"/>
      <c r="AC194" s="26"/>
      <c r="AD194" s="26"/>
      <c r="AE194" s="26">
        <v>0</v>
      </c>
      <c r="AF194" s="26"/>
      <c r="AG194" s="26"/>
      <c r="AH194" s="26"/>
      <c r="AI194" s="26"/>
      <c r="AJ194" s="26"/>
      <c r="AK194" s="26">
        <v>16903</v>
      </c>
      <c r="AL194" s="26"/>
      <c r="AM194" s="26">
        <v>0</v>
      </c>
      <c r="AN194" s="26"/>
      <c r="AO194" s="26">
        <v>0</v>
      </c>
      <c r="AP194" s="26"/>
      <c r="AQ194" s="26">
        <v>0</v>
      </c>
      <c r="AR194" s="26"/>
      <c r="AS194" s="54">
        <f t="shared" si="8"/>
        <v>18103</v>
      </c>
      <c r="AT194" s="26"/>
      <c r="AU194" s="54">
        <f t="shared" si="9"/>
        <v>30110212</v>
      </c>
    </row>
    <row r="195" spans="1:47" s="52" customFormat="1">
      <c r="A195" s="51" t="s">
        <v>380</v>
      </c>
      <c r="B195" s="51"/>
      <c r="C195" s="51" t="s">
        <v>29</v>
      </c>
      <c r="D195" s="51"/>
      <c r="E195" s="51">
        <v>44032</v>
      </c>
      <c r="F195" s="53"/>
      <c r="G195" s="26">
        <v>6686413</v>
      </c>
      <c r="H195" s="26"/>
      <c r="I195" s="26">
        <v>0</v>
      </c>
      <c r="J195" s="26"/>
      <c r="K195" s="26">
        <f>17247377+2012474</f>
        <v>19259851</v>
      </c>
      <c r="L195" s="26"/>
      <c r="M195" s="26">
        <v>2093643</v>
      </c>
      <c r="N195" s="26"/>
      <c r="O195" s="26">
        <v>464844</v>
      </c>
      <c r="P195" s="26"/>
      <c r="Q195" s="26">
        <v>188461</v>
      </c>
      <c r="R195" s="26"/>
      <c r="S195" s="26">
        <v>0</v>
      </c>
      <c r="T195" s="26"/>
      <c r="U195" s="26">
        <v>0</v>
      </c>
      <c r="V195" s="26"/>
      <c r="W195" s="26">
        <f>65890+348575+385115+34309</f>
        <v>833889</v>
      </c>
      <c r="X195" s="26"/>
      <c r="Y195" s="54">
        <f t="shared" si="10"/>
        <v>29527101</v>
      </c>
      <c r="Z195" s="26"/>
      <c r="AA195" s="26">
        <v>0</v>
      </c>
      <c r="AB195" s="26"/>
      <c r="AC195" s="26"/>
      <c r="AD195" s="26"/>
      <c r="AE195" s="26">
        <v>0</v>
      </c>
      <c r="AF195" s="26"/>
      <c r="AG195" s="26"/>
      <c r="AH195" s="26"/>
      <c r="AI195" s="26"/>
      <c r="AJ195" s="26"/>
      <c r="AK195" s="26">
        <v>0</v>
      </c>
      <c r="AL195" s="26"/>
      <c r="AM195" s="26">
        <v>0</v>
      </c>
      <c r="AN195" s="26"/>
      <c r="AO195" s="26">
        <v>0</v>
      </c>
      <c r="AP195" s="26"/>
      <c r="AQ195" s="26">
        <v>0</v>
      </c>
      <c r="AR195" s="26"/>
      <c r="AS195" s="54">
        <f t="shared" si="8"/>
        <v>0</v>
      </c>
      <c r="AT195" s="26"/>
      <c r="AU195" s="54">
        <f t="shared" si="9"/>
        <v>29527101</v>
      </c>
    </row>
    <row r="196" spans="1:47">
      <c r="A196" s="13" t="s">
        <v>701</v>
      </c>
      <c r="B196" s="13"/>
      <c r="C196" s="13" t="s">
        <v>65</v>
      </c>
      <c r="D196" s="13"/>
      <c r="E196" s="32">
        <v>50278</v>
      </c>
      <c r="F196" s="26"/>
      <c r="G196" s="26">
        <v>5171184</v>
      </c>
      <c r="H196" s="26"/>
      <c r="I196" s="26">
        <v>0</v>
      </c>
      <c r="J196" s="26"/>
      <c r="K196" s="26">
        <f>4365908+801741</f>
        <v>5167649</v>
      </c>
      <c r="L196" s="26"/>
      <c r="M196" s="26">
        <v>177386</v>
      </c>
      <c r="N196" s="26"/>
      <c r="O196" s="26">
        <v>550970</v>
      </c>
      <c r="P196" s="26"/>
      <c r="Q196" s="26">
        <v>140581</v>
      </c>
      <c r="R196" s="26"/>
      <c r="S196" s="26">
        <v>0</v>
      </c>
      <c r="T196" s="26"/>
      <c r="U196" s="26">
        <v>0</v>
      </c>
      <c r="V196" s="26"/>
      <c r="W196" s="26">
        <f>33534+30313+66236+225322</f>
        <v>355405</v>
      </c>
      <c r="X196" s="26"/>
      <c r="Y196" s="54">
        <f t="shared" si="10"/>
        <v>11563175</v>
      </c>
      <c r="Z196" s="26"/>
      <c r="AA196" s="26">
        <v>35000</v>
      </c>
      <c r="AB196" s="26"/>
      <c r="AC196" s="26"/>
      <c r="AD196" s="26"/>
      <c r="AE196" s="26">
        <v>0</v>
      </c>
      <c r="AF196" s="26"/>
      <c r="AG196" s="26"/>
      <c r="AH196" s="26"/>
      <c r="AI196" s="26"/>
      <c r="AJ196" s="26"/>
      <c r="AK196" s="26">
        <v>19544</v>
      </c>
      <c r="AL196" s="26"/>
      <c r="AM196" s="26">
        <v>0</v>
      </c>
      <c r="AN196" s="26"/>
      <c r="AO196" s="26">
        <v>0</v>
      </c>
      <c r="AP196" s="26"/>
      <c r="AQ196" s="26">
        <v>0</v>
      </c>
      <c r="AR196" s="26"/>
      <c r="AS196" s="54">
        <f t="shared" si="8"/>
        <v>54544</v>
      </c>
      <c r="AT196" s="26"/>
      <c r="AU196" s="54">
        <f t="shared" si="9"/>
        <v>11617719</v>
      </c>
    </row>
    <row r="197" spans="1:47" hidden="1">
      <c r="A197" s="13" t="s">
        <v>312</v>
      </c>
      <c r="B197" s="13"/>
      <c r="C197" s="13" t="s">
        <v>20</v>
      </c>
      <c r="D197" s="13"/>
      <c r="E197" s="32">
        <v>44040</v>
      </c>
      <c r="F197" s="26"/>
      <c r="G197" s="26">
        <v>0</v>
      </c>
      <c r="H197" s="26"/>
      <c r="I197" s="26">
        <v>0</v>
      </c>
      <c r="J197" s="26"/>
      <c r="K197" s="26">
        <v>0</v>
      </c>
      <c r="L197" s="26"/>
      <c r="M197" s="26">
        <v>0</v>
      </c>
      <c r="N197" s="26"/>
      <c r="O197" s="26">
        <v>0</v>
      </c>
      <c r="P197" s="26"/>
      <c r="Q197" s="26">
        <v>0</v>
      </c>
      <c r="R197" s="26"/>
      <c r="S197" s="26">
        <v>0</v>
      </c>
      <c r="T197" s="26"/>
      <c r="U197" s="26">
        <v>0</v>
      </c>
      <c r="V197" s="26"/>
      <c r="W197" s="26">
        <v>0</v>
      </c>
      <c r="X197" s="26"/>
      <c r="Y197" s="54">
        <f t="shared" si="10"/>
        <v>0</v>
      </c>
      <c r="Z197" s="26"/>
      <c r="AA197" s="26">
        <v>0</v>
      </c>
      <c r="AB197" s="26"/>
      <c r="AC197" s="26"/>
      <c r="AD197" s="26"/>
      <c r="AE197" s="26">
        <v>0</v>
      </c>
      <c r="AF197" s="26"/>
      <c r="AG197" s="26"/>
      <c r="AH197" s="26"/>
      <c r="AI197" s="26"/>
      <c r="AJ197" s="26"/>
      <c r="AK197" s="26">
        <v>0</v>
      </c>
      <c r="AL197" s="26"/>
      <c r="AM197" s="26">
        <v>0</v>
      </c>
      <c r="AN197" s="26"/>
      <c r="AO197" s="26">
        <v>0</v>
      </c>
      <c r="AP197" s="26"/>
      <c r="AQ197" s="26">
        <v>0</v>
      </c>
      <c r="AR197" s="26"/>
      <c r="AS197" s="54">
        <f t="shared" si="8"/>
        <v>0</v>
      </c>
      <c r="AT197" s="26"/>
      <c r="AU197" s="54">
        <f t="shared" si="9"/>
        <v>0</v>
      </c>
    </row>
    <row r="198" spans="1:47">
      <c r="A198" s="12" t="s">
        <v>936</v>
      </c>
      <c r="B198" s="13"/>
      <c r="C198" s="13" t="s">
        <v>12</v>
      </c>
      <c r="D198" s="13"/>
      <c r="E198" s="32">
        <v>44057</v>
      </c>
      <c r="F198" s="26"/>
      <c r="G198" s="26">
        <v>8130352</v>
      </c>
      <c r="H198" s="26"/>
      <c r="I198" s="26">
        <v>0</v>
      </c>
      <c r="J198" s="26"/>
      <c r="K198" s="26">
        <v>18681609</v>
      </c>
      <c r="L198" s="26"/>
      <c r="M198" s="26">
        <v>413532</v>
      </c>
      <c r="N198" s="26"/>
      <c r="O198" s="26">
        <v>1188303</v>
      </c>
      <c r="P198" s="26"/>
      <c r="Q198" s="26">
        <v>130826</v>
      </c>
      <c r="R198" s="26"/>
      <c r="S198" s="26">
        <v>141103</v>
      </c>
      <c r="T198" s="26"/>
      <c r="U198" s="26">
        <v>32993</v>
      </c>
      <c r="V198" s="26"/>
      <c r="W198" s="26">
        <f>450538+30+186238</f>
        <v>636806</v>
      </c>
      <c r="X198" s="26"/>
      <c r="Y198" s="54">
        <f t="shared" si="10"/>
        <v>29355524</v>
      </c>
      <c r="Z198" s="26"/>
      <c r="AA198" s="26">
        <v>232274</v>
      </c>
      <c r="AB198" s="26"/>
      <c r="AC198" s="26"/>
      <c r="AD198" s="26"/>
      <c r="AE198" s="26">
        <v>0</v>
      </c>
      <c r="AF198" s="26"/>
      <c r="AG198" s="26"/>
      <c r="AH198" s="26"/>
      <c r="AI198" s="26"/>
      <c r="AJ198" s="26"/>
      <c r="AK198" s="26">
        <v>0</v>
      </c>
      <c r="AL198" s="26"/>
      <c r="AM198" s="26">
        <v>0</v>
      </c>
      <c r="AN198" s="26"/>
      <c r="AO198" s="26">
        <v>0</v>
      </c>
      <c r="AP198" s="26"/>
      <c r="AQ198" s="26">
        <v>0</v>
      </c>
      <c r="AR198" s="26"/>
      <c r="AS198" s="54">
        <f t="shared" si="8"/>
        <v>232274</v>
      </c>
      <c r="AT198" s="26"/>
      <c r="AU198" s="54">
        <f t="shared" si="9"/>
        <v>29587798</v>
      </c>
    </row>
    <row r="199" spans="1:47">
      <c r="A199" s="13" t="s">
        <v>580</v>
      </c>
      <c r="B199" s="13"/>
      <c r="C199" s="13" t="s">
        <v>53</v>
      </c>
      <c r="D199" s="13"/>
      <c r="E199" s="32">
        <v>48942</v>
      </c>
      <c r="F199" s="26"/>
      <c r="G199" s="26">
        <v>4639471</v>
      </c>
      <c r="H199" s="26"/>
      <c r="I199" s="26">
        <v>0</v>
      </c>
      <c r="J199" s="26"/>
      <c r="K199" s="26">
        <f>6986313+523546</f>
        <v>7509859</v>
      </c>
      <c r="L199" s="26"/>
      <c r="M199" s="26">
        <v>130572</v>
      </c>
      <c r="N199" s="26"/>
      <c r="O199" s="26">
        <v>347446</v>
      </c>
      <c r="P199" s="26"/>
      <c r="Q199" s="26">
        <v>485614</v>
      </c>
      <c r="R199" s="26"/>
      <c r="S199" s="26">
        <v>0</v>
      </c>
      <c r="T199" s="26"/>
      <c r="U199" s="26">
        <v>0</v>
      </c>
      <c r="V199" s="26"/>
      <c r="W199" s="26">
        <v>143674</v>
      </c>
      <c r="X199" s="26"/>
      <c r="Y199" s="54">
        <f t="shared" si="10"/>
        <v>13256636</v>
      </c>
      <c r="Z199" s="26"/>
      <c r="AA199" s="26">
        <v>88252</v>
      </c>
      <c r="AB199" s="26"/>
      <c r="AC199" s="26"/>
      <c r="AD199" s="26"/>
      <c r="AE199" s="26">
        <v>0</v>
      </c>
      <c r="AF199" s="26"/>
      <c r="AG199" s="26"/>
      <c r="AH199" s="26"/>
      <c r="AI199" s="26"/>
      <c r="AJ199" s="26"/>
      <c r="AK199" s="26">
        <v>0</v>
      </c>
      <c r="AL199" s="26"/>
      <c r="AM199" s="26">
        <v>0</v>
      </c>
      <c r="AN199" s="26"/>
      <c r="AO199" s="26">
        <v>0</v>
      </c>
      <c r="AP199" s="26"/>
      <c r="AQ199" s="26">
        <v>0</v>
      </c>
      <c r="AR199" s="26"/>
      <c r="AS199" s="54">
        <f t="shared" si="8"/>
        <v>88252</v>
      </c>
      <c r="AT199" s="26"/>
      <c r="AU199" s="54">
        <f t="shared" si="9"/>
        <v>13344888</v>
      </c>
    </row>
    <row r="200" spans="1:47">
      <c r="A200" s="13" t="s">
        <v>242</v>
      </c>
      <c r="B200" s="13"/>
      <c r="C200" s="13" t="s">
        <v>77</v>
      </c>
      <c r="D200" s="13"/>
      <c r="E200" s="32">
        <v>45377</v>
      </c>
      <c r="F200" s="26"/>
      <c r="G200" s="26">
        <v>2351858</v>
      </c>
      <c r="H200" s="26"/>
      <c r="I200" s="26">
        <v>0</v>
      </c>
      <c r="J200" s="26"/>
      <c r="K200" s="26">
        <v>6410973</v>
      </c>
      <c r="L200" s="26"/>
      <c r="M200" s="26">
        <v>92891</v>
      </c>
      <c r="N200" s="26"/>
      <c r="O200" s="26">
        <v>433985</v>
      </c>
      <c r="P200" s="26"/>
      <c r="Q200" s="26">
        <v>56249</v>
      </c>
      <c r="R200" s="26"/>
      <c r="S200" s="26">
        <v>0</v>
      </c>
      <c r="T200" s="26"/>
      <c r="U200" s="26">
        <v>13258</v>
      </c>
      <c r="V200" s="26"/>
      <c r="W200" s="26">
        <f>68791+181922</f>
        <v>250713</v>
      </c>
      <c r="X200" s="26"/>
      <c r="Y200" s="54">
        <f t="shared" si="10"/>
        <v>9609927</v>
      </c>
      <c r="Z200" s="26"/>
      <c r="AA200" s="26">
        <v>0</v>
      </c>
      <c r="AB200" s="26"/>
      <c r="AC200" s="26"/>
      <c r="AD200" s="26"/>
      <c r="AE200" s="26">
        <v>0</v>
      </c>
      <c r="AF200" s="26"/>
      <c r="AG200" s="26"/>
      <c r="AH200" s="26"/>
      <c r="AI200" s="26"/>
      <c r="AJ200" s="26"/>
      <c r="AK200" s="26">
        <v>0</v>
      </c>
      <c r="AL200" s="26"/>
      <c r="AM200" s="26">
        <v>0</v>
      </c>
      <c r="AN200" s="26"/>
      <c r="AO200" s="26">
        <v>0</v>
      </c>
      <c r="AP200" s="26"/>
      <c r="AQ200" s="26">
        <v>0</v>
      </c>
      <c r="AR200" s="26"/>
      <c r="AS200" s="54">
        <f t="shared" si="8"/>
        <v>0</v>
      </c>
      <c r="AT200" s="26"/>
      <c r="AU200" s="54">
        <f t="shared" si="9"/>
        <v>9609927</v>
      </c>
    </row>
    <row r="201" spans="1:47">
      <c r="A201" s="13" t="s">
        <v>629</v>
      </c>
      <c r="B201" s="13"/>
      <c r="C201" s="13" t="s">
        <v>79</v>
      </c>
      <c r="D201" s="13"/>
      <c r="E201" s="32">
        <v>45385</v>
      </c>
      <c r="F201" s="26"/>
      <c r="G201" s="26">
        <v>2551967</v>
      </c>
      <c r="H201" s="26"/>
      <c r="I201" s="26">
        <v>0</v>
      </c>
      <c r="J201" s="26"/>
      <c r="K201" s="26">
        <f>5852899+597795</f>
        <v>6450694</v>
      </c>
      <c r="L201" s="26"/>
      <c r="M201" s="26">
        <v>197050</v>
      </c>
      <c r="N201" s="26"/>
      <c r="O201" s="26">
        <v>384219</v>
      </c>
      <c r="P201" s="26"/>
      <c r="Q201" s="26">
        <v>120928</v>
      </c>
      <c r="R201" s="26"/>
      <c r="S201" s="26">
        <v>0</v>
      </c>
      <c r="T201" s="26"/>
      <c r="U201" s="26">
        <v>0</v>
      </c>
      <c r="V201" s="26"/>
      <c r="W201" s="26">
        <f>26888+40377+263135</f>
        <v>330400</v>
      </c>
      <c r="X201" s="26"/>
      <c r="Y201" s="54">
        <f t="shared" si="10"/>
        <v>10035258</v>
      </c>
      <c r="Z201" s="26"/>
      <c r="AA201" s="26">
        <v>107</v>
      </c>
      <c r="AB201" s="26"/>
      <c r="AC201" s="26"/>
      <c r="AD201" s="26"/>
      <c r="AE201" s="26">
        <v>0</v>
      </c>
      <c r="AF201" s="26"/>
      <c r="AG201" s="26"/>
      <c r="AH201" s="26"/>
      <c r="AI201" s="26"/>
      <c r="AJ201" s="26"/>
      <c r="AK201" s="26">
        <f>3339995+294851</f>
        <v>3634846</v>
      </c>
      <c r="AL201" s="26"/>
      <c r="AM201" s="26">
        <v>0</v>
      </c>
      <c r="AN201" s="26"/>
      <c r="AO201" s="26">
        <v>0</v>
      </c>
      <c r="AP201" s="26"/>
      <c r="AQ201" s="26">
        <v>0</v>
      </c>
      <c r="AR201" s="26"/>
      <c r="AS201" s="54">
        <f t="shared" si="8"/>
        <v>3634953</v>
      </c>
      <c r="AT201" s="26"/>
      <c r="AU201" s="54">
        <f t="shared" si="9"/>
        <v>13670211</v>
      </c>
    </row>
    <row r="202" spans="1:47">
      <c r="A202" s="13" t="s">
        <v>684</v>
      </c>
      <c r="B202" s="13"/>
      <c r="C202" s="13" t="s">
        <v>64</v>
      </c>
      <c r="D202" s="13"/>
      <c r="E202" s="32">
        <v>44065</v>
      </c>
      <c r="F202" s="26"/>
      <c r="G202" s="26">
        <v>4890244</v>
      </c>
      <c r="H202" s="26"/>
      <c r="I202" s="26">
        <v>0</v>
      </c>
      <c r="J202" s="26"/>
      <c r="K202" s="26">
        <f>1732149+12724952</f>
        <v>14457101</v>
      </c>
      <c r="L202" s="26"/>
      <c r="M202" s="26">
        <v>482932</v>
      </c>
      <c r="N202" s="26"/>
      <c r="O202" s="26">
        <v>446259</v>
      </c>
      <c r="P202" s="26"/>
      <c r="Q202" s="26">
        <v>100374</v>
      </c>
      <c r="R202" s="26"/>
      <c r="S202" s="26">
        <v>0</v>
      </c>
      <c r="T202" s="26"/>
      <c r="U202" s="26">
        <v>0</v>
      </c>
      <c r="V202" s="26"/>
      <c r="W202" s="26">
        <f>135078+7403+223974+12204</f>
        <v>378659</v>
      </c>
      <c r="X202" s="26"/>
      <c r="Y202" s="54">
        <f t="shared" si="10"/>
        <v>20755569</v>
      </c>
      <c r="Z202" s="26"/>
      <c r="AA202" s="26">
        <v>2350267</v>
      </c>
      <c r="AB202" s="26"/>
      <c r="AC202" s="26"/>
      <c r="AD202" s="26"/>
      <c r="AE202" s="26">
        <v>8999997</v>
      </c>
      <c r="AF202" s="26"/>
      <c r="AG202" s="26"/>
      <c r="AH202" s="26"/>
      <c r="AI202" s="26"/>
      <c r="AJ202" s="26"/>
      <c r="AK202" s="26">
        <f>784+55355+148449</f>
        <v>204588</v>
      </c>
      <c r="AL202" s="26"/>
      <c r="AM202" s="26">
        <v>0</v>
      </c>
      <c r="AN202" s="26"/>
      <c r="AO202" s="26">
        <v>0</v>
      </c>
      <c r="AP202" s="26"/>
      <c r="AQ202" s="26">
        <v>0</v>
      </c>
      <c r="AR202" s="26"/>
      <c r="AS202" s="54">
        <f t="shared" si="8"/>
        <v>11554852</v>
      </c>
      <c r="AT202" s="26"/>
      <c r="AU202" s="54">
        <f t="shared" si="9"/>
        <v>32310421</v>
      </c>
    </row>
    <row r="203" spans="1:47">
      <c r="A203" s="13" t="s">
        <v>374</v>
      </c>
      <c r="B203" s="13"/>
      <c r="C203" s="13" t="s">
        <v>28</v>
      </c>
      <c r="D203" s="13"/>
      <c r="E203" s="32">
        <v>47068</v>
      </c>
      <c r="F203" s="26"/>
      <c r="G203" s="26">
        <v>1335866</v>
      </c>
      <c r="H203" s="26"/>
      <c r="I203" s="26">
        <v>440471</v>
      </c>
      <c r="J203" s="26"/>
      <c r="K203" s="26">
        <v>6272199</v>
      </c>
      <c r="L203" s="26"/>
      <c r="M203" s="26">
        <v>462402</v>
      </c>
      <c r="N203" s="26"/>
      <c r="O203" s="26">
        <v>144206</v>
      </c>
      <c r="P203" s="26"/>
      <c r="Q203" s="26">
        <v>40410</v>
      </c>
      <c r="R203" s="26"/>
      <c r="S203" s="26">
        <v>331382</v>
      </c>
      <c r="T203" s="26"/>
      <c r="U203" s="26">
        <v>13827</v>
      </c>
      <c r="V203" s="26"/>
      <c r="W203" s="26">
        <f>88052+112739</f>
        <v>200791</v>
      </c>
      <c r="X203" s="26"/>
      <c r="Y203" s="54">
        <f t="shared" si="10"/>
        <v>9241554</v>
      </c>
      <c r="Z203" s="26"/>
      <c r="AA203" s="26">
        <v>406753</v>
      </c>
      <c r="AB203" s="26"/>
      <c r="AC203" s="26"/>
      <c r="AD203" s="26"/>
      <c r="AE203" s="26">
        <v>0</v>
      </c>
      <c r="AF203" s="26"/>
      <c r="AG203" s="26"/>
      <c r="AH203" s="26"/>
      <c r="AI203" s="26"/>
      <c r="AJ203" s="26"/>
      <c r="AK203" s="26">
        <v>0</v>
      </c>
      <c r="AL203" s="26"/>
      <c r="AM203" s="26">
        <v>0</v>
      </c>
      <c r="AN203" s="26"/>
      <c r="AO203" s="26">
        <v>0</v>
      </c>
      <c r="AP203" s="26"/>
      <c r="AQ203" s="26">
        <v>0</v>
      </c>
      <c r="AR203" s="26"/>
      <c r="AS203" s="54">
        <f t="shared" si="8"/>
        <v>406753</v>
      </c>
      <c r="AT203" s="26"/>
      <c r="AU203" s="54">
        <f t="shared" si="9"/>
        <v>9648307</v>
      </c>
    </row>
    <row r="204" spans="1:47">
      <c r="A204" s="13" t="s">
        <v>273</v>
      </c>
      <c r="B204" s="13"/>
      <c r="C204" s="13" t="s">
        <v>116</v>
      </c>
      <c r="D204" s="13"/>
      <c r="E204" s="32">
        <v>46342</v>
      </c>
      <c r="F204" s="26"/>
      <c r="G204" s="26">
        <v>6030056</v>
      </c>
      <c r="H204" s="26"/>
      <c r="I204" s="26">
        <v>2847058</v>
      </c>
      <c r="J204" s="26"/>
      <c r="K204" s="26">
        <v>14186082</v>
      </c>
      <c r="L204" s="26"/>
      <c r="M204" s="26">
        <v>353025</v>
      </c>
      <c r="N204" s="26"/>
      <c r="O204" s="26">
        <v>785287</v>
      </c>
      <c r="P204" s="26"/>
      <c r="Q204" s="26">
        <v>127651</v>
      </c>
      <c r="R204" s="26"/>
      <c r="S204" s="26">
        <v>22560</v>
      </c>
      <c r="T204" s="26"/>
      <c r="U204" s="26">
        <v>0</v>
      </c>
      <c r="V204" s="26"/>
      <c r="W204" s="26">
        <f>29860+522742+226409</f>
        <v>779011</v>
      </c>
      <c r="X204" s="26"/>
      <c r="Y204" s="54">
        <f t="shared" si="10"/>
        <v>25130730</v>
      </c>
      <c r="Z204" s="26"/>
      <c r="AA204" s="26">
        <v>217170</v>
      </c>
      <c r="AB204" s="26"/>
      <c r="AC204" s="26"/>
      <c r="AD204" s="26"/>
      <c r="AE204" s="26">
        <v>0</v>
      </c>
      <c r="AF204" s="26"/>
      <c r="AG204" s="26"/>
      <c r="AH204" s="26"/>
      <c r="AI204" s="26"/>
      <c r="AJ204" s="26"/>
      <c r="AK204" s="26">
        <f>244185+5405000+13099</f>
        <v>5662284</v>
      </c>
      <c r="AL204" s="26"/>
      <c r="AM204" s="26">
        <v>0</v>
      </c>
      <c r="AN204" s="26"/>
      <c r="AO204" s="26">
        <v>0</v>
      </c>
      <c r="AP204" s="26"/>
      <c r="AQ204" s="26">
        <v>0</v>
      </c>
      <c r="AR204" s="26"/>
      <c r="AS204" s="54">
        <f t="shared" si="8"/>
        <v>5879454</v>
      </c>
      <c r="AT204" s="26"/>
      <c r="AU204" s="54">
        <f t="shared" si="9"/>
        <v>31010184</v>
      </c>
    </row>
    <row r="205" spans="1:47">
      <c r="A205" s="13" t="s">
        <v>258</v>
      </c>
      <c r="B205" s="13"/>
      <c r="C205" s="13" t="s">
        <v>259</v>
      </c>
      <c r="D205" s="13"/>
      <c r="E205" s="32">
        <v>46193</v>
      </c>
      <c r="F205" s="26"/>
      <c r="G205" s="26">
        <v>6640226</v>
      </c>
      <c r="H205" s="26"/>
      <c r="I205" s="26">
        <v>0</v>
      </c>
      <c r="J205" s="26"/>
      <c r="K205" s="26">
        <v>12738965</v>
      </c>
      <c r="L205" s="26"/>
      <c r="M205" s="26">
        <v>204486</v>
      </c>
      <c r="N205" s="26"/>
      <c r="O205" s="26">
        <v>685414</v>
      </c>
      <c r="P205" s="26"/>
      <c r="Q205" s="26">
        <v>333736</v>
      </c>
      <c r="R205" s="26"/>
      <c r="S205" s="26">
        <v>0</v>
      </c>
      <c r="T205" s="26"/>
      <c r="U205" s="26">
        <v>0</v>
      </c>
      <c r="V205" s="26"/>
      <c r="W205" s="26">
        <f>488634+361901</f>
        <v>850535</v>
      </c>
      <c r="X205" s="26"/>
      <c r="Y205" s="54">
        <f t="shared" ref="Y205:Y270" si="11">SUM(G205:W205)</f>
        <v>21453362</v>
      </c>
      <c r="Z205" s="26"/>
      <c r="AA205" s="26">
        <v>85859</v>
      </c>
      <c r="AB205" s="26"/>
      <c r="AC205" s="26"/>
      <c r="AD205" s="26"/>
      <c r="AE205" s="26">
        <v>0</v>
      </c>
      <c r="AF205" s="26"/>
      <c r="AG205" s="26"/>
      <c r="AH205" s="26"/>
      <c r="AI205" s="26"/>
      <c r="AJ205" s="26"/>
      <c r="AK205" s="26">
        <v>0</v>
      </c>
      <c r="AL205" s="26"/>
      <c r="AM205" s="26">
        <v>0</v>
      </c>
      <c r="AN205" s="26"/>
      <c r="AO205" s="26">
        <v>0</v>
      </c>
      <c r="AP205" s="26"/>
      <c r="AQ205" s="26">
        <v>0</v>
      </c>
      <c r="AR205" s="26"/>
      <c r="AS205" s="54">
        <f t="shared" ref="AS205:AS270" si="12">AK205+AE205+AA205</f>
        <v>85859</v>
      </c>
      <c r="AT205" s="26"/>
      <c r="AU205" s="54">
        <f t="shared" ref="AU205:AU270" si="13">Y205+AS205</f>
        <v>21539221</v>
      </c>
    </row>
    <row r="206" spans="1:47">
      <c r="A206" s="13" t="s">
        <v>222</v>
      </c>
      <c r="B206" s="13"/>
      <c r="C206" s="13" t="s">
        <v>12</v>
      </c>
      <c r="D206" s="13"/>
      <c r="E206" s="13">
        <v>45864</v>
      </c>
      <c r="F206" s="26"/>
      <c r="G206" s="26">
        <v>4518528</v>
      </c>
      <c r="H206" s="26"/>
      <c r="I206" s="26">
        <v>0</v>
      </c>
      <c r="J206" s="26"/>
      <c r="K206" s="26">
        <v>7528195</v>
      </c>
      <c r="L206" s="26"/>
      <c r="M206" s="26">
        <v>539197</v>
      </c>
      <c r="N206" s="26"/>
      <c r="O206" s="26">
        <v>524382</v>
      </c>
      <c r="P206" s="26"/>
      <c r="Q206" s="26">
        <v>79192</v>
      </c>
      <c r="R206" s="26"/>
      <c r="S206" s="26">
        <v>254455</v>
      </c>
      <c r="T206" s="26"/>
      <c r="U206" s="26">
        <v>5364</v>
      </c>
      <c r="V206" s="26"/>
      <c r="W206" s="26">
        <f>10510+115723</f>
        <v>126233</v>
      </c>
      <c r="X206" s="26"/>
      <c r="Y206" s="54">
        <f t="shared" si="11"/>
        <v>13575546</v>
      </c>
      <c r="Z206" s="26"/>
      <c r="AA206" s="26">
        <v>14000</v>
      </c>
      <c r="AB206" s="26"/>
      <c r="AC206" s="26"/>
      <c r="AD206" s="26"/>
      <c r="AE206" s="26">
        <v>0</v>
      </c>
      <c r="AF206" s="26"/>
      <c r="AG206" s="26"/>
      <c r="AH206" s="26"/>
      <c r="AI206" s="26"/>
      <c r="AJ206" s="26"/>
      <c r="AK206" s="26">
        <v>0</v>
      </c>
      <c r="AL206" s="26"/>
      <c r="AM206" s="26">
        <v>0</v>
      </c>
      <c r="AN206" s="26"/>
      <c r="AO206" s="26">
        <v>0</v>
      </c>
      <c r="AP206" s="26"/>
      <c r="AQ206" s="26">
        <v>0</v>
      </c>
      <c r="AR206" s="26"/>
      <c r="AS206" s="54">
        <f t="shared" si="12"/>
        <v>14000</v>
      </c>
      <c r="AT206" s="26"/>
      <c r="AU206" s="54">
        <f t="shared" si="13"/>
        <v>13589546</v>
      </c>
    </row>
    <row r="207" spans="1:47">
      <c r="A207" s="13" t="s">
        <v>361</v>
      </c>
      <c r="B207" s="13"/>
      <c r="C207" s="13" t="s">
        <v>27</v>
      </c>
      <c r="D207" s="13"/>
      <c r="E207" s="32">
        <v>44073</v>
      </c>
      <c r="F207" s="26"/>
      <c r="G207" s="26">
        <v>11628095</v>
      </c>
      <c r="H207" s="26"/>
      <c r="I207" s="26">
        <v>0</v>
      </c>
      <c r="J207" s="26"/>
      <c r="K207" s="26">
        <f>3940886+417273</f>
        <v>4358159</v>
      </c>
      <c r="L207" s="26"/>
      <c r="M207" s="26">
        <v>380320</v>
      </c>
      <c r="N207" s="26"/>
      <c r="O207" s="26">
        <v>236338</v>
      </c>
      <c r="P207" s="26"/>
      <c r="Q207" s="26">
        <v>0</v>
      </c>
      <c r="R207" s="26"/>
      <c r="S207" s="26">
        <v>0</v>
      </c>
      <c r="T207" s="26"/>
      <c r="U207" s="26">
        <v>0</v>
      </c>
      <c r="V207" s="26"/>
      <c r="W207" s="26">
        <v>292286</v>
      </c>
      <c r="X207" s="26"/>
      <c r="Y207" s="54">
        <f t="shared" si="11"/>
        <v>16895198</v>
      </c>
      <c r="Z207" s="26"/>
      <c r="AA207" s="26">
        <v>26763</v>
      </c>
      <c r="AB207" s="26"/>
      <c r="AC207" s="26"/>
      <c r="AD207" s="26"/>
      <c r="AE207" s="26">
        <v>0</v>
      </c>
      <c r="AF207" s="26"/>
      <c r="AG207" s="26"/>
      <c r="AH207" s="26"/>
      <c r="AI207" s="26"/>
      <c r="AJ207" s="26"/>
      <c r="AK207" s="26">
        <v>0</v>
      </c>
      <c r="AL207" s="26"/>
      <c r="AM207" s="26">
        <v>0</v>
      </c>
      <c r="AN207" s="26"/>
      <c r="AO207" s="26">
        <v>0</v>
      </c>
      <c r="AP207" s="26"/>
      <c r="AQ207" s="26">
        <v>0</v>
      </c>
      <c r="AR207" s="26"/>
      <c r="AS207" s="54">
        <f t="shared" si="12"/>
        <v>26763</v>
      </c>
      <c r="AT207" s="26"/>
      <c r="AU207" s="54">
        <f t="shared" si="13"/>
        <v>16921961</v>
      </c>
    </row>
    <row r="208" spans="1:47">
      <c r="A208" s="13" t="s">
        <v>478</v>
      </c>
      <c r="B208" s="13"/>
      <c r="C208" s="13" t="s">
        <v>42</v>
      </c>
      <c r="D208" s="13"/>
      <c r="E208" s="32">
        <v>45393</v>
      </c>
      <c r="F208" s="26"/>
      <c r="G208" s="26">
        <v>16213099</v>
      </c>
      <c r="H208" s="26"/>
      <c r="I208" s="26">
        <v>0</v>
      </c>
      <c r="J208" s="26"/>
      <c r="K208" s="26">
        <v>8709326</v>
      </c>
      <c r="L208" s="26"/>
      <c r="M208" s="26">
        <v>546023</v>
      </c>
      <c r="N208" s="26"/>
      <c r="O208" s="26">
        <v>200960</v>
      </c>
      <c r="P208" s="26"/>
      <c r="Q208" s="26">
        <v>407542</v>
      </c>
      <c r="R208" s="26"/>
      <c r="S208" s="26">
        <v>262999</v>
      </c>
      <c r="T208" s="26"/>
      <c r="U208" s="26">
        <v>82393</v>
      </c>
      <c r="V208" s="26"/>
      <c r="W208" s="26">
        <f>18453+32966</f>
        <v>51419</v>
      </c>
      <c r="X208" s="26"/>
      <c r="Y208" s="54">
        <f t="shared" si="11"/>
        <v>26473761</v>
      </c>
      <c r="Z208" s="26"/>
      <c r="AA208" s="26">
        <v>0</v>
      </c>
      <c r="AB208" s="26"/>
      <c r="AC208" s="26"/>
      <c r="AD208" s="26"/>
      <c r="AE208" s="26">
        <v>0</v>
      </c>
      <c r="AF208" s="26"/>
      <c r="AG208" s="26"/>
      <c r="AH208" s="26"/>
      <c r="AI208" s="26"/>
      <c r="AJ208" s="26"/>
      <c r="AK208" s="26">
        <v>2000677</v>
      </c>
      <c r="AL208" s="26"/>
      <c r="AM208" s="26">
        <v>0</v>
      </c>
      <c r="AN208" s="26"/>
      <c r="AO208" s="26">
        <v>0</v>
      </c>
      <c r="AP208" s="26"/>
      <c r="AQ208" s="26">
        <v>0</v>
      </c>
      <c r="AR208" s="26"/>
      <c r="AS208" s="54">
        <f t="shared" si="12"/>
        <v>2000677</v>
      </c>
      <c r="AT208" s="26"/>
      <c r="AU208" s="54">
        <f t="shared" si="13"/>
        <v>28474438</v>
      </c>
    </row>
    <row r="209" spans="1:47">
      <c r="A209" s="13" t="s">
        <v>633</v>
      </c>
      <c r="B209" s="13"/>
      <c r="C209" s="13" t="s">
        <v>59</v>
      </c>
      <c r="D209" s="13"/>
      <c r="E209" s="32">
        <v>49619</v>
      </c>
      <c r="F209" s="26"/>
      <c r="G209" s="26">
        <v>1484864</v>
      </c>
      <c r="H209" s="26"/>
      <c r="I209" s="26">
        <v>0</v>
      </c>
      <c r="J209" s="26"/>
      <c r="K209" s="26">
        <v>4282119</v>
      </c>
      <c r="L209" s="26"/>
      <c r="M209" s="26">
        <v>53668</v>
      </c>
      <c r="N209" s="26"/>
      <c r="O209" s="26">
        <v>319433</v>
      </c>
      <c r="P209" s="26"/>
      <c r="Q209" s="26">
        <v>59277</v>
      </c>
      <c r="R209" s="26"/>
      <c r="S209" s="26">
        <v>253980</v>
      </c>
      <c r="T209" s="26"/>
      <c r="U209" s="26">
        <v>3650</v>
      </c>
      <c r="V209" s="26"/>
      <c r="W209" s="26">
        <f>12050+69270+174540</f>
        <v>255860</v>
      </c>
      <c r="X209" s="26"/>
      <c r="Y209" s="54">
        <f t="shared" si="11"/>
        <v>6712851</v>
      </c>
      <c r="Z209" s="26"/>
      <c r="AA209" s="26">
        <v>60000</v>
      </c>
      <c r="AB209" s="26"/>
      <c r="AC209" s="26"/>
      <c r="AD209" s="26"/>
      <c r="AE209" s="26">
        <v>0</v>
      </c>
      <c r="AF209" s="26"/>
      <c r="AG209" s="26"/>
      <c r="AH209" s="26"/>
      <c r="AI209" s="26"/>
      <c r="AJ209" s="26"/>
      <c r="AK209" s="26">
        <v>0</v>
      </c>
      <c r="AL209" s="26"/>
      <c r="AM209" s="26">
        <v>0</v>
      </c>
      <c r="AN209" s="26"/>
      <c r="AO209" s="26">
        <v>0</v>
      </c>
      <c r="AP209" s="26"/>
      <c r="AQ209" s="26">
        <v>0</v>
      </c>
      <c r="AR209" s="26"/>
      <c r="AS209" s="54">
        <f t="shared" si="12"/>
        <v>60000</v>
      </c>
      <c r="AT209" s="26"/>
      <c r="AU209" s="54">
        <f t="shared" si="13"/>
        <v>6772851</v>
      </c>
    </row>
    <row r="210" spans="1:47">
      <c r="A210" s="13" t="s">
        <v>633</v>
      </c>
      <c r="B210" s="13"/>
      <c r="C210" s="13" t="s">
        <v>63</v>
      </c>
      <c r="D210" s="13"/>
      <c r="E210" s="32">
        <v>50013</v>
      </c>
      <c r="F210" s="26"/>
      <c r="G210" s="26">
        <v>20936452</v>
      </c>
      <c r="H210" s="26"/>
      <c r="I210" s="26">
        <v>0</v>
      </c>
      <c r="J210" s="26"/>
      <c r="K210" s="26">
        <v>16535541</v>
      </c>
      <c r="L210" s="26"/>
      <c r="M210" s="26">
        <v>484812</v>
      </c>
      <c r="N210" s="26"/>
      <c r="O210" s="26">
        <v>356175</v>
      </c>
      <c r="P210" s="26"/>
      <c r="Q210" s="26">
        <v>611751</v>
      </c>
      <c r="R210" s="26"/>
      <c r="S210" s="26">
        <v>0</v>
      </c>
      <c r="T210" s="26"/>
      <c r="U210" s="26">
        <v>0</v>
      </c>
      <c r="V210" s="26"/>
      <c r="W210" s="26">
        <f>1067958+198084</f>
        <v>1266042</v>
      </c>
      <c r="X210" s="26"/>
      <c r="Y210" s="54">
        <f t="shared" si="11"/>
        <v>40190773</v>
      </c>
      <c r="Z210" s="26"/>
      <c r="AA210" s="26">
        <v>135022</v>
      </c>
      <c r="AB210" s="26"/>
      <c r="AC210" s="26"/>
      <c r="AD210" s="26"/>
      <c r="AE210" s="26">
        <v>0</v>
      </c>
      <c r="AF210" s="26"/>
      <c r="AG210" s="26"/>
      <c r="AH210" s="26"/>
      <c r="AI210" s="26"/>
      <c r="AJ210" s="26"/>
      <c r="AK210" s="26">
        <v>0</v>
      </c>
      <c r="AL210" s="26"/>
      <c r="AM210" s="26">
        <v>0</v>
      </c>
      <c r="AN210" s="26"/>
      <c r="AO210" s="26">
        <v>0</v>
      </c>
      <c r="AP210" s="26"/>
      <c r="AQ210" s="26">
        <v>0</v>
      </c>
      <c r="AR210" s="26"/>
      <c r="AS210" s="54">
        <f t="shared" si="12"/>
        <v>135022</v>
      </c>
      <c r="AT210" s="26"/>
      <c r="AU210" s="54">
        <f t="shared" si="13"/>
        <v>40325795</v>
      </c>
    </row>
    <row r="211" spans="1:47">
      <c r="A211" s="13" t="s">
        <v>633</v>
      </c>
      <c r="B211" s="13"/>
      <c r="C211" s="13" t="s">
        <v>71</v>
      </c>
      <c r="D211" s="13"/>
      <c r="E211" s="32">
        <v>50559</v>
      </c>
      <c r="F211" s="26"/>
      <c r="G211" s="26">
        <v>4123484</v>
      </c>
      <c r="H211" s="26"/>
      <c r="I211" s="26">
        <v>0</v>
      </c>
      <c r="J211" s="26"/>
      <c r="K211" s="26">
        <v>6639187</v>
      </c>
      <c r="L211" s="26"/>
      <c r="M211" s="26">
        <v>54588</v>
      </c>
      <c r="N211" s="26"/>
      <c r="O211" s="26">
        <v>410984</v>
      </c>
      <c r="P211" s="26"/>
      <c r="Q211" s="26">
        <v>138449</v>
      </c>
      <c r="R211" s="26"/>
      <c r="S211" s="26">
        <v>0</v>
      </c>
      <c r="T211" s="26"/>
      <c r="U211" s="26">
        <v>0</v>
      </c>
      <c r="V211" s="26"/>
      <c r="W211" s="26">
        <f>312752+300076</f>
        <v>612828</v>
      </c>
      <c r="X211" s="26"/>
      <c r="Y211" s="54">
        <f t="shared" si="11"/>
        <v>11979520</v>
      </c>
      <c r="Z211" s="26"/>
      <c r="AA211" s="26">
        <v>0</v>
      </c>
      <c r="AB211" s="26"/>
      <c r="AC211" s="26"/>
      <c r="AD211" s="26"/>
      <c r="AE211" s="26">
        <v>0</v>
      </c>
      <c r="AF211" s="26"/>
      <c r="AG211" s="26"/>
      <c r="AH211" s="26"/>
      <c r="AI211" s="26"/>
      <c r="AJ211" s="26"/>
      <c r="AK211" s="26">
        <v>69196</v>
      </c>
      <c r="AL211" s="26"/>
      <c r="AM211" s="26">
        <v>0</v>
      </c>
      <c r="AN211" s="26"/>
      <c r="AO211" s="26">
        <v>0</v>
      </c>
      <c r="AP211" s="26"/>
      <c r="AQ211" s="26">
        <v>0</v>
      </c>
      <c r="AR211" s="26"/>
      <c r="AS211" s="54">
        <f t="shared" si="12"/>
        <v>69196</v>
      </c>
      <c r="AT211" s="26"/>
      <c r="AU211" s="54">
        <f t="shared" si="13"/>
        <v>12048716</v>
      </c>
    </row>
    <row r="212" spans="1:47">
      <c r="A212" s="13" t="s">
        <v>390</v>
      </c>
      <c r="B212" s="13"/>
      <c r="C212" s="13" t="s">
        <v>117</v>
      </c>
      <c r="D212" s="13"/>
      <c r="E212" s="13">
        <v>47266</v>
      </c>
      <c r="F212" s="26"/>
      <c r="G212" s="26">
        <v>3986661</v>
      </c>
      <c r="H212" s="26"/>
      <c r="I212" s="26">
        <v>1709702</v>
      </c>
      <c r="J212" s="26"/>
      <c r="K212" s="26">
        <v>7123207</v>
      </c>
      <c r="L212" s="26"/>
      <c r="M212" s="26">
        <v>155436</v>
      </c>
      <c r="N212" s="26"/>
      <c r="O212" s="26">
        <v>620373</v>
      </c>
      <c r="P212" s="26"/>
      <c r="Q212" s="26">
        <v>208519</v>
      </c>
      <c r="R212" s="26"/>
      <c r="S212" s="26">
        <v>0</v>
      </c>
      <c r="T212" s="26"/>
      <c r="U212" s="26">
        <v>22840</v>
      </c>
      <c r="V212" s="26"/>
      <c r="W212" s="26">
        <f>255306+8382+28727</f>
        <v>292415</v>
      </c>
      <c r="X212" s="26"/>
      <c r="Y212" s="54">
        <f t="shared" si="11"/>
        <v>14119153</v>
      </c>
      <c r="Z212" s="26"/>
      <c r="AA212" s="26">
        <v>0</v>
      </c>
      <c r="AB212" s="26"/>
      <c r="AC212" s="26"/>
      <c r="AD212" s="26"/>
      <c r="AE212" s="26">
        <v>0</v>
      </c>
      <c r="AF212" s="26"/>
      <c r="AG212" s="26"/>
      <c r="AH212" s="26"/>
      <c r="AI212" s="26"/>
      <c r="AJ212" s="26"/>
      <c r="AK212" s="26">
        <v>50712</v>
      </c>
      <c r="AL212" s="26"/>
      <c r="AM212" s="26">
        <v>0</v>
      </c>
      <c r="AN212" s="26"/>
      <c r="AO212" s="26">
        <v>0</v>
      </c>
      <c r="AP212" s="26"/>
      <c r="AQ212" s="26">
        <v>0</v>
      </c>
      <c r="AR212" s="26"/>
      <c r="AS212" s="54">
        <f t="shared" si="12"/>
        <v>50712</v>
      </c>
      <c r="AT212" s="26"/>
      <c r="AU212" s="54">
        <f t="shared" si="13"/>
        <v>14169865</v>
      </c>
    </row>
    <row r="213" spans="1:47" ht="12" customHeight="1">
      <c r="A213" s="13" t="s">
        <v>442</v>
      </c>
      <c r="B213" s="13"/>
      <c r="C213" s="13" t="s">
        <v>440</v>
      </c>
      <c r="D213" s="13"/>
      <c r="E213" s="32">
        <v>45401</v>
      </c>
      <c r="F213" s="26"/>
      <c r="G213" s="26">
        <v>3402606</v>
      </c>
      <c r="H213" s="26"/>
      <c r="I213" s="26">
        <v>1919052</v>
      </c>
      <c r="J213" s="26"/>
      <c r="K213" s="26">
        <v>13616532</v>
      </c>
      <c r="L213" s="26"/>
      <c r="M213" s="26">
        <v>136504</v>
      </c>
      <c r="N213" s="26"/>
      <c r="O213" s="26">
        <v>605035</v>
      </c>
      <c r="P213" s="26"/>
      <c r="Q213" s="26">
        <v>141199</v>
      </c>
      <c r="R213" s="26"/>
      <c r="S213" s="26">
        <v>0</v>
      </c>
      <c r="T213" s="26"/>
      <c r="U213" s="26">
        <v>42310</v>
      </c>
      <c r="V213" s="26"/>
      <c r="W213" s="26">
        <f>221109+223036+1391</f>
        <v>445536</v>
      </c>
      <c r="X213" s="26"/>
      <c r="Y213" s="54">
        <f t="shared" si="11"/>
        <v>20308774</v>
      </c>
      <c r="Z213" s="26"/>
      <c r="AA213" s="26">
        <v>34727</v>
      </c>
      <c r="AB213" s="26"/>
      <c r="AC213" s="26"/>
      <c r="AD213" s="26"/>
      <c r="AE213" s="26">
        <v>0</v>
      </c>
      <c r="AF213" s="26"/>
      <c r="AG213" s="26"/>
      <c r="AH213" s="26"/>
      <c r="AI213" s="26"/>
      <c r="AJ213" s="26"/>
      <c r="AK213" s="26">
        <v>0</v>
      </c>
      <c r="AL213" s="26"/>
      <c r="AM213" s="26">
        <v>0</v>
      </c>
      <c r="AN213" s="26"/>
      <c r="AO213" s="26">
        <v>0</v>
      </c>
      <c r="AP213" s="26"/>
      <c r="AQ213" s="26">
        <v>0</v>
      </c>
      <c r="AR213" s="26"/>
      <c r="AS213" s="54">
        <f t="shared" si="12"/>
        <v>34727</v>
      </c>
      <c r="AT213" s="26"/>
      <c r="AU213" s="54">
        <f t="shared" si="13"/>
        <v>20343501</v>
      </c>
    </row>
    <row r="214" spans="1:47">
      <c r="A214" s="13" t="s">
        <v>265</v>
      </c>
      <c r="B214" s="13"/>
      <c r="C214" s="13" t="s">
        <v>17</v>
      </c>
      <c r="D214" s="13"/>
      <c r="E214" s="32">
        <v>46235</v>
      </c>
      <c r="F214" s="26"/>
      <c r="G214" s="26">
        <v>5627418</v>
      </c>
      <c r="H214" s="26"/>
      <c r="I214" s="26">
        <v>0</v>
      </c>
      <c r="J214" s="26"/>
      <c r="K214" s="26">
        <v>8792373</v>
      </c>
      <c r="L214" s="26"/>
      <c r="M214" s="26">
        <v>167288</v>
      </c>
      <c r="N214" s="26"/>
      <c r="O214" s="26">
        <v>633530</v>
      </c>
      <c r="P214" s="26"/>
      <c r="Q214" s="26">
        <v>290691</v>
      </c>
      <c r="R214" s="26"/>
      <c r="S214" s="26">
        <v>10207</v>
      </c>
      <c r="T214" s="26"/>
      <c r="U214" s="26">
        <v>22127</v>
      </c>
      <c r="V214" s="26"/>
      <c r="W214" s="26">
        <f>492926+12328+27716</f>
        <v>532970</v>
      </c>
      <c r="X214" s="26"/>
      <c r="Y214" s="54">
        <f t="shared" si="11"/>
        <v>16076604</v>
      </c>
      <c r="Z214" s="26"/>
      <c r="AA214" s="26">
        <v>0</v>
      </c>
      <c r="AB214" s="26"/>
      <c r="AC214" s="26"/>
      <c r="AD214" s="26"/>
      <c r="AE214" s="26">
        <v>0</v>
      </c>
      <c r="AF214" s="26"/>
      <c r="AG214" s="26"/>
      <c r="AH214" s="26"/>
      <c r="AI214" s="26"/>
      <c r="AJ214" s="26"/>
      <c r="AK214" s="26">
        <v>0</v>
      </c>
      <c r="AL214" s="26"/>
      <c r="AM214" s="26">
        <v>0</v>
      </c>
      <c r="AN214" s="26"/>
      <c r="AO214" s="26">
        <v>0</v>
      </c>
      <c r="AP214" s="26"/>
      <c r="AQ214" s="26">
        <v>0</v>
      </c>
      <c r="AR214" s="26"/>
      <c r="AS214" s="54">
        <f t="shared" si="12"/>
        <v>0</v>
      </c>
      <c r="AT214" s="26"/>
      <c r="AU214" s="54">
        <f t="shared" si="13"/>
        <v>16076604</v>
      </c>
    </row>
    <row r="215" spans="1:47">
      <c r="A215" s="13" t="s">
        <v>331</v>
      </c>
      <c r="B215" s="13"/>
      <c r="C215" s="13" t="s">
        <v>21</v>
      </c>
      <c r="D215" s="13"/>
      <c r="E215" s="32">
        <v>44099</v>
      </c>
      <c r="F215" s="26"/>
      <c r="G215" s="26">
        <v>9128505</v>
      </c>
      <c r="H215" s="26"/>
      <c r="I215" s="26">
        <v>1952303</v>
      </c>
      <c r="J215" s="26"/>
      <c r="K215" s="26">
        <v>15917663</v>
      </c>
      <c r="L215" s="26"/>
      <c r="M215" s="26">
        <v>438472</v>
      </c>
      <c r="N215" s="26"/>
      <c r="O215" s="26">
        <v>528449</v>
      </c>
      <c r="P215" s="26"/>
      <c r="Q215" s="26">
        <v>343805</v>
      </c>
      <c r="R215" s="26"/>
      <c r="S215" s="26">
        <v>189095</v>
      </c>
      <c r="T215" s="26"/>
      <c r="U215" s="26">
        <v>38424</v>
      </c>
      <c r="V215" s="26"/>
      <c r="W215" s="26">
        <f>455941+23200+95487</f>
        <v>574628</v>
      </c>
      <c r="X215" s="26"/>
      <c r="Y215" s="54">
        <f t="shared" si="11"/>
        <v>29111344</v>
      </c>
      <c r="Z215" s="26"/>
      <c r="AA215" s="26">
        <v>136115</v>
      </c>
      <c r="AB215" s="26"/>
      <c r="AC215" s="26"/>
      <c r="AD215" s="26"/>
      <c r="AE215" s="26">
        <v>0</v>
      </c>
      <c r="AF215" s="26"/>
      <c r="AG215" s="26"/>
      <c r="AH215" s="26"/>
      <c r="AI215" s="26"/>
      <c r="AJ215" s="26"/>
      <c r="AK215" s="26">
        <v>0</v>
      </c>
      <c r="AL215" s="26"/>
      <c r="AM215" s="26">
        <v>0</v>
      </c>
      <c r="AN215" s="26"/>
      <c r="AO215" s="26">
        <v>0</v>
      </c>
      <c r="AP215" s="26"/>
      <c r="AQ215" s="26">
        <v>0</v>
      </c>
      <c r="AR215" s="26"/>
      <c r="AS215" s="54">
        <f t="shared" si="12"/>
        <v>136115</v>
      </c>
      <c r="AT215" s="26"/>
      <c r="AU215" s="54">
        <f t="shared" si="13"/>
        <v>29247459</v>
      </c>
    </row>
    <row r="216" spans="1:47" hidden="1">
      <c r="A216" s="13" t="s">
        <v>362</v>
      </c>
      <c r="B216" s="13"/>
      <c r="C216" s="13" t="s">
        <v>27</v>
      </c>
      <c r="D216" s="13"/>
      <c r="E216" s="32">
        <v>46979</v>
      </c>
      <c r="F216" s="26"/>
      <c r="G216" s="26">
        <v>0</v>
      </c>
      <c r="H216" s="26"/>
      <c r="I216" s="26">
        <v>0</v>
      </c>
      <c r="J216" s="26"/>
      <c r="K216" s="26">
        <v>0</v>
      </c>
      <c r="L216" s="26"/>
      <c r="M216" s="26">
        <v>0</v>
      </c>
      <c r="N216" s="26"/>
      <c r="O216" s="26">
        <v>0</v>
      </c>
      <c r="P216" s="26"/>
      <c r="Q216" s="26">
        <v>0</v>
      </c>
      <c r="R216" s="26"/>
      <c r="S216" s="26">
        <v>0</v>
      </c>
      <c r="T216" s="26"/>
      <c r="U216" s="26">
        <v>0</v>
      </c>
      <c r="V216" s="26"/>
      <c r="W216" s="26">
        <v>0</v>
      </c>
      <c r="X216" s="26"/>
      <c r="Y216" s="54">
        <f t="shared" si="11"/>
        <v>0</v>
      </c>
      <c r="Z216" s="26"/>
      <c r="AA216" s="26">
        <v>0</v>
      </c>
      <c r="AB216" s="26"/>
      <c r="AC216" s="26"/>
      <c r="AD216" s="26"/>
      <c r="AE216" s="26">
        <v>0</v>
      </c>
      <c r="AF216" s="26"/>
      <c r="AG216" s="26"/>
      <c r="AH216" s="26"/>
      <c r="AI216" s="26"/>
      <c r="AJ216" s="26"/>
      <c r="AK216" s="26">
        <v>0</v>
      </c>
      <c r="AL216" s="26"/>
      <c r="AM216" s="26">
        <v>0</v>
      </c>
      <c r="AN216" s="26"/>
      <c r="AO216" s="26">
        <v>0</v>
      </c>
      <c r="AP216" s="26"/>
      <c r="AQ216" s="26">
        <v>0</v>
      </c>
      <c r="AR216" s="26"/>
      <c r="AS216" s="54">
        <f t="shared" si="12"/>
        <v>0</v>
      </c>
      <c r="AT216" s="26"/>
      <c r="AU216" s="54">
        <f t="shared" si="13"/>
        <v>0</v>
      </c>
    </row>
    <row r="217" spans="1:47">
      <c r="A217" s="13" t="s">
        <v>248</v>
      </c>
      <c r="B217" s="13"/>
      <c r="C217" s="13" t="s">
        <v>246</v>
      </c>
      <c r="D217" s="13"/>
      <c r="E217" s="32">
        <v>44107</v>
      </c>
      <c r="F217" s="26"/>
      <c r="G217" s="26">
        <v>28736348</v>
      </c>
      <c r="H217" s="26"/>
      <c r="I217" s="26">
        <v>0</v>
      </c>
      <c r="J217" s="26"/>
      <c r="K217" s="26">
        <v>91626544</v>
      </c>
      <c r="L217" s="26"/>
      <c r="M217" s="26">
        <v>3227422</v>
      </c>
      <c r="N217" s="26"/>
      <c r="O217" s="26">
        <v>287937</v>
      </c>
      <c r="P217" s="26"/>
      <c r="Q217" s="26">
        <v>0</v>
      </c>
      <c r="R217" s="26"/>
      <c r="S217" s="26">
        <v>0</v>
      </c>
      <c r="T217" s="26"/>
      <c r="U217" s="26">
        <v>0</v>
      </c>
      <c r="V217" s="26"/>
      <c r="W217" s="26">
        <f>1221154+1133455</f>
        <v>2354609</v>
      </c>
      <c r="X217" s="26"/>
      <c r="Y217" s="54">
        <f t="shared" si="11"/>
        <v>126232860</v>
      </c>
      <c r="Z217" s="26"/>
      <c r="AA217" s="26">
        <v>36958310</v>
      </c>
      <c r="AB217" s="26"/>
      <c r="AC217" s="26"/>
      <c r="AD217" s="26"/>
      <c r="AE217" s="26">
        <v>0</v>
      </c>
      <c r="AF217" s="26"/>
      <c r="AG217" s="26"/>
      <c r="AH217" s="26"/>
      <c r="AI217" s="26"/>
      <c r="AJ217" s="26"/>
      <c r="AK217" s="26">
        <f>1600+1064</f>
        <v>2664</v>
      </c>
      <c r="AL217" s="26"/>
      <c r="AM217" s="26">
        <v>0</v>
      </c>
      <c r="AN217" s="26"/>
      <c r="AO217" s="26">
        <v>0</v>
      </c>
      <c r="AP217" s="26"/>
      <c r="AQ217" s="26">
        <v>0</v>
      </c>
      <c r="AR217" s="26"/>
      <c r="AS217" s="54">
        <f t="shared" si="12"/>
        <v>36960974</v>
      </c>
      <c r="AT217" s="26"/>
      <c r="AU217" s="54">
        <f t="shared" si="13"/>
        <v>163193834</v>
      </c>
    </row>
    <row r="218" spans="1:47">
      <c r="A218" s="13" t="s">
        <v>363</v>
      </c>
      <c r="B218" s="13"/>
      <c r="C218" s="13" t="s">
        <v>27</v>
      </c>
      <c r="D218" s="13"/>
      <c r="E218" s="32">
        <v>46953</v>
      </c>
      <c r="F218" s="26"/>
      <c r="G218" s="26">
        <v>7310814</v>
      </c>
      <c r="H218" s="26"/>
      <c r="I218" s="26">
        <v>0</v>
      </c>
      <c r="J218" s="26"/>
      <c r="K218" s="26">
        <v>25856091</v>
      </c>
      <c r="L218" s="26"/>
      <c r="M218" s="26">
        <v>1200506</v>
      </c>
      <c r="N218" s="26"/>
      <c r="O218" s="26">
        <v>52899</v>
      </c>
      <c r="P218" s="26"/>
      <c r="Q218" s="26">
        <v>281387</v>
      </c>
      <c r="R218" s="26"/>
      <c r="S218" s="26">
        <v>0</v>
      </c>
      <c r="T218" s="26"/>
      <c r="U218" s="26">
        <v>220318</v>
      </c>
      <c r="V218" s="26"/>
      <c r="W218" s="26">
        <f>512459+45000+146817</f>
        <v>704276</v>
      </c>
      <c r="X218" s="26"/>
      <c r="Y218" s="54">
        <f t="shared" si="11"/>
        <v>35626291</v>
      </c>
      <c r="Z218" s="26"/>
      <c r="AA218" s="26">
        <v>0</v>
      </c>
      <c r="AB218" s="26"/>
      <c r="AC218" s="26"/>
      <c r="AD218" s="26"/>
      <c r="AE218" s="26">
        <v>0</v>
      </c>
      <c r="AF218" s="26"/>
      <c r="AG218" s="26"/>
      <c r="AH218" s="26"/>
      <c r="AI218" s="26"/>
      <c r="AJ218" s="26"/>
      <c r="AK218" s="26">
        <v>99051</v>
      </c>
      <c r="AL218" s="26"/>
      <c r="AM218" s="26">
        <v>0</v>
      </c>
      <c r="AN218" s="26"/>
      <c r="AO218" s="26">
        <v>0</v>
      </c>
      <c r="AP218" s="26"/>
      <c r="AQ218" s="26">
        <v>0</v>
      </c>
      <c r="AR218" s="26"/>
      <c r="AS218" s="54">
        <f t="shared" si="12"/>
        <v>99051</v>
      </c>
      <c r="AT218" s="26"/>
      <c r="AU218" s="54">
        <f t="shared" si="13"/>
        <v>35725342</v>
      </c>
    </row>
    <row r="219" spans="1:47" ht="12" customHeight="1">
      <c r="A219" s="13" t="s">
        <v>427</v>
      </c>
      <c r="B219" s="13"/>
      <c r="C219" s="13" t="s">
        <v>426</v>
      </c>
      <c r="D219" s="13"/>
      <c r="E219" s="32">
        <v>47498</v>
      </c>
      <c r="F219" s="26"/>
      <c r="G219" s="26">
        <v>1097783</v>
      </c>
      <c r="H219" s="26"/>
      <c r="I219" s="26">
        <v>0</v>
      </c>
      <c r="J219" s="26"/>
      <c r="K219" s="26">
        <v>2624954</v>
      </c>
      <c r="L219" s="26"/>
      <c r="M219" s="26">
        <v>134518</v>
      </c>
      <c r="N219" s="26"/>
      <c r="O219" s="26">
        <v>318945</v>
      </c>
      <c r="P219" s="26"/>
      <c r="Q219" s="26">
        <v>58321</v>
      </c>
      <c r="R219" s="26"/>
      <c r="S219" s="26">
        <v>882703</v>
      </c>
      <c r="T219" s="26"/>
      <c r="U219" s="26">
        <v>0</v>
      </c>
      <c r="V219" s="26"/>
      <c r="W219" s="26">
        <f>9718+19055+94891</f>
        <v>123664</v>
      </c>
      <c r="X219" s="26"/>
      <c r="Y219" s="54">
        <f t="shared" si="11"/>
        <v>5240888</v>
      </c>
      <c r="Z219" s="26"/>
      <c r="AA219" s="26">
        <v>86700</v>
      </c>
      <c r="AB219" s="26"/>
      <c r="AC219" s="26"/>
      <c r="AD219" s="26"/>
      <c r="AE219" s="26">
        <f>3545000+3545000</f>
        <v>7090000</v>
      </c>
      <c r="AF219" s="26"/>
      <c r="AG219" s="26"/>
      <c r="AH219" s="26"/>
      <c r="AI219" s="26"/>
      <c r="AJ219" s="26"/>
      <c r="AK219" s="26">
        <v>0</v>
      </c>
      <c r="AL219" s="26"/>
      <c r="AM219" s="26">
        <v>0</v>
      </c>
      <c r="AN219" s="26"/>
      <c r="AO219" s="26">
        <v>0</v>
      </c>
      <c r="AP219" s="26"/>
      <c r="AQ219" s="26">
        <v>0</v>
      </c>
      <c r="AR219" s="26"/>
      <c r="AS219" s="54">
        <f t="shared" si="12"/>
        <v>7176700</v>
      </c>
      <c r="AT219" s="26"/>
      <c r="AU219" s="54">
        <f t="shared" si="13"/>
        <v>12417588</v>
      </c>
    </row>
    <row r="220" spans="1:47">
      <c r="A220" s="13" t="s">
        <v>650</v>
      </c>
      <c r="B220" s="13"/>
      <c r="C220" s="13" t="s">
        <v>61</v>
      </c>
      <c r="D220" s="13"/>
      <c r="E220" s="32">
        <v>49791</v>
      </c>
      <c r="F220" s="26"/>
      <c r="G220" s="26">
        <v>1783512</v>
      </c>
      <c r="H220" s="26"/>
      <c r="I220" s="26">
        <v>701811</v>
      </c>
      <c r="J220" s="26"/>
      <c r="K220" s="26">
        <v>4899445</v>
      </c>
      <c r="L220" s="26"/>
      <c r="M220" s="26">
        <v>138981</v>
      </c>
      <c r="N220" s="26"/>
      <c r="O220" s="26">
        <v>641150</v>
      </c>
      <c r="P220" s="26"/>
      <c r="Q220" s="26">
        <v>83693</v>
      </c>
      <c r="R220" s="26"/>
      <c r="S220" s="26">
        <v>0</v>
      </c>
      <c r="T220" s="26"/>
      <c r="U220" s="26">
        <v>6095</v>
      </c>
      <c r="V220" s="26"/>
      <c r="W220" s="26">
        <f>159838+9150+16140</f>
        <v>185128</v>
      </c>
      <c r="X220" s="26"/>
      <c r="Y220" s="54">
        <f t="shared" si="11"/>
        <v>8439815</v>
      </c>
      <c r="Z220" s="26"/>
      <c r="AA220" s="26">
        <v>0</v>
      </c>
      <c r="AB220" s="26"/>
      <c r="AC220" s="26"/>
      <c r="AD220" s="26"/>
      <c r="AE220" s="26">
        <v>0</v>
      </c>
      <c r="AF220" s="26"/>
      <c r="AG220" s="26"/>
      <c r="AH220" s="26"/>
      <c r="AI220" s="26"/>
      <c r="AJ220" s="26"/>
      <c r="AK220" s="26">
        <v>150</v>
      </c>
      <c r="AL220" s="26"/>
      <c r="AM220" s="26">
        <v>0</v>
      </c>
      <c r="AN220" s="26"/>
      <c r="AO220" s="26">
        <v>0</v>
      </c>
      <c r="AP220" s="26"/>
      <c r="AQ220" s="26">
        <v>0</v>
      </c>
      <c r="AR220" s="26"/>
      <c r="AS220" s="54">
        <f t="shared" si="12"/>
        <v>150</v>
      </c>
      <c r="AT220" s="26"/>
      <c r="AU220" s="54">
        <f t="shared" si="13"/>
        <v>8439965</v>
      </c>
    </row>
    <row r="221" spans="1:47">
      <c r="A221" s="13" t="s">
        <v>434</v>
      </c>
      <c r="B221" s="13"/>
      <c r="C221" s="13" t="s">
        <v>433</v>
      </c>
      <c r="D221" s="13"/>
      <c r="E221" s="32">
        <v>45245</v>
      </c>
      <c r="F221" s="26"/>
      <c r="G221" s="26">
        <v>4495832</v>
      </c>
      <c r="H221" s="26"/>
      <c r="I221" s="26">
        <v>0</v>
      </c>
      <c r="J221" s="26"/>
      <c r="K221" s="26">
        <f>12125630+1771451</f>
        <v>13897081</v>
      </c>
      <c r="L221" s="26"/>
      <c r="M221" s="26">
        <v>287044</v>
      </c>
      <c r="N221" s="26"/>
      <c r="O221" s="26">
        <f>133618+33467</f>
        <v>167085</v>
      </c>
      <c r="P221" s="26"/>
      <c r="Q221" s="26">
        <v>155002</v>
      </c>
      <c r="R221" s="26"/>
      <c r="S221" s="26">
        <v>0</v>
      </c>
      <c r="T221" s="26"/>
      <c r="U221" s="26">
        <v>0</v>
      </c>
      <c r="V221" s="26"/>
      <c r="W221" s="26">
        <f>283655+59230</f>
        <v>342885</v>
      </c>
      <c r="X221" s="26"/>
      <c r="Y221" s="54">
        <f t="shared" si="11"/>
        <v>19344929</v>
      </c>
      <c r="Z221" s="26"/>
      <c r="AA221" s="26">
        <v>64708</v>
      </c>
      <c r="AB221" s="26"/>
      <c r="AC221" s="26"/>
      <c r="AD221" s="26"/>
      <c r="AE221" s="26">
        <v>0</v>
      </c>
      <c r="AF221" s="26"/>
      <c r="AG221" s="26"/>
      <c r="AH221" s="26"/>
      <c r="AI221" s="26"/>
      <c r="AJ221" s="26"/>
      <c r="AK221" s="26">
        <v>37967</v>
      </c>
      <c r="AL221" s="26"/>
      <c r="AM221" s="26">
        <v>0</v>
      </c>
      <c r="AN221" s="26"/>
      <c r="AO221" s="26">
        <v>0</v>
      </c>
      <c r="AP221" s="26"/>
      <c r="AQ221" s="26">
        <v>0</v>
      </c>
      <c r="AR221" s="26"/>
      <c r="AS221" s="54">
        <f t="shared" si="12"/>
        <v>102675</v>
      </c>
      <c r="AT221" s="26"/>
      <c r="AU221" s="54">
        <f t="shared" si="13"/>
        <v>19447604</v>
      </c>
    </row>
    <row r="222" spans="1:47">
      <c r="A222" s="13" t="s">
        <v>479</v>
      </c>
      <c r="B222" s="13"/>
      <c r="C222" s="13" t="s">
        <v>42</v>
      </c>
      <c r="D222" s="13"/>
      <c r="E222" s="32">
        <v>44115</v>
      </c>
      <c r="F222" s="26"/>
      <c r="G222" s="26">
        <v>9177281</v>
      </c>
      <c r="H222" s="26"/>
      <c r="I222" s="26">
        <v>0</v>
      </c>
      <c r="J222" s="26"/>
      <c r="K222" s="26">
        <f>5935027+905022</f>
        <v>6840049</v>
      </c>
      <c r="L222" s="26"/>
      <c r="M222" s="26">
        <v>191210</v>
      </c>
      <c r="N222" s="26"/>
      <c r="O222" s="26">
        <f>97851+75699</f>
        <v>173550</v>
      </c>
      <c r="P222" s="26"/>
      <c r="Q222" s="26">
        <v>105913</v>
      </c>
      <c r="R222" s="26"/>
      <c r="S222" s="26">
        <v>0</v>
      </c>
      <c r="T222" s="26"/>
      <c r="U222" s="26">
        <v>0</v>
      </c>
      <c r="V222" s="26"/>
      <c r="W222" s="26">
        <f>383685+292224</f>
        <v>675909</v>
      </c>
      <c r="X222" s="26"/>
      <c r="Y222" s="54">
        <f t="shared" si="11"/>
        <v>17163912</v>
      </c>
      <c r="Z222" s="26"/>
      <c r="AA222" s="26">
        <v>0</v>
      </c>
      <c r="AB222" s="26"/>
      <c r="AC222" s="26"/>
      <c r="AD222" s="26"/>
      <c r="AE222" s="26">
        <v>0</v>
      </c>
      <c r="AF222" s="26"/>
      <c r="AG222" s="26"/>
      <c r="AH222" s="26"/>
      <c r="AI222" s="26"/>
      <c r="AJ222" s="26"/>
      <c r="AK222" s="26">
        <v>75</v>
      </c>
      <c r="AL222" s="26"/>
      <c r="AM222" s="26">
        <v>0</v>
      </c>
      <c r="AN222" s="26"/>
      <c r="AO222" s="26">
        <v>0</v>
      </c>
      <c r="AP222" s="26"/>
      <c r="AQ222" s="26">
        <v>0</v>
      </c>
      <c r="AR222" s="26"/>
      <c r="AS222" s="54">
        <f t="shared" si="12"/>
        <v>75</v>
      </c>
      <c r="AT222" s="26"/>
      <c r="AU222" s="54">
        <f t="shared" si="13"/>
        <v>17163987</v>
      </c>
    </row>
    <row r="223" spans="1:47" hidden="1">
      <c r="A223" s="13" t="s">
        <v>335</v>
      </c>
      <c r="B223" s="13"/>
      <c r="C223" s="13" t="s">
        <v>22</v>
      </c>
      <c r="D223" s="13"/>
      <c r="E223" s="32">
        <v>45419</v>
      </c>
      <c r="F223" s="26"/>
      <c r="G223" s="26">
        <v>0</v>
      </c>
      <c r="H223" s="26"/>
      <c r="I223" s="26">
        <v>0</v>
      </c>
      <c r="J223" s="26"/>
      <c r="K223" s="26">
        <v>0</v>
      </c>
      <c r="L223" s="26"/>
      <c r="M223" s="26">
        <v>0</v>
      </c>
      <c r="N223" s="26"/>
      <c r="O223" s="26">
        <v>0</v>
      </c>
      <c r="P223" s="26"/>
      <c r="Q223" s="26">
        <v>0</v>
      </c>
      <c r="R223" s="26"/>
      <c r="S223" s="26">
        <v>0</v>
      </c>
      <c r="T223" s="26"/>
      <c r="U223" s="26">
        <v>0</v>
      </c>
      <c r="V223" s="26"/>
      <c r="W223" s="26">
        <v>0</v>
      </c>
      <c r="X223" s="26"/>
      <c r="Y223" s="54">
        <f t="shared" si="11"/>
        <v>0</v>
      </c>
      <c r="Z223" s="26"/>
      <c r="AA223" s="26">
        <v>0</v>
      </c>
      <c r="AB223" s="26"/>
      <c r="AC223" s="26"/>
      <c r="AD223" s="26"/>
      <c r="AE223" s="26">
        <v>0</v>
      </c>
      <c r="AF223" s="26"/>
      <c r="AG223" s="26"/>
      <c r="AH223" s="26"/>
      <c r="AI223" s="26"/>
      <c r="AJ223" s="26"/>
      <c r="AK223" s="26">
        <v>0</v>
      </c>
      <c r="AL223" s="26"/>
      <c r="AM223" s="26">
        <v>0</v>
      </c>
      <c r="AN223" s="26"/>
      <c r="AO223" s="26">
        <v>0</v>
      </c>
      <c r="AP223" s="26"/>
      <c r="AQ223" s="26">
        <v>0</v>
      </c>
      <c r="AR223" s="26"/>
      <c r="AS223" s="54">
        <f t="shared" si="12"/>
        <v>0</v>
      </c>
      <c r="AT223" s="26"/>
      <c r="AU223" s="54">
        <f t="shared" si="13"/>
        <v>0</v>
      </c>
    </row>
    <row r="224" spans="1:47">
      <c r="A224" s="13" t="s">
        <v>534</v>
      </c>
      <c r="B224" s="13"/>
      <c r="C224" s="13" t="s">
        <v>47</v>
      </c>
      <c r="D224" s="13"/>
      <c r="E224" s="32">
        <v>48496</v>
      </c>
      <c r="F224" s="26"/>
      <c r="G224" s="26">
        <v>16681532</v>
      </c>
      <c r="H224" s="26"/>
      <c r="I224" s="26">
        <v>0</v>
      </c>
      <c r="J224" s="26"/>
      <c r="K224" s="26">
        <v>9091172</v>
      </c>
      <c r="L224" s="26"/>
      <c r="M224" s="26">
        <v>696463</v>
      </c>
      <c r="N224" s="26"/>
      <c r="O224" s="26">
        <v>552810</v>
      </c>
      <c r="P224" s="26"/>
      <c r="Q224" s="26">
        <v>255761</v>
      </c>
      <c r="R224" s="26"/>
      <c r="S224" s="26">
        <v>0</v>
      </c>
      <c r="T224" s="26"/>
      <c r="U224" s="26">
        <v>52627</v>
      </c>
      <c r="V224" s="26"/>
      <c r="W224" s="26">
        <f>906356+32119+243554</f>
        <v>1182029</v>
      </c>
      <c r="X224" s="26"/>
      <c r="Y224" s="54">
        <f t="shared" si="11"/>
        <v>28512394</v>
      </c>
      <c r="Z224" s="26"/>
      <c r="AA224" s="26">
        <v>18750</v>
      </c>
      <c r="AB224" s="26"/>
      <c r="AC224" s="26"/>
      <c r="AD224" s="26"/>
      <c r="AE224" s="26">
        <v>0</v>
      </c>
      <c r="AF224" s="26"/>
      <c r="AG224" s="26"/>
      <c r="AH224" s="26"/>
      <c r="AI224" s="26"/>
      <c r="AJ224" s="26"/>
      <c r="AK224" s="26">
        <v>196568</v>
      </c>
      <c r="AL224" s="26"/>
      <c r="AM224" s="26">
        <v>0</v>
      </c>
      <c r="AN224" s="26"/>
      <c r="AO224" s="26">
        <v>0</v>
      </c>
      <c r="AP224" s="26"/>
      <c r="AQ224" s="26">
        <v>0</v>
      </c>
      <c r="AR224" s="26"/>
      <c r="AS224" s="54">
        <f t="shared" si="12"/>
        <v>215318</v>
      </c>
      <c r="AT224" s="26"/>
      <c r="AU224" s="54">
        <f t="shared" si="13"/>
        <v>28727712</v>
      </c>
    </row>
    <row r="225" spans="1:47">
      <c r="A225" s="13" t="s">
        <v>534</v>
      </c>
      <c r="B225" s="13"/>
      <c r="C225" s="13" t="s">
        <v>78</v>
      </c>
      <c r="D225" s="13"/>
      <c r="E225" s="32">
        <v>48801</v>
      </c>
      <c r="F225" s="26"/>
      <c r="G225" s="26">
        <v>4585579</v>
      </c>
      <c r="H225" s="26"/>
      <c r="I225" s="26">
        <v>966200</v>
      </c>
      <c r="J225" s="26"/>
      <c r="K225" s="26">
        <v>10883186</v>
      </c>
      <c r="L225" s="26"/>
      <c r="M225" s="26">
        <v>290478</v>
      </c>
      <c r="N225" s="26"/>
      <c r="O225" s="26">
        <v>47506</v>
      </c>
      <c r="P225" s="26"/>
      <c r="Q225" s="26">
        <v>126254</v>
      </c>
      <c r="R225" s="26"/>
      <c r="S225" s="26">
        <v>0</v>
      </c>
      <c r="T225" s="26"/>
      <c r="U225" s="26">
        <v>27879</v>
      </c>
      <c r="V225" s="26"/>
      <c r="W225" s="26">
        <f>349411+309938</f>
        <v>659349</v>
      </c>
      <c r="X225" s="26"/>
      <c r="Y225" s="54">
        <f t="shared" si="11"/>
        <v>17586431</v>
      </c>
      <c r="Z225" s="26"/>
      <c r="AA225" s="26">
        <v>0</v>
      </c>
      <c r="AB225" s="26"/>
      <c r="AC225" s="26"/>
      <c r="AD225" s="26"/>
      <c r="AE225" s="26">
        <v>0</v>
      </c>
      <c r="AF225" s="26"/>
      <c r="AG225" s="26"/>
      <c r="AH225" s="26"/>
      <c r="AI225" s="26"/>
      <c r="AJ225" s="26"/>
      <c r="AK225" s="26">
        <v>80180</v>
      </c>
      <c r="AL225" s="26"/>
      <c r="AM225" s="26">
        <v>0</v>
      </c>
      <c r="AN225" s="26"/>
      <c r="AO225" s="26">
        <v>0</v>
      </c>
      <c r="AP225" s="26"/>
      <c r="AQ225" s="26">
        <v>0</v>
      </c>
      <c r="AR225" s="26"/>
      <c r="AS225" s="54">
        <f t="shared" si="12"/>
        <v>80180</v>
      </c>
      <c r="AT225" s="26"/>
      <c r="AU225" s="54">
        <f t="shared" si="13"/>
        <v>17666611</v>
      </c>
    </row>
    <row r="226" spans="1:47">
      <c r="A226" s="13" t="s">
        <v>364</v>
      </c>
      <c r="B226" s="13"/>
      <c r="C226" s="13" t="s">
        <v>27</v>
      </c>
      <c r="D226" s="13"/>
      <c r="E226" s="32">
        <v>47019</v>
      </c>
      <c r="F226" s="26"/>
      <c r="G226" s="26">
        <v>92804208</v>
      </c>
      <c r="H226" s="26"/>
      <c r="I226" s="26">
        <v>0</v>
      </c>
      <c r="J226" s="26"/>
      <c r="K226" s="26">
        <f>55284194+5782809</f>
        <v>61067003</v>
      </c>
      <c r="L226" s="26"/>
      <c r="M226" s="26">
        <v>5085428</v>
      </c>
      <c r="N226" s="26"/>
      <c r="O226" s="26">
        <v>2142734</v>
      </c>
      <c r="P226" s="26"/>
      <c r="Q226" s="26">
        <v>671909</v>
      </c>
      <c r="R226" s="26"/>
      <c r="S226" s="26">
        <v>0</v>
      </c>
      <c r="T226" s="26"/>
      <c r="U226" s="26">
        <v>0</v>
      </c>
      <c r="V226" s="26"/>
      <c r="W226" s="26">
        <f>3378852+200077+2931615+946857</f>
        <v>7457401</v>
      </c>
      <c r="X226" s="26"/>
      <c r="Y226" s="54">
        <f t="shared" si="11"/>
        <v>169228683</v>
      </c>
      <c r="Z226" s="26"/>
      <c r="AA226" s="26">
        <v>3224778</v>
      </c>
      <c r="AB226" s="26"/>
      <c r="AC226" s="26"/>
      <c r="AD226" s="26"/>
      <c r="AE226" s="26">
        <v>8000000</v>
      </c>
      <c r="AF226" s="26"/>
      <c r="AG226" s="26"/>
      <c r="AH226" s="26"/>
      <c r="AI226" s="26"/>
      <c r="AJ226" s="26"/>
      <c r="AK226" s="26">
        <v>4617</v>
      </c>
      <c r="AL226" s="26"/>
      <c r="AM226" s="26">
        <v>0</v>
      </c>
      <c r="AN226" s="26"/>
      <c r="AO226" s="26">
        <v>0</v>
      </c>
      <c r="AP226" s="26"/>
      <c r="AQ226" s="26">
        <v>0</v>
      </c>
      <c r="AR226" s="26"/>
      <c r="AS226" s="54">
        <f t="shared" si="12"/>
        <v>11229395</v>
      </c>
      <c r="AT226" s="26"/>
      <c r="AU226" s="54">
        <f t="shared" si="13"/>
        <v>180458078</v>
      </c>
    </row>
    <row r="227" spans="1:47">
      <c r="A227" s="13" t="s">
        <v>443</v>
      </c>
      <c r="B227" s="13"/>
      <c r="C227" s="13" t="s">
        <v>440</v>
      </c>
      <c r="D227" s="13"/>
      <c r="E227" s="32">
        <v>44123</v>
      </c>
      <c r="F227" s="26"/>
      <c r="G227" s="26">
        <v>9056037</v>
      </c>
      <c r="H227" s="26"/>
      <c r="I227" s="26">
        <v>0</v>
      </c>
      <c r="J227" s="26"/>
      <c r="K227" s="26">
        <v>32956183</v>
      </c>
      <c r="L227" s="26"/>
      <c r="M227" s="26">
        <v>581820</v>
      </c>
      <c r="N227" s="26"/>
      <c r="O227" s="26">
        <v>738797</v>
      </c>
      <c r="P227" s="26"/>
      <c r="Q227" s="26">
        <v>289941</v>
      </c>
      <c r="R227" s="26"/>
      <c r="S227" s="26">
        <v>0</v>
      </c>
      <c r="T227" s="26"/>
      <c r="U227" s="26">
        <v>0</v>
      </c>
      <c r="V227" s="26"/>
      <c r="W227" s="26">
        <f>404390+531984</f>
        <v>936374</v>
      </c>
      <c r="X227" s="26"/>
      <c r="Y227" s="54">
        <f t="shared" si="11"/>
        <v>44559152</v>
      </c>
      <c r="Z227" s="26"/>
      <c r="AA227" s="26">
        <v>717127</v>
      </c>
      <c r="AB227" s="26"/>
      <c r="AC227" s="26"/>
      <c r="AD227" s="26"/>
      <c r="AE227" s="26">
        <v>205000</v>
      </c>
      <c r="AF227" s="26"/>
      <c r="AG227" s="26"/>
      <c r="AH227" s="26"/>
      <c r="AI227" s="26"/>
      <c r="AJ227" s="26"/>
      <c r="AK227" s="26">
        <v>334450</v>
      </c>
      <c r="AL227" s="26"/>
      <c r="AM227" s="26">
        <v>0</v>
      </c>
      <c r="AN227" s="26"/>
      <c r="AO227" s="26">
        <v>0</v>
      </c>
      <c r="AP227" s="26"/>
      <c r="AQ227" s="26">
        <v>0</v>
      </c>
      <c r="AR227" s="26"/>
      <c r="AS227" s="54">
        <f t="shared" si="12"/>
        <v>1256577</v>
      </c>
      <c r="AT227" s="26"/>
      <c r="AU227" s="54">
        <f t="shared" si="13"/>
        <v>45815729</v>
      </c>
    </row>
    <row r="228" spans="1:47">
      <c r="A228" s="13" t="s">
        <v>216</v>
      </c>
      <c r="B228" s="13"/>
      <c r="C228" s="13" t="s">
        <v>11</v>
      </c>
      <c r="D228" s="13"/>
      <c r="E228" s="32">
        <v>45823</v>
      </c>
      <c r="F228" s="26"/>
      <c r="G228" s="26">
        <v>3823573</v>
      </c>
      <c r="H228" s="26"/>
      <c r="I228" s="26">
        <v>0</v>
      </c>
      <c r="J228" s="26"/>
      <c r="K228" s="26">
        <v>4679700</v>
      </c>
      <c r="L228" s="26"/>
      <c r="M228" s="26">
        <v>66362</v>
      </c>
      <c r="N228" s="26"/>
      <c r="O228" s="26">
        <f>265129+80+21380</f>
        <v>286589</v>
      </c>
      <c r="P228" s="26"/>
      <c r="Q228" s="26">
        <v>0</v>
      </c>
      <c r="R228" s="26"/>
      <c r="S228" s="26">
        <v>0</v>
      </c>
      <c r="T228" s="26"/>
      <c r="U228" s="26">
        <v>24903</v>
      </c>
      <c r="V228" s="26"/>
      <c r="W228" s="26">
        <v>22593</v>
      </c>
      <c r="X228" s="26"/>
      <c r="Y228" s="54">
        <f t="shared" si="11"/>
        <v>8903720</v>
      </c>
      <c r="Z228" s="26"/>
      <c r="AA228" s="26">
        <v>0</v>
      </c>
      <c r="AB228" s="26"/>
      <c r="AC228" s="26"/>
      <c r="AD228" s="26"/>
      <c r="AE228" s="26">
        <v>0</v>
      </c>
      <c r="AF228" s="26"/>
      <c r="AG228" s="26"/>
      <c r="AH228" s="26"/>
      <c r="AI228" s="26"/>
      <c r="AJ228" s="26"/>
      <c r="AK228" s="26">
        <v>302</v>
      </c>
      <c r="AL228" s="26"/>
      <c r="AM228" s="26">
        <v>0</v>
      </c>
      <c r="AN228" s="26"/>
      <c r="AO228" s="26">
        <v>0</v>
      </c>
      <c r="AP228" s="26"/>
      <c r="AQ228" s="26">
        <v>0</v>
      </c>
      <c r="AR228" s="26"/>
      <c r="AS228" s="54">
        <f t="shared" si="12"/>
        <v>302</v>
      </c>
      <c r="AT228" s="26"/>
      <c r="AU228" s="54">
        <f t="shared" si="13"/>
        <v>8904022</v>
      </c>
    </row>
    <row r="229" spans="1:47">
      <c r="A229" s="13" t="s">
        <v>435</v>
      </c>
      <c r="B229" s="13"/>
      <c r="C229" s="13" t="s">
        <v>34</v>
      </c>
      <c r="D229" s="13"/>
      <c r="E229" s="32">
        <v>47571</v>
      </c>
      <c r="F229" s="26"/>
      <c r="G229" s="26">
        <v>1128370</v>
      </c>
      <c r="H229" s="26"/>
      <c r="I229" s="26">
        <v>705625</v>
      </c>
      <c r="J229" s="26"/>
      <c r="K229" s="26">
        <v>2958532</v>
      </c>
      <c r="L229" s="26"/>
      <c r="M229" s="26">
        <v>109269</v>
      </c>
      <c r="N229" s="26"/>
      <c r="O229" s="26">
        <v>381534</v>
      </c>
      <c r="P229" s="26"/>
      <c r="Q229" s="26">
        <v>85058</v>
      </c>
      <c r="R229" s="26"/>
      <c r="S229" s="26">
        <v>1586</v>
      </c>
      <c r="T229" s="26"/>
      <c r="U229" s="26">
        <v>3565</v>
      </c>
      <c r="V229" s="26"/>
      <c r="W229" s="26">
        <f>144886+52168</f>
        <v>197054</v>
      </c>
      <c r="X229" s="26"/>
      <c r="Y229" s="54">
        <f t="shared" si="11"/>
        <v>5570593</v>
      </c>
      <c r="Z229" s="26"/>
      <c r="AA229" s="26">
        <v>7500</v>
      </c>
      <c r="AB229" s="26"/>
      <c r="AC229" s="26"/>
      <c r="AD229" s="26"/>
      <c r="AE229" s="26">
        <v>0</v>
      </c>
      <c r="AF229" s="26"/>
      <c r="AG229" s="26"/>
      <c r="AH229" s="26"/>
      <c r="AI229" s="26"/>
      <c r="AJ229" s="26"/>
      <c r="AK229" s="26">
        <v>50000</v>
      </c>
      <c r="AL229" s="26"/>
      <c r="AM229" s="26">
        <v>0</v>
      </c>
      <c r="AN229" s="26"/>
      <c r="AO229" s="26">
        <v>0</v>
      </c>
      <c r="AP229" s="26"/>
      <c r="AQ229" s="26">
        <v>0</v>
      </c>
      <c r="AR229" s="26"/>
      <c r="AS229" s="54">
        <f t="shared" si="12"/>
        <v>57500</v>
      </c>
      <c r="AT229" s="26"/>
      <c r="AU229" s="54">
        <f t="shared" si="13"/>
        <v>5628093</v>
      </c>
    </row>
    <row r="230" spans="1:47">
      <c r="A230" s="13" t="s">
        <v>685</v>
      </c>
      <c r="B230" s="13"/>
      <c r="C230" s="13" t="s">
        <v>64</v>
      </c>
      <c r="D230" s="13"/>
      <c r="E230" s="32">
        <v>50161</v>
      </c>
      <c r="F230" s="26"/>
      <c r="G230" s="26">
        <v>19029355</v>
      </c>
      <c r="H230" s="26"/>
      <c r="I230" s="26">
        <v>0</v>
      </c>
      <c r="J230" s="26"/>
      <c r="K230" s="26">
        <f>10303946+1341685</f>
        <v>11645631</v>
      </c>
      <c r="L230" s="26"/>
      <c r="M230" s="26">
        <v>292345</v>
      </c>
      <c r="N230" s="26"/>
      <c r="O230" s="26">
        <v>1101571</v>
      </c>
      <c r="P230" s="26"/>
      <c r="Q230" s="26">
        <v>232001</v>
      </c>
      <c r="R230" s="26"/>
      <c r="S230" s="26">
        <v>0</v>
      </c>
      <c r="T230" s="26"/>
      <c r="U230" s="26">
        <v>0</v>
      </c>
      <c r="V230" s="26"/>
      <c r="W230" s="26">
        <f>16808+581918+87201+248120</f>
        <v>934047</v>
      </c>
      <c r="X230" s="26"/>
      <c r="Y230" s="54">
        <f t="shared" si="11"/>
        <v>33234950</v>
      </c>
      <c r="Z230" s="26"/>
      <c r="AA230" s="26">
        <v>0</v>
      </c>
      <c r="AB230" s="26"/>
      <c r="AC230" s="26"/>
      <c r="AD230" s="26"/>
      <c r="AE230" s="26">
        <v>0</v>
      </c>
      <c r="AF230" s="26"/>
      <c r="AG230" s="26"/>
      <c r="AH230" s="26"/>
      <c r="AI230" s="26"/>
      <c r="AJ230" s="26"/>
      <c r="AK230" s="26">
        <v>0</v>
      </c>
      <c r="AL230" s="26"/>
      <c r="AM230" s="26">
        <v>0</v>
      </c>
      <c r="AN230" s="26"/>
      <c r="AO230" s="26">
        <v>0</v>
      </c>
      <c r="AP230" s="26"/>
      <c r="AQ230" s="26">
        <v>0</v>
      </c>
      <c r="AR230" s="26"/>
      <c r="AS230" s="54">
        <f t="shared" si="12"/>
        <v>0</v>
      </c>
      <c r="AT230" s="26"/>
      <c r="AU230" s="54">
        <f t="shared" si="13"/>
        <v>33234950</v>
      </c>
    </row>
    <row r="231" spans="1:47">
      <c r="A231" s="13" t="s">
        <v>686</v>
      </c>
      <c r="B231" s="13"/>
      <c r="C231" s="13" t="s">
        <v>64</v>
      </c>
      <c r="D231" s="13"/>
      <c r="E231" s="32">
        <v>45427</v>
      </c>
      <c r="F231" s="26"/>
      <c r="G231" s="26">
        <v>7533941</v>
      </c>
      <c r="H231" s="26"/>
      <c r="I231" s="26">
        <v>0</v>
      </c>
      <c r="J231" s="26"/>
      <c r="K231" s="26">
        <v>19921017</v>
      </c>
      <c r="L231" s="26"/>
      <c r="M231" s="26">
        <v>2226496</v>
      </c>
      <c r="N231" s="26"/>
      <c r="O231" s="26">
        <v>83081</v>
      </c>
      <c r="P231" s="26"/>
      <c r="Q231" s="26">
        <v>185477</v>
      </c>
      <c r="R231" s="26"/>
      <c r="S231" s="26">
        <v>0</v>
      </c>
      <c r="T231" s="26"/>
      <c r="U231" s="26">
        <v>19752</v>
      </c>
      <c r="V231" s="26"/>
      <c r="W231" s="26">
        <f>414271+29596+302051</f>
        <v>745918</v>
      </c>
      <c r="X231" s="26"/>
      <c r="Y231" s="54">
        <f t="shared" si="11"/>
        <v>30715682</v>
      </c>
      <c r="Z231" s="26"/>
      <c r="AA231" s="26">
        <v>324982</v>
      </c>
      <c r="AB231" s="26"/>
      <c r="AC231" s="26"/>
      <c r="AD231" s="26"/>
      <c r="AE231" s="26">
        <v>0</v>
      </c>
      <c r="AF231" s="26"/>
      <c r="AG231" s="26"/>
      <c r="AH231" s="26"/>
      <c r="AI231" s="26"/>
      <c r="AJ231" s="26"/>
      <c r="AK231" s="26">
        <v>0</v>
      </c>
      <c r="AL231" s="26"/>
      <c r="AM231" s="26">
        <v>0</v>
      </c>
      <c r="AN231" s="26"/>
      <c r="AO231" s="26">
        <v>0</v>
      </c>
      <c r="AP231" s="26"/>
      <c r="AQ231" s="26">
        <v>0</v>
      </c>
      <c r="AR231" s="26"/>
      <c r="AS231" s="54">
        <f t="shared" si="12"/>
        <v>324982</v>
      </c>
      <c r="AT231" s="26"/>
      <c r="AU231" s="54">
        <f t="shared" si="13"/>
        <v>31040664</v>
      </c>
    </row>
    <row r="232" spans="1:47" ht="12.6" customHeight="1">
      <c r="A232" s="13" t="s">
        <v>555</v>
      </c>
      <c r="B232" s="13"/>
      <c r="C232" s="13" t="s">
        <v>50</v>
      </c>
      <c r="D232" s="13"/>
      <c r="E232" s="32">
        <v>48751</v>
      </c>
      <c r="F232" s="26"/>
      <c r="G232" s="26">
        <v>30853001</v>
      </c>
      <c r="H232" s="26"/>
      <c r="I232" s="26">
        <v>0</v>
      </c>
      <c r="J232" s="26"/>
      <c r="K232" s="26">
        <f>3861216+32518752</f>
        <v>36379968</v>
      </c>
      <c r="L232" s="26"/>
      <c r="M232" s="26">
        <v>1052544</v>
      </c>
      <c r="N232" s="26"/>
      <c r="O232" s="26">
        <v>330847</v>
      </c>
      <c r="P232" s="26"/>
      <c r="Q232" s="26">
        <v>732527</v>
      </c>
      <c r="R232" s="26"/>
      <c r="S232" s="26">
        <v>0</v>
      </c>
      <c r="T232" s="26"/>
      <c r="U232" s="26">
        <v>0</v>
      </c>
      <c r="V232" s="26"/>
      <c r="W232" s="26">
        <f>48060+418069+1303999+366309</f>
        <v>2136437</v>
      </c>
      <c r="X232" s="26"/>
      <c r="Y232" s="54">
        <f t="shared" si="11"/>
        <v>71485324</v>
      </c>
      <c r="Z232" s="26"/>
      <c r="AA232" s="26">
        <v>0</v>
      </c>
      <c r="AB232" s="26"/>
      <c r="AC232" s="26"/>
      <c r="AD232" s="26"/>
      <c r="AE232" s="26">
        <v>0</v>
      </c>
      <c r="AF232" s="26"/>
      <c r="AG232" s="26"/>
      <c r="AH232" s="26"/>
      <c r="AI232" s="26"/>
      <c r="AJ232" s="26"/>
      <c r="AK232" s="26">
        <v>141068</v>
      </c>
      <c r="AL232" s="26"/>
      <c r="AM232" s="26">
        <v>0</v>
      </c>
      <c r="AN232" s="26"/>
      <c r="AO232" s="26">
        <v>0</v>
      </c>
      <c r="AP232" s="26"/>
      <c r="AQ232" s="26">
        <v>0</v>
      </c>
      <c r="AR232" s="26"/>
      <c r="AS232" s="54">
        <f t="shared" si="12"/>
        <v>141068</v>
      </c>
      <c r="AT232" s="26"/>
      <c r="AU232" s="54">
        <f t="shared" si="13"/>
        <v>71626392</v>
      </c>
    </row>
    <row r="233" spans="1:47">
      <c r="A233" s="13" t="s">
        <v>671</v>
      </c>
      <c r="B233" s="13"/>
      <c r="C233" s="13" t="s">
        <v>63</v>
      </c>
      <c r="D233" s="13"/>
      <c r="E233" s="32">
        <v>50021</v>
      </c>
      <c r="F233" s="26"/>
      <c r="G233" s="26">
        <v>41478391</v>
      </c>
      <c r="H233" s="26"/>
      <c r="I233" s="26">
        <v>0</v>
      </c>
      <c r="J233" s="26"/>
      <c r="K233" s="26">
        <f>220000+20459985+1905201</f>
        <v>22585186</v>
      </c>
      <c r="L233" s="26"/>
      <c r="M233" s="26">
        <v>1284315</v>
      </c>
      <c r="N233" s="26"/>
      <c r="O233" s="26">
        <v>70126</v>
      </c>
      <c r="P233" s="26"/>
      <c r="Q233" s="26">
        <v>812114</v>
      </c>
      <c r="R233" s="26"/>
      <c r="S233" s="26">
        <v>0</v>
      </c>
      <c r="T233" s="26"/>
      <c r="U233" s="26">
        <v>0</v>
      </c>
      <c r="V233" s="26"/>
      <c r="W233" s="26">
        <f>23316+425962+1537243+294918</f>
        <v>2281439</v>
      </c>
      <c r="X233" s="26"/>
      <c r="Y233" s="54">
        <f t="shared" si="11"/>
        <v>68511571</v>
      </c>
      <c r="Z233" s="26"/>
      <c r="AA233" s="26">
        <v>230097</v>
      </c>
      <c r="AB233" s="26"/>
      <c r="AC233" s="26"/>
      <c r="AD233" s="26"/>
      <c r="AE233" s="26">
        <v>0</v>
      </c>
      <c r="AF233" s="26"/>
      <c r="AG233" s="26"/>
      <c r="AH233" s="26"/>
      <c r="AI233" s="26"/>
      <c r="AJ233" s="26"/>
      <c r="AK233" s="26">
        <v>0</v>
      </c>
      <c r="AL233" s="26"/>
      <c r="AM233" s="26">
        <v>0</v>
      </c>
      <c r="AN233" s="26"/>
      <c r="AO233" s="26">
        <v>0</v>
      </c>
      <c r="AP233" s="26"/>
      <c r="AQ233" s="26">
        <v>0</v>
      </c>
      <c r="AR233" s="26"/>
      <c r="AS233" s="54">
        <f t="shared" si="12"/>
        <v>230097</v>
      </c>
      <c r="AT233" s="26"/>
      <c r="AU233" s="54">
        <f t="shared" si="13"/>
        <v>68741668</v>
      </c>
    </row>
    <row r="234" spans="1:47">
      <c r="A234" s="13" t="s">
        <v>623</v>
      </c>
      <c r="B234" s="13"/>
      <c r="C234" s="13" t="s">
        <v>58</v>
      </c>
      <c r="D234" s="13"/>
      <c r="E234" s="32">
        <v>49502</v>
      </c>
      <c r="F234" s="26"/>
      <c r="G234" s="26">
        <v>1195621</v>
      </c>
      <c r="H234" s="26"/>
      <c r="I234" s="26">
        <v>0</v>
      </c>
      <c r="J234" s="26"/>
      <c r="K234" s="26">
        <v>10517921</v>
      </c>
      <c r="L234" s="26"/>
      <c r="M234" s="26">
        <v>158771</v>
      </c>
      <c r="N234" s="26"/>
      <c r="O234" s="26">
        <v>14737</v>
      </c>
      <c r="P234" s="26"/>
      <c r="Q234" s="26">
        <v>118324</v>
      </c>
      <c r="R234" s="26"/>
      <c r="S234" s="26">
        <v>0</v>
      </c>
      <c r="T234" s="26"/>
      <c r="U234" s="26">
        <v>0</v>
      </c>
      <c r="V234" s="26"/>
      <c r="W234" s="26">
        <f>8811+148967+210686</f>
        <v>368464</v>
      </c>
      <c r="X234" s="26"/>
      <c r="Y234" s="54">
        <f t="shared" si="11"/>
        <v>12373838</v>
      </c>
      <c r="Z234" s="26"/>
      <c r="AA234" s="26">
        <v>2848</v>
      </c>
      <c r="AB234" s="26"/>
      <c r="AC234" s="26"/>
      <c r="AD234" s="26"/>
      <c r="AE234" s="26">
        <v>0</v>
      </c>
      <c r="AF234" s="26"/>
      <c r="AG234" s="26"/>
      <c r="AH234" s="26"/>
      <c r="AI234" s="26"/>
      <c r="AJ234" s="26"/>
      <c r="AK234" s="26">
        <v>109029</v>
      </c>
      <c r="AL234" s="26"/>
      <c r="AM234" s="26">
        <v>0</v>
      </c>
      <c r="AN234" s="26"/>
      <c r="AO234" s="26">
        <v>0</v>
      </c>
      <c r="AP234" s="26"/>
      <c r="AQ234" s="26">
        <v>0</v>
      </c>
      <c r="AR234" s="26"/>
      <c r="AS234" s="54">
        <f t="shared" si="12"/>
        <v>111877</v>
      </c>
      <c r="AT234" s="26"/>
      <c r="AU234" s="54">
        <f t="shared" si="13"/>
        <v>12485715</v>
      </c>
    </row>
    <row r="235" spans="1:47">
      <c r="A235" s="13" t="s">
        <v>341</v>
      </c>
      <c r="B235" s="13"/>
      <c r="C235" s="13" t="s">
        <v>24</v>
      </c>
      <c r="D235" s="13"/>
      <c r="E235" s="32">
        <v>44131</v>
      </c>
      <c r="F235" s="26"/>
      <c r="G235" s="26">
        <v>11220695</v>
      </c>
      <c r="H235" s="26"/>
      <c r="I235" s="26">
        <v>0</v>
      </c>
      <c r="J235" s="26"/>
      <c r="K235" s="26">
        <f>5143850+712446</f>
        <v>5856296</v>
      </c>
      <c r="L235" s="26"/>
      <c r="M235" s="26">
        <v>231680</v>
      </c>
      <c r="N235" s="26"/>
      <c r="O235" s="26">
        <v>62660</v>
      </c>
      <c r="P235" s="26"/>
      <c r="Q235" s="26">
        <v>104618</v>
      </c>
      <c r="R235" s="26"/>
      <c r="S235" s="26">
        <v>0</v>
      </c>
      <c r="T235" s="26"/>
      <c r="U235" s="26">
        <v>0</v>
      </c>
      <c r="V235" s="26"/>
      <c r="W235" s="26">
        <f>458300+64238+225948</f>
        <v>748486</v>
      </c>
      <c r="X235" s="26"/>
      <c r="Y235" s="54">
        <f t="shared" si="11"/>
        <v>18224435</v>
      </c>
      <c r="Z235" s="26"/>
      <c r="AA235" s="26">
        <v>1306</v>
      </c>
      <c r="AB235" s="26"/>
      <c r="AC235" s="26"/>
      <c r="AD235" s="26"/>
      <c r="AE235" s="26">
        <v>0</v>
      </c>
      <c r="AF235" s="26"/>
      <c r="AG235" s="26"/>
      <c r="AH235" s="26"/>
      <c r="AI235" s="26"/>
      <c r="AJ235" s="26"/>
      <c r="AK235" s="26">
        <f>1125000+291652+3379997</f>
        <v>4796649</v>
      </c>
      <c r="AL235" s="26"/>
      <c r="AM235" s="26">
        <v>0</v>
      </c>
      <c r="AN235" s="26"/>
      <c r="AO235" s="26">
        <v>0</v>
      </c>
      <c r="AP235" s="26"/>
      <c r="AQ235" s="26">
        <v>0</v>
      </c>
      <c r="AR235" s="26"/>
      <c r="AS235" s="54">
        <f t="shared" si="12"/>
        <v>4797955</v>
      </c>
      <c r="AT235" s="26"/>
      <c r="AU235" s="54">
        <f t="shared" si="13"/>
        <v>23022390</v>
      </c>
    </row>
    <row r="236" spans="1:47">
      <c r="A236" s="13" t="s">
        <v>313</v>
      </c>
      <c r="B236" s="13"/>
      <c r="C236" s="13" t="s">
        <v>20</v>
      </c>
      <c r="D236" s="13"/>
      <c r="E236" s="32">
        <v>46565</v>
      </c>
      <c r="F236" s="26"/>
      <c r="G236" s="26">
        <v>15314771</v>
      </c>
      <c r="H236" s="26"/>
      <c r="I236" s="26">
        <v>0</v>
      </c>
      <c r="J236" s="26"/>
      <c r="K236" s="26">
        <v>2754606</v>
      </c>
      <c r="L236" s="26"/>
      <c r="M236" s="26">
        <v>98331</v>
      </c>
      <c r="N236" s="26"/>
      <c r="O236" s="26">
        <v>116041</v>
      </c>
      <c r="P236" s="26"/>
      <c r="Q236" s="26">
        <v>59432</v>
      </c>
      <c r="R236" s="26"/>
      <c r="S236" s="26">
        <v>0</v>
      </c>
      <c r="T236" s="26"/>
      <c r="U236" s="26">
        <v>1140</v>
      </c>
      <c r="V236" s="26"/>
      <c r="W236" s="26">
        <f>244094+201918+51739</f>
        <v>497751</v>
      </c>
      <c r="X236" s="26"/>
      <c r="Y236" s="54">
        <f t="shared" si="11"/>
        <v>18842072</v>
      </c>
      <c r="Z236" s="26"/>
      <c r="AA236" s="26">
        <v>69076</v>
      </c>
      <c r="AB236" s="26"/>
      <c r="AC236" s="26"/>
      <c r="AD236" s="26"/>
      <c r="AE236" s="26">
        <v>0</v>
      </c>
      <c r="AF236" s="26"/>
      <c r="AG236" s="26"/>
      <c r="AH236" s="26"/>
      <c r="AI236" s="26"/>
      <c r="AJ236" s="26"/>
      <c r="AK236" s="26">
        <v>0</v>
      </c>
      <c r="AL236" s="26"/>
      <c r="AM236" s="26">
        <v>0</v>
      </c>
      <c r="AN236" s="26"/>
      <c r="AO236" s="26">
        <v>0</v>
      </c>
      <c r="AP236" s="26"/>
      <c r="AQ236" s="26">
        <v>0</v>
      </c>
      <c r="AR236" s="26"/>
      <c r="AS236" s="54">
        <f t="shared" si="12"/>
        <v>69076</v>
      </c>
      <c r="AT236" s="26"/>
      <c r="AU236" s="54">
        <f t="shared" si="13"/>
        <v>18911148</v>
      </c>
    </row>
    <row r="237" spans="1:47" ht="13.2" customHeight="1">
      <c r="A237" s="13" t="s">
        <v>456</v>
      </c>
      <c r="B237" s="13"/>
      <c r="C237" s="13" t="s">
        <v>39</v>
      </c>
      <c r="D237" s="13"/>
      <c r="E237" s="32">
        <v>47803</v>
      </c>
      <c r="F237" s="26"/>
      <c r="G237" s="26">
        <v>7787298</v>
      </c>
      <c r="H237" s="26"/>
      <c r="I237" s="26">
        <v>0</v>
      </c>
      <c r="J237" s="26"/>
      <c r="K237" s="26">
        <f>101000+9740357+1712677</f>
        <v>11554034</v>
      </c>
      <c r="L237" s="26"/>
      <c r="M237" s="26">
        <v>102866</v>
      </c>
      <c r="N237" s="26"/>
      <c r="O237" s="26">
        <f>1375001+82577+3291+312040</f>
        <v>1772909</v>
      </c>
      <c r="P237" s="26"/>
      <c r="Q237" s="26">
        <v>197673</v>
      </c>
      <c r="R237" s="26"/>
      <c r="S237" s="26">
        <v>0</v>
      </c>
      <c r="T237" s="26"/>
      <c r="U237" s="26">
        <v>0</v>
      </c>
      <c r="V237" s="26"/>
      <c r="W237" s="26">
        <v>192375</v>
      </c>
      <c r="X237" s="26"/>
      <c r="Y237" s="54">
        <f t="shared" si="11"/>
        <v>21607155</v>
      </c>
      <c r="Z237" s="26"/>
      <c r="AA237" s="26">
        <v>64577</v>
      </c>
      <c r="AB237" s="26"/>
      <c r="AC237" s="26"/>
      <c r="AD237" s="26"/>
      <c r="AE237" s="26">
        <v>0</v>
      </c>
      <c r="AF237" s="26"/>
      <c r="AG237" s="26"/>
      <c r="AH237" s="26"/>
      <c r="AI237" s="26"/>
      <c r="AJ237" s="26"/>
      <c r="AK237" s="26">
        <v>86450</v>
      </c>
      <c r="AL237" s="26"/>
      <c r="AM237" s="26">
        <v>0</v>
      </c>
      <c r="AN237" s="26"/>
      <c r="AO237" s="26">
        <v>0</v>
      </c>
      <c r="AP237" s="26"/>
      <c r="AQ237" s="26">
        <v>0</v>
      </c>
      <c r="AR237" s="26"/>
      <c r="AS237" s="54">
        <f t="shared" si="12"/>
        <v>151027</v>
      </c>
      <c r="AT237" s="26"/>
      <c r="AU237" s="54">
        <f t="shared" si="13"/>
        <v>21758182</v>
      </c>
    </row>
    <row r="238" spans="1:47">
      <c r="A238" s="13" t="s">
        <v>400</v>
      </c>
      <c r="B238" s="13"/>
      <c r="C238" s="13" t="s">
        <v>32</v>
      </c>
      <c r="D238" s="13"/>
      <c r="E238" s="32">
        <v>45435</v>
      </c>
      <c r="F238" s="26"/>
      <c r="G238" s="26">
        <v>27657661</v>
      </c>
      <c r="H238" s="26"/>
      <c r="I238" s="26">
        <v>0</v>
      </c>
      <c r="J238" s="26"/>
      <c r="K238" s="26">
        <f>970899+6208913+2574777</f>
        <v>9754589</v>
      </c>
      <c r="L238" s="26"/>
      <c r="M238" s="26">
        <v>952026</v>
      </c>
      <c r="N238" s="26"/>
      <c r="O238" s="9">
        <v>17351</v>
      </c>
      <c r="P238" s="26"/>
      <c r="Q238" s="26">
        <v>207646</v>
      </c>
      <c r="R238" s="26"/>
      <c r="S238" s="26">
        <v>0</v>
      </c>
      <c r="T238" s="26"/>
      <c r="U238" s="26">
        <v>0</v>
      </c>
      <c r="V238" s="26"/>
      <c r="W238" s="26">
        <f>38216+663498</f>
        <v>701714</v>
      </c>
      <c r="X238" s="26"/>
      <c r="Y238" s="54">
        <f t="shared" si="11"/>
        <v>39290987</v>
      </c>
      <c r="Z238" s="26"/>
      <c r="AA238" s="26">
        <v>0</v>
      </c>
      <c r="AB238" s="26"/>
      <c r="AC238" s="26"/>
      <c r="AD238" s="26"/>
      <c r="AE238" s="26">
        <v>0</v>
      </c>
      <c r="AF238" s="26"/>
      <c r="AG238" s="26"/>
      <c r="AH238" s="26"/>
      <c r="AI238" s="26"/>
      <c r="AJ238" s="26"/>
      <c r="AK238" s="26">
        <v>822000</v>
      </c>
      <c r="AL238" s="26"/>
      <c r="AM238" s="26">
        <v>0</v>
      </c>
      <c r="AN238" s="26"/>
      <c r="AO238" s="26">
        <v>0</v>
      </c>
      <c r="AP238" s="26"/>
      <c r="AQ238" s="26">
        <v>0</v>
      </c>
      <c r="AR238" s="26"/>
      <c r="AS238" s="54">
        <f t="shared" si="12"/>
        <v>822000</v>
      </c>
      <c r="AT238" s="26"/>
      <c r="AU238" s="54">
        <f t="shared" si="13"/>
        <v>40112987</v>
      </c>
    </row>
    <row r="239" spans="1:47">
      <c r="A239" s="13" t="s">
        <v>702</v>
      </c>
      <c r="B239" s="13"/>
      <c r="C239" s="13" t="s">
        <v>65</v>
      </c>
      <c r="D239" s="13"/>
      <c r="E239" s="32">
        <v>50286</v>
      </c>
      <c r="F239" s="26"/>
      <c r="G239" s="26">
        <v>4116076</v>
      </c>
      <c r="H239" s="26"/>
      <c r="I239" s="26">
        <v>0</v>
      </c>
      <c r="J239" s="26"/>
      <c r="K239" s="26">
        <v>12255582</v>
      </c>
      <c r="L239" s="26"/>
      <c r="M239" s="26">
        <v>443545</v>
      </c>
      <c r="N239" s="26"/>
      <c r="O239" s="26">
        <v>1313811</v>
      </c>
      <c r="P239" s="26"/>
      <c r="Q239" s="26">
        <v>178877</v>
      </c>
      <c r="R239" s="26"/>
      <c r="S239" s="26">
        <v>0</v>
      </c>
      <c r="T239" s="26"/>
      <c r="U239" s="26">
        <v>64291</v>
      </c>
      <c r="V239" s="26"/>
      <c r="W239" s="26">
        <f>10068+369020+2216</f>
        <v>381304</v>
      </c>
      <c r="X239" s="26"/>
      <c r="Y239" s="54">
        <f t="shared" si="11"/>
        <v>18753486</v>
      </c>
      <c r="Z239" s="26"/>
      <c r="AA239" s="26">
        <v>264841</v>
      </c>
      <c r="AB239" s="26"/>
      <c r="AC239" s="26"/>
      <c r="AD239" s="26"/>
      <c r="AE239" s="26">
        <v>0</v>
      </c>
      <c r="AF239" s="26"/>
      <c r="AG239" s="26"/>
      <c r="AH239" s="26"/>
      <c r="AI239" s="26"/>
      <c r="AJ239" s="26"/>
      <c r="AK239" s="26">
        <f>39333+92302</f>
        <v>131635</v>
      </c>
      <c r="AL239" s="26"/>
      <c r="AM239" s="26">
        <v>0</v>
      </c>
      <c r="AN239" s="26"/>
      <c r="AO239" s="26">
        <v>0</v>
      </c>
      <c r="AP239" s="26"/>
      <c r="AQ239" s="26">
        <v>0</v>
      </c>
      <c r="AR239" s="26"/>
      <c r="AS239" s="54">
        <f t="shared" si="12"/>
        <v>396476</v>
      </c>
      <c r="AT239" s="26"/>
      <c r="AU239" s="54">
        <f t="shared" si="13"/>
        <v>19149962</v>
      </c>
    </row>
    <row r="240" spans="1:47">
      <c r="A240" s="13" t="s">
        <v>474</v>
      </c>
      <c r="B240" s="13"/>
      <c r="C240" s="13" t="s">
        <v>471</v>
      </c>
      <c r="D240" s="13"/>
      <c r="E240" s="32">
        <v>44149</v>
      </c>
      <c r="F240" s="26"/>
      <c r="G240" s="26">
        <v>3758670</v>
      </c>
      <c r="H240" s="26"/>
      <c r="I240" s="26">
        <v>0</v>
      </c>
      <c r="J240" s="26"/>
      <c r="K240" s="26">
        <v>26059703</v>
      </c>
      <c r="L240" s="26"/>
      <c r="M240" s="26">
        <v>1158567</v>
      </c>
      <c r="N240" s="26"/>
      <c r="O240" s="26">
        <v>795134</v>
      </c>
      <c r="P240" s="26"/>
      <c r="Q240" s="26">
        <v>295710</v>
      </c>
      <c r="R240" s="26"/>
      <c r="S240" s="26">
        <v>0</v>
      </c>
      <c r="T240" s="26"/>
      <c r="U240" s="26">
        <v>0</v>
      </c>
      <c r="V240" s="26"/>
      <c r="W240" s="26">
        <f>47865+147264+17250</f>
        <v>212379</v>
      </c>
      <c r="X240" s="26"/>
      <c r="Y240" s="54">
        <f t="shared" si="11"/>
        <v>32280163</v>
      </c>
      <c r="Z240" s="26"/>
      <c r="AA240" s="26">
        <v>75871</v>
      </c>
      <c r="AB240" s="26"/>
      <c r="AC240" s="26"/>
      <c r="AD240" s="26"/>
      <c r="AE240" s="26">
        <v>0</v>
      </c>
      <c r="AF240" s="26"/>
      <c r="AG240" s="26"/>
      <c r="AH240" s="26"/>
      <c r="AI240" s="26"/>
      <c r="AJ240" s="26"/>
      <c r="AK240" s="26">
        <v>0</v>
      </c>
      <c r="AL240" s="26"/>
      <c r="AM240" s="26">
        <v>0</v>
      </c>
      <c r="AN240" s="26"/>
      <c r="AO240" s="26">
        <v>0</v>
      </c>
      <c r="AP240" s="26"/>
      <c r="AQ240" s="26">
        <v>0</v>
      </c>
      <c r="AR240" s="26"/>
      <c r="AS240" s="54">
        <f t="shared" si="12"/>
        <v>75871</v>
      </c>
      <c r="AT240" s="26"/>
      <c r="AU240" s="54">
        <f t="shared" si="13"/>
        <v>32356034</v>
      </c>
    </row>
    <row r="241" spans="1:47" hidden="1">
      <c r="A241" s="12" t="s">
        <v>942</v>
      </c>
      <c r="B241" s="13"/>
      <c r="C241" s="13" t="s">
        <v>61</v>
      </c>
      <c r="D241" s="13"/>
      <c r="E241" s="32">
        <v>49809</v>
      </c>
      <c r="F241" s="26"/>
      <c r="G241" s="26">
        <v>0</v>
      </c>
      <c r="H241" s="26"/>
      <c r="I241" s="26">
        <v>0</v>
      </c>
      <c r="J241" s="26"/>
      <c r="K241" s="26">
        <v>0</v>
      </c>
      <c r="L241" s="26"/>
      <c r="M241" s="26">
        <v>0</v>
      </c>
      <c r="N241" s="26"/>
      <c r="O241" s="26">
        <v>0</v>
      </c>
      <c r="P241" s="26"/>
      <c r="Q241" s="26">
        <v>0</v>
      </c>
      <c r="R241" s="26"/>
      <c r="S241" s="26">
        <v>0</v>
      </c>
      <c r="T241" s="26"/>
      <c r="U241" s="26">
        <v>0</v>
      </c>
      <c r="V241" s="26"/>
      <c r="W241" s="26">
        <v>0</v>
      </c>
      <c r="X241" s="26"/>
      <c r="Y241" s="54">
        <f t="shared" si="11"/>
        <v>0</v>
      </c>
      <c r="Z241" s="26"/>
      <c r="AA241" s="26">
        <v>0</v>
      </c>
      <c r="AB241" s="26"/>
      <c r="AC241" s="26"/>
      <c r="AD241" s="26"/>
      <c r="AE241" s="26">
        <v>0</v>
      </c>
      <c r="AF241" s="26"/>
      <c r="AG241" s="26"/>
      <c r="AH241" s="26"/>
      <c r="AI241" s="26"/>
      <c r="AJ241" s="26"/>
      <c r="AK241" s="26">
        <v>0</v>
      </c>
      <c r="AL241" s="26"/>
      <c r="AM241" s="26">
        <v>0</v>
      </c>
      <c r="AN241" s="26"/>
      <c r="AO241" s="26">
        <v>0</v>
      </c>
      <c r="AP241" s="26"/>
      <c r="AQ241" s="26">
        <v>0</v>
      </c>
      <c r="AR241" s="26"/>
      <c r="AS241" s="54">
        <f t="shared" si="12"/>
        <v>0</v>
      </c>
      <c r="AT241" s="26"/>
      <c r="AU241" s="54">
        <f t="shared" si="13"/>
        <v>0</v>
      </c>
    </row>
    <row r="242" spans="1:47" hidden="1">
      <c r="A242" s="12" t="s">
        <v>943</v>
      </c>
      <c r="B242" s="13"/>
      <c r="C242" s="13" t="s">
        <v>38</v>
      </c>
      <c r="D242" s="13"/>
      <c r="E242" s="32"/>
      <c r="F242" s="26"/>
      <c r="G242" s="26">
        <v>0</v>
      </c>
      <c r="H242" s="26"/>
      <c r="I242" s="26">
        <v>0</v>
      </c>
      <c r="J242" s="26"/>
      <c r="K242" s="26">
        <v>0</v>
      </c>
      <c r="L242" s="26"/>
      <c r="M242" s="26">
        <v>0</v>
      </c>
      <c r="N242" s="26"/>
      <c r="O242" s="26">
        <v>0</v>
      </c>
      <c r="P242" s="26"/>
      <c r="Q242" s="26">
        <v>0</v>
      </c>
      <c r="R242" s="26"/>
      <c r="S242" s="26">
        <v>0</v>
      </c>
      <c r="T242" s="26"/>
      <c r="U242" s="26">
        <v>0</v>
      </c>
      <c r="V242" s="26"/>
      <c r="W242" s="26">
        <v>0</v>
      </c>
      <c r="X242" s="26"/>
      <c r="Y242" s="54">
        <f>SUM(G242:W242)</f>
        <v>0</v>
      </c>
      <c r="Z242" s="26"/>
      <c r="AA242" s="26">
        <v>0</v>
      </c>
      <c r="AB242" s="26"/>
      <c r="AC242" s="26"/>
      <c r="AD242" s="26"/>
      <c r="AE242" s="26">
        <v>0</v>
      </c>
      <c r="AF242" s="26"/>
      <c r="AG242" s="26"/>
      <c r="AH242" s="26"/>
      <c r="AI242" s="26"/>
      <c r="AJ242" s="26"/>
      <c r="AK242" s="26">
        <v>0</v>
      </c>
      <c r="AL242" s="26"/>
      <c r="AM242" s="26">
        <v>0</v>
      </c>
      <c r="AN242" s="26"/>
      <c r="AO242" s="26">
        <v>0</v>
      </c>
      <c r="AP242" s="26"/>
      <c r="AQ242" s="26">
        <v>0</v>
      </c>
      <c r="AR242" s="26"/>
      <c r="AS242" s="54">
        <f t="shared" si="12"/>
        <v>0</v>
      </c>
      <c r="AT242" s="26"/>
      <c r="AU242" s="54">
        <f t="shared" si="13"/>
        <v>0</v>
      </c>
    </row>
    <row r="243" spans="1:47">
      <c r="A243" s="13" t="s">
        <v>657</v>
      </c>
      <c r="B243" s="13"/>
      <c r="C243" s="13" t="s">
        <v>62</v>
      </c>
      <c r="D243" s="13"/>
      <c r="E243" s="32">
        <v>49858</v>
      </c>
      <c r="F243" s="26"/>
      <c r="G243" s="26">
        <v>41248510</v>
      </c>
      <c r="H243" s="26"/>
      <c r="I243" s="26">
        <v>0</v>
      </c>
      <c r="J243" s="26"/>
      <c r="K243" s="26">
        <f>1934177+12698213+119437</f>
        <v>14751827</v>
      </c>
      <c r="L243" s="26"/>
      <c r="M243" s="26">
        <v>1020691</v>
      </c>
      <c r="N243" s="26"/>
      <c r="O243" s="26">
        <v>233275</v>
      </c>
      <c r="P243" s="26"/>
      <c r="Q243" s="26">
        <v>1048971</v>
      </c>
      <c r="R243" s="26"/>
      <c r="S243" s="26">
        <v>0</v>
      </c>
      <c r="T243" s="26"/>
      <c r="U243" s="26">
        <v>0</v>
      </c>
      <c r="V243" s="26"/>
      <c r="W243" s="26">
        <f>632194+715842+1142917+11511</f>
        <v>2502464</v>
      </c>
      <c r="X243" s="26"/>
      <c r="Y243" s="54">
        <f t="shared" si="11"/>
        <v>60805738</v>
      </c>
      <c r="Z243" s="26"/>
      <c r="AA243" s="26">
        <v>0</v>
      </c>
      <c r="AB243" s="26"/>
      <c r="AC243" s="26"/>
      <c r="AD243" s="26"/>
      <c r="AE243" s="26">
        <v>0</v>
      </c>
      <c r="AF243" s="26"/>
      <c r="AG243" s="26"/>
      <c r="AH243" s="26"/>
      <c r="AI243" s="26"/>
      <c r="AJ243" s="26"/>
      <c r="AK243" s="26">
        <v>491207</v>
      </c>
      <c r="AL243" s="26"/>
      <c r="AM243" s="26">
        <v>0</v>
      </c>
      <c r="AN243" s="26"/>
      <c r="AO243" s="26">
        <v>0</v>
      </c>
      <c r="AP243" s="26"/>
      <c r="AQ243" s="26">
        <v>0</v>
      </c>
      <c r="AR243" s="26"/>
      <c r="AS243" s="54">
        <f t="shared" si="12"/>
        <v>491207</v>
      </c>
      <c r="AT243" s="26"/>
      <c r="AU243" s="54">
        <f t="shared" si="13"/>
        <v>61296945</v>
      </c>
    </row>
    <row r="244" spans="1:47">
      <c r="A244" s="13" t="s">
        <v>518</v>
      </c>
      <c r="B244" s="13"/>
      <c r="C244" s="13" t="s">
        <v>45</v>
      </c>
      <c r="D244" s="13"/>
      <c r="E244" s="32">
        <v>48322</v>
      </c>
      <c r="F244" s="26"/>
      <c r="G244" s="26">
        <v>5539948</v>
      </c>
      <c r="H244" s="26"/>
      <c r="I244" s="26">
        <v>0</v>
      </c>
      <c r="J244" s="26"/>
      <c r="K244" s="26">
        <f>21723+3775356+514715</f>
        <v>4311794</v>
      </c>
      <c r="L244" s="26"/>
      <c r="M244" s="26">
        <v>656759</v>
      </c>
      <c r="N244" s="26"/>
      <c r="O244" s="26">
        <v>297456</v>
      </c>
      <c r="P244" s="26"/>
      <c r="Q244" s="26">
        <v>72971</v>
      </c>
      <c r="R244" s="26"/>
      <c r="S244" s="26">
        <v>0</v>
      </c>
      <c r="T244" s="26"/>
      <c r="U244" s="26">
        <v>0</v>
      </c>
      <c r="V244" s="26"/>
      <c r="W244" s="26">
        <f>140276+13743+114717</f>
        <v>268736</v>
      </c>
      <c r="X244" s="26"/>
      <c r="Y244" s="54">
        <f t="shared" si="11"/>
        <v>11147664</v>
      </c>
      <c r="Z244" s="26"/>
      <c r="AA244" s="26">
        <v>70036</v>
      </c>
      <c r="AB244" s="26"/>
      <c r="AC244" s="26"/>
      <c r="AD244" s="26"/>
      <c r="AE244" s="26">
        <v>0</v>
      </c>
      <c r="AF244" s="26"/>
      <c r="AG244" s="26"/>
      <c r="AH244" s="26"/>
      <c r="AI244" s="26"/>
      <c r="AJ244" s="26"/>
      <c r="AK244" s="26">
        <v>359</v>
      </c>
      <c r="AL244" s="26"/>
      <c r="AM244" s="26">
        <v>0</v>
      </c>
      <c r="AN244" s="26"/>
      <c r="AO244" s="26">
        <v>0</v>
      </c>
      <c r="AP244" s="26"/>
      <c r="AQ244" s="26">
        <v>0</v>
      </c>
      <c r="AR244" s="26"/>
      <c r="AS244" s="54">
        <f t="shared" si="12"/>
        <v>70395</v>
      </c>
      <c r="AT244" s="26"/>
      <c r="AU244" s="54">
        <f t="shared" si="13"/>
        <v>11218059</v>
      </c>
    </row>
    <row r="245" spans="1:47">
      <c r="A245" s="13" t="s">
        <v>598</v>
      </c>
      <c r="B245" s="13"/>
      <c r="C245" s="13" t="s">
        <v>56</v>
      </c>
      <c r="D245" s="13"/>
      <c r="E245" s="32">
        <v>49205</v>
      </c>
      <c r="F245" s="26"/>
      <c r="G245" s="26">
        <v>4641094</v>
      </c>
      <c r="H245" s="26"/>
      <c r="I245" s="26">
        <v>0</v>
      </c>
      <c r="J245" s="26"/>
      <c r="K245" s="26">
        <f>746360+6690880</f>
        <v>7437240</v>
      </c>
      <c r="L245" s="26"/>
      <c r="M245" s="26">
        <v>126564</v>
      </c>
      <c r="N245" s="26"/>
      <c r="O245" s="26">
        <v>838295</v>
      </c>
      <c r="P245" s="26"/>
      <c r="Q245" s="26">
        <v>134823</v>
      </c>
      <c r="R245" s="26"/>
      <c r="S245" s="26">
        <v>0</v>
      </c>
      <c r="T245" s="26"/>
      <c r="U245" s="26">
        <v>8703</v>
      </c>
      <c r="V245" s="26"/>
      <c r="W245" s="26">
        <f>159884+21639+333364+8520</f>
        <v>523407</v>
      </c>
      <c r="X245" s="26"/>
      <c r="Y245" s="54">
        <f t="shared" si="11"/>
        <v>13710126</v>
      </c>
      <c r="Z245" s="26"/>
      <c r="AA245" s="26">
        <v>0</v>
      </c>
      <c r="AB245" s="26"/>
      <c r="AC245" s="26"/>
      <c r="AD245" s="26"/>
      <c r="AE245" s="26">
        <v>0</v>
      </c>
      <c r="AF245" s="26"/>
      <c r="AG245" s="26"/>
      <c r="AH245" s="26"/>
      <c r="AI245" s="26"/>
      <c r="AJ245" s="26"/>
      <c r="AK245" s="26">
        <v>525</v>
      </c>
      <c r="AL245" s="26"/>
      <c r="AM245" s="26">
        <v>0</v>
      </c>
      <c r="AN245" s="26"/>
      <c r="AO245" s="26">
        <v>0</v>
      </c>
      <c r="AP245" s="26"/>
      <c r="AQ245" s="26">
        <v>0</v>
      </c>
      <c r="AR245" s="26"/>
      <c r="AS245" s="54">
        <f t="shared" si="12"/>
        <v>525</v>
      </c>
      <c r="AT245" s="26"/>
      <c r="AU245" s="54">
        <f t="shared" si="13"/>
        <v>13710651</v>
      </c>
    </row>
    <row r="246" spans="1:47">
      <c r="A246" s="13" t="s">
        <v>223</v>
      </c>
      <c r="B246" s="13"/>
      <c r="C246" s="13" t="s">
        <v>12</v>
      </c>
      <c r="D246" s="13"/>
      <c r="E246" s="32">
        <v>45872</v>
      </c>
      <c r="F246" s="26"/>
      <c r="G246" s="26">
        <v>7178921</v>
      </c>
      <c r="H246" s="26"/>
      <c r="I246" s="26">
        <v>0</v>
      </c>
      <c r="J246" s="26"/>
      <c r="K246" s="26">
        <v>12915058</v>
      </c>
      <c r="L246" s="26"/>
      <c r="M246" s="26">
        <v>1510389</v>
      </c>
      <c r="N246" s="26"/>
      <c r="O246" s="26">
        <v>392577</v>
      </c>
      <c r="P246" s="26"/>
      <c r="Q246" s="26">
        <v>93416</v>
      </c>
      <c r="R246" s="26"/>
      <c r="S246" s="26">
        <v>0</v>
      </c>
      <c r="T246" s="26"/>
      <c r="U246" s="26">
        <v>0</v>
      </c>
      <c r="V246" s="26"/>
      <c r="W246" s="26">
        <f>245364+650+355693</f>
        <v>601707</v>
      </c>
      <c r="X246" s="26"/>
      <c r="Y246" s="54">
        <f t="shared" si="11"/>
        <v>22692068</v>
      </c>
      <c r="Z246" s="26"/>
      <c r="AA246" s="26">
        <v>14845777</v>
      </c>
      <c r="AB246" s="26"/>
      <c r="AC246" s="26"/>
      <c r="AD246" s="26"/>
      <c r="AE246" s="26">
        <v>0</v>
      </c>
      <c r="AF246" s="26"/>
      <c r="AG246" s="26"/>
      <c r="AH246" s="26"/>
      <c r="AI246" s="26"/>
      <c r="AJ246" s="26"/>
      <c r="AK246" s="26">
        <f>1047273+20949979</f>
        <v>21997252</v>
      </c>
      <c r="AL246" s="26"/>
      <c r="AM246" s="26">
        <v>0</v>
      </c>
      <c r="AN246" s="26"/>
      <c r="AO246" s="26">
        <v>0</v>
      </c>
      <c r="AP246" s="26"/>
      <c r="AQ246" s="26">
        <v>0</v>
      </c>
      <c r="AR246" s="26"/>
      <c r="AS246" s="54">
        <f t="shared" si="12"/>
        <v>36843029</v>
      </c>
      <c r="AT246" s="26"/>
      <c r="AU246" s="54">
        <f t="shared" si="13"/>
        <v>59535097</v>
      </c>
    </row>
    <row r="247" spans="1:47">
      <c r="A247" s="13" t="s">
        <v>510</v>
      </c>
      <c r="B247" s="13"/>
      <c r="C247" s="13" t="s">
        <v>511</v>
      </c>
      <c r="D247" s="13"/>
      <c r="E247" s="32">
        <v>48256</v>
      </c>
      <c r="F247" s="26"/>
      <c r="G247" s="26">
        <v>7295059</v>
      </c>
      <c r="H247" s="26"/>
      <c r="I247" s="26">
        <v>0</v>
      </c>
      <c r="J247" s="26"/>
      <c r="K247" s="26">
        <f>1961+4808873+639730</f>
        <v>5450564</v>
      </c>
      <c r="L247" s="26"/>
      <c r="M247" s="26">
        <v>276987</v>
      </c>
      <c r="N247" s="26"/>
      <c r="O247" s="26">
        <v>657457</v>
      </c>
      <c r="P247" s="26"/>
      <c r="Q247" s="26">
        <v>179573</v>
      </c>
      <c r="R247" s="26"/>
      <c r="S247" s="26">
        <v>0</v>
      </c>
      <c r="T247" s="26"/>
      <c r="U247" s="26">
        <v>0</v>
      </c>
      <c r="V247" s="26"/>
      <c r="W247" s="26">
        <f>465507+57778+319413</f>
        <v>842698</v>
      </c>
      <c r="X247" s="26"/>
      <c r="Y247" s="54">
        <f t="shared" si="11"/>
        <v>14702338</v>
      </c>
      <c r="Z247" s="26"/>
      <c r="AA247" s="26">
        <v>138864</v>
      </c>
      <c r="AB247" s="26"/>
      <c r="AC247" s="26"/>
      <c r="AD247" s="26"/>
      <c r="AE247" s="26">
        <v>0</v>
      </c>
      <c r="AF247" s="26"/>
      <c r="AG247" s="26"/>
      <c r="AH247" s="26"/>
      <c r="AI247" s="26"/>
      <c r="AJ247" s="26"/>
      <c r="AK247" s="26">
        <v>1500000</v>
      </c>
      <c r="AL247" s="26"/>
      <c r="AM247" s="26">
        <v>0</v>
      </c>
      <c r="AN247" s="26"/>
      <c r="AO247" s="26">
        <v>0</v>
      </c>
      <c r="AP247" s="26"/>
      <c r="AQ247" s="26">
        <v>0</v>
      </c>
      <c r="AR247" s="26"/>
      <c r="AS247" s="54">
        <f t="shared" si="12"/>
        <v>1638864</v>
      </c>
      <c r="AT247" s="26"/>
      <c r="AU247" s="54">
        <f t="shared" si="13"/>
        <v>16341202</v>
      </c>
    </row>
    <row r="248" spans="1:47">
      <c r="A248" s="13" t="s">
        <v>556</v>
      </c>
      <c r="B248" s="13"/>
      <c r="C248" s="13" t="s">
        <v>50</v>
      </c>
      <c r="D248" s="13"/>
      <c r="E248" s="32">
        <v>48686</v>
      </c>
      <c r="F248" s="26"/>
      <c r="G248" s="26">
        <v>3269705</v>
      </c>
      <c r="H248" s="26"/>
      <c r="I248" s="26">
        <v>0</v>
      </c>
      <c r="J248" s="26"/>
      <c r="K248" s="26">
        <v>5525327</v>
      </c>
      <c r="L248" s="26"/>
      <c r="M248" s="26">
        <v>31252</v>
      </c>
      <c r="N248" s="26"/>
      <c r="O248" s="26">
        <v>645470</v>
      </c>
      <c r="P248" s="26"/>
      <c r="Q248" s="26">
        <v>35215</v>
      </c>
      <c r="R248" s="26"/>
      <c r="S248" s="26">
        <v>0</v>
      </c>
      <c r="T248" s="26"/>
      <c r="U248" s="26">
        <v>243</v>
      </c>
      <c r="V248" s="26"/>
      <c r="W248" s="26">
        <f>3150+33328+48106</f>
        <v>84584</v>
      </c>
      <c r="X248" s="26"/>
      <c r="Y248" s="54">
        <f t="shared" si="11"/>
        <v>9591796</v>
      </c>
      <c r="Z248" s="26"/>
      <c r="AA248" s="26">
        <v>52339</v>
      </c>
      <c r="AB248" s="26"/>
      <c r="AC248" s="26"/>
      <c r="AD248" s="26"/>
      <c r="AE248" s="26">
        <v>0</v>
      </c>
      <c r="AF248" s="26"/>
      <c r="AG248" s="26"/>
      <c r="AH248" s="26"/>
      <c r="AI248" s="26"/>
      <c r="AJ248" s="26"/>
      <c r="AK248" s="26">
        <v>1500</v>
      </c>
      <c r="AL248" s="26"/>
      <c r="AM248" s="26">
        <v>0</v>
      </c>
      <c r="AN248" s="26"/>
      <c r="AO248" s="26">
        <v>0</v>
      </c>
      <c r="AP248" s="26"/>
      <c r="AQ248" s="26">
        <v>0</v>
      </c>
      <c r="AR248" s="26"/>
      <c r="AS248" s="54">
        <f t="shared" si="12"/>
        <v>53839</v>
      </c>
      <c r="AT248" s="26"/>
      <c r="AU248" s="54">
        <f t="shared" si="13"/>
        <v>9645635</v>
      </c>
    </row>
    <row r="249" spans="1:47">
      <c r="A249" s="13" t="s">
        <v>480</v>
      </c>
      <c r="B249" s="13"/>
      <c r="C249" s="13" t="s">
        <v>42</v>
      </c>
      <c r="D249" s="13"/>
      <c r="E249" s="32">
        <v>47985</v>
      </c>
      <c r="F249" s="26"/>
      <c r="G249" s="26">
        <v>6359774</v>
      </c>
      <c r="H249" s="26"/>
      <c r="I249" s="26">
        <v>0</v>
      </c>
      <c r="J249" s="26"/>
      <c r="K249" s="26">
        <f>13663+5707979+591053</f>
        <v>6312695</v>
      </c>
      <c r="L249" s="26"/>
      <c r="M249" s="26">
        <v>195275</v>
      </c>
      <c r="N249" s="26"/>
      <c r="O249" s="26">
        <v>249909</v>
      </c>
      <c r="P249" s="26"/>
      <c r="Q249" s="26">
        <v>165675</v>
      </c>
      <c r="R249" s="26"/>
      <c r="S249" s="26">
        <v>0</v>
      </c>
      <c r="T249" s="26"/>
      <c r="U249" s="26">
        <v>0</v>
      </c>
      <c r="V249" s="26"/>
      <c r="W249" s="26">
        <f>76790+266208+50365+87463</f>
        <v>480826</v>
      </c>
      <c r="X249" s="26"/>
      <c r="Y249" s="54">
        <f t="shared" si="11"/>
        <v>13764154</v>
      </c>
      <c r="Z249" s="26"/>
      <c r="AA249" s="26">
        <v>124160</v>
      </c>
      <c r="AB249" s="26"/>
      <c r="AC249" s="26"/>
      <c r="AD249" s="26"/>
      <c r="AE249" s="26">
        <v>0</v>
      </c>
      <c r="AF249" s="26"/>
      <c r="AG249" s="26"/>
      <c r="AH249" s="26"/>
      <c r="AI249" s="26"/>
      <c r="AJ249" s="26"/>
      <c r="AK249" s="26">
        <f>1170+37997+48603</f>
        <v>87770</v>
      </c>
      <c r="AL249" s="26"/>
      <c r="AM249" s="26">
        <v>0</v>
      </c>
      <c r="AN249" s="26"/>
      <c r="AO249" s="26">
        <v>0</v>
      </c>
      <c r="AP249" s="26"/>
      <c r="AQ249" s="26">
        <v>0</v>
      </c>
      <c r="AR249" s="26"/>
      <c r="AS249" s="54">
        <f t="shared" si="12"/>
        <v>211930</v>
      </c>
      <c r="AT249" s="26"/>
      <c r="AU249" s="54">
        <f t="shared" si="13"/>
        <v>13976084</v>
      </c>
    </row>
    <row r="250" spans="1:47">
      <c r="A250" s="13" t="s">
        <v>512</v>
      </c>
      <c r="B250" s="13"/>
      <c r="C250" s="13" t="s">
        <v>511</v>
      </c>
      <c r="D250" s="13"/>
      <c r="E250" s="32">
        <v>48264</v>
      </c>
      <c r="F250" s="26"/>
      <c r="G250" s="26">
        <v>9434960</v>
      </c>
      <c r="H250" s="26"/>
      <c r="I250" s="26">
        <v>0</v>
      </c>
      <c r="J250" s="26"/>
      <c r="K250" s="26">
        <f>1553+7965647+836600</f>
        <v>8803800</v>
      </c>
      <c r="L250" s="26"/>
      <c r="M250" s="26">
        <v>102029</v>
      </c>
      <c r="N250" s="26"/>
      <c r="O250" s="26">
        <v>659970</v>
      </c>
      <c r="P250" s="26"/>
      <c r="Q250" s="26">
        <v>449923</v>
      </c>
      <c r="R250" s="26"/>
      <c r="S250" s="26">
        <v>0</v>
      </c>
      <c r="T250" s="26"/>
      <c r="U250" s="26">
        <v>0</v>
      </c>
      <c r="V250" s="26"/>
      <c r="W250" s="26">
        <f>234248+490709+104743</f>
        <v>829700</v>
      </c>
      <c r="X250" s="26"/>
      <c r="Y250" s="54">
        <f t="shared" si="11"/>
        <v>20280382</v>
      </c>
      <c r="Z250" s="26"/>
      <c r="AA250" s="26">
        <v>159628</v>
      </c>
      <c r="AB250" s="26"/>
      <c r="AC250" s="26"/>
      <c r="AD250" s="26"/>
      <c r="AE250" s="26">
        <v>9449996</v>
      </c>
      <c r="AF250" s="26"/>
      <c r="AG250" s="26"/>
      <c r="AH250" s="26"/>
      <c r="AI250" s="26"/>
      <c r="AJ250" s="26"/>
      <c r="AK250" s="26">
        <v>457821</v>
      </c>
      <c r="AL250" s="26"/>
      <c r="AM250" s="26">
        <v>0</v>
      </c>
      <c r="AN250" s="26"/>
      <c r="AO250" s="26">
        <v>0</v>
      </c>
      <c r="AP250" s="26"/>
      <c r="AQ250" s="26">
        <v>0</v>
      </c>
      <c r="AR250" s="26"/>
      <c r="AS250" s="54">
        <f t="shared" si="12"/>
        <v>10067445</v>
      </c>
      <c r="AT250" s="26"/>
      <c r="AU250" s="54">
        <f t="shared" si="13"/>
        <v>30347827</v>
      </c>
    </row>
    <row r="251" spans="1:47">
      <c r="A251" s="13" t="s">
        <v>687</v>
      </c>
      <c r="B251" s="13"/>
      <c r="C251" s="13" t="s">
        <v>64</v>
      </c>
      <c r="D251" s="13"/>
      <c r="E251" s="32">
        <v>50179</v>
      </c>
      <c r="F251" s="26"/>
      <c r="G251" s="26">
        <v>3515721</v>
      </c>
      <c r="H251" s="26"/>
      <c r="I251" s="26">
        <v>0</v>
      </c>
      <c r="J251" s="26"/>
      <c r="K251" s="26">
        <v>5485745</v>
      </c>
      <c r="L251" s="26"/>
      <c r="M251" s="26">
        <v>156548</v>
      </c>
      <c r="N251" s="26"/>
      <c r="O251" s="26">
        <v>219576</v>
      </c>
      <c r="P251" s="26"/>
      <c r="Q251" s="26">
        <v>54717</v>
      </c>
      <c r="R251" s="26"/>
      <c r="S251" s="26">
        <v>0</v>
      </c>
      <c r="T251" s="26"/>
      <c r="U251" s="26">
        <v>21682</v>
      </c>
      <c r="V251" s="26"/>
      <c r="W251" s="26">
        <f>21466+15553</f>
        <v>37019</v>
      </c>
      <c r="X251" s="26"/>
      <c r="Y251" s="54">
        <f t="shared" si="11"/>
        <v>9491008</v>
      </c>
      <c r="Z251" s="26"/>
      <c r="AA251" s="26">
        <v>1250497</v>
      </c>
      <c r="AB251" s="26"/>
      <c r="AC251" s="26"/>
      <c r="AD251" s="26"/>
      <c r="AE251" s="26">
        <v>0</v>
      </c>
      <c r="AF251" s="26"/>
      <c r="AG251" s="26"/>
      <c r="AH251" s="26"/>
      <c r="AI251" s="26"/>
      <c r="AJ251" s="26"/>
      <c r="AK251" s="26">
        <v>44978</v>
      </c>
      <c r="AL251" s="26"/>
      <c r="AM251" s="26">
        <v>0</v>
      </c>
      <c r="AN251" s="26"/>
      <c r="AO251" s="26">
        <v>0</v>
      </c>
      <c r="AP251" s="26"/>
      <c r="AQ251" s="26">
        <v>0</v>
      </c>
      <c r="AR251" s="26"/>
      <c r="AS251" s="54">
        <f t="shared" si="12"/>
        <v>1295475</v>
      </c>
      <c r="AT251" s="26"/>
      <c r="AU251" s="54">
        <f t="shared" si="13"/>
        <v>10786483</v>
      </c>
    </row>
    <row r="252" spans="1:47">
      <c r="A252" s="13" t="s">
        <v>342</v>
      </c>
      <c r="B252" s="13"/>
      <c r="C252" s="13" t="s">
        <v>24</v>
      </c>
      <c r="D252" s="13"/>
      <c r="E252" s="32">
        <v>46797</v>
      </c>
      <c r="F252" s="26"/>
      <c r="G252" s="26">
        <v>999281</v>
      </c>
      <c r="H252" s="26"/>
      <c r="I252" s="26">
        <v>0</v>
      </c>
      <c r="J252" s="26"/>
      <c r="K252" s="26">
        <f>143096+28274</f>
        <v>171370</v>
      </c>
      <c r="L252" s="26"/>
      <c r="M252" s="26">
        <v>19752</v>
      </c>
      <c r="N252" s="26"/>
      <c r="O252" s="26">
        <v>0</v>
      </c>
      <c r="P252" s="26"/>
      <c r="Q252" s="26">
        <v>0</v>
      </c>
      <c r="R252" s="26"/>
      <c r="S252" s="26">
        <v>0</v>
      </c>
      <c r="T252" s="26"/>
      <c r="U252" s="26">
        <v>0</v>
      </c>
      <c r="V252" s="26"/>
      <c r="W252" s="26">
        <v>191</v>
      </c>
      <c r="X252" s="26"/>
      <c r="Y252" s="54">
        <f t="shared" si="11"/>
        <v>1190594</v>
      </c>
      <c r="Z252" s="26"/>
      <c r="AA252" s="26">
        <v>0</v>
      </c>
      <c r="AB252" s="26"/>
      <c r="AC252" s="26"/>
      <c r="AD252" s="26"/>
      <c r="AE252" s="26">
        <v>0</v>
      </c>
      <c r="AF252" s="26"/>
      <c r="AG252" s="26"/>
      <c r="AH252" s="26"/>
      <c r="AI252" s="26"/>
      <c r="AJ252" s="26"/>
      <c r="AK252" s="26">
        <v>0</v>
      </c>
      <c r="AL252" s="26"/>
      <c r="AM252" s="26">
        <v>0</v>
      </c>
      <c r="AN252" s="26"/>
      <c r="AO252" s="26">
        <v>0</v>
      </c>
      <c r="AP252" s="26"/>
      <c r="AQ252" s="26">
        <v>0</v>
      </c>
      <c r="AR252" s="26"/>
      <c r="AS252" s="54">
        <f t="shared" si="12"/>
        <v>0</v>
      </c>
      <c r="AT252" s="26"/>
      <c r="AU252" s="54">
        <f t="shared" si="13"/>
        <v>1190594</v>
      </c>
    </row>
    <row r="253" spans="1:47">
      <c r="A253" s="13" t="s">
        <v>384</v>
      </c>
      <c r="B253" s="13"/>
      <c r="C253" s="13" t="s">
        <v>30</v>
      </c>
      <c r="D253" s="13"/>
      <c r="E253" s="32">
        <v>47191</v>
      </c>
      <c r="F253" s="26"/>
      <c r="G253" s="26">
        <v>26530740</v>
      </c>
      <c r="H253" s="26"/>
      <c r="I253" s="26">
        <v>0</v>
      </c>
      <c r="J253" s="26"/>
      <c r="K253" s="26">
        <v>10382154</v>
      </c>
      <c r="L253" s="26"/>
      <c r="M253" s="26">
        <v>679819</v>
      </c>
      <c r="N253" s="26"/>
      <c r="O253" s="26">
        <v>396139</v>
      </c>
      <c r="P253" s="26"/>
      <c r="Q253" s="26">
        <v>673163</v>
      </c>
      <c r="R253" s="26"/>
      <c r="S253" s="26">
        <v>0</v>
      </c>
      <c r="T253" s="26"/>
      <c r="U253" s="26">
        <v>0</v>
      </c>
      <c r="V253" s="26"/>
      <c r="W253" s="26">
        <f>300955+88956</f>
        <v>389911</v>
      </c>
      <c r="X253" s="26"/>
      <c r="Y253" s="54">
        <f t="shared" si="11"/>
        <v>39051926</v>
      </c>
      <c r="Z253" s="26"/>
      <c r="AA253" s="26">
        <v>116585</v>
      </c>
      <c r="AB253" s="26"/>
      <c r="AC253" s="26"/>
      <c r="AD253" s="26"/>
      <c r="AE253" s="26">
        <v>0</v>
      </c>
      <c r="AF253" s="26"/>
      <c r="AG253" s="26"/>
      <c r="AH253" s="26"/>
      <c r="AI253" s="26"/>
      <c r="AJ253" s="26"/>
      <c r="AK253" s="26">
        <v>0</v>
      </c>
      <c r="AL253" s="26"/>
      <c r="AM253" s="26">
        <v>0</v>
      </c>
      <c r="AN253" s="26"/>
      <c r="AO253" s="26">
        <v>0</v>
      </c>
      <c r="AP253" s="26"/>
      <c r="AQ253" s="26">
        <v>0</v>
      </c>
      <c r="AR253" s="26"/>
      <c r="AS253" s="54">
        <f t="shared" si="12"/>
        <v>116585</v>
      </c>
      <c r="AT253" s="26"/>
      <c r="AU253" s="54">
        <f t="shared" si="13"/>
        <v>39168511</v>
      </c>
    </row>
    <row r="254" spans="1:47">
      <c r="A254" s="13" t="s">
        <v>599</v>
      </c>
      <c r="B254" s="13"/>
      <c r="C254" s="13" t="s">
        <v>56</v>
      </c>
      <c r="D254" s="13"/>
      <c r="E254" s="32">
        <v>44164</v>
      </c>
      <c r="F254" s="26"/>
      <c r="G254" s="26">
        <v>23838563</v>
      </c>
      <c r="H254" s="26"/>
      <c r="I254" s="26">
        <v>0</v>
      </c>
      <c r="J254" s="26"/>
      <c r="K254" s="26">
        <v>19594730</v>
      </c>
      <c r="L254" s="26"/>
      <c r="M254" s="26">
        <v>891161</v>
      </c>
      <c r="N254" s="26"/>
      <c r="O254" s="26">
        <v>2752832</v>
      </c>
      <c r="P254" s="26"/>
      <c r="Q254" s="26">
        <v>335031</v>
      </c>
      <c r="R254" s="26"/>
      <c r="S254" s="26">
        <v>0</v>
      </c>
      <c r="T254" s="26"/>
      <c r="U254" s="26">
        <v>95399</v>
      </c>
      <c r="V254" s="26"/>
      <c r="W254" s="26">
        <f>947245+167136+120284</f>
        <v>1234665</v>
      </c>
      <c r="X254" s="26"/>
      <c r="Y254" s="54">
        <f t="shared" si="11"/>
        <v>48742381</v>
      </c>
      <c r="Z254" s="26"/>
      <c r="AA254" s="26">
        <v>628365</v>
      </c>
      <c r="AB254" s="26"/>
      <c r="AC254" s="26"/>
      <c r="AD254" s="26"/>
      <c r="AE254" s="26"/>
      <c r="AF254" s="26"/>
      <c r="AG254" s="26"/>
      <c r="AH254" s="26"/>
      <c r="AI254" s="26"/>
      <c r="AJ254" s="26"/>
      <c r="AK254" s="26">
        <f>92000+2149996+104530</f>
        <v>2346526</v>
      </c>
      <c r="AL254" s="26"/>
      <c r="AM254" s="26">
        <v>0</v>
      </c>
      <c r="AN254" s="26"/>
      <c r="AO254" s="26">
        <v>0</v>
      </c>
      <c r="AP254" s="26"/>
      <c r="AQ254" s="26">
        <v>0</v>
      </c>
      <c r="AR254" s="26"/>
      <c r="AS254" s="54">
        <f t="shared" si="12"/>
        <v>2974891</v>
      </c>
      <c r="AT254" s="26"/>
      <c r="AU254" s="54">
        <f t="shared" si="13"/>
        <v>51717272</v>
      </c>
    </row>
    <row r="255" spans="1:47">
      <c r="A255" s="13" t="s">
        <v>428</v>
      </c>
      <c r="B255" s="13"/>
      <c r="C255" s="13" t="s">
        <v>426</v>
      </c>
      <c r="D255" s="13"/>
      <c r="E255" s="32">
        <v>44172</v>
      </c>
      <c r="F255" s="26"/>
      <c r="G255" s="26">
        <v>4298490</v>
      </c>
      <c r="H255" s="26"/>
      <c r="I255" s="26">
        <v>1884151</v>
      </c>
      <c r="J255" s="26"/>
      <c r="K255" s="26">
        <v>11031638</v>
      </c>
      <c r="L255" s="26"/>
      <c r="M255" s="26">
        <v>215764</v>
      </c>
      <c r="N255" s="26"/>
      <c r="O255" s="26">
        <v>749005</v>
      </c>
      <c r="P255" s="26"/>
      <c r="Q255" s="26">
        <v>173099</v>
      </c>
      <c r="R255" s="26"/>
      <c r="S255" s="26">
        <v>0</v>
      </c>
      <c r="T255" s="26"/>
      <c r="U255" s="26">
        <v>3926</v>
      </c>
      <c r="V255" s="26"/>
      <c r="W255" s="26">
        <f>370640+78692</f>
        <v>449332</v>
      </c>
      <c r="X255" s="26"/>
      <c r="Y255" s="54">
        <f t="shared" si="11"/>
        <v>18805405</v>
      </c>
      <c r="Z255" s="26"/>
      <c r="AA255" s="26">
        <v>10441</v>
      </c>
      <c r="AB255" s="26"/>
      <c r="AC255" s="26"/>
      <c r="AD255" s="26"/>
      <c r="AE255" s="26">
        <v>0</v>
      </c>
      <c r="AF255" s="26"/>
      <c r="AG255" s="26"/>
      <c r="AH255" s="26"/>
      <c r="AI255" s="26"/>
      <c r="AJ255" s="26"/>
      <c r="AK255" s="26">
        <v>100</v>
      </c>
      <c r="AL255" s="26"/>
      <c r="AM255" s="26">
        <v>0</v>
      </c>
      <c r="AN255" s="26"/>
      <c r="AO255" s="26">
        <v>0</v>
      </c>
      <c r="AP255" s="26"/>
      <c r="AQ255" s="26">
        <v>0</v>
      </c>
      <c r="AR255" s="26"/>
      <c r="AS255" s="54">
        <f t="shared" si="12"/>
        <v>10541</v>
      </c>
      <c r="AT255" s="26"/>
      <c r="AU255" s="54">
        <f t="shared" si="13"/>
        <v>18815946</v>
      </c>
    </row>
    <row r="256" spans="1:47">
      <c r="A256" s="13"/>
      <c r="B256" s="13"/>
      <c r="C256" s="13"/>
      <c r="D256" s="13"/>
      <c r="E256" s="32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54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54"/>
      <c r="AT256" s="26"/>
      <c r="AU256" s="54"/>
    </row>
    <row r="257" spans="1:47">
      <c r="A257" s="13"/>
      <c r="B257" s="13"/>
      <c r="C257" s="13"/>
      <c r="D257" s="13"/>
      <c r="E257" s="32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54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54"/>
      <c r="AT257" s="26"/>
      <c r="AU257" s="92" t="s">
        <v>819</v>
      </c>
    </row>
    <row r="258" spans="1:47" s="35" customFormat="1">
      <c r="A258" s="34" t="s">
        <v>557</v>
      </c>
      <c r="B258" s="34"/>
      <c r="C258" s="34" t="s">
        <v>50</v>
      </c>
      <c r="D258" s="34"/>
      <c r="E258" s="34">
        <v>44180</v>
      </c>
      <c r="F258" s="43"/>
      <c r="G258" s="43">
        <v>57556743</v>
      </c>
      <c r="H258" s="43"/>
      <c r="I258" s="43">
        <v>0</v>
      </c>
      <c r="J258" s="43"/>
      <c r="K258" s="43">
        <v>29622757</v>
      </c>
      <c r="L258" s="43"/>
      <c r="M258" s="43">
        <v>1205909</v>
      </c>
      <c r="N258" s="43"/>
      <c r="O258" s="43">
        <v>969080</v>
      </c>
      <c r="P258" s="43"/>
      <c r="Q258" s="43">
        <v>735312</v>
      </c>
      <c r="R258" s="43"/>
      <c r="S258" s="43">
        <v>0</v>
      </c>
      <c r="T258" s="43"/>
      <c r="U258" s="43">
        <v>0</v>
      </c>
      <c r="V258" s="43"/>
      <c r="W258" s="43">
        <v>3029120</v>
      </c>
      <c r="X258" s="43"/>
      <c r="Y258" s="66">
        <f t="shared" si="11"/>
        <v>93118921</v>
      </c>
      <c r="Z258" s="43"/>
      <c r="AA258" s="43">
        <v>13500</v>
      </c>
      <c r="AB258" s="43"/>
      <c r="AC258" s="43"/>
      <c r="AD258" s="43"/>
      <c r="AE258" s="43">
        <v>281708</v>
      </c>
      <c r="AF258" s="43"/>
      <c r="AG258" s="43"/>
      <c r="AH258" s="43"/>
      <c r="AI258" s="43"/>
      <c r="AJ258" s="43"/>
      <c r="AK258" s="43">
        <v>281708</v>
      </c>
      <c r="AL258" s="43"/>
      <c r="AM258" s="43">
        <v>0</v>
      </c>
      <c r="AN258" s="43"/>
      <c r="AO258" s="43">
        <v>0</v>
      </c>
      <c r="AP258" s="43"/>
      <c r="AQ258" s="43">
        <v>0</v>
      </c>
      <c r="AR258" s="43"/>
      <c r="AS258" s="66">
        <f t="shared" si="12"/>
        <v>576916</v>
      </c>
      <c r="AT258" s="43"/>
      <c r="AU258" s="66">
        <f t="shared" si="13"/>
        <v>93695837</v>
      </c>
    </row>
    <row r="259" spans="1:47">
      <c r="A259" s="13" t="s">
        <v>495</v>
      </c>
      <c r="B259" s="13"/>
      <c r="C259" s="13" t="s">
        <v>44</v>
      </c>
      <c r="D259" s="13"/>
      <c r="E259" s="32">
        <v>48165</v>
      </c>
      <c r="F259" s="26"/>
      <c r="G259" s="26">
        <v>6883813</v>
      </c>
      <c r="H259" s="26"/>
      <c r="I259" s="26">
        <v>0</v>
      </c>
      <c r="J259" s="26"/>
      <c r="K259" s="26">
        <v>8829129</v>
      </c>
      <c r="L259" s="26"/>
      <c r="M259" s="26">
        <v>298446</v>
      </c>
      <c r="N259" s="26"/>
      <c r="O259" s="26">
        <v>433061</v>
      </c>
      <c r="P259" s="26"/>
      <c r="Q259" s="26">
        <v>77007</v>
      </c>
      <c r="R259" s="26"/>
      <c r="S259" s="26">
        <v>0</v>
      </c>
      <c r="T259" s="26"/>
      <c r="U259" s="26">
        <v>32543</v>
      </c>
      <c r="V259" s="26"/>
      <c r="W259" s="26">
        <v>658979</v>
      </c>
      <c r="X259" s="26"/>
      <c r="Y259" s="54">
        <f t="shared" si="11"/>
        <v>17212978</v>
      </c>
      <c r="Z259" s="26"/>
      <c r="AA259" s="26">
        <v>11687</v>
      </c>
      <c r="AB259" s="26"/>
      <c r="AC259" s="26"/>
      <c r="AD259" s="26"/>
      <c r="AE259" s="26">
        <v>0</v>
      </c>
      <c r="AF259" s="26"/>
      <c r="AG259" s="26"/>
      <c r="AH259" s="26"/>
      <c r="AI259" s="26"/>
      <c r="AJ259" s="26"/>
      <c r="AK259" s="26">
        <v>0</v>
      </c>
      <c r="AL259" s="26"/>
      <c r="AM259" s="26">
        <v>0</v>
      </c>
      <c r="AN259" s="26"/>
      <c r="AO259" s="26">
        <v>0</v>
      </c>
      <c r="AP259" s="26"/>
      <c r="AQ259" s="26">
        <v>0</v>
      </c>
      <c r="AR259" s="26"/>
      <c r="AS259" s="54">
        <f t="shared" si="12"/>
        <v>11687</v>
      </c>
      <c r="AT259" s="26"/>
      <c r="AU259" s="54">
        <f t="shared" si="13"/>
        <v>17224665</v>
      </c>
    </row>
    <row r="260" spans="1:47">
      <c r="A260" s="13" t="s">
        <v>715</v>
      </c>
      <c r="B260" s="13"/>
      <c r="C260" s="13" t="s">
        <v>69</v>
      </c>
      <c r="D260" s="13"/>
      <c r="E260" s="32">
        <v>50435</v>
      </c>
      <c r="F260" s="26"/>
      <c r="G260" s="26">
        <v>26060639</v>
      </c>
      <c r="H260" s="26"/>
      <c r="I260" s="26">
        <v>0</v>
      </c>
      <c r="J260" s="26"/>
      <c r="K260" s="26">
        <v>14027483</v>
      </c>
      <c r="L260" s="26"/>
      <c r="M260" s="26">
        <v>2012740</v>
      </c>
      <c r="N260" s="26"/>
      <c r="O260" s="26">
        <v>244327</v>
      </c>
      <c r="P260" s="26"/>
      <c r="Q260" s="26">
        <v>123122</v>
      </c>
      <c r="R260" s="26"/>
      <c r="S260" s="26">
        <v>1101350</v>
      </c>
      <c r="T260" s="26"/>
      <c r="U260" s="26">
        <v>0</v>
      </c>
      <c r="V260" s="26"/>
      <c r="W260" s="26">
        <v>597048</v>
      </c>
      <c r="X260" s="26"/>
      <c r="Y260" s="54">
        <f t="shared" si="11"/>
        <v>44166709</v>
      </c>
      <c r="Z260" s="26"/>
      <c r="AA260" s="26">
        <v>1989999</v>
      </c>
      <c r="AB260" s="26"/>
      <c r="AC260" s="26"/>
      <c r="AD260" s="26"/>
      <c r="AE260" s="26">
        <v>28091985</v>
      </c>
      <c r="AF260" s="26"/>
      <c r="AG260" s="26"/>
      <c r="AH260" s="26"/>
      <c r="AI260" s="26"/>
      <c r="AJ260" s="26"/>
      <c r="AK260" s="26">
        <v>0</v>
      </c>
      <c r="AL260" s="26"/>
      <c r="AM260" s="26">
        <v>0</v>
      </c>
      <c r="AN260" s="26"/>
      <c r="AO260" s="26">
        <v>0</v>
      </c>
      <c r="AP260" s="26"/>
      <c r="AQ260" s="26">
        <v>0</v>
      </c>
      <c r="AR260" s="26"/>
      <c r="AS260" s="54">
        <f t="shared" si="12"/>
        <v>30081984</v>
      </c>
      <c r="AT260" s="26"/>
      <c r="AU260" s="54">
        <f t="shared" si="13"/>
        <v>74248693</v>
      </c>
    </row>
    <row r="261" spans="1:47" hidden="1">
      <c r="A261" s="13" t="s">
        <v>464</v>
      </c>
      <c r="B261" s="13"/>
      <c r="C261" s="13" t="s">
        <v>41</v>
      </c>
      <c r="D261" s="13"/>
      <c r="E261" s="32">
        <v>47878</v>
      </c>
      <c r="F261" s="26"/>
      <c r="G261" s="26">
        <v>0</v>
      </c>
      <c r="H261" s="26"/>
      <c r="I261" s="26">
        <v>0</v>
      </c>
      <c r="J261" s="26"/>
      <c r="K261" s="26">
        <v>0</v>
      </c>
      <c r="L261" s="26"/>
      <c r="M261" s="26">
        <v>0</v>
      </c>
      <c r="N261" s="26"/>
      <c r="O261" s="26">
        <v>0</v>
      </c>
      <c r="P261" s="26"/>
      <c r="Q261" s="26">
        <v>0</v>
      </c>
      <c r="R261" s="26"/>
      <c r="S261" s="26">
        <v>0</v>
      </c>
      <c r="T261" s="26"/>
      <c r="U261" s="26">
        <v>0</v>
      </c>
      <c r="V261" s="26"/>
      <c r="W261" s="26">
        <v>0</v>
      </c>
      <c r="X261" s="26"/>
      <c r="Y261" s="54">
        <f t="shared" si="11"/>
        <v>0</v>
      </c>
      <c r="Z261" s="26"/>
      <c r="AA261" s="26">
        <v>0</v>
      </c>
      <c r="AB261" s="26"/>
      <c r="AC261" s="26"/>
      <c r="AD261" s="26"/>
      <c r="AE261" s="26">
        <v>0</v>
      </c>
      <c r="AF261" s="26"/>
      <c r="AG261" s="26"/>
      <c r="AH261" s="26"/>
      <c r="AI261" s="26"/>
      <c r="AJ261" s="26"/>
      <c r="AK261" s="26">
        <v>0</v>
      </c>
      <c r="AL261" s="26"/>
      <c r="AM261" s="26">
        <v>0</v>
      </c>
      <c r="AN261" s="26"/>
      <c r="AO261" s="26">
        <v>0</v>
      </c>
      <c r="AP261" s="26"/>
      <c r="AQ261" s="26">
        <v>0</v>
      </c>
      <c r="AR261" s="26"/>
      <c r="AS261" s="54">
        <f t="shared" si="12"/>
        <v>0</v>
      </c>
      <c r="AT261" s="26"/>
      <c r="AU261" s="54">
        <f t="shared" si="13"/>
        <v>0</v>
      </c>
    </row>
    <row r="262" spans="1:47">
      <c r="A262" s="13" t="s">
        <v>688</v>
      </c>
      <c r="B262" s="13"/>
      <c r="C262" s="13" t="s">
        <v>64</v>
      </c>
      <c r="D262" s="13"/>
      <c r="E262" s="32">
        <v>50245</v>
      </c>
      <c r="F262" s="26"/>
      <c r="G262" s="26">
        <v>3501079</v>
      </c>
      <c r="H262" s="26"/>
      <c r="I262" s="26">
        <v>0</v>
      </c>
      <c r="J262" s="26"/>
      <c r="K262" s="26">
        <v>9437800</v>
      </c>
      <c r="L262" s="26"/>
      <c r="M262" s="26">
        <v>291570</v>
      </c>
      <c r="N262" s="26"/>
      <c r="O262" s="26">
        <v>994368</v>
      </c>
      <c r="P262" s="26"/>
      <c r="Q262" s="26">
        <v>162245</v>
      </c>
      <c r="R262" s="26"/>
      <c r="S262" s="26">
        <v>0</v>
      </c>
      <c r="T262" s="26"/>
      <c r="U262" s="26">
        <v>0</v>
      </c>
      <c r="V262" s="26"/>
      <c r="W262" s="26">
        <v>334269</v>
      </c>
      <c r="X262" s="26"/>
      <c r="Y262" s="54">
        <f t="shared" si="11"/>
        <v>14721331</v>
      </c>
      <c r="Z262" s="26"/>
      <c r="AA262" s="26">
        <v>0</v>
      </c>
      <c r="AB262" s="26"/>
      <c r="AC262" s="26"/>
      <c r="AD262" s="26"/>
      <c r="AE262" s="26">
        <v>43029</v>
      </c>
      <c r="AF262" s="26"/>
      <c r="AG262" s="26"/>
      <c r="AH262" s="26"/>
      <c r="AI262" s="26"/>
      <c r="AJ262" s="26"/>
      <c r="AK262" s="26">
        <v>43029</v>
      </c>
      <c r="AL262" s="26"/>
      <c r="AM262" s="26">
        <v>0</v>
      </c>
      <c r="AN262" s="26"/>
      <c r="AO262" s="26">
        <v>0</v>
      </c>
      <c r="AP262" s="26"/>
      <c r="AQ262" s="26">
        <v>0</v>
      </c>
      <c r="AR262" s="26"/>
      <c r="AS262" s="54">
        <f t="shared" si="12"/>
        <v>86058</v>
      </c>
      <c r="AT262" s="26"/>
      <c r="AU262" s="54">
        <f t="shared" si="13"/>
        <v>14807389</v>
      </c>
    </row>
    <row r="263" spans="1:47">
      <c r="A263" s="13" t="s">
        <v>658</v>
      </c>
      <c r="B263" s="13"/>
      <c r="C263" s="13" t="s">
        <v>62</v>
      </c>
      <c r="D263" s="13"/>
      <c r="E263" s="32">
        <v>49866</v>
      </c>
      <c r="F263" s="26"/>
      <c r="G263" s="26">
        <v>14928274</v>
      </c>
      <c r="H263" s="26"/>
      <c r="I263" s="26">
        <v>0</v>
      </c>
      <c r="J263" s="26"/>
      <c r="K263" s="26">
        <v>18084039</v>
      </c>
      <c r="L263" s="26"/>
      <c r="M263" s="26">
        <v>396064</v>
      </c>
      <c r="N263" s="26"/>
      <c r="O263" s="26">
        <v>216224</v>
      </c>
      <c r="P263" s="26"/>
      <c r="Q263" s="26">
        <v>408483</v>
      </c>
      <c r="R263" s="26"/>
      <c r="S263" s="26">
        <v>0</v>
      </c>
      <c r="T263" s="26"/>
      <c r="U263" s="26">
        <v>15000</v>
      </c>
      <c r="V263" s="26"/>
      <c r="W263" s="26">
        <v>211376</v>
      </c>
      <c r="X263" s="26"/>
      <c r="Y263" s="54">
        <f t="shared" si="11"/>
        <v>34259460</v>
      </c>
      <c r="Z263" s="26"/>
      <c r="AA263" s="26">
        <v>55615</v>
      </c>
      <c r="AB263" s="26"/>
      <c r="AC263" s="26"/>
      <c r="AD263" s="26"/>
      <c r="AE263" s="26">
        <v>0</v>
      </c>
      <c r="AF263" s="26"/>
      <c r="AG263" s="26"/>
      <c r="AH263" s="26"/>
      <c r="AI263" s="26"/>
      <c r="AJ263" s="26"/>
      <c r="AK263" s="26">
        <v>0</v>
      </c>
      <c r="AL263" s="26"/>
      <c r="AM263" s="26">
        <v>0</v>
      </c>
      <c r="AN263" s="26"/>
      <c r="AO263" s="26">
        <v>0</v>
      </c>
      <c r="AP263" s="26"/>
      <c r="AQ263" s="26">
        <v>0</v>
      </c>
      <c r="AR263" s="26"/>
      <c r="AS263" s="54">
        <f t="shared" si="12"/>
        <v>55615</v>
      </c>
      <c r="AT263" s="26"/>
      <c r="AU263" s="54">
        <f t="shared" si="13"/>
        <v>34315075</v>
      </c>
    </row>
    <row r="264" spans="1:47">
      <c r="A264" s="13" t="s">
        <v>658</v>
      </c>
      <c r="B264" s="13"/>
      <c r="C264" s="13" t="s">
        <v>72</v>
      </c>
      <c r="D264" s="13"/>
      <c r="E264" s="32">
        <v>50690</v>
      </c>
      <c r="F264" s="26"/>
      <c r="G264" s="26">
        <v>8304823</v>
      </c>
      <c r="H264" s="26"/>
      <c r="I264" s="26">
        <v>0</v>
      </c>
      <c r="J264" s="26"/>
      <c r="K264" s="26">
        <v>7317136</v>
      </c>
      <c r="L264" s="26"/>
      <c r="M264" s="26">
        <v>254177</v>
      </c>
      <c r="N264" s="26"/>
      <c r="O264" s="26">
        <v>500822</v>
      </c>
      <c r="P264" s="26"/>
      <c r="Q264" s="26">
        <v>324717</v>
      </c>
      <c r="R264" s="26"/>
      <c r="S264" s="26">
        <v>53306</v>
      </c>
      <c r="T264" s="26"/>
      <c r="U264" s="26">
        <v>38378</v>
      </c>
      <c r="V264" s="26"/>
      <c r="W264" s="26">
        <v>320827</v>
      </c>
      <c r="X264" s="26"/>
      <c r="Y264" s="54">
        <f t="shared" si="11"/>
        <v>17114186</v>
      </c>
      <c r="Z264" s="26"/>
      <c r="AA264" s="26">
        <v>62582</v>
      </c>
      <c r="AB264" s="26"/>
      <c r="AC264" s="26"/>
      <c r="AD264" s="26"/>
      <c r="AE264" s="26">
        <v>1265602</v>
      </c>
      <c r="AF264" s="26"/>
      <c r="AG264" s="26"/>
      <c r="AH264" s="26"/>
      <c r="AI264" s="26"/>
      <c r="AJ264" s="26"/>
      <c r="AK264" s="26">
        <v>38202</v>
      </c>
      <c r="AL264" s="26"/>
      <c r="AM264" s="26">
        <v>0</v>
      </c>
      <c r="AN264" s="26"/>
      <c r="AO264" s="26">
        <v>0</v>
      </c>
      <c r="AP264" s="26"/>
      <c r="AQ264" s="26">
        <v>0</v>
      </c>
      <c r="AR264" s="26"/>
      <c r="AS264" s="54">
        <f t="shared" si="12"/>
        <v>1366386</v>
      </c>
      <c r="AT264" s="26"/>
      <c r="AU264" s="54">
        <f t="shared" si="13"/>
        <v>18480572</v>
      </c>
    </row>
    <row r="265" spans="1:47">
      <c r="A265" s="13" t="s">
        <v>689</v>
      </c>
      <c r="B265" s="13"/>
      <c r="C265" s="13" t="s">
        <v>64</v>
      </c>
      <c r="D265" s="13"/>
      <c r="E265" s="32">
        <v>50187</v>
      </c>
      <c r="F265" s="26"/>
      <c r="G265" s="26">
        <v>7044611</v>
      </c>
      <c r="H265" s="26"/>
      <c r="I265" s="26">
        <v>0</v>
      </c>
      <c r="J265" s="26"/>
      <c r="K265" s="26">
        <v>9775721</v>
      </c>
      <c r="L265" s="26"/>
      <c r="M265" s="26">
        <v>53297</v>
      </c>
      <c r="N265" s="26"/>
      <c r="O265" s="26">
        <v>450036</v>
      </c>
      <c r="P265" s="26"/>
      <c r="Q265" s="26">
        <v>141586</v>
      </c>
      <c r="R265" s="26"/>
      <c r="S265" s="26">
        <v>0</v>
      </c>
      <c r="T265" s="26"/>
      <c r="U265" s="26">
        <v>34434</v>
      </c>
      <c r="V265" s="26"/>
      <c r="W265" s="26">
        <v>458493</v>
      </c>
      <c r="X265" s="26"/>
      <c r="Y265" s="54">
        <f t="shared" si="11"/>
        <v>17958178</v>
      </c>
      <c r="Z265" s="26"/>
      <c r="AA265" s="26">
        <v>42765</v>
      </c>
      <c r="AB265" s="26"/>
      <c r="AC265" s="26"/>
      <c r="AD265" s="26"/>
      <c r="AE265" s="26">
        <v>0</v>
      </c>
      <c r="AF265" s="26"/>
      <c r="AG265" s="26"/>
      <c r="AH265" s="26"/>
      <c r="AI265" s="26"/>
      <c r="AJ265" s="26"/>
      <c r="AK265" s="26">
        <v>0</v>
      </c>
      <c r="AL265" s="26"/>
      <c r="AM265" s="26">
        <v>0</v>
      </c>
      <c r="AN265" s="26"/>
      <c r="AO265" s="26">
        <v>0</v>
      </c>
      <c r="AP265" s="26"/>
      <c r="AQ265" s="26">
        <v>0</v>
      </c>
      <c r="AR265" s="26"/>
      <c r="AS265" s="54">
        <f t="shared" si="12"/>
        <v>42765</v>
      </c>
      <c r="AT265" s="26"/>
      <c r="AU265" s="54">
        <f t="shared" si="13"/>
        <v>18000943</v>
      </c>
    </row>
    <row r="266" spans="1:47">
      <c r="A266" s="13" t="s">
        <v>314</v>
      </c>
      <c r="B266" s="13"/>
      <c r="C266" s="13" t="s">
        <v>20</v>
      </c>
      <c r="D266" s="13"/>
      <c r="E266" s="32">
        <v>44198</v>
      </c>
      <c r="F266" s="26"/>
      <c r="G266" s="26">
        <v>43548908</v>
      </c>
      <c r="H266" s="26"/>
      <c r="I266" s="26">
        <v>0</v>
      </c>
      <c r="J266" s="26"/>
      <c r="K266" s="26">
        <v>31722049</v>
      </c>
      <c r="L266" s="26"/>
      <c r="M266" s="26">
        <v>3752154</v>
      </c>
      <c r="N266" s="26"/>
      <c r="O266" s="26">
        <v>2751408</v>
      </c>
      <c r="P266" s="26"/>
      <c r="Q266" s="26">
        <v>948594</v>
      </c>
      <c r="R266" s="26"/>
      <c r="S266" s="26">
        <v>0</v>
      </c>
      <c r="T266" s="26"/>
      <c r="U266" s="26">
        <v>0</v>
      </c>
      <c r="V266" s="26"/>
      <c r="W266" s="26">
        <v>1298084</v>
      </c>
      <c r="X266" s="26"/>
      <c r="Y266" s="54">
        <f t="shared" si="11"/>
        <v>84021197</v>
      </c>
      <c r="Z266" s="26"/>
      <c r="AA266" s="26">
        <v>35000</v>
      </c>
      <c r="AB266" s="26"/>
      <c r="AC266" s="26"/>
      <c r="AD266" s="26"/>
      <c r="AE266" s="26">
        <v>46383792</v>
      </c>
      <c r="AF266" s="26"/>
      <c r="AG266" s="26"/>
      <c r="AH266" s="26"/>
      <c r="AI266" s="26"/>
      <c r="AJ266" s="26"/>
      <c r="AK266" s="26">
        <v>1130165</v>
      </c>
      <c r="AL266" s="26"/>
      <c r="AM266" s="26">
        <v>0</v>
      </c>
      <c r="AN266" s="26"/>
      <c r="AO266" s="26">
        <v>0</v>
      </c>
      <c r="AP266" s="26"/>
      <c r="AQ266" s="26">
        <v>0</v>
      </c>
      <c r="AR266" s="26"/>
      <c r="AS266" s="54">
        <f t="shared" si="12"/>
        <v>47548957</v>
      </c>
      <c r="AT266" s="26"/>
      <c r="AU266" s="54">
        <f t="shared" si="13"/>
        <v>131570154</v>
      </c>
    </row>
    <row r="267" spans="1:47">
      <c r="A267" s="13" t="s">
        <v>900</v>
      </c>
      <c r="B267" s="13"/>
      <c r="C267" s="13" t="s">
        <v>42</v>
      </c>
      <c r="D267" s="13"/>
      <c r="E267" s="32">
        <v>47993</v>
      </c>
      <c r="F267" s="26"/>
      <c r="G267" s="26">
        <v>11251513</v>
      </c>
      <c r="H267" s="26"/>
      <c r="I267" s="26">
        <v>0</v>
      </c>
      <c r="J267" s="26"/>
      <c r="K267" s="26">
        <v>8798197</v>
      </c>
      <c r="L267" s="26"/>
      <c r="M267" s="26">
        <v>333443</v>
      </c>
      <c r="N267" s="26"/>
      <c r="O267" s="26">
        <v>463811</v>
      </c>
      <c r="P267" s="26"/>
      <c r="Q267" s="26">
        <v>166301</v>
      </c>
      <c r="R267" s="26"/>
      <c r="S267" s="26">
        <v>0</v>
      </c>
      <c r="T267" s="26"/>
      <c r="U267" s="26">
        <v>0</v>
      </c>
      <c r="V267" s="26"/>
      <c r="W267" s="26">
        <v>287022</v>
      </c>
      <c r="X267" s="26"/>
      <c r="Y267" s="54">
        <f t="shared" si="11"/>
        <v>21300287</v>
      </c>
      <c r="Z267" s="26"/>
      <c r="AA267" s="26">
        <v>0</v>
      </c>
      <c r="AB267" s="26"/>
      <c r="AC267" s="26"/>
      <c r="AD267" s="26"/>
      <c r="AE267" s="26">
        <v>150041</v>
      </c>
      <c r="AF267" s="26"/>
      <c r="AG267" s="26"/>
      <c r="AH267" s="26"/>
      <c r="AI267" s="26"/>
      <c r="AJ267" s="26"/>
      <c r="AK267" s="26">
        <v>150041</v>
      </c>
      <c r="AL267" s="26"/>
      <c r="AM267" s="26">
        <v>0</v>
      </c>
      <c r="AN267" s="26"/>
      <c r="AO267" s="26">
        <v>0</v>
      </c>
      <c r="AP267" s="26"/>
      <c r="AQ267" s="26">
        <v>0</v>
      </c>
      <c r="AR267" s="26"/>
      <c r="AS267" s="54">
        <f t="shared" si="12"/>
        <v>300082</v>
      </c>
      <c r="AT267" s="26"/>
      <c r="AU267" s="54">
        <f t="shared" si="13"/>
        <v>21600369</v>
      </c>
    </row>
    <row r="268" spans="1:47">
      <c r="A268" s="13" t="s">
        <v>249</v>
      </c>
      <c r="B268" s="13"/>
      <c r="C268" s="13" t="s">
        <v>246</v>
      </c>
      <c r="D268" s="13"/>
      <c r="E268" s="32">
        <v>46110</v>
      </c>
      <c r="F268" s="26"/>
      <c r="G268" s="26">
        <v>92729935</v>
      </c>
      <c r="H268" s="26"/>
      <c r="I268" s="26">
        <v>0</v>
      </c>
      <c r="J268" s="26"/>
      <c r="K268" s="26">
        <v>65892942</v>
      </c>
      <c r="L268" s="26"/>
      <c r="M268" s="26">
        <v>9019452</v>
      </c>
      <c r="N268" s="26"/>
      <c r="O268" s="26">
        <v>725425</v>
      </c>
      <c r="P268" s="26"/>
      <c r="Q268" s="26">
        <v>1980928</v>
      </c>
      <c r="R268" s="26"/>
      <c r="S268" s="26">
        <v>0</v>
      </c>
      <c r="T268" s="26"/>
      <c r="U268" s="26">
        <v>0</v>
      </c>
      <c r="V268" s="26"/>
      <c r="W268" s="26">
        <v>2191041</v>
      </c>
      <c r="X268" s="26"/>
      <c r="Y268" s="54">
        <f t="shared" si="11"/>
        <v>172539723</v>
      </c>
      <c r="Z268" s="26"/>
      <c r="AA268" s="26">
        <v>1870362</v>
      </c>
      <c r="AB268" s="26"/>
      <c r="AC268" s="26"/>
      <c r="AD268" s="26"/>
      <c r="AE268" s="26">
        <v>3519</v>
      </c>
      <c r="AF268" s="26"/>
      <c r="AG268" s="26"/>
      <c r="AH268" s="26"/>
      <c r="AI268" s="26"/>
      <c r="AJ268" s="26"/>
      <c r="AK268" s="26">
        <v>25836</v>
      </c>
      <c r="AL268" s="26"/>
      <c r="AM268" s="26">
        <v>0</v>
      </c>
      <c r="AN268" s="26"/>
      <c r="AO268" s="26">
        <v>0</v>
      </c>
      <c r="AP268" s="26"/>
      <c r="AQ268" s="26">
        <v>0</v>
      </c>
      <c r="AR268" s="26"/>
      <c r="AS268" s="54">
        <f t="shared" si="12"/>
        <v>1899717</v>
      </c>
      <c r="AT268" s="26"/>
      <c r="AU268" s="54">
        <f t="shared" si="13"/>
        <v>174439440</v>
      </c>
    </row>
    <row r="269" spans="1:47">
      <c r="A269" s="13" t="s">
        <v>249</v>
      </c>
      <c r="B269" s="13"/>
      <c r="C269" s="13" t="s">
        <v>79</v>
      </c>
      <c r="D269" s="13"/>
      <c r="E269" s="32">
        <v>49569</v>
      </c>
      <c r="F269" s="26"/>
      <c r="G269" s="26">
        <v>4739983</v>
      </c>
      <c r="H269" s="26"/>
      <c r="I269" s="26">
        <v>0</v>
      </c>
      <c r="J269" s="26"/>
      <c r="K269" s="26">
        <f>812113+6308181+39747</f>
        <v>7160041</v>
      </c>
      <c r="L269" s="26"/>
      <c r="M269" s="26">
        <v>447025</v>
      </c>
      <c r="N269" s="26"/>
      <c r="O269" s="26">
        <v>295026</v>
      </c>
      <c r="P269" s="26"/>
      <c r="Q269" s="26">
        <v>76941</v>
      </c>
      <c r="R269" s="26"/>
      <c r="S269" s="26">
        <v>0</v>
      </c>
      <c r="T269" s="26"/>
      <c r="U269" s="26">
        <v>0</v>
      </c>
      <c r="V269" s="26"/>
      <c r="W269" s="26">
        <f>205689+118418</f>
        <v>324107</v>
      </c>
      <c r="X269" s="26"/>
      <c r="Y269" s="54">
        <f t="shared" si="11"/>
        <v>13043123</v>
      </c>
      <c r="Z269" s="26"/>
      <c r="AA269" s="26">
        <v>23921</v>
      </c>
      <c r="AB269" s="26"/>
      <c r="AC269" s="26"/>
      <c r="AD269" s="26"/>
      <c r="AE269" s="26">
        <f>19630000+19629984</f>
        <v>39259984</v>
      </c>
      <c r="AF269" s="26"/>
      <c r="AG269" s="26"/>
      <c r="AH269" s="26"/>
      <c r="AI269" s="26"/>
      <c r="AJ269" s="26"/>
      <c r="AK269" s="26">
        <f>52750+840848</f>
        <v>893598</v>
      </c>
      <c r="AL269" s="26"/>
      <c r="AM269" s="26">
        <v>0</v>
      </c>
      <c r="AN269" s="26"/>
      <c r="AO269" s="26">
        <v>0</v>
      </c>
      <c r="AP269" s="26"/>
      <c r="AQ269" s="26">
        <v>0</v>
      </c>
      <c r="AR269" s="26"/>
      <c r="AS269" s="54">
        <f t="shared" si="12"/>
        <v>40177503</v>
      </c>
      <c r="AT269" s="26"/>
      <c r="AU269" s="54">
        <f t="shared" si="13"/>
        <v>53220626</v>
      </c>
    </row>
    <row r="270" spans="1:47">
      <c r="A270" s="13" t="s">
        <v>351</v>
      </c>
      <c r="B270" s="13"/>
      <c r="C270" s="13" t="s">
        <v>25</v>
      </c>
      <c r="D270" s="13"/>
      <c r="E270" s="32">
        <v>44206</v>
      </c>
      <c r="F270" s="26"/>
      <c r="G270" s="26">
        <v>23035666</v>
      </c>
      <c r="H270" s="26"/>
      <c r="I270" s="26">
        <v>9211573</v>
      </c>
      <c r="J270" s="26"/>
      <c r="K270" s="26">
        <v>30117518</v>
      </c>
      <c r="L270" s="26"/>
      <c r="M270" s="26">
        <v>774233</v>
      </c>
      <c r="N270" s="26"/>
      <c r="O270" s="26">
        <v>1074181</v>
      </c>
      <c r="P270" s="26"/>
      <c r="Q270" s="26">
        <v>490106</v>
      </c>
      <c r="R270" s="26"/>
      <c r="S270" s="26">
        <v>10647</v>
      </c>
      <c r="T270" s="26"/>
      <c r="U270" s="26">
        <v>11930</v>
      </c>
      <c r="V270" s="26"/>
      <c r="W270" s="26">
        <f>854438+115849+362+31250</f>
        <v>1001899</v>
      </c>
      <c r="X270" s="26"/>
      <c r="Y270" s="54">
        <f t="shared" si="11"/>
        <v>65727753</v>
      </c>
      <c r="Z270" s="26"/>
      <c r="AA270" s="26">
        <v>7617029</v>
      </c>
      <c r="AB270" s="26"/>
      <c r="AC270" s="26"/>
      <c r="AD270" s="26"/>
      <c r="AE270" s="26">
        <v>0</v>
      </c>
      <c r="AF270" s="26"/>
      <c r="AG270" s="26"/>
      <c r="AH270" s="26"/>
      <c r="AI270" s="26"/>
      <c r="AJ270" s="26"/>
      <c r="AK270" s="26">
        <v>8153</v>
      </c>
      <c r="AL270" s="26"/>
      <c r="AM270" s="26">
        <v>0</v>
      </c>
      <c r="AN270" s="26"/>
      <c r="AO270" s="26">
        <v>0</v>
      </c>
      <c r="AP270" s="26"/>
      <c r="AQ270" s="26">
        <v>0</v>
      </c>
      <c r="AR270" s="26"/>
      <c r="AS270" s="54">
        <f t="shared" si="12"/>
        <v>7625182</v>
      </c>
      <c r="AT270" s="26"/>
      <c r="AU270" s="54">
        <f t="shared" si="13"/>
        <v>73352935</v>
      </c>
    </row>
    <row r="271" spans="1:47" hidden="1">
      <c r="A271" s="13" t="s">
        <v>716</v>
      </c>
      <c r="B271" s="13"/>
      <c r="C271" s="13" t="s">
        <v>69</v>
      </c>
      <c r="D271" s="13"/>
      <c r="E271" s="32">
        <v>44214</v>
      </c>
      <c r="F271" s="26"/>
      <c r="G271" s="26">
        <v>0</v>
      </c>
      <c r="H271" s="26"/>
      <c r="I271" s="26">
        <v>0</v>
      </c>
      <c r="J271" s="26"/>
      <c r="K271" s="26">
        <v>0</v>
      </c>
      <c r="L271" s="26"/>
      <c r="M271" s="26">
        <v>0</v>
      </c>
      <c r="N271" s="26"/>
      <c r="O271" s="26">
        <v>0</v>
      </c>
      <c r="P271" s="26"/>
      <c r="Q271" s="26">
        <v>0</v>
      </c>
      <c r="R271" s="26"/>
      <c r="S271" s="26">
        <v>0</v>
      </c>
      <c r="T271" s="26"/>
      <c r="U271" s="26">
        <v>0</v>
      </c>
      <c r="V271" s="26"/>
      <c r="W271" s="26">
        <v>0</v>
      </c>
      <c r="X271" s="26"/>
      <c r="Y271" s="54">
        <f t="shared" ref="Y271:Y333" si="14">SUM(G271:W271)</f>
        <v>0</v>
      </c>
      <c r="Z271" s="26"/>
      <c r="AA271" s="26">
        <v>0</v>
      </c>
      <c r="AB271" s="26"/>
      <c r="AC271" s="26"/>
      <c r="AD271" s="26"/>
      <c r="AE271" s="26">
        <v>0</v>
      </c>
      <c r="AF271" s="26"/>
      <c r="AG271" s="26"/>
      <c r="AH271" s="26"/>
      <c r="AI271" s="26"/>
      <c r="AJ271" s="26"/>
      <c r="AK271" s="26">
        <v>0</v>
      </c>
      <c r="AL271" s="26"/>
      <c r="AM271" s="26">
        <v>0</v>
      </c>
      <c r="AN271" s="26"/>
      <c r="AO271" s="26">
        <v>0</v>
      </c>
      <c r="AP271" s="26"/>
      <c r="AQ271" s="26">
        <v>0</v>
      </c>
      <c r="AR271" s="26"/>
      <c r="AS271" s="54">
        <f t="shared" ref="AS271:AS333" si="15">AK271+AE271+AA271</f>
        <v>0</v>
      </c>
      <c r="AT271" s="26"/>
      <c r="AU271" s="54">
        <f t="shared" ref="AU271:AU333" si="16">Y271+AS271</f>
        <v>0</v>
      </c>
    </row>
    <row r="272" spans="1:47">
      <c r="A272" s="13" t="s">
        <v>385</v>
      </c>
      <c r="B272" s="13"/>
      <c r="C272" s="13" t="s">
        <v>30</v>
      </c>
      <c r="D272" s="13"/>
      <c r="E272" s="13">
        <v>47209</v>
      </c>
      <c r="F272" s="26"/>
      <c r="G272" s="26">
        <v>1980347</v>
      </c>
      <c r="H272" s="26"/>
      <c r="I272" s="26">
        <v>700199</v>
      </c>
      <c r="J272" s="26"/>
      <c r="K272" s="26">
        <v>2918844</v>
      </c>
      <c r="L272" s="26"/>
      <c r="M272" s="26">
        <v>43608</v>
      </c>
      <c r="N272" s="26"/>
      <c r="O272" s="26">
        <v>100305</v>
      </c>
      <c r="P272" s="26"/>
      <c r="Q272" s="26">
        <v>47259</v>
      </c>
      <c r="R272" s="26"/>
      <c r="S272" s="26">
        <v>0</v>
      </c>
      <c r="T272" s="26"/>
      <c r="U272" s="26">
        <v>12447</v>
      </c>
      <c r="V272" s="26"/>
      <c r="W272" s="26">
        <f>121014+1239</f>
        <v>122253</v>
      </c>
      <c r="X272" s="26"/>
      <c r="Y272" s="54">
        <f t="shared" si="14"/>
        <v>5925262</v>
      </c>
      <c r="Z272" s="26"/>
      <c r="AA272" s="26">
        <v>10000</v>
      </c>
      <c r="AB272" s="26"/>
      <c r="AC272" s="26"/>
      <c r="AD272" s="26"/>
      <c r="AE272" s="26">
        <v>0</v>
      </c>
      <c r="AF272" s="26"/>
      <c r="AG272" s="26"/>
      <c r="AH272" s="26"/>
      <c r="AI272" s="26"/>
      <c r="AJ272" s="26"/>
      <c r="AK272" s="26">
        <v>6800</v>
      </c>
      <c r="AL272" s="26"/>
      <c r="AM272" s="26">
        <v>0</v>
      </c>
      <c r="AN272" s="26"/>
      <c r="AO272" s="26">
        <v>0</v>
      </c>
      <c r="AP272" s="26"/>
      <c r="AQ272" s="26">
        <v>0</v>
      </c>
      <c r="AR272" s="26"/>
      <c r="AS272" s="54">
        <f t="shared" si="15"/>
        <v>16800</v>
      </c>
      <c r="AT272" s="26"/>
      <c r="AU272" s="54">
        <f t="shared" si="16"/>
        <v>5942062</v>
      </c>
    </row>
    <row r="273" spans="1:47" hidden="1">
      <c r="A273" s="13" t="s">
        <v>609</v>
      </c>
      <c r="B273" s="13"/>
      <c r="C273" s="13" t="s">
        <v>608</v>
      </c>
      <c r="D273" s="13"/>
      <c r="E273" s="32">
        <v>49353</v>
      </c>
      <c r="F273" s="26"/>
      <c r="G273" s="26">
        <v>0</v>
      </c>
      <c r="H273" s="26"/>
      <c r="I273" s="26">
        <v>0</v>
      </c>
      <c r="J273" s="26"/>
      <c r="K273" s="26">
        <v>0</v>
      </c>
      <c r="L273" s="26"/>
      <c r="M273" s="26">
        <v>0</v>
      </c>
      <c r="N273" s="26"/>
      <c r="O273" s="26">
        <v>0</v>
      </c>
      <c r="P273" s="26"/>
      <c r="Q273" s="26">
        <v>0</v>
      </c>
      <c r="R273" s="26"/>
      <c r="S273" s="26">
        <v>0</v>
      </c>
      <c r="T273" s="26"/>
      <c r="U273" s="26">
        <v>0</v>
      </c>
      <c r="V273" s="26"/>
      <c r="W273" s="26">
        <v>0</v>
      </c>
      <c r="X273" s="26"/>
      <c r="Y273" s="54">
        <f t="shared" si="14"/>
        <v>0</v>
      </c>
      <c r="Z273" s="26"/>
      <c r="AA273" s="26">
        <v>0</v>
      </c>
      <c r="AB273" s="26"/>
      <c r="AC273" s="26"/>
      <c r="AD273" s="26"/>
      <c r="AE273" s="26">
        <v>0</v>
      </c>
      <c r="AF273" s="26"/>
      <c r="AG273" s="26"/>
      <c r="AH273" s="26"/>
      <c r="AI273" s="26"/>
      <c r="AJ273" s="26"/>
      <c r="AK273" s="26">
        <v>0</v>
      </c>
      <c r="AL273" s="26"/>
      <c r="AM273" s="26">
        <v>0</v>
      </c>
      <c r="AN273" s="26"/>
      <c r="AO273" s="26">
        <v>0</v>
      </c>
      <c r="AP273" s="26"/>
      <c r="AQ273" s="26">
        <v>0</v>
      </c>
      <c r="AR273" s="26"/>
      <c r="AS273" s="54">
        <f t="shared" si="15"/>
        <v>0</v>
      </c>
      <c r="AT273" s="26"/>
      <c r="AU273" s="54">
        <f t="shared" si="16"/>
        <v>0</v>
      </c>
    </row>
    <row r="274" spans="1:47">
      <c r="A274" s="13" t="s">
        <v>615</v>
      </c>
      <c r="B274" s="13"/>
      <c r="C274" s="13" t="s">
        <v>113</v>
      </c>
      <c r="D274" s="13"/>
      <c r="E274" s="32">
        <v>49437</v>
      </c>
      <c r="F274" s="26"/>
      <c r="G274" s="26">
        <v>10365633</v>
      </c>
      <c r="H274" s="26"/>
      <c r="I274" s="26">
        <v>0</v>
      </c>
      <c r="J274" s="26"/>
      <c r="K274" s="26">
        <v>12028015</v>
      </c>
      <c r="L274" s="26"/>
      <c r="M274" s="26">
        <v>212110</v>
      </c>
      <c r="N274" s="26"/>
      <c r="O274" s="26">
        <v>172237</v>
      </c>
      <c r="P274" s="26"/>
      <c r="Q274" s="26">
        <v>356051</v>
      </c>
      <c r="R274" s="26"/>
      <c r="S274" s="26">
        <v>0</v>
      </c>
      <c r="T274" s="26"/>
      <c r="U274" s="26">
        <v>0</v>
      </c>
      <c r="V274" s="26"/>
      <c r="W274" s="26">
        <v>837694</v>
      </c>
      <c r="X274" s="26"/>
      <c r="Y274" s="54">
        <f t="shared" si="14"/>
        <v>23971740</v>
      </c>
      <c r="Z274" s="26"/>
      <c r="AA274" s="26">
        <v>0</v>
      </c>
      <c r="AB274" s="26"/>
      <c r="AC274" s="26"/>
      <c r="AD274" s="26"/>
      <c r="AE274" s="26">
        <v>503176</v>
      </c>
      <c r="AF274" s="26"/>
      <c r="AG274" s="26"/>
      <c r="AH274" s="26"/>
      <c r="AI274" s="26"/>
      <c r="AJ274" s="26"/>
      <c r="AK274" s="26">
        <v>155437</v>
      </c>
      <c r="AL274" s="26"/>
      <c r="AM274" s="26">
        <v>0</v>
      </c>
      <c r="AN274" s="26"/>
      <c r="AO274" s="26">
        <v>0</v>
      </c>
      <c r="AP274" s="26"/>
      <c r="AQ274" s="26">
        <v>0</v>
      </c>
      <c r="AR274" s="26"/>
      <c r="AS274" s="54">
        <f t="shared" si="15"/>
        <v>658613</v>
      </c>
      <c r="AT274" s="26"/>
      <c r="AU274" s="54">
        <f t="shared" si="16"/>
        <v>24630353</v>
      </c>
    </row>
    <row r="275" spans="1:47">
      <c r="A275" s="13" t="s">
        <v>436</v>
      </c>
      <c r="B275" s="13"/>
      <c r="C275" s="13" t="s">
        <v>34</v>
      </c>
      <c r="D275" s="13"/>
      <c r="E275" s="32">
        <v>47589</v>
      </c>
      <c r="F275" s="26"/>
      <c r="G275" s="26">
        <v>2707053</v>
      </c>
      <c r="H275" s="26"/>
      <c r="I275" s="26">
        <v>2159539</v>
      </c>
      <c r="J275" s="26"/>
      <c r="K275" s="26">
        <v>6657144</v>
      </c>
      <c r="L275" s="26"/>
      <c r="M275" s="26">
        <v>145572</v>
      </c>
      <c r="N275" s="26"/>
      <c r="O275" s="26">
        <v>1149801</v>
      </c>
      <c r="P275" s="26"/>
      <c r="Q275" s="26">
        <v>179464</v>
      </c>
      <c r="R275" s="26"/>
      <c r="S275" s="26">
        <v>0</v>
      </c>
      <c r="T275" s="26"/>
      <c r="U275" s="26">
        <v>67646</v>
      </c>
      <c r="V275" s="26"/>
      <c r="W275" s="26">
        <v>391573</v>
      </c>
      <c r="X275" s="26"/>
      <c r="Y275" s="54">
        <f t="shared" si="14"/>
        <v>13457792</v>
      </c>
      <c r="Z275" s="26"/>
      <c r="AA275" s="26">
        <v>0</v>
      </c>
      <c r="AB275" s="26"/>
      <c r="AC275" s="26"/>
      <c r="AD275" s="26"/>
      <c r="AE275" s="26">
        <v>0</v>
      </c>
      <c r="AF275" s="26"/>
      <c r="AG275" s="26"/>
      <c r="AH275" s="26"/>
      <c r="AI275" s="26"/>
      <c r="AJ275" s="26"/>
      <c r="AK275" s="26">
        <v>0</v>
      </c>
      <c r="AL275" s="26"/>
      <c r="AM275" s="26">
        <v>0</v>
      </c>
      <c r="AN275" s="26"/>
      <c r="AO275" s="26">
        <v>0</v>
      </c>
      <c r="AP275" s="26"/>
      <c r="AQ275" s="26">
        <v>0</v>
      </c>
      <c r="AR275" s="26"/>
      <c r="AS275" s="54">
        <f t="shared" si="15"/>
        <v>0</v>
      </c>
      <c r="AT275" s="26"/>
      <c r="AU275" s="54">
        <f t="shared" si="16"/>
        <v>13457792</v>
      </c>
    </row>
    <row r="276" spans="1:47">
      <c r="A276" s="13" t="s">
        <v>690</v>
      </c>
      <c r="B276" s="13"/>
      <c r="C276" s="13" t="s">
        <v>64</v>
      </c>
      <c r="D276" s="13"/>
      <c r="E276" s="32">
        <v>50195</v>
      </c>
      <c r="F276" s="26"/>
      <c r="G276" s="26">
        <v>8721273</v>
      </c>
      <c r="H276" s="26"/>
      <c r="I276" s="26">
        <v>0</v>
      </c>
      <c r="J276" s="26"/>
      <c r="K276" s="26">
        <f>1321468+7066618</f>
        <v>8388086</v>
      </c>
      <c r="L276" s="26"/>
      <c r="M276" s="26">
        <v>109001</v>
      </c>
      <c r="N276" s="26"/>
      <c r="O276" s="26">
        <v>796376</v>
      </c>
      <c r="P276" s="26"/>
      <c r="Q276" s="26">
        <v>90261</v>
      </c>
      <c r="R276" s="26"/>
      <c r="S276" s="26">
        <v>0</v>
      </c>
      <c r="T276" s="26"/>
      <c r="U276" s="26">
        <v>0</v>
      </c>
      <c r="V276" s="26"/>
      <c r="W276" s="26">
        <f>136984+287078+82887</f>
        <v>506949</v>
      </c>
      <c r="X276" s="26"/>
      <c r="Y276" s="54">
        <f t="shared" si="14"/>
        <v>18611946</v>
      </c>
      <c r="Z276" s="26"/>
      <c r="AA276" s="26">
        <v>3522242</v>
      </c>
      <c r="AB276" s="26"/>
      <c r="AC276" s="26"/>
      <c r="AD276" s="26"/>
      <c r="AE276" s="26">
        <v>0</v>
      </c>
      <c r="AF276" s="26"/>
      <c r="AG276" s="26"/>
      <c r="AH276" s="26"/>
      <c r="AI276" s="26"/>
      <c r="AJ276" s="26"/>
      <c r="AK276" s="26">
        <v>0</v>
      </c>
      <c r="AL276" s="26"/>
      <c r="AM276" s="26">
        <v>0</v>
      </c>
      <c r="AN276" s="26"/>
      <c r="AO276" s="26">
        <v>0</v>
      </c>
      <c r="AP276" s="26"/>
      <c r="AQ276" s="26">
        <v>0</v>
      </c>
      <c r="AR276" s="26"/>
      <c r="AS276" s="54">
        <f t="shared" si="15"/>
        <v>3522242</v>
      </c>
      <c r="AT276" s="26"/>
      <c r="AU276" s="54">
        <f t="shared" si="16"/>
        <v>22134188</v>
      </c>
    </row>
    <row r="277" spans="1:47">
      <c r="A277" s="13" t="s">
        <v>906</v>
      </c>
      <c r="B277" s="13"/>
      <c r="C277" s="13" t="s">
        <v>25</v>
      </c>
      <c r="D277" s="13"/>
      <c r="E277" s="32">
        <v>46888</v>
      </c>
      <c r="F277" s="26"/>
      <c r="G277" s="26">
        <v>3833356</v>
      </c>
      <c r="H277" s="26"/>
      <c r="I277" s="26">
        <v>2904526</v>
      </c>
      <c r="J277" s="26"/>
      <c r="K277" s="26">
        <v>7000772</v>
      </c>
      <c r="L277" s="26"/>
      <c r="M277" s="26">
        <v>294359</v>
      </c>
      <c r="N277" s="26"/>
      <c r="O277" s="26">
        <v>338877</v>
      </c>
      <c r="P277" s="26"/>
      <c r="Q277" s="26">
        <v>257345</v>
      </c>
      <c r="R277" s="26"/>
      <c r="S277" s="26">
        <v>0</v>
      </c>
      <c r="T277" s="26"/>
      <c r="U277" s="26">
        <v>142856</v>
      </c>
      <c r="V277" s="26"/>
      <c r="W277" s="26">
        <v>421734</v>
      </c>
      <c r="X277" s="26"/>
      <c r="Y277" s="54">
        <f t="shared" si="14"/>
        <v>15193825</v>
      </c>
      <c r="Z277" s="26"/>
      <c r="AA277" s="26">
        <v>6958854</v>
      </c>
      <c r="AB277" s="26"/>
      <c r="AC277" s="26"/>
      <c r="AD277" s="26"/>
      <c r="AE277" s="26">
        <v>6099429</v>
      </c>
      <c r="AF277" s="26"/>
      <c r="AG277" s="26"/>
      <c r="AH277" s="26"/>
      <c r="AI277" s="26"/>
      <c r="AJ277" s="26"/>
      <c r="AK277" s="26">
        <v>99429</v>
      </c>
      <c r="AL277" s="26"/>
      <c r="AM277" s="26">
        <v>0</v>
      </c>
      <c r="AN277" s="26"/>
      <c r="AO277" s="26">
        <v>0</v>
      </c>
      <c r="AP277" s="26"/>
      <c r="AQ277" s="26">
        <v>0</v>
      </c>
      <c r="AR277" s="26"/>
      <c r="AS277" s="54">
        <f t="shared" si="15"/>
        <v>13157712</v>
      </c>
      <c r="AT277" s="26"/>
      <c r="AU277" s="54">
        <f t="shared" si="16"/>
        <v>28351537</v>
      </c>
    </row>
    <row r="278" spans="1:47">
      <c r="A278" s="13" t="s">
        <v>422</v>
      </c>
      <c r="B278" s="13"/>
      <c r="C278" s="13" t="s">
        <v>33</v>
      </c>
      <c r="D278" s="13"/>
      <c r="E278" s="32">
        <v>47449</v>
      </c>
      <c r="F278" s="26"/>
      <c r="G278" s="26">
        <v>4371960</v>
      </c>
      <c r="H278" s="26"/>
      <c r="I278" s="26">
        <v>1406164</v>
      </c>
      <c r="J278" s="26"/>
      <c r="K278" s="26">
        <v>6650865</v>
      </c>
      <c r="L278" s="26"/>
      <c r="M278" s="26">
        <v>314160</v>
      </c>
      <c r="N278" s="26"/>
      <c r="O278" s="26">
        <v>129781</v>
      </c>
      <c r="P278" s="26"/>
      <c r="Q278" s="26">
        <v>113084</v>
      </c>
      <c r="R278" s="26"/>
      <c r="S278" s="26">
        <v>5728</v>
      </c>
      <c r="T278" s="26"/>
      <c r="U278" s="26">
        <v>24513</v>
      </c>
      <c r="V278" s="26"/>
      <c r="W278" s="26">
        <v>421334</v>
      </c>
      <c r="X278" s="26"/>
      <c r="Y278" s="54">
        <f t="shared" si="14"/>
        <v>13437589</v>
      </c>
      <c r="Z278" s="26"/>
      <c r="AA278" s="26">
        <v>423784</v>
      </c>
      <c r="AB278" s="26"/>
      <c r="AC278" s="26"/>
      <c r="AD278" s="26"/>
      <c r="AE278" s="26">
        <v>2000</v>
      </c>
      <c r="AF278" s="26"/>
      <c r="AG278" s="26"/>
      <c r="AH278" s="26"/>
      <c r="AI278" s="26"/>
      <c r="AJ278" s="26"/>
      <c r="AK278" s="26">
        <v>2000</v>
      </c>
      <c r="AL278" s="26"/>
      <c r="AM278" s="26">
        <v>0</v>
      </c>
      <c r="AN278" s="26"/>
      <c r="AO278" s="26">
        <v>0</v>
      </c>
      <c r="AP278" s="26"/>
      <c r="AQ278" s="26">
        <v>0</v>
      </c>
      <c r="AR278" s="26"/>
      <c r="AS278" s="54">
        <f t="shared" si="15"/>
        <v>427784</v>
      </c>
      <c r="AT278" s="26"/>
      <c r="AU278" s="54">
        <f t="shared" si="16"/>
        <v>13865373</v>
      </c>
    </row>
    <row r="279" spans="1:47">
      <c r="A279" s="13" t="s">
        <v>482</v>
      </c>
      <c r="B279" s="13"/>
      <c r="C279" s="13" t="s">
        <v>42</v>
      </c>
      <c r="D279" s="13"/>
      <c r="E279" s="32">
        <v>48009</v>
      </c>
      <c r="F279" s="26"/>
      <c r="G279" s="26">
        <v>16064529</v>
      </c>
      <c r="H279" s="26"/>
      <c r="I279" s="26">
        <v>0</v>
      </c>
      <c r="J279" s="26"/>
      <c r="K279" s="26">
        <v>10796478</v>
      </c>
      <c r="L279" s="26"/>
      <c r="M279" s="26">
        <v>324293</v>
      </c>
      <c r="N279" s="26"/>
      <c r="O279" s="26">
        <v>338493</v>
      </c>
      <c r="P279" s="26"/>
      <c r="Q279" s="26">
        <v>236736</v>
      </c>
      <c r="R279" s="26"/>
      <c r="S279" s="26">
        <v>1077560</v>
      </c>
      <c r="T279" s="26"/>
      <c r="U279" s="26">
        <v>35833</v>
      </c>
      <c r="V279" s="26"/>
      <c r="W279" s="26">
        <v>756389</v>
      </c>
      <c r="X279" s="26"/>
      <c r="Y279" s="54">
        <f t="shared" si="14"/>
        <v>29630311</v>
      </c>
      <c r="Z279" s="26"/>
      <c r="AA279" s="26">
        <v>40348</v>
      </c>
      <c r="AB279" s="26"/>
      <c r="AC279" s="26"/>
      <c r="AD279" s="26"/>
      <c r="AE279" s="26">
        <v>9379998</v>
      </c>
      <c r="AF279" s="26"/>
      <c r="AG279" s="26"/>
      <c r="AH279" s="26"/>
      <c r="AI279" s="26"/>
      <c r="AJ279" s="26"/>
      <c r="AK279" s="26">
        <v>556552</v>
      </c>
      <c r="AL279" s="26"/>
      <c r="AM279" s="26">
        <v>0</v>
      </c>
      <c r="AN279" s="26"/>
      <c r="AO279" s="26">
        <v>0</v>
      </c>
      <c r="AP279" s="26"/>
      <c r="AQ279" s="26">
        <v>0</v>
      </c>
      <c r="AR279" s="26"/>
      <c r="AS279" s="54">
        <f t="shared" si="15"/>
        <v>9976898</v>
      </c>
      <c r="AT279" s="26"/>
      <c r="AU279" s="54">
        <f t="shared" si="16"/>
        <v>39607209</v>
      </c>
    </row>
    <row r="280" spans="1:47">
      <c r="A280" s="13" t="s">
        <v>483</v>
      </c>
      <c r="B280" s="13"/>
      <c r="C280" s="13" t="s">
        <v>42</v>
      </c>
      <c r="D280" s="13"/>
      <c r="E280" s="32">
        <v>48017</v>
      </c>
      <c r="F280" s="26"/>
      <c r="G280" s="26">
        <v>4877132</v>
      </c>
      <c r="H280" s="26"/>
      <c r="I280" s="26">
        <v>1921311</v>
      </c>
      <c r="J280" s="26"/>
      <c r="K280" s="26">
        <v>21761521</v>
      </c>
      <c r="L280" s="26"/>
      <c r="M280" s="26">
        <v>875192</v>
      </c>
      <c r="N280" s="26"/>
      <c r="O280" s="26">
        <v>220114</v>
      </c>
      <c r="P280" s="26"/>
      <c r="Q280" s="26">
        <v>322752</v>
      </c>
      <c r="R280" s="26"/>
      <c r="S280" s="26">
        <v>0</v>
      </c>
      <c r="T280" s="26"/>
      <c r="U280" s="26">
        <v>0</v>
      </c>
      <c r="V280" s="26"/>
      <c r="W280" s="26">
        <v>820400</v>
      </c>
      <c r="X280" s="26"/>
      <c r="Y280" s="54">
        <f t="shared" si="14"/>
        <v>30798422</v>
      </c>
      <c r="Z280" s="26"/>
      <c r="AA280" s="26">
        <v>88150</v>
      </c>
      <c r="AB280" s="26"/>
      <c r="AC280" s="26"/>
      <c r="AD280" s="26"/>
      <c r="AE280" s="26">
        <v>808017</v>
      </c>
      <c r="AF280" s="26"/>
      <c r="AG280" s="26"/>
      <c r="AH280" s="26"/>
      <c r="AI280" s="26"/>
      <c r="AJ280" s="26"/>
      <c r="AK280" s="26">
        <v>808017</v>
      </c>
      <c r="AL280" s="26"/>
      <c r="AM280" s="26">
        <v>0</v>
      </c>
      <c r="AN280" s="26"/>
      <c r="AO280" s="26">
        <v>0</v>
      </c>
      <c r="AP280" s="26"/>
      <c r="AQ280" s="26">
        <v>0</v>
      </c>
      <c r="AR280" s="26"/>
      <c r="AS280" s="54">
        <f t="shared" si="15"/>
        <v>1704184</v>
      </c>
      <c r="AT280" s="26"/>
      <c r="AU280" s="54">
        <f t="shared" si="16"/>
        <v>32502606</v>
      </c>
    </row>
    <row r="281" spans="1:47">
      <c r="A281" s="13" t="s">
        <v>710</v>
      </c>
      <c r="B281" s="13"/>
      <c r="C281" s="13" t="s">
        <v>67</v>
      </c>
      <c r="D281" s="13"/>
      <c r="E281" s="32">
        <v>50369</v>
      </c>
      <c r="F281" s="26"/>
      <c r="G281" s="26">
        <v>2938002</v>
      </c>
      <c r="H281" s="26"/>
      <c r="I281" s="26">
        <v>0</v>
      </c>
      <c r="J281" s="26"/>
      <c r="K281" s="26">
        <v>11131765</v>
      </c>
      <c r="L281" s="26"/>
      <c r="M281" s="26">
        <v>853334</v>
      </c>
      <c r="N281" s="26"/>
      <c r="O281" s="26">
        <v>1589125</v>
      </c>
      <c r="P281" s="26"/>
      <c r="Q281" s="26">
        <v>92623</v>
      </c>
      <c r="R281" s="26"/>
      <c r="S281" s="26">
        <v>0</v>
      </c>
      <c r="T281" s="26"/>
      <c r="U281" s="26">
        <v>0</v>
      </c>
      <c r="V281" s="26"/>
      <c r="W281" s="26">
        <v>457778</v>
      </c>
      <c r="X281" s="26"/>
      <c r="Y281" s="54">
        <f t="shared" si="14"/>
        <v>17062627</v>
      </c>
      <c r="Z281" s="26"/>
      <c r="AA281" s="26">
        <v>4000</v>
      </c>
      <c r="AB281" s="26"/>
      <c r="AC281" s="26"/>
      <c r="AD281" s="26"/>
      <c r="AE281" s="26">
        <v>0</v>
      </c>
      <c r="AF281" s="26"/>
      <c r="AG281" s="26"/>
      <c r="AH281" s="26"/>
      <c r="AI281" s="26"/>
      <c r="AJ281" s="26"/>
      <c r="AK281" s="26">
        <v>0</v>
      </c>
      <c r="AL281" s="26"/>
      <c r="AM281" s="26">
        <v>0</v>
      </c>
      <c r="AN281" s="26"/>
      <c r="AO281" s="26">
        <v>0</v>
      </c>
      <c r="AP281" s="26"/>
      <c r="AQ281" s="26">
        <v>0</v>
      </c>
      <c r="AR281" s="26"/>
      <c r="AS281" s="54">
        <f t="shared" si="15"/>
        <v>4000</v>
      </c>
      <c r="AT281" s="26"/>
      <c r="AU281" s="54">
        <f t="shared" si="16"/>
        <v>17066627</v>
      </c>
    </row>
    <row r="282" spans="1:47">
      <c r="A282" s="13" t="s">
        <v>287</v>
      </c>
      <c r="B282" s="13"/>
      <c r="C282" s="13" t="s">
        <v>115</v>
      </c>
      <c r="D282" s="13"/>
      <c r="E282" s="32">
        <v>45450</v>
      </c>
      <c r="F282" s="26"/>
      <c r="G282" s="26">
        <v>2241729</v>
      </c>
      <c r="H282" s="26"/>
      <c r="I282" s="26">
        <v>0</v>
      </c>
      <c r="J282" s="26"/>
      <c r="K282" s="26">
        <v>6562054</v>
      </c>
      <c r="L282" s="26"/>
      <c r="M282" s="26">
        <v>194707</v>
      </c>
      <c r="N282" s="26"/>
      <c r="O282" s="26">
        <v>1121116</v>
      </c>
      <c r="P282" s="26"/>
      <c r="Q282" s="26">
        <v>104877</v>
      </c>
      <c r="R282" s="26"/>
      <c r="S282" s="26">
        <v>0</v>
      </c>
      <c r="T282" s="26"/>
      <c r="U282" s="26">
        <v>28539</v>
      </c>
      <c r="V282" s="26"/>
      <c r="W282" s="26">
        <v>311527</v>
      </c>
      <c r="X282" s="26"/>
      <c r="Y282" s="54">
        <f t="shared" si="14"/>
        <v>10564549</v>
      </c>
      <c r="Z282" s="26"/>
      <c r="AA282" s="26">
        <v>0</v>
      </c>
      <c r="AB282" s="26"/>
      <c r="AC282" s="26"/>
      <c r="AD282" s="26"/>
      <c r="AE282" s="26">
        <v>1177000</v>
      </c>
      <c r="AF282" s="26"/>
      <c r="AG282" s="26"/>
      <c r="AH282" s="26"/>
      <c r="AI282" s="26"/>
      <c r="AJ282" s="26"/>
      <c r="AK282" s="26">
        <v>0</v>
      </c>
      <c r="AL282" s="26"/>
      <c r="AM282" s="26">
        <v>0</v>
      </c>
      <c r="AN282" s="26"/>
      <c r="AO282" s="26">
        <v>0</v>
      </c>
      <c r="AP282" s="26"/>
      <c r="AQ282" s="26">
        <v>0</v>
      </c>
      <c r="AR282" s="26"/>
      <c r="AS282" s="54">
        <f t="shared" si="15"/>
        <v>1177000</v>
      </c>
      <c r="AT282" s="26"/>
      <c r="AU282" s="54">
        <f t="shared" si="16"/>
        <v>11741549</v>
      </c>
    </row>
    <row r="283" spans="1:47">
      <c r="A283" s="13" t="s">
        <v>717</v>
      </c>
      <c r="B283" s="13"/>
      <c r="C283" s="13" t="s">
        <v>69</v>
      </c>
      <c r="D283" s="13"/>
      <c r="E283" s="32">
        <v>50443</v>
      </c>
      <c r="F283" s="26"/>
      <c r="G283" s="26">
        <v>17924619</v>
      </c>
      <c r="H283" s="26"/>
      <c r="I283" s="26">
        <v>0</v>
      </c>
      <c r="J283" s="26"/>
      <c r="K283" s="26">
        <v>12836753</v>
      </c>
      <c r="L283" s="26"/>
      <c r="M283" s="26">
        <v>3104294</v>
      </c>
      <c r="N283" s="26"/>
      <c r="O283" s="26">
        <v>221828</v>
      </c>
      <c r="P283" s="26"/>
      <c r="Q283" s="26">
        <v>558870</v>
      </c>
      <c r="R283" s="26"/>
      <c r="S283" s="26">
        <v>0</v>
      </c>
      <c r="T283" s="26"/>
      <c r="U283" s="26">
        <v>0</v>
      </c>
      <c r="V283" s="26"/>
      <c r="W283" s="26">
        <v>1183474</v>
      </c>
      <c r="X283" s="26"/>
      <c r="Y283" s="54">
        <f t="shared" si="14"/>
        <v>35829838</v>
      </c>
      <c r="Z283" s="26"/>
      <c r="AA283" s="26">
        <v>6363668</v>
      </c>
      <c r="AB283" s="26"/>
      <c r="AC283" s="26"/>
      <c r="AD283" s="26"/>
      <c r="AE283" s="26">
        <v>4695000</v>
      </c>
      <c r="AF283" s="26"/>
      <c r="AG283" s="26"/>
      <c r="AH283" s="26"/>
      <c r="AI283" s="26"/>
      <c r="AJ283" s="26"/>
      <c r="AK283" s="26">
        <v>3890000</v>
      </c>
      <c r="AL283" s="26"/>
      <c r="AM283" s="26">
        <v>0</v>
      </c>
      <c r="AN283" s="26"/>
      <c r="AO283" s="26">
        <v>0</v>
      </c>
      <c r="AP283" s="26"/>
      <c r="AQ283" s="26">
        <v>0</v>
      </c>
      <c r="AR283" s="26"/>
      <c r="AS283" s="54">
        <f t="shared" si="15"/>
        <v>14948668</v>
      </c>
      <c r="AT283" s="26"/>
      <c r="AU283" s="54">
        <f t="shared" si="16"/>
        <v>50778506</v>
      </c>
    </row>
    <row r="284" spans="1:47" hidden="1">
      <c r="A284" s="13" t="s">
        <v>401</v>
      </c>
      <c r="B284" s="13"/>
      <c r="C284" s="13" t="s">
        <v>32</v>
      </c>
      <c r="D284" s="13"/>
      <c r="E284" s="32">
        <v>44230</v>
      </c>
      <c r="F284" s="26"/>
      <c r="G284" s="26">
        <v>0</v>
      </c>
      <c r="H284" s="26"/>
      <c r="I284" s="26">
        <v>0</v>
      </c>
      <c r="J284" s="26"/>
      <c r="K284" s="26">
        <v>0</v>
      </c>
      <c r="L284" s="26"/>
      <c r="M284" s="26">
        <v>0</v>
      </c>
      <c r="N284" s="26"/>
      <c r="O284" s="26">
        <v>0</v>
      </c>
      <c r="P284" s="26"/>
      <c r="Q284" s="26">
        <v>0</v>
      </c>
      <c r="R284" s="26"/>
      <c r="S284" s="26">
        <v>0</v>
      </c>
      <c r="T284" s="26"/>
      <c r="U284" s="26">
        <v>0</v>
      </c>
      <c r="V284" s="26"/>
      <c r="W284" s="26">
        <v>0</v>
      </c>
      <c r="X284" s="26"/>
      <c r="Y284" s="54">
        <f t="shared" si="14"/>
        <v>0</v>
      </c>
      <c r="Z284" s="26"/>
      <c r="AA284" s="26">
        <v>0</v>
      </c>
      <c r="AB284" s="26"/>
      <c r="AC284" s="26"/>
      <c r="AD284" s="26"/>
      <c r="AE284" s="26">
        <v>0</v>
      </c>
      <c r="AF284" s="26"/>
      <c r="AG284" s="26"/>
      <c r="AH284" s="26"/>
      <c r="AI284" s="26"/>
      <c r="AJ284" s="26"/>
      <c r="AK284" s="26">
        <v>0</v>
      </c>
      <c r="AL284" s="26"/>
      <c r="AM284" s="26">
        <v>0</v>
      </c>
      <c r="AN284" s="26"/>
      <c r="AO284" s="26">
        <v>0</v>
      </c>
      <c r="AP284" s="26"/>
      <c r="AQ284" s="26">
        <v>0</v>
      </c>
      <c r="AR284" s="26"/>
      <c r="AS284" s="54">
        <f t="shared" si="15"/>
        <v>0</v>
      </c>
      <c r="AT284" s="26"/>
      <c r="AU284" s="54">
        <f t="shared" si="16"/>
        <v>0</v>
      </c>
    </row>
    <row r="285" spans="1:47">
      <c r="A285" s="13" t="s">
        <v>589</v>
      </c>
      <c r="B285" s="13"/>
      <c r="C285" s="13" t="s">
        <v>54</v>
      </c>
      <c r="D285" s="13"/>
      <c r="E285" s="32">
        <v>49080</v>
      </c>
      <c r="F285" s="26"/>
      <c r="G285" s="26">
        <v>9489674</v>
      </c>
      <c r="H285" s="26"/>
      <c r="I285" s="26">
        <v>0</v>
      </c>
      <c r="J285" s="26"/>
      <c r="K285" s="26">
        <v>10800759</v>
      </c>
      <c r="L285" s="26"/>
      <c r="M285" s="26">
        <v>260515</v>
      </c>
      <c r="N285" s="26"/>
      <c r="O285" s="26">
        <v>516663</v>
      </c>
      <c r="P285" s="26"/>
      <c r="Q285" s="26">
        <v>291489</v>
      </c>
      <c r="R285" s="26"/>
      <c r="S285" s="26">
        <v>0</v>
      </c>
      <c r="T285" s="26"/>
      <c r="U285" s="26">
        <v>0</v>
      </c>
      <c r="V285" s="26"/>
      <c r="W285" s="26">
        <v>593380</v>
      </c>
      <c r="X285" s="26"/>
      <c r="Y285" s="54">
        <f t="shared" si="14"/>
        <v>21952480</v>
      </c>
      <c r="Z285" s="26"/>
      <c r="AA285" s="26">
        <v>0</v>
      </c>
      <c r="AB285" s="26"/>
      <c r="AC285" s="26"/>
      <c r="AD285" s="26"/>
      <c r="AE285" s="26">
        <v>0</v>
      </c>
      <c r="AF285" s="26"/>
      <c r="AG285" s="26"/>
      <c r="AH285" s="26"/>
      <c r="AI285" s="26"/>
      <c r="AJ285" s="26"/>
      <c r="AK285" s="26">
        <v>0</v>
      </c>
      <c r="AL285" s="26"/>
      <c r="AM285" s="26">
        <v>0</v>
      </c>
      <c r="AN285" s="26"/>
      <c r="AO285" s="26">
        <v>0</v>
      </c>
      <c r="AP285" s="26"/>
      <c r="AQ285" s="26">
        <v>0</v>
      </c>
      <c r="AR285" s="26"/>
      <c r="AS285" s="54">
        <f t="shared" si="15"/>
        <v>0</v>
      </c>
      <c r="AT285" s="26"/>
      <c r="AU285" s="54">
        <f t="shared" si="16"/>
        <v>21952480</v>
      </c>
    </row>
    <row r="286" spans="1:47">
      <c r="A286" s="13" t="s">
        <v>445</v>
      </c>
      <c r="B286" s="13"/>
      <c r="C286" s="13" t="s">
        <v>35</v>
      </c>
      <c r="D286" s="13"/>
      <c r="E286" s="32">
        <v>44248</v>
      </c>
      <c r="F286" s="26"/>
      <c r="G286" s="26">
        <v>12950277</v>
      </c>
      <c r="H286" s="26"/>
      <c r="I286" s="26">
        <v>0</v>
      </c>
      <c r="J286" s="26"/>
      <c r="K286" s="26">
        <v>46253043</v>
      </c>
      <c r="L286" s="26"/>
      <c r="M286" s="26">
        <v>1529871</v>
      </c>
      <c r="N286" s="26"/>
      <c r="O286" s="26">
        <v>1192142</v>
      </c>
      <c r="P286" s="26"/>
      <c r="Q286" s="26">
        <v>0</v>
      </c>
      <c r="R286" s="26"/>
      <c r="S286" s="26">
        <v>0</v>
      </c>
      <c r="T286" s="26"/>
      <c r="U286" s="26">
        <v>0</v>
      </c>
      <c r="V286" s="26"/>
      <c r="W286" s="26">
        <v>126043</v>
      </c>
      <c r="X286" s="26"/>
      <c r="Y286" s="54">
        <f t="shared" si="14"/>
        <v>62051376</v>
      </c>
      <c r="Z286" s="26"/>
      <c r="AA286" s="26">
        <v>4268167</v>
      </c>
      <c r="AB286" s="26"/>
      <c r="AC286" s="26"/>
      <c r="AD286" s="26"/>
      <c r="AE286" s="26">
        <v>3901300</v>
      </c>
      <c r="AF286" s="26"/>
      <c r="AG286" s="26"/>
      <c r="AH286" s="26"/>
      <c r="AI286" s="26"/>
      <c r="AJ286" s="26"/>
      <c r="AK286" s="26">
        <v>0</v>
      </c>
      <c r="AL286" s="26"/>
      <c r="AM286" s="26">
        <v>0</v>
      </c>
      <c r="AN286" s="26"/>
      <c r="AO286" s="26">
        <v>0</v>
      </c>
      <c r="AP286" s="26"/>
      <c r="AQ286" s="26">
        <v>0</v>
      </c>
      <c r="AR286" s="26"/>
      <c r="AS286" s="54">
        <f t="shared" si="15"/>
        <v>8169467</v>
      </c>
      <c r="AT286" s="26"/>
      <c r="AU286" s="54">
        <f t="shared" si="16"/>
        <v>70220843</v>
      </c>
    </row>
    <row r="287" spans="1:47">
      <c r="A287" s="13" t="s">
        <v>513</v>
      </c>
      <c r="B287" s="13"/>
      <c r="C287" s="13" t="s">
        <v>511</v>
      </c>
      <c r="D287" s="13"/>
      <c r="E287" s="32">
        <v>44255</v>
      </c>
      <c r="F287" s="26"/>
      <c r="G287" s="26">
        <v>7056283</v>
      </c>
      <c r="H287" s="26"/>
      <c r="I287" s="26">
        <v>2783617</v>
      </c>
      <c r="J287" s="26"/>
      <c r="K287" s="26">
        <v>10967589</v>
      </c>
      <c r="L287" s="26"/>
      <c r="M287" s="26">
        <v>226579</v>
      </c>
      <c r="N287" s="26"/>
      <c r="O287" s="26">
        <v>446935</v>
      </c>
      <c r="P287" s="26"/>
      <c r="Q287" s="26">
        <v>198891</v>
      </c>
      <c r="R287" s="26"/>
      <c r="S287" s="26">
        <v>286531</v>
      </c>
      <c r="T287" s="26"/>
      <c r="U287" s="26">
        <v>2516455</v>
      </c>
      <c r="V287" s="26"/>
      <c r="W287" s="26">
        <f>101055+908+54827</f>
        <v>156790</v>
      </c>
      <c r="X287" s="26"/>
      <c r="Y287" s="54">
        <f t="shared" si="14"/>
        <v>24639670</v>
      </c>
      <c r="Z287" s="26"/>
      <c r="AA287" s="26">
        <v>0</v>
      </c>
      <c r="AB287" s="26"/>
      <c r="AC287" s="26"/>
      <c r="AD287" s="26"/>
      <c r="AE287" s="26">
        <v>125964</v>
      </c>
      <c r="AF287" s="26"/>
      <c r="AG287" s="26"/>
      <c r="AH287" s="26"/>
      <c r="AI287" s="26"/>
      <c r="AJ287" s="26"/>
      <c r="AK287" s="26">
        <v>0</v>
      </c>
      <c r="AL287" s="26"/>
      <c r="AM287" s="26">
        <v>0</v>
      </c>
      <c r="AN287" s="26"/>
      <c r="AO287" s="26">
        <v>0</v>
      </c>
      <c r="AP287" s="26"/>
      <c r="AQ287" s="26">
        <v>0</v>
      </c>
      <c r="AR287" s="26"/>
      <c r="AS287" s="54">
        <f t="shared" si="15"/>
        <v>125964</v>
      </c>
      <c r="AT287" s="26"/>
      <c r="AU287" s="54">
        <f t="shared" si="16"/>
        <v>24765634</v>
      </c>
    </row>
    <row r="288" spans="1:47">
      <c r="A288" s="34" t="s">
        <v>496</v>
      </c>
      <c r="B288" s="34"/>
      <c r="C288" s="34" t="s">
        <v>44</v>
      </c>
      <c r="D288" s="34"/>
      <c r="E288" s="34">
        <v>44263</v>
      </c>
      <c r="F288" s="43"/>
      <c r="G288" s="26">
        <v>19378843</v>
      </c>
      <c r="H288" s="26"/>
      <c r="I288" s="26">
        <v>0</v>
      </c>
      <c r="J288" s="26"/>
      <c r="K288" s="26">
        <v>88177560</v>
      </c>
      <c r="L288" s="26"/>
      <c r="M288" s="26">
        <v>2442855</v>
      </c>
      <c r="N288" s="26"/>
      <c r="O288" s="26">
        <v>1262994</v>
      </c>
      <c r="P288" s="26"/>
      <c r="Q288" s="26">
        <v>772036</v>
      </c>
      <c r="R288" s="26"/>
      <c r="S288" s="26">
        <v>0</v>
      </c>
      <c r="T288" s="26"/>
      <c r="U288" s="26">
        <v>510348</v>
      </c>
      <c r="V288" s="26"/>
      <c r="W288" s="26">
        <v>1169422</v>
      </c>
      <c r="X288" s="26"/>
      <c r="Y288" s="54">
        <f t="shared" si="14"/>
        <v>113714058</v>
      </c>
      <c r="Z288" s="26"/>
      <c r="AA288" s="26">
        <v>2110423</v>
      </c>
      <c r="AB288" s="26"/>
      <c r="AC288" s="26"/>
      <c r="AD288" s="26"/>
      <c r="AE288" s="26">
        <v>5740</v>
      </c>
      <c r="AF288" s="26"/>
      <c r="AG288" s="26"/>
      <c r="AH288" s="26"/>
      <c r="AI288" s="26"/>
      <c r="AJ288" s="26"/>
      <c r="AK288" s="26">
        <v>5740</v>
      </c>
      <c r="AL288" s="26"/>
      <c r="AM288" s="26">
        <v>0</v>
      </c>
      <c r="AN288" s="26"/>
      <c r="AO288" s="26">
        <v>0</v>
      </c>
      <c r="AP288" s="26"/>
      <c r="AQ288" s="26">
        <v>0</v>
      </c>
      <c r="AR288" s="26"/>
      <c r="AS288" s="54">
        <f t="shared" si="15"/>
        <v>2121903</v>
      </c>
      <c r="AT288" s="26"/>
      <c r="AU288" s="54">
        <f t="shared" si="16"/>
        <v>115835961</v>
      </c>
    </row>
    <row r="289" spans="1:47">
      <c r="A289" s="13" t="s">
        <v>691</v>
      </c>
      <c r="B289" s="13"/>
      <c r="C289" s="13" t="s">
        <v>64</v>
      </c>
      <c r="D289" s="13"/>
      <c r="E289" s="32">
        <v>50203</v>
      </c>
      <c r="F289" s="26"/>
      <c r="G289" s="26">
        <v>4492964</v>
      </c>
      <c r="H289" s="26"/>
      <c r="I289" s="26">
        <v>0</v>
      </c>
      <c r="J289" s="26"/>
      <c r="K289" s="26">
        <v>2332336</v>
      </c>
      <c r="L289" s="26"/>
      <c r="M289" s="26">
        <v>90304</v>
      </c>
      <c r="N289" s="26"/>
      <c r="O289" s="26">
        <v>23979</v>
      </c>
      <c r="P289" s="26"/>
      <c r="Q289" s="26">
        <v>18800</v>
      </c>
      <c r="R289" s="26"/>
      <c r="S289" s="26">
        <v>0</v>
      </c>
      <c r="T289" s="26"/>
      <c r="U289" s="26">
        <v>0</v>
      </c>
      <c r="V289" s="26"/>
      <c r="W289" s="26">
        <v>1037094</v>
      </c>
      <c r="X289" s="26"/>
      <c r="Y289" s="54">
        <f t="shared" si="14"/>
        <v>7995477</v>
      </c>
      <c r="Z289" s="26"/>
      <c r="AA289" s="26">
        <v>155000</v>
      </c>
      <c r="AB289" s="26"/>
      <c r="AC289" s="26"/>
      <c r="AD289" s="26"/>
      <c r="AE289" s="26">
        <v>2050000</v>
      </c>
      <c r="AF289" s="26"/>
      <c r="AG289" s="26"/>
      <c r="AH289" s="26"/>
      <c r="AI289" s="26"/>
      <c r="AJ289" s="26"/>
      <c r="AK289" s="26">
        <v>0</v>
      </c>
      <c r="AL289" s="26"/>
      <c r="AM289" s="26">
        <v>0</v>
      </c>
      <c r="AN289" s="26"/>
      <c r="AO289" s="26">
        <v>0</v>
      </c>
      <c r="AP289" s="26"/>
      <c r="AQ289" s="26">
        <v>0</v>
      </c>
      <c r="AR289" s="26"/>
      <c r="AS289" s="54">
        <f t="shared" si="15"/>
        <v>2205000</v>
      </c>
      <c r="AT289" s="26"/>
      <c r="AU289" s="54">
        <f t="shared" si="16"/>
        <v>10200477</v>
      </c>
    </row>
    <row r="290" spans="1:47">
      <c r="A290" s="12" t="s">
        <v>907</v>
      </c>
      <c r="B290" s="13"/>
      <c r="C290" s="13" t="s">
        <v>11</v>
      </c>
      <c r="D290" s="13"/>
      <c r="E290" s="32">
        <v>45468</v>
      </c>
      <c r="F290" s="26"/>
      <c r="G290" s="26">
        <v>3855448</v>
      </c>
      <c r="H290" s="26"/>
      <c r="I290" s="26">
        <v>1628218</v>
      </c>
      <c r="J290" s="26"/>
      <c r="K290" s="26">
        <v>6074119</v>
      </c>
      <c r="L290" s="26"/>
      <c r="M290" s="26">
        <v>176530</v>
      </c>
      <c r="N290" s="26"/>
      <c r="O290" s="26">
        <v>504669</v>
      </c>
      <c r="P290" s="26"/>
      <c r="Q290" s="26">
        <v>167640</v>
      </c>
      <c r="R290" s="26"/>
      <c r="S290" s="26">
        <v>0</v>
      </c>
      <c r="T290" s="26"/>
      <c r="U290" s="26">
        <v>84224</v>
      </c>
      <c r="V290" s="26"/>
      <c r="W290" s="26">
        <v>313318</v>
      </c>
      <c r="X290" s="26"/>
      <c r="Y290" s="54">
        <f t="shared" si="14"/>
        <v>12804166</v>
      </c>
      <c r="Z290" s="26"/>
      <c r="AA290" s="26">
        <v>0</v>
      </c>
      <c r="AB290" s="26"/>
      <c r="AC290" s="26"/>
      <c r="AD290" s="26"/>
      <c r="AE290" s="26">
        <v>15111</v>
      </c>
      <c r="AF290" s="26"/>
      <c r="AG290" s="26"/>
      <c r="AH290" s="26"/>
      <c r="AI290" s="26"/>
      <c r="AJ290" s="26"/>
      <c r="AK290" s="26">
        <v>15111</v>
      </c>
      <c r="AL290" s="26"/>
      <c r="AM290" s="26">
        <v>0</v>
      </c>
      <c r="AN290" s="26"/>
      <c r="AO290" s="26">
        <v>0</v>
      </c>
      <c r="AP290" s="26"/>
      <c r="AQ290" s="26">
        <v>0</v>
      </c>
      <c r="AR290" s="26"/>
      <c r="AS290" s="54">
        <f t="shared" si="15"/>
        <v>30222</v>
      </c>
      <c r="AT290" s="26"/>
      <c r="AU290" s="54">
        <f t="shared" si="16"/>
        <v>12834388</v>
      </c>
    </row>
    <row r="291" spans="1:47">
      <c r="A291" s="13" t="s">
        <v>659</v>
      </c>
      <c r="B291" s="13"/>
      <c r="C291" s="13" t="s">
        <v>62</v>
      </c>
      <c r="D291" s="13"/>
      <c r="E291" s="32">
        <v>49874</v>
      </c>
      <c r="F291" s="26"/>
      <c r="G291" s="26">
        <v>8811966</v>
      </c>
      <c r="H291" s="26"/>
      <c r="I291" s="26">
        <v>0</v>
      </c>
      <c r="J291" s="26"/>
      <c r="K291" s="26">
        <v>17720448</v>
      </c>
      <c r="L291" s="26"/>
      <c r="M291" s="26">
        <v>316361</v>
      </c>
      <c r="N291" s="26"/>
      <c r="O291" s="26">
        <v>314672</v>
      </c>
      <c r="P291" s="26"/>
      <c r="Q291" s="26">
        <v>758733</v>
      </c>
      <c r="R291" s="26"/>
      <c r="S291" s="26">
        <v>0</v>
      </c>
      <c r="T291" s="26"/>
      <c r="U291" s="26">
        <v>2623</v>
      </c>
      <c r="V291" s="26"/>
      <c r="W291" s="26">
        <v>1007153</v>
      </c>
      <c r="X291" s="26"/>
      <c r="Y291" s="54">
        <f t="shared" si="14"/>
        <v>28931956</v>
      </c>
      <c r="Z291" s="26"/>
      <c r="AA291" s="26">
        <v>56744</v>
      </c>
      <c r="AB291" s="26"/>
      <c r="AC291" s="26"/>
      <c r="AD291" s="26"/>
      <c r="AE291" s="26">
        <v>0</v>
      </c>
      <c r="AF291" s="26"/>
      <c r="AG291" s="26"/>
      <c r="AH291" s="26"/>
      <c r="AI291" s="26"/>
      <c r="AJ291" s="26"/>
      <c r="AK291" s="26">
        <v>0</v>
      </c>
      <c r="AL291" s="26"/>
      <c r="AM291" s="26">
        <v>0</v>
      </c>
      <c r="AN291" s="26"/>
      <c r="AO291" s="26">
        <v>0</v>
      </c>
      <c r="AP291" s="26"/>
      <c r="AQ291" s="26">
        <v>0</v>
      </c>
      <c r="AR291" s="26"/>
      <c r="AS291" s="54">
        <f t="shared" si="15"/>
        <v>56744</v>
      </c>
      <c r="AT291" s="26"/>
      <c r="AU291" s="54">
        <f t="shared" si="16"/>
        <v>28988700</v>
      </c>
    </row>
    <row r="292" spans="1:47" ht="12" customHeight="1">
      <c r="A292" s="13" t="s">
        <v>402</v>
      </c>
      <c r="B292" s="13"/>
      <c r="C292" s="13" t="s">
        <v>32</v>
      </c>
      <c r="D292" s="13"/>
      <c r="E292" s="32">
        <v>44271</v>
      </c>
      <c r="F292" s="26"/>
      <c r="G292" s="26">
        <v>27855988</v>
      </c>
      <c r="H292" s="26"/>
      <c r="I292" s="26">
        <v>0</v>
      </c>
      <c r="J292" s="26"/>
      <c r="K292" s="26">
        <v>17581115</v>
      </c>
      <c r="L292" s="26"/>
      <c r="M292" s="26">
        <v>1004700</v>
      </c>
      <c r="N292" s="26"/>
      <c r="O292" s="26">
        <v>338952</v>
      </c>
      <c r="P292" s="26"/>
      <c r="Q292" s="26">
        <v>406645</v>
      </c>
      <c r="R292" s="26"/>
      <c r="S292" s="26">
        <v>0</v>
      </c>
      <c r="T292" s="26"/>
      <c r="U292" s="26">
        <v>0</v>
      </c>
      <c r="V292" s="26"/>
      <c r="W292" s="26">
        <v>1390662</v>
      </c>
      <c r="X292" s="26"/>
      <c r="Y292" s="54">
        <f t="shared" si="14"/>
        <v>48578062</v>
      </c>
      <c r="Z292" s="26"/>
      <c r="AA292" s="26">
        <v>1265</v>
      </c>
      <c r="AB292" s="26"/>
      <c r="AC292" s="26"/>
      <c r="AD292" s="26"/>
      <c r="AE292" s="26">
        <v>4042</v>
      </c>
      <c r="AF292" s="26"/>
      <c r="AG292" s="26"/>
      <c r="AH292" s="26"/>
      <c r="AI292" s="26"/>
      <c r="AJ292" s="26"/>
      <c r="AK292" s="26">
        <v>4042</v>
      </c>
      <c r="AL292" s="26"/>
      <c r="AM292" s="26">
        <v>0</v>
      </c>
      <c r="AN292" s="26"/>
      <c r="AO292" s="26">
        <v>0</v>
      </c>
      <c r="AP292" s="26"/>
      <c r="AQ292" s="26">
        <v>0</v>
      </c>
      <c r="AR292" s="26"/>
      <c r="AS292" s="54">
        <f t="shared" si="15"/>
        <v>9349</v>
      </c>
      <c r="AT292" s="26"/>
      <c r="AU292" s="54">
        <f t="shared" si="16"/>
        <v>48587411</v>
      </c>
    </row>
    <row r="293" spans="1:47" ht="12" customHeight="1">
      <c r="A293" s="13" t="s">
        <v>519</v>
      </c>
      <c r="B293" s="13"/>
      <c r="C293" s="13" t="s">
        <v>45</v>
      </c>
      <c r="D293" s="13"/>
      <c r="E293" s="32">
        <v>48330</v>
      </c>
      <c r="F293" s="26"/>
      <c r="G293" s="26">
        <v>1169258</v>
      </c>
      <c r="H293" s="26"/>
      <c r="I293" s="26">
        <v>0</v>
      </c>
      <c r="J293" s="26"/>
      <c r="K293" s="26">
        <f>2524787+217374</f>
        <v>2742161</v>
      </c>
      <c r="L293" s="26"/>
      <c r="M293" s="26">
        <v>108952</v>
      </c>
      <c r="N293" s="26"/>
      <c r="O293" s="26">
        <v>1202460</v>
      </c>
      <c r="P293" s="26"/>
      <c r="Q293" s="26">
        <v>0</v>
      </c>
      <c r="R293" s="26"/>
      <c r="S293" s="26">
        <v>0</v>
      </c>
      <c r="T293" s="26"/>
      <c r="U293" s="26">
        <v>0</v>
      </c>
      <c r="V293" s="26"/>
      <c r="W293" s="26">
        <f>151217+91034+51098</f>
        <v>293349</v>
      </c>
      <c r="X293" s="26"/>
      <c r="Y293" s="54">
        <f t="shared" si="14"/>
        <v>5516180</v>
      </c>
      <c r="Z293" s="26"/>
      <c r="AA293" s="26">
        <v>256280</v>
      </c>
      <c r="AB293" s="26"/>
      <c r="AC293" s="26"/>
      <c r="AD293" s="26"/>
      <c r="AE293" s="26">
        <v>0</v>
      </c>
      <c r="AF293" s="26"/>
      <c r="AG293" s="26"/>
      <c r="AH293" s="26"/>
      <c r="AI293" s="26"/>
      <c r="AJ293" s="26"/>
      <c r="AK293" s="26">
        <v>0</v>
      </c>
      <c r="AL293" s="26"/>
      <c r="AM293" s="26">
        <v>0</v>
      </c>
      <c r="AN293" s="26"/>
      <c r="AO293" s="26">
        <v>0</v>
      </c>
      <c r="AP293" s="26"/>
      <c r="AQ293" s="26">
        <v>0</v>
      </c>
      <c r="AR293" s="26"/>
      <c r="AS293" s="54">
        <f t="shared" si="15"/>
        <v>256280</v>
      </c>
      <c r="AT293" s="26"/>
      <c r="AU293" s="54">
        <f t="shared" si="16"/>
        <v>5772460</v>
      </c>
    </row>
    <row r="294" spans="1:47">
      <c r="A294" s="13" t="s">
        <v>616</v>
      </c>
      <c r="B294" s="13"/>
      <c r="C294" s="13" t="s">
        <v>113</v>
      </c>
      <c r="D294" s="13"/>
      <c r="E294" s="32">
        <v>49445</v>
      </c>
      <c r="F294" s="26"/>
      <c r="G294" s="26">
        <v>2549469</v>
      </c>
      <c r="H294" s="26"/>
      <c r="I294" s="26">
        <v>0</v>
      </c>
      <c r="J294" s="26"/>
      <c r="K294" s="26">
        <v>2921860</v>
      </c>
      <c r="L294" s="26"/>
      <c r="M294" s="26">
        <v>87754</v>
      </c>
      <c r="N294" s="26"/>
      <c r="O294" s="26">
        <v>5020</v>
      </c>
      <c r="P294" s="26"/>
      <c r="Q294" s="26">
        <v>88861</v>
      </c>
      <c r="R294" s="26"/>
      <c r="S294" s="26">
        <v>0</v>
      </c>
      <c r="T294" s="26"/>
      <c r="U294" s="26">
        <v>0</v>
      </c>
      <c r="V294" s="26"/>
      <c r="W294" s="26">
        <v>165087</v>
      </c>
      <c r="X294" s="26"/>
      <c r="Y294" s="54">
        <f t="shared" si="14"/>
        <v>5818051</v>
      </c>
      <c r="Z294" s="26"/>
      <c r="AA294" s="26">
        <v>20000</v>
      </c>
      <c r="AB294" s="26"/>
      <c r="AC294" s="26"/>
      <c r="AD294" s="26"/>
      <c r="AE294" s="26">
        <v>0</v>
      </c>
      <c r="AF294" s="26"/>
      <c r="AG294" s="26"/>
      <c r="AH294" s="26"/>
      <c r="AI294" s="26"/>
      <c r="AJ294" s="26"/>
      <c r="AK294" s="26">
        <v>0</v>
      </c>
      <c r="AL294" s="26"/>
      <c r="AM294" s="26">
        <v>0</v>
      </c>
      <c r="AN294" s="26"/>
      <c r="AO294" s="26">
        <v>0</v>
      </c>
      <c r="AP294" s="26"/>
      <c r="AQ294" s="26">
        <v>0</v>
      </c>
      <c r="AR294" s="26"/>
      <c r="AS294" s="54">
        <f t="shared" si="15"/>
        <v>20000</v>
      </c>
      <c r="AT294" s="26"/>
      <c r="AU294" s="54">
        <f t="shared" si="16"/>
        <v>5838051</v>
      </c>
    </row>
    <row r="295" spans="1:47">
      <c r="A295" s="13" t="s">
        <v>444</v>
      </c>
      <c r="B295" s="13"/>
      <c r="C295" s="13" t="s">
        <v>440</v>
      </c>
      <c r="D295" s="13"/>
      <c r="E295" s="32">
        <v>47639</v>
      </c>
      <c r="F295" s="26"/>
      <c r="G295" s="26">
        <v>1896497</v>
      </c>
      <c r="H295" s="26"/>
      <c r="I295" s="26">
        <v>0</v>
      </c>
      <c r="J295" s="26"/>
      <c r="K295" s="26">
        <v>8856384</v>
      </c>
      <c r="L295" s="26"/>
      <c r="M295" s="26">
        <v>393043</v>
      </c>
      <c r="N295" s="26"/>
      <c r="O295" s="26">
        <v>599915</v>
      </c>
      <c r="P295" s="26"/>
      <c r="Q295" s="26">
        <v>82505</v>
      </c>
      <c r="R295" s="26"/>
      <c r="S295" s="26">
        <v>0</v>
      </c>
      <c r="T295" s="26"/>
      <c r="U295" s="26">
        <v>40959</v>
      </c>
      <c r="V295" s="26"/>
      <c r="W295" s="26">
        <v>425926</v>
      </c>
      <c r="X295" s="26"/>
      <c r="Y295" s="54">
        <f t="shared" si="14"/>
        <v>12295229</v>
      </c>
      <c r="Z295" s="26"/>
      <c r="AA295" s="26">
        <v>25001</v>
      </c>
      <c r="AB295" s="26"/>
      <c r="AC295" s="26"/>
      <c r="AD295" s="26"/>
      <c r="AE295" s="26">
        <v>0</v>
      </c>
      <c r="AF295" s="26"/>
      <c r="AG295" s="26"/>
      <c r="AH295" s="26"/>
      <c r="AI295" s="26"/>
      <c r="AJ295" s="26"/>
      <c r="AK295" s="26">
        <v>0</v>
      </c>
      <c r="AL295" s="26"/>
      <c r="AM295" s="26">
        <v>0</v>
      </c>
      <c r="AN295" s="26"/>
      <c r="AO295" s="26">
        <v>0</v>
      </c>
      <c r="AP295" s="26"/>
      <c r="AQ295" s="26">
        <v>0</v>
      </c>
      <c r="AR295" s="26"/>
      <c r="AS295" s="54">
        <f t="shared" si="15"/>
        <v>25001</v>
      </c>
      <c r="AT295" s="26"/>
      <c r="AU295" s="54">
        <f t="shared" si="16"/>
        <v>12320230</v>
      </c>
    </row>
    <row r="296" spans="1:47">
      <c r="A296" s="13" t="s">
        <v>558</v>
      </c>
      <c r="B296" s="13"/>
      <c r="C296" s="13" t="s">
        <v>50</v>
      </c>
      <c r="D296" s="13"/>
      <c r="E296" s="32">
        <v>48702</v>
      </c>
      <c r="F296" s="26"/>
      <c r="G296" s="26">
        <v>10617348</v>
      </c>
      <c r="H296" s="26"/>
      <c r="I296" s="26">
        <v>0</v>
      </c>
      <c r="J296" s="26"/>
      <c r="K296" s="26">
        <v>27399697</v>
      </c>
      <c r="L296" s="26"/>
      <c r="M296" s="26">
        <v>1074936</v>
      </c>
      <c r="N296" s="26"/>
      <c r="O296" s="26">
        <v>742508</v>
      </c>
      <c r="P296" s="26"/>
      <c r="Q296" s="26">
        <v>239952</v>
      </c>
      <c r="R296" s="26"/>
      <c r="S296" s="26">
        <v>0</v>
      </c>
      <c r="T296" s="26"/>
      <c r="U296" s="26">
        <v>0</v>
      </c>
      <c r="V296" s="26"/>
      <c r="W296" s="26">
        <f>676596+934271</f>
        <v>1610867</v>
      </c>
      <c r="X296" s="26"/>
      <c r="Y296" s="54">
        <f t="shared" si="14"/>
        <v>41685308</v>
      </c>
      <c r="Z296" s="26"/>
      <c r="AA296" s="26">
        <v>2333691</v>
      </c>
      <c r="AB296" s="26"/>
      <c r="AC296" s="26"/>
      <c r="AD296" s="26"/>
      <c r="AE296" s="26">
        <v>0</v>
      </c>
      <c r="AF296" s="26"/>
      <c r="AG296" s="26"/>
      <c r="AH296" s="26"/>
      <c r="AI296" s="26"/>
      <c r="AJ296" s="26"/>
      <c r="AK296" s="26">
        <v>0</v>
      </c>
      <c r="AL296" s="26"/>
      <c r="AM296" s="26">
        <v>0</v>
      </c>
      <c r="AN296" s="26"/>
      <c r="AO296" s="26">
        <v>0</v>
      </c>
      <c r="AP296" s="26"/>
      <c r="AQ296" s="26">
        <v>0</v>
      </c>
      <c r="AR296" s="26"/>
      <c r="AS296" s="54">
        <f t="shared" si="15"/>
        <v>2333691</v>
      </c>
      <c r="AT296" s="26"/>
      <c r="AU296" s="54">
        <f t="shared" si="16"/>
        <v>44018999</v>
      </c>
    </row>
    <row r="297" spans="1:47">
      <c r="A297" s="13" t="s">
        <v>403</v>
      </c>
      <c r="B297" s="13"/>
      <c r="C297" s="13" t="s">
        <v>32</v>
      </c>
      <c r="D297" s="13"/>
      <c r="E297" s="32">
        <v>44289</v>
      </c>
      <c r="F297" s="26"/>
      <c r="G297" s="26">
        <v>13241765</v>
      </c>
      <c r="H297" s="26"/>
      <c r="I297" s="26">
        <v>0</v>
      </c>
      <c r="J297" s="26"/>
      <c r="K297" s="26">
        <v>5673397</v>
      </c>
      <c r="L297" s="26"/>
      <c r="M297" s="26">
        <v>245199</v>
      </c>
      <c r="N297" s="26"/>
      <c r="O297" s="26">
        <v>36962</v>
      </c>
      <c r="P297" s="26"/>
      <c r="Q297" s="26">
        <v>393665</v>
      </c>
      <c r="R297" s="26"/>
      <c r="S297" s="26">
        <v>0</v>
      </c>
      <c r="T297" s="26"/>
      <c r="U297" s="26">
        <v>0</v>
      </c>
      <c r="V297" s="26"/>
      <c r="W297" s="26">
        <f>447943+744397</f>
        <v>1192340</v>
      </c>
      <c r="X297" s="26"/>
      <c r="Y297" s="54">
        <f t="shared" si="14"/>
        <v>20783328</v>
      </c>
      <c r="Z297" s="26"/>
      <c r="AA297" s="26">
        <v>5000</v>
      </c>
      <c r="AB297" s="26"/>
      <c r="AC297" s="26"/>
      <c r="AD297" s="26"/>
      <c r="AE297" s="26">
        <v>0</v>
      </c>
      <c r="AF297" s="26"/>
      <c r="AG297" s="26"/>
      <c r="AH297" s="26"/>
      <c r="AI297" s="26"/>
      <c r="AJ297" s="26"/>
      <c r="AK297" s="26">
        <v>1166</v>
      </c>
      <c r="AL297" s="26"/>
      <c r="AM297" s="26">
        <v>0</v>
      </c>
      <c r="AN297" s="26"/>
      <c r="AO297" s="26">
        <v>0</v>
      </c>
      <c r="AP297" s="26"/>
      <c r="AQ297" s="26">
        <v>0</v>
      </c>
      <c r="AR297" s="26"/>
      <c r="AS297" s="54">
        <f t="shared" si="15"/>
        <v>6166</v>
      </c>
      <c r="AT297" s="26"/>
      <c r="AU297" s="54">
        <f t="shared" si="16"/>
        <v>20789494</v>
      </c>
    </row>
    <row r="298" spans="1:47">
      <c r="A298" s="13" t="s">
        <v>250</v>
      </c>
      <c r="B298" s="13"/>
      <c r="C298" s="13" t="s">
        <v>246</v>
      </c>
      <c r="D298" s="13"/>
      <c r="E298" s="32">
        <v>46128</v>
      </c>
      <c r="F298" s="26"/>
      <c r="G298" s="26">
        <v>6119988</v>
      </c>
      <c r="H298" s="26"/>
      <c r="I298" s="26">
        <v>0</v>
      </c>
      <c r="J298" s="26"/>
      <c r="K298" s="26">
        <f>848125+7786108</f>
        <v>8634233</v>
      </c>
      <c r="L298" s="26"/>
      <c r="M298" s="26">
        <v>212867</v>
      </c>
      <c r="N298" s="26"/>
      <c r="O298" s="26">
        <v>532606</v>
      </c>
      <c r="P298" s="26"/>
      <c r="Q298" s="26">
        <v>221233</v>
      </c>
      <c r="R298" s="26"/>
      <c r="S298" s="26">
        <v>0</v>
      </c>
      <c r="T298" s="26"/>
      <c r="U298" s="26">
        <v>0</v>
      </c>
      <c r="V298" s="26"/>
      <c r="W298" s="26">
        <f>102583+67889+516641</f>
        <v>687113</v>
      </c>
      <c r="X298" s="26"/>
      <c r="Y298" s="54">
        <f t="shared" si="14"/>
        <v>16408040</v>
      </c>
      <c r="Z298" s="26"/>
      <c r="AA298" s="26">
        <v>1000</v>
      </c>
      <c r="AB298" s="26"/>
      <c r="AC298" s="26"/>
      <c r="AD298" s="26"/>
      <c r="AE298" s="26">
        <v>0</v>
      </c>
      <c r="AF298" s="26"/>
      <c r="AG298" s="26"/>
      <c r="AH298" s="26"/>
      <c r="AI298" s="26"/>
      <c r="AJ298" s="26"/>
      <c r="AK298" s="26">
        <v>3229000</v>
      </c>
      <c r="AL298" s="26"/>
      <c r="AM298" s="26">
        <v>0</v>
      </c>
      <c r="AN298" s="26"/>
      <c r="AO298" s="26">
        <v>0</v>
      </c>
      <c r="AP298" s="26"/>
      <c r="AQ298" s="26">
        <v>0</v>
      </c>
      <c r="AR298" s="26"/>
      <c r="AS298" s="54">
        <f t="shared" si="15"/>
        <v>3230000</v>
      </c>
      <c r="AT298" s="26"/>
      <c r="AU298" s="54">
        <f t="shared" si="16"/>
        <v>19638040</v>
      </c>
    </row>
    <row r="299" spans="1:47">
      <c r="A299" s="13" t="s">
        <v>250</v>
      </c>
      <c r="B299" s="13"/>
      <c r="C299" s="13" t="s">
        <v>113</v>
      </c>
      <c r="D299" s="13"/>
      <c r="E299" s="32">
        <v>49452</v>
      </c>
      <c r="F299" s="26"/>
      <c r="G299" s="26">
        <v>13221595</v>
      </c>
      <c r="H299" s="26"/>
      <c r="I299" s="26">
        <v>0</v>
      </c>
      <c r="J299" s="26"/>
      <c r="K299" s="26">
        <f>16576740+2962383</f>
        <v>19539123</v>
      </c>
      <c r="L299" s="26"/>
      <c r="M299" s="26">
        <v>538722</v>
      </c>
      <c r="N299" s="26"/>
      <c r="O299" s="26">
        <v>1518984</v>
      </c>
      <c r="P299" s="26"/>
      <c r="Q299" s="26">
        <v>151022</v>
      </c>
      <c r="R299" s="26"/>
      <c r="S299" s="26">
        <v>0</v>
      </c>
      <c r="T299" s="26"/>
      <c r="U299" s="26">
        <v>0</v>
      </c>
      <c r="V299" s="26"/>
      <c r="W299" s="26">
        <f>163897+437079+468877+7568</f>
        <v>1077421</v>
      </c>
      <c r="X299" s="26"/>
      <c r="Y299" s="54">
        <f t="shared" si="14"/>
        <v>36046867</v>
      </c>
      <c r="Z299" s="26"/>
      <c r="AA299" s="26">
        <v>182745</v>
      </c>
      <c r="AB299" s="26"/>
      <c r="AC299" s="26"/>
      <c r="AD299" s="26"/>
      <c r="AE299" s="26">
        <v>0</v>
      </c>
      <c r="AF299" s="26"/>
      <c r="AG299" s="26"/>
      <c r="AH299" s="26"/>
      <c r="AI299" s="26"/>
      <c r="AJ299" s="26"/>
      <c r="AK299" s="26">
        <v>0</v>
      </c>
      <c r="AL299" s="26"/>
      <c r="AM299" s="26">
        <v>0</v>
      </c>
      <c r="AN299" s="26"/>
      <c r="AO299" s="26">
        <v>0</v>
      </c>
      <c r="AP299" s="26"/>
      <c r="AQ299" s="26">
        <v>0</v>
      </c>
      <c r="AR299" s="26"/>
      <c r="AS299" s="54">
        <f t="shared" si="15"/>
        <v>182745</v>
      </c>
      <c r="AT299" s="26"/>
      <c r="AU299" s="54">
        <f t="shared" si="16"/>
        <v>36229612</v>
      </c>
    </row>
    <row r="300" spans="1:47">
      <c r="A300" s="13" t="s">
        <v>835</v>
      </c>
      <c r="B300" s="13"/>
      <c r="C300" s="13" t="s">
        <v>210</v>
      </c>
      <c r="D300" s="13"/>
      <c r="E300" s="32"/>
      <c r="F300" s="26"/>
      <c r="G300" s="26">
        <v>7186546</v>
      </c>
      <c r="H300" s="26"/>
      <c r="I300" s="26">
        <v>0</v>
      </c>
      <c r="J300" s="26"/>
      <c r="K300" s="26">
        <v>7639864</v>
      </c>
      <c r="L300" s="26"/>
      <c r="M300" s="26">
        <v>459369</v>
      </c>
      <c r="N300" s="26"/>
      <c r="O300" s="26">
        <v>366068</v>
      </c>
      <c r="P300" s="26"/>
      <c r="Q300" s="26">
        <v>99206</v>
      </c>
      <c r="R300" s="26"/>
      <c r="S300" s="26">
        <v>0</v>
      </c>
      <c r="T300" s="26"/>
      <c r="U300" s="26">
        <v>12691</v>
      </c>
      <c r="V300" s="26"/>
      <c r="W300" s="26">
        <f>50107+8831+158635</f>
        <v>217573</v>
      </c>
      <c r="X300" s="26"/>
      <c r="Y300" s="54">
        <f t="shared" si="14"/>
        <v>15981317</v>
      </c>
      <c r="Z300" s="26"/>
      <c r="AA300" s="26">
        <v>3795485</v>
      </c>
      <c r="AB300" s="26"/>
      <c r="AC300" s="26"/>
      <c r="AD300" s="26"/>
      <c r="AE300" s="26">
        <v>0</v>
      </c>
      <c r="AF300" s="26"/>
      <c r="AG300" s="26"/>
      <c r="AH300" s="26"/>
      <c r="AI300" s="26"/>
      <c r="AJ300" s="26"/>
      <c r="AK300" s="26">
        <v>2203</v>
      </c>
      <c r="AL300" s="26"/>
      <c r="AM300" s="26">
        <v>0</v>
      </c>
      <c r="AN300" s="26"/>
      <c r="AO300" s="26">
        <v>0</v>
      </c>
      <c r="AP300" s="26"/>
      <c r="AQ300" s="26">
        <v>0</v>
      </c>
      <c r="AR300" s="26"/>
      <c r="AS300" s="54">
        <f t="shared" si="15"/>
        <v>3797688</v>
      </c>
      <c r="AT300" s="26"/>
      <c r="AU300" s="54">
        <f t="shared" si="16"/>
        <v>19779005</v>
      </c>
    </row>
    <row r="301" spans="1:47">
      <c r="A301" s="13" t="s">
        <v>617</v>
      </c>
      <c r="B301" s="13"/>
      <c r="C301" s="13" t="s">
        <v>113</v>
      </c>
      <c r="D301" s="13"/>
      <c r="E301" s="32">
        <v>44297</v>
      </c>
      <c r="F301" s="26"/>
      <c r="G301" s="26">
        <v>20492752</v>
      </c>
      <c r="H301" s="26"/>
      <c r="I301" s="26">
        <v>0</v>
      </c>
      <c r="J301" s="26"/>
      <c r="K301" s="26">
        <f>7097735+35541510</f>
        <v>42639245</v>
      </c>
      <c r="L301" s="26"/>
      <c r="M301" s="26">
        <v>726302</v>
      </c>
      <c r="N301" s="26"/>
      <c r="O301" s="26">
        <v>846872</v>
      </c>
      <c r="P301" s="26"/>
      <c r="Q301" s="26">
        <v>297945</v>
      </c>
      <c r="R301" s="26"/>
      <c r="S301" s="26">
        <v>0</v>
      </c>
      <c r="T301" s="26"/>
      <c r="U301" s="26">
        <v>0</v>
      </c>
      <c r="V301" s="26"/>
      <c r="W301" s="26">
        <f>2138570+192920+439657+50290</f>
        <v>2821437</v>
      </c>
      <c r="X301" s="26"/>
      <c r="Y301" s="54">
        <f t="shared" si="14"/>
        <v>67824553</v>
      </c>
      <c r="Z301" s="26"/>
      <c r="AA301" s="26">
        <v>2224</v>
      </c>
      <c r="AB301" s="26"/>
      <c r="AC301" s="26"/>
      <c r="AD301" s="26"/>
      <c r="AE301" s="26">
        <v>0</v>
      </c>
      <c r="AF301" s="26"/>
      <c r="AG301" s="26"/>
      <c r="AH301" s="26"/>
      <c r="AI301" s="26"/>
      <c r="AJ301" s="26"/>
      <c r="AK301" s="26">
        <v>0</v>
      </c>
      <c r="AL301" s="26"/>
      <c r="AM301" s="26">
        <v>0</v>
      </c>
      <c r="AN301" s="26"/>
      <c r="AO301" s="26">
        <v>0</v>
      </c>
      <c r="AP301" s="26"/>
      <c r="AQ301" s="26">
        <v>0</v>
      </c>
      <c r="AR301" s="26"/>
      <c r="AS301" s="54">
        <f t="shared" si="15"/>
        <v>2224</v>
      </c>
      <c r="AT301" s="26"/>
      <c r="AU301" s="54">
        <f t="shared" si="16"/>
        <v>67826777</v>
      </c>
    </row>
    <row r="302" spans="1:47">
      <c r="A302" s="13" t="s">
        <v>315</v>
      </c>
      <c r="B302" s="13"/>
      <c r="C302" s="13" t="s">
        <v>20</v>
      </c>
      <c r="D302" s="13"/>
      <c r="E302" s="13">
        <v>44305</v>
      </c>
      <c r="F302" s="26"/>
      <c r="G302" s="26">
        <v>15667313</v>
      </c>
      <c r="H302" s="26"/>
      <c r="I302" s="26">
        <v>0</v>
      </c>
      <c r="J302" s="26"/>
      <c r="K302" s="26">
        <v>24605872</v>
      </c>
      <c r="L302" s="26"/>
      <c r="M302" s="26">
        <v>383523</v>
      </c>
      <c r="N302" s="26"/>
      <c r="O302" s="26">
        <v>2334149</v>
      </c>
      <c r="P302" s="26"/>
      <c r="Q302" s="26">
        <v>59669</v>
      </c>
      <c r="R302" s="26"/>
      <c r="S302" s="26">
        <v>0</v>
      </c>
      <c r="T302" s="26"/>
      <c r="U302" s="26">
        <v>36316</v>
      </c>
      <c r="V302" s="26"/>
      <c r="W302" s="26">
        <f>660724+472385</f>
        <v>1133109</v>
      </c>
      <c r="X302" s="26"/>
      <c r="Y302" s="54">
        <f t="shared" si="14"/>
        <v>44219951</v>
      </c>
      <c r="Z302" s="26"/>
      <c r="AA302" s="26">
        <v>56243</v>
      </c>
      <c r="AB302" s="26"/>
      <c r="AC302" s="26"/>
      <c r="AD302" s="26"/>
      <c r="AE302" s="26">
        <v>0</v>
      </c>
      <c r="AF302" s="26"/>
      <c r="AG302" s="26"/>
      <c r="AH302" s="26"/>
      <c r="AI302" s="26"/>
      <c r="AJ302" s="26"/>
      <c r="AK302" s="26">
        <f>96671+3300000</f>
        <v>3396671</v>
      </c>
      <c r="AL302" s="26"/>
      <c r="AM302" s="26">
        <v>0</v>
      </c>
      <c r="AN302" s="26"/>
      <c r="AO302" s="26">
        <v>0</v>
      </c>
      <c r="AP302" s="26"/>
      <c r="AQ302" s="26">
        <v>0</v>
      </c>
      <c r="AR302" s="26"/>
      <c r="AS302" s="54">
        <f t="shared" si="15"/>
        <v>3452914</v>
      </c>
      <c r="AT302" s="26"/>
      <c r="AU302" s="54">
        <f t="shared" si="16"/>
        <v>47672865</v>
      </c>
    </row>
    <row r="303" spans="1:47">
      <c r="A303" s="13" t="s">
        <v>218</v>
      </c>
      <c r="B303" s="13"/>
      <c r="C303" s="13" t="s">
        <v>11</v>
      </c>
      <c r="D303" s="13"/>
      <c r="E303" s="32">
        <v>45831</v>
      </c>
      <c r="F303" s="26"/>
      <c r="G303" s="26">
        <v>2091267</v>
      </c>
      <c r="H303" s="26"/>
      <c r="I303" s="26">
        <v>0</v>
      </c>
      <c r="J303" s="26"/>
      <c r="K303" s="26">
        <f>13503+4910587+444438</f>
        <v>5368528</v>
      </c>
      <c r="L303" s="26"/>
      <c r="M303" s="26">
        <v>104407</v>
      </c>
      <c r="N303" s="26"/>
      <c r="O303" s="26">
        <f>527724+10599+36723</f>
        <v>575046</v>
      </c>
      <c r="P303" s="26"/>
      <c r="Q303" s="26">
        <v>133262</v>
      </c>
      <c r="R303" s="26"/>
      <c r="S303" s="26">
        <v>0</v>
      </c>
      <c r="T303" s="26"/>
      <c r="U303" s="26">
        <v>0</v>
      </c>
      <c r="V303" s="26"/>
      <c r="W303" s="26">
        <f>203607+39195</f>
        <v>242802</v>
      </c>
      <c r="X303" s="26"/>
      <c r="Y303" s="54">
        <f t="shared" si="14"/>
        <v>8515312</v>
      </c>
      <c r="Z303" s="26"/>
      <c r="AA303" s="26">
        <v>0</v>
      </c>
      <c r="AB303" s="26"/>
      <c r="AC303" s="26"/>
      <c r="AD303" s="26"/>
      <c r="AE303" s="26">
        <v>0</v>
      </c>
      <c r="AF303" s="26"/>
      <c r="AG303" s="26"/>
      <c r="AH303" s="26"/>
      <c r="AI303" s="26"/>
      <c r="AJ303" s="26"/>
      <c r="AK303" s="26">
        <v>33961</v>
      </c>
      <c r="AL303" s="26"/>
      <c r="AM303" s="26">
        <v>0</v>
      </c>
      <c r="AN303" s="26"/>
      <c r="AO303" s="26">
        <v>0</v>
      </c>
      <c r="AP303" s="26"/>
      <c r="AQ303" s="26">
        <v>0</v>
      </c>
      <c r="AR303" s="26"/>
      <c r="AS303" s="54">
        <f t="shared" si="15"/>
        <v>33961</v>
      </c>
      <c r="AT303" s="26"/>
      <c r="AU303" s="54">
        <f t="shared" si="16"/>
        <v>8549273</v>
      </c>
    </row>
    <row r="304" spans="1:47">
      <c r="A304" s="13" t="s">
        <v>692</v>
      </c>
      <c r="B304" s="13"/>
      <c r="C304" s="13" t="s">
        <v>64</v>
      </c>
      <c r="D304" s="13"/>
      <c r="E304" s="32">
        <v>50211</v>
      </c>
      <c r="F304" s="26"/>
      <c r="G304" s="26">
        <v>2727971</v>
      </c>
      <c r="H304" s="26"/>
      <c r="I304" s="26">
        <v>0</v>
      </c>
      <c r="J304" s="26"/>
      <c r="K304" s="26">
        <f>573778+5989079</f>
        <v>6562857</v>
      </c>
      <c r="L304" s="26"/>
      <c r="M304" s="26">
        <v>141707</v>
      </c>
      <c r="N304" s="26"/>
      <c r="O304" s="26">
        <v>263061</v>
      </c>
      <c r="P304" s="26"/>
      <c r="Q304" s="26">
        <v>73470</v>
      </c>
      <c r="R304" s="26"/>
      <c r="S304" s="26">
        <v>0</v>
      </c>
      <c r="T304" s="26"/>
      <c r="U304" s="26">
        <v>0</v>
      </c>
      <c r="V304" s="26"/>
      <c r="W304" s="26">
        <f>500+87578+31680+182251+9618</f>
        <v>311627</v>
      </c>
      <c r="X304" s="26"/>
      <c r="Y304" s="54">
        <f t="shared" si="14"/>
        <v>10080693</v>
      </c>
      <c r="Z304" s="26"/>
      <c r="AA304" s="26">
        <v>0</v>
      </c>
      <c r="AB304" s="26"/>
      <c r="AC304" s="26"/>
      <c r="AD304" s="26"/>
      <c r="AE304" s="26">
        <v>0</v>
      </c>
      <c r="AF304" s="26"/>
      <c r="AG304" s="26"/>
      <c r="AH304" s="26"/>
      <c r="AI304" s="26"/>
      <c r="AJ304" s="26"/>
      <c r="AK304" s="26">
        <v>2350</v>
      </c>
      <c r="AL304" s="26"/>
      <c r="AM304" s="26">
        <v>0</v>
      </c>
      <c r="AN304" s="26"/>
      <c r="AO304" s="26">
        <v>0</v>
      </c>
      <c r="AP304" s="26"/>
      <c r="AQ304" s="26">
        <v>0</v>
      </c>
      <c r="AR304" s="26"/>
      <c r="AS304" s="54">
        <f t="shared" si="15"/>
        <v>2350</v>
      </c>
      <c r="AT304" s="26"/>
      <c r="AU304" s="54">
        <f t="shared" si="16"/>
        <v>10083043</v>
      </c>
    </row>
    <row r="305" spans="1:47">
      <c r="A305" s="13" t="s">
        <v>343</v>
      </c>
      <c r="B305" s="13"/>
      <c r="C305" s="13" t="s">
        <v>24</v>
      </c>
      <c r="D305" s="13"/>
      <c r="E305" s="32">
        <v>46805</v>
      </c>
      <c r="F305" s="26"/>
      <c r="G305" s="26">
        <v>5952714</v>
      </c>
      <c r="H305" s="26"/>
      <c r="I305" s="26">
        <v>0</v>
      </c>
      <c r="J305" s="26"/>
      <c r="K305" s="26">
        <f>619156+5932563</f>
        <v>6551719</v>
      </c>
      <c r="L305" s="26"/>
      <c r="M305" s="26">
        <v>180534</v>
      </c>
      <c r="N305" s="26"/>
      <c r="O305" s="26">
        <v>269425</v>
      </c>
      <c r="P305" s="26"/>
      <c r="Q305" s="26">
        <v>338689</v>
      </c>
      <c r="R305" s="26"/>
      <c r="S305" s="26">
        <v>0</v>
      </c>
      <c r="T305" s="26"/>
      <c r="U305" s="26">
        <v>0</v>
      </c>
      <c r="V305" s="26"/>
      <c r="W305" s="26">
        <f>137764+59182+390940</f>
        <v>587886</v>
      </c>
      <c r="X305" s="26"/>
      <c r="Y305" s="54">
        <f t="shared" si="14"/>
        <v>13880967</v>
      </c>
      <c r="Z305" s="26"/>
      <c r="AA305" s="26">
        <v>336592</v>
      </c>
      <c r="AB305" s="26"/>
      <c r="AC305" s="26"/>
      <c r="AD305" s="26"/>
      <c r="AE305" s="26">
        <v>2667000</v>
      </c>
      <c r="AF305" s="26"/>
      <c r="AG305" s="26"/>
      <c r="AH305" s="26"/>
      <c r="AI305" s="26"/>
      <c r="AJ305" s="26"/>
      <c r="AK305" s="26">
        <v>0</v>
      </c>
      <c r="AL305" s="26"/>
      <c r="AM305" s="26">
        <v>0</v>
      </c>
      <c r="AN305" s="26"/>
      <c r="AO305" s="26">
        <v>0</v>
      </c>
      <c r="AP305" s="26"/>
      <c r="AQ305" s="26">
        <v>0</v>
      </c>
      <c r="AR305" s="26"/>
      <c r="AS305" s="54">
        <f t="shared" si="15"/>
        <v>3003592</v>
      </c>
      <c r="AT305" s="26"/>
      <c r="AU305" s="54">
        <f t="shared" si="16"/>
        <v>16884559</v>
      </c>
    </row>
    <row r="306" spans="1:47">
      <c r="A306" s="13" t="s">
        <v>404</v>
      </c>
      <c r="B306" s="13"/>
      <c r="C306" s="13" t="s">
        <v>32</v>
      </c>
      <c r="D306" s="13"/>
      <c r="E306" s="32">
        <v>44313</v>
      </c>
      <c r="F306" s="26"/>
      <c r="G306" s="26">
        <v>13803046</v>
      </c>
      <c r="H306" s="26"/>
      <c r="I306" s="26">
        <v>0</v>
      </c>
      <c r="J306" s="26"/>
      <c r="K306" s="26">
        <v>6356831</v>
      </c>
      <c r="L306" s="26"/>
      <c r="M306" s="26">
        <v>373196</v>
      </c>
      <c r="N306" s="26"/>
      <c r="O306" s="26">
        <v>253866</v>
      </c>
      <c r="P306" s="26"/>
      <c r="Q306" s="26">
        <v>214238</v>
      </c>
      <c r="R306" s="26"/>
      <c r="S306" s="26">
        <v>0</v>
      </c>
      <c r="T306" s="26"/>
      <c r="U306" s="26">
        <v>0</v>
      </c>
      <c r="V306" s="26"/>
      <c r="W306" s="26">
        <f>112779+164598</f>
        <v>277377</v>
      </c>
      <c r="X306" s="26"/>
      <c r="Y306" s="54">
        <f t="shared" si="14"/>
        <v>21278554</v>
      </c>
      <c r="Z306" s="26"/>
      <c r="AA306" s="26">
        <v>71237</v>
      </c>
      <c r="AB306" s="26"/>
      <c r="AC306" s="26"/>
      <c r="AD306" s="26"/>
      <c r="AE306" s="26">
        <v>0</v>
      </c>
      <c r="AF306" s="26"/>
      <c r="AG306" s="26"/>
      <c r="AH306" s="26"/>
      <c r="AI306" s="26"/>
      <c r="AJ306" s="26"/>
      <c r="AK306" s="26">
        <v>1606</v>
      </c>
      <c r="AL306" s="26"/>
      <c r="AM306" s="26">
        <v>0</v>
      </c>
      <c r="AN306" s="26"/>
      <c r="AO306" s="26">
        <v>0</v>
      </c>
      <c r="AP306" s="26"/>
      <c r="AQ306" s="26">
        <v>0</v>
      </c>
      <c r="AR306" s="26"/>
      <c r="AS306" s="54">
        <f t="shared" si="15"/>
        <v>72843</v>
      </c>
      <c r="AT306" s="26"/>
      <c r="AU306" s="54">
        <f t="shared" si="16"/>
        <v>21351397</v>
      </c>
    </row>
    <row r="307" spans="1:47" hidden="1">
      <c r="A307" s="13" t="s">
        <v>724</v>
      </c>
      <c r="B307" s="13"/>
      <c r="C307" s="13" t="s">
        <v>70</v>
      </c>
      <c r="D307" s="13"/>
      <c r="E307" s="32">
        <v>44321</v>
      </c>
      <c r="F307" s="26"/>
      <c r="G307" s="26">
        <v>0</v>
      </c>
      <c r="H307" s="26"/>
      <c r="I307" s="26">
        <v>0</v>
      </c>
      <c r="J307" s="26"/>
      <c r="K307" s="26">
        <v>0</v>
      </c>
      <c r="L307" s="26"/>
      <c r="M307" s="26">
        <v>0</v>
      </c>
      <c r="N307" s="26"/>
      <c r="O307" s="26">
        <v>0</v>
      </c>
      <c r="P307" s="26"/>
      <c r="Q307" s="26">
        <v>0</v>
      </c>
      <c r="R307" s="26"/>
      <c r="S307" s="26">
        <v>0</v>
      </c>
      <c r="T307" s="26"/>
      <c r="U307" s="26">
        <v>0</v>
      </c>
      <c r="V307" s="26"/>
      <c r="W307" s="26">
        <v>0</v>
      </c>
      <c r="X307" s="26"/>
      <c r="Y307" s="54">
        <f t="shared" si="14"/>
        <v>0</v>
      </c>
      <c r="Z307" s="26"/>
      <c r="AA307" s="26">
        <v>0</v>
      </c>
      <c r="AB307" s="26"/>
      <c r="AC307" s="26"/>
      <c r="AD307" s="26"/>
      <c r="AE307" s="26">
        <v>0</v>
      </c>
      <c r="AF307" s="26"/>
      <c r="AG307" s="26"/>
      <c r="AH307" s="26"/>
      <c r="AI307" s="26"/>
      <c r="AJ307" s="26"/>
      <c r="AK307" s="26">
        <v>0</v>
      </c>
      <c r="AL307" s="26"/>
      <c r="AM307" s="26">
        <v>0</v>
      </c>
      <c r="AN307" s="26"/>
      <c r="AO307" s="26">
        <v>0</v>
      </c>
      <c r="AP307" s="26"/>
      <c r="AQ307" s="26">
        <v>0</v>
      </c>
      <c r="AR307" s="26"/>
      <c r="AS307" s="54">
        <f t="shared" si="15"/>
        <v>0</v>
      </c>
      <c r="AT307" s="26"/>
      <c r="AU307" s="54">
        <f t="shared" si="16"/>
        <v>0</v>
      </c>
    </row>
    <row r="308" spans="1:47" ht="11.25" customHeight="1">
      <c r="A308" s="13" t="s">
        <v>527</v>
      </c>
      <c r="B308" s="13"/>
      <c r="C308" s="13" t="s">
        <v>46</v>
      </c>
      <c r="D308" s="13"/>
      <c r="E308" s="32">
        <v>44339</v>
      </c>
      <c r="F308" s="26"/>
      <c r="G308" s="26">
        <v>10483382</v>
      </c>
      <c r="H308" s="26"/>
      <c r="I308" s="26">
        <v>0</v>
      </c>
      <c r="J308" s="26"/>
      <c r="K308" s="26">
        <v>38486141</v>
      </c>
      <c r="L308" s="26"/>
      <c r="M308" s="26">
        <v>638684</v>
      </c>
      <c r="N308" s="26"/>
      <c r="O308" s="26">
        <v>2046145</v>
      </c>
      <c r="P308" s="26"/>
      <c r="Q308" s="26">
        <v>154017</v>
      </c>
      <c r="R308" s="26"/>
      <c r="S308" s="26">
        <v>74236</v>
      </c>
      <c r="T308" s="26"/>
      <c r="U308" s="26">
        <v>12369</v>
      </c>
      <c r="V308" s="26"/>
      <c r="W308" s="26">
        <v>402205</v>
      </c>
      <c r="X308" s="26"/>
      <c r="Y308" s="54">
        <f t="shared" si="14"/>
        <v>52297179</v>
      </c>
      <c r="Z308" s="26"/>
      <c r="AA308" s="26">
        <v>99117</v>
      </c>
      <c r="AB308" s="26"/>
      <c r="AC308" s="26"/>
      <c r="AD308" s="26"/>
      <c r="AE308" s="26">
        <v>0</v>
      </c>
      <c r="AF308" s="26"/>
      <c r="AG308" s="26"/>
      <c r="AH308" s="26"/>
      <c r="AI308" s="26"/>
      <c r="AJ308" s="26"/>
      <c r="AK308" s="26">
        <v>89849</v>
      </c>
      <c r="AL308" s="26"/>
      <c r="AM308" s="26">
        <v>0</v>
      </c>
      <c r="AN308" s="26"/>
      <c r="AO308" s="26">
        <v>0</v>
      </c>
      <c r="AP308" s="26"/>
      <c r="AQ308" s="26">
        <v>0</v>
      </c>
      <c r="AR308" s="26"/>
      <c r="AS308" s="54">
        <f t="shared" si="15"/>
        <v>188966</v>
      </c>
      <c r="AT308" s="26"/>
      <c r="AU308" s="54">
        <f t="shared" si="16"/>
        <v>52486145</v>
      </c>
    </row>
    <row r="309" spans="1:47">
      <c r="A309" s="13" t="s">
        <v>660</v>
      </c>
      <c r="B309" s="13"/>
      <c r="C309" s="13" t="s">
        <v>62</v>
      </c>
      <c r="D309" s="13"/>
      <c r="E309" s="32">
        <v>49882</v>
      </c>
      <c r="F309" s="26"/>
      <c r="G309" s="26">
        <v>9256471</v>
      </c>
      <c r="H309" s="26"/>
      <c r="I309" s="26">
        <v>0</v>
      </c>
      <c r="J309" s="26"/>
      <c r="K309" s="26">
        <f>3870+12228153+1553192</f>
        <v>13785215</v>
      </c>
      <c r="L309" s="26"/>
      <c r="M309" s="26">
        <v>252479</v>
      </c>
      <c r="N309" s="26"/>
      <c r="O309" s="26">
        <v>175965</v>
      </c>
      <c r="P309" s="26"/>
      <c r="Q309" s="26">
        <v>440772</v>
      </c>
      <c r="R309" s="26"/>
      <c r="S309" s="26">
        <v>0</v>
      </c>
      <c r="T309" s="26"/>
      <c r="U309" s="26">
        <v>0</v>
      </c>
      <c r="V309" s="26"/>
      <c r="W309" s="26">
        <f>600645+108696+122978</f>
        <v>832319</v>
      </c>
      <c r="X309" s="26"/>
      <c r="Y309" s="54">
        <f t="shared" si="14"/>
        <v>24743221</v>
      </c>
      <c r="Z309" s="26"/>
      <c r="AA309" s="26">
        <v>3456</v>
      </c>
      <c r="AB309" s="26"/>
      <c r="AC309" s="26"/>
      <c r="AD309" s="26"/>
      <c r="AE309" s="26">
        <v>0</v>
      </c>
      <c r="AF309" s="26"/>
      <c r="AG309" s="26"/>
      <c r="AH309" s="26"/>
      <c r="AI309" s="26"/>
      <c r="AJ309" s="26"/>
      <c r="AK309" s="26">
        <f>204759+4851</f>
        <v>209610</v>
      </c>
      <c r="AL309" s="26"/>
      <c r="AM309" s="26">
        <v>0</v>
      </c>
      <c r="AN309" s="26"/>
      <c r="AO309" s="26">
        <v>0</v>
      </c>
      <c r="AP309" s="26"/>
      <c r="AQ309" s="26">
        <v>0</v>
      </c>
      <c r="AR309" s="26"/>
      <c r="AS309" s="54">
        <f t="shared" si="15"/>
        <v>213066</v>
      </c>
      <c r="AT309" s="26"/>
      <c r="AU309" s="54">
        <f t="shared" si="16"/>
        <v>24956287</v>
      </c>
    </row>
    <row r="310" spans="1:47">
      <c r="A310" s="13" t="s">
        <v>236</v>
      </c>
      <c r="B310" s="13"/>
      <c r="C310" s="13" t="s">
        <v>15</v>
      </c>
      <c r="D310" s="13"/>
      <c r="E310" s="32">
        <v>44347</v>
      </c>
      <c r="F310" s="26"/>
      <c r="G310" s="26">
        <v>3162261</v>
      </c>
      <c r="H310" s="26"/>
      <c r="I310" s="26">
        <v>0</v>
      </c>
      <c r="J310" s="26"/>
      <c r="K310" s="26">
        <v>10845510</v>
      </c>
      <c r="L310" s="26"/>
      <c r="M310" s="26">
        <v>403315</v>
      </c>
      <c r="N310" s="26"/>
      <c r="O310" s="26">
        <v>713481</v>
      </c>
      <c r="P310" s="26"/>
      <c r="Q310" s="26">
        <v>100801</v>
      </c>
      <c r="R310" s="26"/>
      <c r="S310" s="26">
        <v>0</v>
      </c>
      <c r="T310" s="26"/>
      <c r="U310" s="26">
        <v>6760</v>
      </c>
      <c r="V310" s="26"/>
      <c r="W310" s="26">
        <f>1386+238181</f>
        <v>239567</v>
      </c>
      <c r="X310" s="26"/>
      <c r="Y310" s="54">
        <f t="shared" si="14"/>
        <v>15471695</v>
      </c>
      <c r="Z310" s="26"/>
      <c r="AA310" s="26">
        <v>0</v>
      </c>
      <c r="AB310" s="26"/>
      <c r="AC310" s="26"/>
      <c r="AD310" s="26"/>
      <c r="AE310" s="26">
        <v>0</v>
      </c>
      <c r="AF310" s="26"/>
      <c r="AG310" s="26"/>
      <c r="AH310" s="26"/>
      <c r="AI310" s="26"/>
      <c r="AJ310" s="26"/>
      <c r="AK310" s="26">
        <f>410167+2467006</f>
        <v>2877173</v>
      </c>
      <c r="AL310" s="26"/>
      <c r="AM310" s="26">
        <v>0</v>
      </c>
      <c r="AN310" s="26"/>
      <c r="AO310" s="26">
        <v>0</v>
      </c>
      <c r="AP310" s="26"/>
      <c r="AQ310" s="26">
        <v>0</v>
      </c>
      <c r="AR310" s="26"/>
      <c r="AS310" s="54">
        <f t="shared" si="15"/>
        <v>2877173</v>
      </c>
      <c r="AT310" s="26"/>
      <c r="AU310" s="54">
        <f t="shared" si="16"/>
        <v>18348868</v>
      </c>
    </row>
    <row r="311" spans="1:47">
      <c r="A311" s="13" t="s">
        <v>708</v>
      </c>
      <c r="B311" s="13"/>
      <c r="C311" s="13" t="s">
        <v>66</v>
      </c>
      <c r="D311" s="13"/>
      <c r="E311" s="32">
        <v>45476</v>
      </c>
      <c r="F311" s="26"/>
      <c r="G311" s="26">
        <v>27219865</v>
      </c>
      <c r="H311" s="26"/>
      <c r="I311" s="26">
        <v>0</v>
      </c>
      <c r="J311" s="26"/>
      <c r="K311" s="26">
        <f>1650898+23440333</f>
        <v>25091231</v>
      </c>
      <c r="L311" s="26"/>
      <c r="M311" s="26">
        <v>1832355</v>
      </c>
      <c r="N311" s="26"/>
      <c r="O311" s="26">
        <v>236773</v>
      </c>
      <c r="P311" s="26"/>
      <c r="Q311" s="26">
        <v>367215</v>
      </c>
      <c r="R311" s="26"/>
      <c r="S311" s="26">
        <v>0</v>
      </c>
      <c r="T311" s="26"/>
      <c r="U311" s="26">
        <v>0</v>
      </c>
      <c r="V311" s="26"/>
      <c r="W311" s="26">
        <f>64060+515175+306597+127107</f>
        <v>1012939</v>
      </c>
      <c r="X311" s="26"/>
      <c r="Y311" s="54">
        <f t="shared" si="14"/>
        <v>55760378</v>
      </c>
      <c r="Z311" s="26"/>
      <c r="AA311" s="26">
        <v>204089</v>
      </c>
      <c r="AB311" s="26"/>
      <c r="AC311" s="26"/>
      <c r="AD311" s="26"/>
      <c r="AE311" s="26">
        <v>0</v>
      </c>
      <c r="AF311" s="26"/>
      <c r="AG311" s="26"/>
      <c r="AH311" s="26"/>
      <c r="AI311" s="26"/>
      <c r="AJ311" s="26"/>
      <c r="AK311" s="26">
        <v>18901</v>
      </c>
      <c r="AL311" s="26"/>
      <c r="AM311" s="26">
        <v>0</v>
      </c>
      <c r="AN311" s="26"/>
      <c r="AO311" s="26">
        <v>0</v>
      </c>
      <c r="AP311" s="26"/>
      <c r="AQ311" s="26">
        <v>0</v>
      </c>
      <c r="AR311" s="26"/>
      <c r="AS311" s="54">
        <f t="shared" si="15"/>
        <v>222990</v>
      </c>
      <c r="AT311" s="26"/>
      <c r="AU311" s="54">
        <f t="shared" si="16"/>
        <v>55983368</v>
      </c>
    </row>
    <row r="312" spans="1:47">
      <c r="A312" s="13" t="s">
        <v>718</v>
      </c>
      <c r="B312" s="13"/>
      <c r="C312" s="13" t="s">
        <v>69</v>
      </c>
      <c r="D312" s="13"/>
      <c r="E312" s="32">
        <v>50450</v>
      </c>
      <c r="F312" s="26"/>
      <c r="G312" s="26">
        <v>66161138</v>
      </c>
      <c r="H312" s="26"/>
      <c r="I312" s="26">
        <v>0</v>
      </c>
      <c r="J312" s="26"/>
      <c r="K312" s="26">
        <v>46998659</v>
      </c>
      <c r="L312" s="26"/>
      <c r="M312" s="26">
        <v>3718075</v>
      </c>
      <c r="N312" s="26"/>
      <c r="O312" s="26">
        <v>1465590</v>
      </c>
      <c r="P312" s="26"/>
      <c r="Q312" s="26">
        <v>1209310</v>
      </c>
      <c r="R312" s="26"/>
      <c r="S312" s="26">
        <v>2688343</v>
      </c>
      <c r="T312" s="26"/>
      <c r="U312" s="26">
        <v>0</v>
      </c>
      <c r="V312" s="26"/>
      <c r="W312" s="26">
        <f>590877+5444011</f>
        <v>6034888</v>
      </c>
      <c r="X312" s="26"/>
      <c r="Y312" s="54">
        <f t="shared" si="14"/>
        <v>128276003</v>
      </c>
      <c r="Z312" s="26"/>
      <c r="AA312" s="26">
        <v>20341705</v>
      </c>
      <c r="AB312" s="26"/>
      <c r="AC312" s="26"/>
      <c r="AD312" s="26"/>
      <c r="AE312" s="26">
        <v>23000000</v>
      </c>
      <c r="AF312" s="26"/>
      <c r="AG312" s="26"/>
      <c r="AH312" s="26"/>
      <c r="AI312" s="26"/>
      <c r="AJ312" s="26"/>
      <c r="AK312" s="26">
        <v>98529</v>
      </c>
      <c r="AL312" s="26"/>
      <c r="AM312" s="26">
        <v>0</v>
      </c>
      <c r="AN312" s="26"/>
      <c r="AO312" s="26">
        <v>0</v>
      </c>
      <c r="AP312" s="26"/>
      <c r="AQ312" s="26">
        <v>0</v>
      </c>
      <c r="AR312" s="26"/>
      <c r="AS312" s="54">
        <f t="shared" si="15"/>
        <v>43440234</v>
      </c>
      <c r="AT312" s="26"/>
      <c r="AU312" s="54">
        <f t="shared" si="16"/>
        <v>171716237</v>
      </c>
    </row>
    <row r="313" spans="1:47">
      <c r="A313" s="13" t="s">
        <v>661</v>
      </c>
      <c r="B313" s="13"/>
      <c r="C313" s="13" t="s">
        <v>62</v>
      </c>
      <c r="D313" s="13"/>
      <c r="E313" s="32">
        <v>44354</v>
      </c>
      <c r="F313" s="26"/>
      <c r="G313" s="26">
        <v>15996431</v>
      </c>
      <c r="H313" s="26"/>
      <c r="I313" s="26">
        <v>94296</v>
      </c>
      <c r="J313" s="26"/>
      <c r="K313" s="26">
        <v>28929419</v>
      </c>
      <c r="L313" s="26"/>
      <c r="M313" s="26">
        <v>790703</v>
      </c>
      <c r="N313" s="26"/>
      <c r="O313" s="26">
        <v>2090604</v>
      </c>
      <c r="P313" s="26"/>
      <c r="Q313" s="26">
        <v>527652</v>
      </c>
      <c r="R313" s="26"/>
      <c r="S313" s="26">
        <v>0</v>
      </c>
      <c r="T313" s="26"/>
      <c r="U313" s="26">
        <v>127968</v>
      </c>
      <c r="V313" s="26"/>
      <c r="W313" s="26">
        <f>271913+635466+60461</f>
        <v>967840</v>
      </c>
      <c r="X313" s="26"/>
      <c r="Y313" s="54">
        <f t="shared" si="14"/>
        <v>49524913</v>
      </c>
      <c r="Z313" s="26"/>
      <c r="AA313" s="26">
        <v>0</v>
      </c>
      <c r="AB313" s="26"/>
      <c r="AC313" s="26"/>
      <c r="AD313" s="26"/>
      <c r="AE313" s="26">
        <v>2000000</v>
      </c>
      <c r="AF313" s="26"/>
      <c r="AG313" s="26"/>
      <c r="AH313" s="26"/>
      <c r="AI313" s="26"/>
      <c r="AJ313" s="26"/>
      <c r="AK313" s="26">
        <f>1510+13234</f>
        <v>14744</v>
      </c>
      <c r="AL313" s="26"/>
      <c r="AM313" s="26">
        <v>0</v>
      </c>
      <c r="AN313" s="26"/>
      <c r="AO313" s="26">
        <v>0</v>
      </c>
      <c r="AP313" s="26"/>
      <c r="AQ313" s="26">
        <v>0</v>
      </c>
      <c r="AR313" s="26"/>
      <c r="AS313" s="54">
        <f t="shared" si="15"/>
        <v>2014744</v>
      </c>
      <c r="AT313" s="26"/>
      <c r="AU313" s="54">
        <f t="shared" si="16"/>
        <v>51539657</v>
      </c>
    </row>
    <row r="314" spans="1:47">
      <c r="A314" s="13" t="s">
        <v>693</v>
      </c>
      <c r="B314" s="13"/>
      <c r="C314" s="13" t="s">
        <v>64</v>
      </c>
      <c r="D314" s="13"/>
      <c r="E314" s="13">
        <v>50153</v>
      </c>
      <c r="F314" s="26"/>
      <c r="G314" s="26">
        <v>4419425</v>
      </c>
      <c r="H314" s="26"/>
      <c r="I314" s="26">
        <v>0</v>
      </c>
      <c r="J314" s="26"/>
      <c r="K314" s="26">
        <f>336977+3699528</f>
        <v>4036505</v>
      </c>
      <c r="L314" s="26"/>
      <c r="M314" s="26">
        <v>111051</v>
      </c>
      <c r="N314" s="26"/>
      <c r="O314" s="26">
        <v>387093</v>
      </c>
      <c r="P314" s="26"/>
      <c r="Q314" s="26">
        <v>95110</v>
      </c>
      <c r="R314" s="26"/>
      <c r="S314" s="26">
        <v>20740</v>
      </c>
      <c r="T314" s="26"/>
      <c r="U314" s="26">
        <v>0</v>
      </c>
      <c r="V314" s="26"/>
      <c r="W314" s="26">
        <f>19790+10028+195368+3069</f>
        <v>228255</v>
      </c>
      <c r="X314" s="26"/>
      <c r="Y314" s="54">
        <f t="shared" si="14"/>
        <v>9298179</v>
      </c>
      <c r="Z314" s="26"/>
      <c r="AA314" s="26">
        <v>365926</v>
      </c>
      <c r="AB314" s="26"/>
      <c r="AC314" s="26"/>
      <c r="AD314" s="26"/>
      <c r="AE314" s="26">
        <v>0</v>
      </c>
      <c r="AF314" s="26"/>
      <c r="AG314" s="26"/>
      <c r="AH314" s="26"/>
      <c r="AI314" s="26"/>
      <c r="AJ314" s="26"/>
      <c r="AK314" s="26">
        <v>1700</v>
      </c>
      <c r="AL314" s="26"/>
      <c r="AM314" s="26">
        <v>0</v>
      </c>
      <c r="AN314" s="26"/>
      <c r="AO314" s="26">
        <v>0</v>
      </c>
      <c r="AP314" s="26"/>
      <c r="AQ314" s="26">
        <v>0</v>
      </c>
      <c r="AR314" s="26"/>
      <c r="AS314" s="54">
        <f t="shared" si="15"/>
        <v>367626</v>
      </c>
      <c r="AT314" s="26"/>
      <c r="AU314" s="54">
        <f t="shared" si="16"/>
        <v>9665805</v>
      </c>
    </row>
    <row r="315" spans="1:47">
      <c r="A315" s="13" t="s">
        <v>503</v>
      </c>
      <c r="B315" s="13"/>
      <c r="C315" s="13" t="s">
        <v>118</v>
      </c>
      <c r="D315" s="13"/>
      <c r="E315" s="32">
        <v>44362</v>
      </c>
      <c r="F315" s="26"/>
      <c r="G315" s="26">
        <v>22132065</v>
      </c>
      <c r="H315" s="26"/>
      <c r="I315" s="26">
        <v>0</v>
      </c>
      <c r="J315" s="26"/>
      <c r="K315" s="26">
        <f>1289854+8921005</f>
        <v>10210859</v>
      </c>
      <c r="L315" s="26"/>
      <c r="M315" s="26">
        <v>322871</v>
      </c>
      <c r="N315" s="26"/>
      <c r="O315" s="26">
        <v>354591</v>
      </c>
      <c r="P315" s="26"/>
      <c r="Q315" s="26">
        <v>231931</v>
      </c>
      <c r="R315" s="26"/>
      <c r="S315" s="26">
        <v>0</v>
      </c>
      <c r="T315" s="26"/>
      <c r="U315" s="26">
        <v>0</v>
      </c>
      <c r="V315" s="26"/>
      <c r="W315" s="26">
        <f>679194+198993+690105</f>
        <v>1568292</v>
      </c>
      <c r="X315" s="26"/>
      <c r="Y315" s="54">
        <f t="shared" si="14"/>
        <v>34820609</v>
      </c>
      <c r="Z315" s="26"/>
      <c r="AA315" s="26">
        <v>70805</v>
      </c>
      <c r="AB315" s="26"/>
      <c r="AC315" s="26"/>
      <c r="AD315" s="26"/>
      <c r="AE315" s="26">
        <v>0</v>
      </c>
      <c r="AF315" s="26"/>
      <c r="AG315" s="26"/>
      <c r="AH315" s="26"/>
      <c r="AI315" s="26"/>
      <c r="AJ315" s="26"/>
      <c r="AK315" s="26">
        <f>205+126562</f>
        <v>126767</v>
      </c>
      <c r="AL315" s="26"/>
      <c r="AM315" s="26">
        <v>0</v>
      </c>
      <c r="AN315" s="26"/>
      <c r="AO315" s="26">
        <v>0</v>
      </c>
      <c r="AP315" s="26"/>
      <c r="AQ315" s="26">
        <v>0</v>
      </c>
      <c r="AR315" s="26"/>
      <c r="AS315" s="54">
        <f t="shared" si="15"/>
        <v>197572</v>
      </c>
      <c r="AT315" s="26"/>
      <c r="AU315" s="54">
        <f t="shared" si="16"/>
        <v>35018181</v>
      </c>
    </row>
    <row r="316" spans="1:47">
      <c r="A316" s="13" t="s">
        <v>316</v>
      </c>
      <c r="B316" s="13"/>
      <c r="C316" s="13" t="s">
        <v>20</v>
      </c>
      <c r="D316" s="13"/>
      <c r="E316" s="32">
        <v>44370</v>
      </c>
      <c r="F316" s="26"/>
      <c r="G316" s="8">
        <v>44640658</v>
      </c>
      <c r="H316" s="8"/>
      <c r="I316" s="8">
        <v>0</v>
      </c>
      <c r="J316" s="8"/>
      <c r="K316" s="8">
        <v>16656168</v>
      </c>
      <c r="L316" s="8"/>
      <c r="M316" s="8">
        <v>1692234</v>
      </c>
      <c r="N316" s="8"/>
      <c r="O316" s="8">
        <v>8991609</v>
      </c>
      <c r="P316" s="8"/>
      <c r="Q316" s="8">
        <v>149705</v>
      </c>
      <c r="R316" s="8"/>
      <c r="S316" s="8">
        <v>1865966</v>
      </c>
      <c r="T316" s="8"/>
      <c r="U316" s="8">
        <v>122913</v>
      </c>
      <c r="V316" s="8"/>
      <c r="W316" s="8">
        <f>572502+75564+1252770</f>
        <v>1900836</v>
      </c>
      <c r="X316" s="8"/>
      <c r="Y316" s="3">
        <f>SUM(G316:W316)</f>
        <v>76020089</v>
      </c>
      <c r="Z316" s="8"/>
      <c r="AA316" s="8">
        <v>2173521</v>
      </c>
      <c r="AB316" s="8"/>
      <c r="AC316" s="8"/>
      <c r="AD316" s="8"/>
      <c r="AE316" s="8">
        <v>0</v>
      </c>
      <c r="AF316" s="8"/>
      <c r="AG316" s="26"/>
      <c r="AH316" s="26"/>
      <c r="AI316" s="26"/>
      <c r="AJ316" s="26"/>
      <c r="AK316" s="26">
        <v>850000</v>
      </c>
      <c r="AL316" s="26"/>
      <c r="AM316" s="26">
        <v>0</v>
      </c>
      <c r="AN316" s="26"/>
      <c r="AO316" s="26">
        <v>0</v>
      </c>
      <c r="AP316" s="26"/>
      <c r="AQ316" s="26">
        <v>0</v>
      </c>
      <c r="AR316" s="26"/>
      <c r="AS316" s="54">
        <f t="shared" si="15"/>
        <v>3023521</v>
      </c>
      <c r="AT316" s="26"/>
      <c r="AU316" s="54">
        <f t="shared" si="16"/>
        <v>79043610</v>
      </c>
    </row>
    <row r="317" spans="1:47">
      <c r="A317" s="13" t="s">
        <v>573</v>
      </c>
      <c r="B317" s="13"/>
      <c r="C317" s="13" t="s">
        <v>51</v>
      </c>
      <c r="D317" s="13"/>
      <c r="E317" s="32">
        <v>48850</v>
      </c>
      <c r="F317" s="26"/>
      <c r="G317" s="26">
        <v>2475152</v>
      </c>
      <c r="H317" s="26"/>
      <c r="I317" s="26">
        <v>0</v>
      </c>
      <c r="J317" s="26"/>
      <c r="K317" s="26">
        <v>13845101</v>
      </c>
      <c r="L317" s="26"/>
      <c r="M317" s="26">
        <v>388605</v>
      </c>
      <c r="N317" s="26"/>
      <c r="O317" s="26">
        <v>1492214</v>
      </c>
      <c r="P317" s="26"/>
      <c r="Q317" s="26">
        <v>193584</v>
      </c>
      <c r="R317" s="26"/>
      <c r="S317" s="26">
        <v>3461</v>
      </c>
      <c r="T317" s="26"/>
      <c r="U317" s="26">
        <v>9981</v>
      </c>
      <c r="V317" s="26"/>
      <c r="W317" s="26">
        <f>3767+729015+30404</f>
        <v>763186</v>
      </c>
      <c r="X317" s="26"/>
      <c r="Y317" s="54">
        <f t="shared" si="14"/>
        <v>19171284</v>
      </c>
      <c r="Z317" s="26"/>
      <c r="AA317" s="26">
        <v>200000</v>
      </c>
      <c r="AB317" s="26"/>
      <c r="AC317" s="26"/>
      <c r="AD317" s="26"/>
      <c r="AE317" s="26">
        <v>198551</v>
      </c>
      <c r="AF317" s="26"/>
      <c r="AG317" s="26"/>
      <c r="AH317" s="26"/>
      <c r="AI317" s="26"/>
      <c r="AJ317" s="26"/>
      <c r="AK317" s="26">
        <v>96875</v>
      </c>
      <c r="AL317" s="26"/>
      <c r="AM317" s="26">
        <v>0</v>
      </c>
      <c r="AN317" s="26"/>
      <c r="AO317" s="26">
        <v>0</v>
      </c>
      <c r="AP317" s="26"/>
      <c r="AQ317" s="26">
        <v>0</v>
      </c>
      <c r="AR317" s="26"/>
      <c r="AS317" s="54">
        <f t="shared" si="15"/>
        <v>495426</v>
      </c>
      <c r="AT317" s="26"/>
      <c r="AU317" s="54">
        <f t="shared" si="16"/>
        <v>19666710</v>
      </c>
    </row>
    <row r="318" spans="1:47" hidden="1">
      <c r="A318" s="13" t="s">
        <v>830</v>
      </c>
      <c r="B318" s="13"/>
      <c r="C318" s="13" t="s">
        <v>33</v>
      </c>
      <c r="D318" s="13"/>
      <c r="E318" s="32">
        <v>47456</v>
      </c>
      <c r="F318" s="26"/>
      <c r="G318" s="26">
        <v>0</v>
      </c>
      <c r="H318" s="26"/>
      <c r="I318" s="26">
        <v>0</v>
      </c>
      <c r="J318" s="26"/>
      <c r="K318" s="26">
        <v>0</v>
      </c>
      <c r="L318" s="26"/>
      <c r="M318" s="26">
        <v>0</v>
      </c>
      <c r="N318" s="26"/>
      <c r="O318" s="26">
        <v>0</v>
      </c>
      <c r="P318" s="26"/>
      <c r="Q318" s="26">
        <v>0</v>
      </c>
      <c r="R318" s="26"/>
      <c r="S318" s="26">
        <v>0</v>
      </c>
      <c r="T318" s="26"/>
      <c r="U318" s="26">
        <v>0</v>
      </c>
      <c r="V318" s="26"/>
      <c r="W318" s="26">
        <v>0</v>
      </c>
      <c r="X318" s="26"/>
      <c r="Y318" s="54">
        <f t="shared" si="14"/>
        <v>0</v>
      </c>
      <c r="Z318" s="26"/>
      <c r="AA318" s="26">
        <v>0</v>
      </c>
      <c r="AB318" s="26"/>
      <c r="AC318" s="26"/>
      <c r="AD318" s="26"/>
      <c r="AE318" s="26">
        <v>0</v>
      </c>
      <c r="AF318" s="26"/>
      <c r="AG318" s="26"/>
      <c r="AH318" s="26"/>
      <c r="AI318" s="26"/>
      <c r="AJ318" s="26"/>
      <c r="AK318" s="26">
        <v>0</v>
      </c>
      <c r="AL318" s="26"/>
      <c r="AM318" s="26">
        <v>0</v>
      </c>
      <c r="AN318" s="26"/>
      <c r="AO318" s="26">
        <v>0</v>
      </c>
      <c r="AP318" s="26"/>
      <c r="AQ318" s="26">
        <v>0</v>
      </c>
      <c r="AR318" s="26"/>
      <c r="AS318" s="54">
        <f t="shared" si="15"/>
        <v>0</v>
      </c>
      <c r="AT318" s="26"/>
      <c r="AU318" s="54">
        <f t="shared" si="16"/>
        <v>0</v>
      </c>
    </row>
    <row r="319" spans="1:47">
      <c r="A319" s="13" t="s">
        <v>928</v>
      </c>
      <c r="B319" s="13"/>
      <c r="C319" s="13" t="s">
        <v>64</v>
      </c>
      <c r="D319" s="13"/>
      <c r="E319" s="32">
        <v>50229</v>
      </c>
      <c r="F319" s="26"/>
      <c r="G319" s="26">
        <v>1499464</v>
      </c>
      <c r="H319" s="26"/>
      <c r="I319" s="26">
        <v>0</v>
      </c>
      <c r="J319" s="26"/>
      <c r="K319" s="26">
        <f>4080088+335113</f>
        <v>4415201</v>
      </c>
      <c r="L319" s="26"/>
      <c r="M319" s="26">
        <v>6337</v>
      </c>
      <c r="N319" s="26"/>
      <c r="O319" s="26">
        <v>908614</v>
      </c>
      <c r="P319" s="26"/>
      <c r="Q319" s="26">
        <v>110071</v>
      </c>
      <c r="R319" s="26"/>
      <c r="S319" s="26">
        <v>0</v>
      </c>
      <c r="T319" s="26"/>
      <c r="U319" s="26">
        <v>24995</v>
      </c>
      <c r="V319" s="26"/>
      <c r="W319" s="26">
        <f>55659+113648+19733</f>
        <v>189040</v>
      </c>
      <c r="X319" s="26"/>
      <c r="Y319" s="54">
        <f t="shared" si="14"/>
        <v>7153722</v>
      </c>
      <c r="Z319" s="26"/>
      <c r="AA319" s="26">
        <v>12778</v>
      </c>
      <c r="AB319" s="26"/>
      <c r="AC319" s="26"/>
      <c r="AD319" s="26"/>
      <c r="AE319" s="26">
        <v>0</v>
      </c>
      <c r="AF319" s="26"/>
      <c r="AG319" s="26"/>
      <c r="AH319" s="26"/>
      <c r="AI319" s="26"/>
      <c r="AJ319" s="26"/>
      <c r="AK319" s="26">
        <v>0</v>
      </c>
      <c r="AL319" s="26"/>
      <c r="AM319" s="26">
        <v>0</v>
      </c>
      <c r="AN319" s="26"/>
      <c r="AO319" s="26">
        <v>0</v>
      </c>
      <c r="AP319" s="26"/>
      <c r="AQ319" s="26">
        <v>0</v>
      </c>
      <c r="AR319" s="26"/>
      <c r="AS319" s="54">
        <f t="shared" si="15"/>
        <v>12778</v>
      </c>
      <c r="AT319" s="26"/>
      <c r="AU319" s="54">
        <f t="shared" si="16"/>
        <v>7166500</v>
      </c>
    </row>
    <row r="320" spans="1:47">
      <c r="A320" s="13" t="s">
        <v>260</v>
      </c>
      <c r="B320" s="13"/>
      <c r="C320" s="13" t="s">
        <v>259</v>
      </c>
      <c r="D320" s="13"/>
      <c r="E320" s="32">
        <v>45484</v>
      </c>
      <c r="F320" s="26"/>
      <c r="G320" s="26">
        <v>3685488</v>
      </c>
      <c r="H320" s="26"/>
      <c r="I320" s="26">
        <v>0</v>
      </c>
      <c r="J320" s="26"/>
      <c r="K320" s="26">
        <f>512985+4853433+113017</f>
        <v>5479435</v>
      </c>
      <c r="L320" s="26"/>
      <c r="M320" s="26">
        <v>171816</v>
      </c>
      <c r="N320" s="26"/>
      <c r="O320" s="26">
        <v>393304</v>
      </c>
      <c r="P320" s="26"/>
      <c r="Q320" s="26">
        <v>119444</v>
      </c>
      <c r="R320" s="26"/>
      <c r="S320" s="26">
        <v>0</v>
      </c>
      <c r="T320" s="26"/>
      <c r="U320" s="26">
        <v>0</v>
      </c>
      <c r="V320" s="26"/>
      <c r="W320" s="26">
        <f>233064+26467+194970</f>
        <v>454501</v>
      </c>
      <c r="X320" s="26"/>
      <c r="Y320" s="54">
        <f t="shared" si="14"/>
        <v>10303988</v>
      </c>
      <c r="Z320" s="26"/>
      <c r="AA320" s="26">
        <v>43042</v>
      </c>
      <c r="AB320" s="26"/>
      <c r="AC320" s="26"/>
      <c r="AD320" s="26"/>
      <c r="AE320" s="26">
        <v>0</v>
      </c>
      <c r="AF320" s="26"/>
      <c r="AG320" s="26"/>
      <c r="AH320" s="26"/>
      <c r="AI320" s="26"/>
      <c r="AJ320" s="26"/>
      <c r="AK320" s="26">
        <v>140150</v>
      </c>
      <c r="AL320" s="26"/>
      <c r="AM320" s="26">
        <v>0</v>
      </c>
      <c r="AN320" s="26"/>
      <c r="AO320" s="26">
        <v>0</v>
      </c>
      <c r="AP320" s="26"/>
      <c r="AQ320" s="26">
        <v>0</v>
      </c>
      <c r="AR320" s="26"/>
      <c r="AS320" s="54">
        <f t="shared" si="15"/>
        <v>183192</v>
      </c>
      <c r="AT320" s="26"/>
      <c r="AU320" s="54">
        <f t="shared" si="16"/>
        <v>10487180</v>
      </c>
    </row>
    <row r="321" spans="1:47">
      <c r="A321" s="13" t="s">
        <v>535</v>
      </c>
      <c r="B321" s="13"/>
      <c r="C321" s="13" t="s">
        <v>47</v>
      </c>
      <c r="D321" s="13"/>
      <c r="E321" s="32">
        <v>44388</v>
      </c>
      <c r="F321" s="26"/>
      <c r="G321" s="26">
        <v>47228459</v>
      </c>
      <c r="H321" s="26"/>
      <c r="I321" s="26">
        <v>0</v>
      </c>
      <c r="J321" s="26"/>
      <c r="K321" s="26">
        <v>31045401</v>
      </c>
      <c r="L321" s="26"/>
      <c r="M321" s="26">
        <v>1597009</v>
      </c>
      <c r="N321" s="26"/>
      <c r="O321" s="26">
        <v>1069407</v>
      </c>
      <c r="P321" s="26"/>
      <c r="Q321" s="26">
        <v>846620</v>
      </c>
      <c r="R321" s="26"/>
      <c r="S321" s="26">
        <v>0</v>
      </c>
      <c r="T321" s="26"/>
      <c r="U321" s="26">
        <v>123201</v>
      </c>
      <c r="V321" s="26"/>
      <c r="W321" s="26">
        <f>492347+592398+1458030</f>
        <v>2542775</v>
      </c>
      <c r="X321" s="26"/>
      <c r="Y321" s="54">
        <f t="shared" si="14"/>
        <v>84452872</v>
      </c>
      <c r="Z321" s="26"/>
      <c r="AA321" s="26">
        <v>180500</v>
      </c>
      <c r="AB321" s="26"/>
      <c r="AC321" s="26"/>
      <c r="AD321" s="26"/>
      <c r="AE321" s="26">
        <f>25000000+3170000</f>
        <v>28170000</v>
      </c>
      <c r="AF321" s="26"/>
      <c r="AG321" s="26"/>
      <c r="AH321" s="26"/>
      <c r="AI321" s="26"/>
      <c r="AJ321" s="26"/>
      <c r="AK321" s="26">
        <v>382339</v>
      </c>
      <c r="AL321" s="26"/>
      <c r="AM321" s="26">
        <v>0</v>
      </c>
      <c r="AN321" s="26"/>
      <c r="AO321" s="26">
        <v>0</v>
      </c>
      <c r="AP321" s="26"/>
      <c r="AQ321" s="26">
        <v>0</v>
      </c>
      <c r="AR321" s="26"/>
      <c r="AS321" s="54">
        <f t="shared" si="15"/>
        <v>28732839</v>
      </c>
      <c r="AT321" s="26"/>
      <c r="AU321" s="54">
        <f t="shared" si="16"/>
        <v>113185711</v>
      </c>
    </row>
    <row r="322" spans="1:47">
      <c r="A322" s="13" t="s">
        <v>538</v>
      </c>
      <c r="B322" s="13"/>
      <c r="C322" s="13" t="s">
        <v>537</v>
      </c>
      <c r="D322" s="13"/>
      <c r="E322" s="32">
        <v>48520</v>
      </c>
      <c r="F322" s="26"/>
      <c r="G322" s="26">
        <v>2283237</v>
      </c>
      <c r="H322" s="26"/>
      <c r="I322" s="26">
        <v>0</v>
      </c>
      <c r="J322" s="26"/>
      <c r="K322" s="26">
        <v>17683471</v>
      </c>
      <c r="L322" s="26"/>
      <c r="M322" s="26">
        <v>151308</v>
      </c>
      <c r="N322" s="26"/>
      <c r="O322" s="26">
        <v>552876</v>
      </c>
      <c r="P322" s="26"/>
      <c r="Q322" s="26">
        <v>117979</v>
      </c>
      <c r="R322" s="26"/>
      <c r="S322" s="26">
        <v>0</v>
      </c>
      <c r="T322" s="26"/>
      <c r="U322" s="26">
        <v>31597</v>
      </c>
      <c r="V322" s="26"/>
      <c r="W322" s="26">
        <f>14353+321411+4855</f>
        <v>340619</v>
      </c>
      <c r="X322" s="26"/>
      <c r="Y322" s="54">
        <f t="shared" si="14"/>
        <v>21161087</v>
      </c>
      <c r="Z322" s="26"/>
      <c r="AA322" s="26">
        <v>5000</v>
      </c>
      <c r="AB322" s="26"/>
      <c r="AC322" s="26"/>
      <c r="AD322" s="26"/>
      <c r="AE322" s="26">
        <v>0</v>
      </c>
      <c r="AF322" s="26"/>
      <c r="AG322" s="26"/>
      <c r="AH322" s="26"/>
      <c r="AI322" s="26"/>
      <c r="AJ322" s="26"/>
      <c r="AK322" s="26">
        <f>2610+5239</f>
        <v>7849</v>
      </c>
      <c r="AL322" s="26"/>
      <c r="AM322" s="26">
        <v>0</v>
      </c>
      <c r="AN322" s="26"/>
      <c r="AO322" s="26">
        <v>0</v>
      </c>
      <c r="AP322" s="26"/>
      <c r="AQ322" s="26">
        <v>0</v>
      </c>
      <c r="AR322" s="26"/>
      <c r="AS322" s="54">
        <f t="shared" si="15"/>
        <v>12849</v>
      </c>
      <c r="AT322" s="26"/>
      <c r="AU322" s="54">
        <f t="shared" si="16"/>
        <v>21173936</v>
      </c>
    </row>
    <row r="323" spans="1:47">
      <c r="A323" s="13" t="s">
        <v>465</v>
      </c>
      <c r="B323" s="13"/>
      <c r="C323" s="13" t="s">
        <v>41</v>
      </c>
      <c r="D323" s="13"/>
      <c r="E323" s="32">
        <v>45492</v>
      </c>
      <c r="F323" s="26"/>
      <c r="G323" s="26">
        <v>69020927</v>
      </c>
      <c r="H323" s="26"/>
      <c r="I323" s="26">
        <v>0</v>
      </c>
      <c r="J323" s="26"/>
      <c r="K323" s="26">
        <v>36092948</v>
      </c>
      <c r="L323" s="26"/>
      <c r="M323" s="26">
        <v>2178685</v>
      </c>
      <c r="N323" s="26"/>
      <c r="O323" s="26">
        <v>1494705</v>
      </c>
      <c r="P323" s="26"/>
      <c r="Q323" s="26">
        <v>853846</v>
      </c>
      <c r="R323" s="26"/>
      <c r="S323" s="26">
        <v>0</v>
      </c>
      <c r="T323" s="26"/>
      <c r="U323" s="26">
        <v>0</v>
      </c>
      <c r="V323" s="26"/>
      <c r="W323" s="26">
        <v>1540293</v>
      </c>
      <c r="X323" s="26"/>
      <c r="Y323" s="54">
        <f t="shared" si="14"/>
        <v>111181404</v>
      </c>
      <c r="Z323" s="26"/>
      <c r="AA323" s="26">
        <v>361054</v>
      </c>
      <c r="AB323" s="26"/>
      <c r="AC323" s="26"/>
      <c r="AD323" s="26"/>
      <c r="AE323" s="26">
        <v>773335</v>
      </c>
      <c r="AF323" s="26"/>
      <c r="AG323" s="26"/>
      <c r="AH323" s="26"/>
      <c r="AI323" s="26"/>
      <c r="AJ323" s="26"/>
      <c r="AK323" s="26">
        <v>32121</v>
      </c>
      <c r="AL323" s="26"/>
      <c r="AM323" s="26">
        <v>0</v>
      </c>
      <c r="AN323" s="26"/>
      <c r="AO323" s="26">
        <v>0</v>
      </c>
      <c r="AP323" s="26"/>
      <c r="AQ323" s="26">
        <v>0</v>
      </c>
      <c r="AR323" s="26"/>
      <c r="AS323" s="54">
        <f t="shared" si="15"/>
        <v>1166510</v>
      </c>
      <c r="AT323" s="26"/>
      <c r="AU323" s="54">
        <f t="shared" si="16"/>
        <v>112347914</v>
      </c>
    </row>
    <row r="324" spans="1:47">
      <c r="A324" s="13" t="s">
        <v>545</v>
      </c>
      <c r="B324" s="13"/>
      <c r="C324" s="13" t="s">
        <v>48</v>
      </c>
      <c r="D324" s="13"/>
      <c r="E324" s="32">
        <v>48629</v>
      </c>
      <c r="F324" s="26"/>
      <c r="G324" s="26">
        <v>4049327</v>
      </c>
      <c r="H324" s="26"/>
      <c r="I324" s="26">
        <v>1890043</v>
      </c>
      <c r="J324" s="26"/>
      <c r="K324" s="26">
        <v>6106169</v>
      </c>
      <c r="L324" s="26"/>
      <c r="M324" s="26">
        <v>99853</v>
      </c>
      <c r="N324" s="26"/>
      <c r="O324" s="26">
        <v>548929</v>
      </c>
      <c r="P324" s="26"/>
      <c r="Q324" s="26">
        <v>154197</v>
      </c>
      <c r="R324" s="26"/>
      <c r="S324" s="26">
        <v>0</v>
      </c>
      <c r="T324" s="26"/>
      <c r="U324" s="26">
        <v>49326</v>
      </c>
      <c r="V324" s="26"/>
      <c r="W324" s="26">
        <f>56460+3092+316234</f>
        <v>375786</v>
      </c>
      <c r="X324" s="26"/>
      <c r="Y324" s="54">
        <f t="shared" si="14"/>
        <v>13273630</v>
      </c>
      <c r="Z324" s="26"/>
      <c r="AA324" s="26">
        <v>445160</v>
      </c>
      <c r="AB324" s="26"/>
      <c r="AC324" s="26"/>
      <c r="AD324" s="26"/>
      <c r="AE324" s="26">
        <v>0</v>
      </c>
      <c r="AF324" s="26"/>
      <c r="AG324" s="26"/>
      <c r="AH324" s="26"/>
      <c r="AI324" s="26"/>
      <c r="AJ324" s="26"/>
      <c r="AK324" s="26">
        <v>0</v>
      </c>
      <c r="AL324" s="26"/>
      <c r="AM324" s="26">
        <v>0</v>
      </c>
      <c r="AN324" s="26"/>
      <c r="AO324" s="26">
        <v>0</v>
      </c>
      <c r="AP324" s="26"/>
      <c r="AQ324" s="26">
        <v>0</v>
      </c>
      <c r="AR324" s="26"/>
      <c r="AS324" s="54">
        <f t="shared" si="15"/>
        <v>445160</v>
      </c>
      <c r="AT324" s="26"/>
      <c r="AU324" s="54">
        <f t="shared" si="16"/>
        <v>13718790</v>
      </c>
    </row>
    <row r="325" spans="1:47">
      <c r="A325" s="13" t="s">
        <v>354</v>
      </c>
      <c r="B325" s="13"/>
      <c r="C325" s="13" t="s">
        <v>26</v>
      </c>
      <c r="D325" s="13"/>
      <c r="E325" s="32">
        <v>46920</v>
      </c>
      <c r="F325" s="26"/>
      <c r="G325" s="26">
        <v>10678822</v>
      </c>
      <c r="H325" s="26"/>
      <c r="I325" s="26">
        <v>0</v>
      </c>
      <c r="J325" s="26"/>
      <c r="K325" s="26">
        <v>14465710</v>
      </c>
      <c r="L325" s="26"/>
      <c r="M325" s="26">
        <v>1164152</v>
      </c>
      <c r="N325" s="26"/>
      <c r="O325" s="26">
        <v>1102349</v>
      </c>
      <c r="P325" s="26"/>
      <c r="Q325" s="26">
        <v>395208</v>
      </c>
      <c r="R325" s="26"/>
      <c r="S325" s="26">
        <v>0</v>
      </c>
      <c r="T325" s="26"/>
      <c r="U325" s="26">
        <v>0</v>
      </c>
      <c r="V325" s="26"/>
      <c r="W325" s="26">
        <f>644883+630023</f>
        <v>1274906</v>
      </c>
      <c r="X325" s="26"/>
      <c r="Y325" s="54">
        <f t="shared" si="14"/>
        <v>29081147</v>
      </c>
      <c r="Z325" s="26"/>
      <c r="AA325" s="26">
        <v>118666</v>
      </c>
      <c r="AB325" s="26"/>
      <c r="AC325" s="26"/>
      <c r="AD325" s="26"/>
      <c r="AE325" s="26">
        <v>0</v>
      </c>
      <c r="AF325" s="26"/>
      <c r="AG325" s="26"/>
      <c r="AH325" s="26"/>
      <c r="AI325" s="26"/>
      <c r="AJ325" s="26"/>
      <c r="AK325" s="26">
        <v>1430262</v>
      </c>
      <c r="AL325" s="26"/>
      <c r="AM325" s="26">
        <v>0</v>
      </c>
      <c r="AN325" s="26"/>
      <c r="AO325" s="26">
        <v>0</v>
      </c>
      <c r="AP325" s="26"/>
      <c r="AQ325" s="26">
        <v>0</v>
      </c>
      <c r="AR325" s="26"/>
      <c r="AS325" s="54">
        <f t="shared" si="15"/>
        <v>1548928</v>
      </c>
      <c r="AT325" s="26"/>
      <c r="AU325" s="54">
        <f t="shared" si="16"/>
        <v>30630075</v>
      </c>
    </row>
    <row r="326" spans="1:47">
      <c r="A326" s="13" t="s">
        <v>559</v>
      </c>
      <c r="B326" s="13"/>
      <c r="C326" s="13" t="s">
        <v>50</v>
      </c>
      <c r="D326" s="13"/>
      <c r="E326" s="32">
        <v>44396</v>
      </c>
      <c r="F326" s="26"/>
      <c r="G326" s="26">
        <v>24722389</v>
      </c>
      <c r="H326" s="26"/>
      <c r="I326" s="26">
        <v>0</v>
      </c>
      <c r="J326" s="26"/>
      <c r="K326" s="26">
        <v>15241291</v>
      </c>
      <c r="L326" s="26"/>
      <c r="M326" s="26">
        <v>701174</v>
      </c>
      <c r="N326" s="26"/>
      <c r="O326" s="26">
        <v>241532</v>
      </c>
      <c r="P326" s="26"/>
      <c r="Q326" s="26">
        <v>0</v>
      </c>
      <c r="R326" s="26"/>
      <c r="S326" s="26">
        <v>0</v>
      </c>
      <c r="T326" s="26"/>
      <c r="U326" s="26">
        <v>0</v>
      </c>
      <c r="V326" s="26"/>
      <c r="W326" s="26">
        <v>356739</v>
      </c>
      <c r="X326" s="26"/>
      <c r="Y326" s="54">
        <f t="shared" si="14"/>
        <v>41263125</v>
      </c>
      <c r="Z326" s="26"/>
      <c r="AA326" s="26">
        <v>0</v>
      </c>
      <c r="AB326" s="26"/>
      <c r="AC326" s="26"/>
      <c r="AD326" s="26"/>
      <c r="AE326" s="26">
        <v>0</v>
      </c>
      <c r="AF326" s="26"/>
      <c r="AG326" s="26"/>
      <c r="AH326" s="26"/>
      <c r="AI326" s="26"/>
      <c r="AJ326" s="26"/>
      <c r="AK326" s="26">
        <v>132613</v>
      </c>
      <c r="AL326" s="26"/>
      <c r="AM326" s="26">
        <v>0</v>
      </c>
      <c r="AN326" s="26"/>
      <c r="AO326" s="26">
        <v>0</v>
      </c>
      <c r="AP326" s="26"/>
      <c r="AQ326" s="26">
        <v>0</v>
      </c>
      <c r="AR326" s="26"/>
      <c r="AS326" s="54">
        <f t="shared" si="15"/>
        <v>132613</v>
      </c>
      <c r="AT326" s="26"/>
      <c r="AU326" s="54">
        <f t="shared" si="16"/>
        <v>41395738</v>
      </c>
    </row>
    <row r="327" spans="1:47">
      <c r="A327" s="13" t="s">
        <v>251</v>
      </c>
      <c r="B327" s="13"/>
      <c r="C327" s="13" t="s">
        <v>246</v>
      </c>
      <c r="D327" s="13"/>
      <c r="E327" s="32">
        <v>44404</v>
      </c>
      <c r="F327" s="26"/>
      <c r="G327" s="26">
        <v>39009403</v>
      </c>
      <c r="H327" s="26"/>
      <c r="I327" s="26">
        <v>0</v>
      </c>
      <c r="J327" s="26"/>
      <c r="K327" s="26">
        <v>42563950</v>
      </c>
      <c r="L327" s="26"/>
      <c r="M327" s="26">
        <v>1391914</v>
      </c>
      <c r="N327" s="26"/>
      <c r="O327" s="26">
        <v>972600</v>
      </c>
      <c r="P327" s="26"/>
      <c r="Q327" s="26">
        <v>260034</v>
      </c>
      <c r="R327" s="26"/>
      <c r="S327" s="26">
        <v>0</v>
      </c>
      <c r="T327" s="26"/>
      <c r="U327" s="26">
        <v>0</v>
      </c>
      <c r="V327" s="26"/>
      <c r="W327" s="26">
        <f>637736+221547</f>
        <v>859283</v>
      </c>
      <c r="X327" s="26"/>
      <c r="Y327" s="54">
        <f t="shared" si="14"/>
        <v>85057184</v>
      </c>
      <c r="Z327" s="26"/>
      <c r="AA327" s="26">
        <v>366669</v>
      </c>
      <c r="AB327" s="26"/>
      <c r="AC327" s="26"/>
      <c r="AD327" s="26"/>
      <c r="AE327" s="26">
        <v>677662</v>
      </c>
      <c r="AF327" s="26"/>
      <c r="AG327" s="26"/>
      <c r="AH327" s="26"/>
      <c r="AI327" s="26"/>
      <c r="AJ327" s="26"/>
      <c r="AK327" s="26">
        <v>33602</v>
      </c>
      <c r="AL327" s="26"/>
      <c r="AM327" s="26">
        <v>0</v>
      </c>
      <c r="AN327" s="26"/>
      <c r="AO327" s="26">
        <v>0</v>
      </c>
      <c r="AP327" s="26"/>
      <c r="AQ327" s="26">
        <v>0</v>
      </c>
      <c r="AR327" s="26"/>
      <c r="AS327" s="54">
        <f t="shared" si="15"/>
        <v>1077933</v>
      </c>
      <c r="AT327" s="26"/>
      <c r="AU327" s="54">
        <f t="shared" si="16"/>
        <v>86135117</v>
      </c>
    </row>
    <row r="328" spans="1:47">
      <c r="A328" s="13" t="s">
        <v>497</v>
      </c>
      <c r="B328" s="13"/>
      <c r="C328" s="13" t="s">
        <v>44</v>
      </c>
      <c r="D328" s="13"/>
      <c r="E328" s="32">
        <v>48173</v>
      </c>
      <c r="F328" s="26"/>
      <c r="G328" s="26">
        <v>11353253</v>
      </c>
      <c r="H328" s="26"/>
      <c r="I328" s="26">
        <v>0</v>
      </c>
      <c r="J328" s="26"/>
      <c r="K328" s="26">
        <v>15868581</v>
      </c>
      <c r="L328" s="26"/>
      <c r="M328" s="26">
        <v>408828</v>
      </c>
      <c r="N328" s="26"/>
      <c r="O328" s="26">
        <v>0</v>
      </c>
      <c r="P328" s="26"/>
      <c r="Q328" s="26">
        <v>322023</v>
      </c>
      <c r="R328" s="26"/>
      <c r="S328" s="26">
        <v>0</v>
      </c>
      <c r="T328" s="26"/>
      <c r="U328" s="26">
        <v>0</v>
      </c>
      <c r="V328" s="26"/>
      <c r="W328" s="26">
        <f>367015+32845</f>
        <v>399860</v>
      </c>
      <c r="X328" s="26"/>
      <c r="Y328" s="54">
        <f t="shared" si="14"/>
        <v>28352545</v>
      </c>
      <c r="Z328" s="26"/>
      <c r="AA328" s="26">
        <v>3033</v>
      </c>
      <c r="AB328" s="26"/>
      <c r="AC328" s="26"/>
      <c r="AD328" s="26"/>
      <c r="AE328" s="26">
        <v>0</v>
      </c>
      <c r="AF328" s="26"/>
      <c r="AG328" s="26"/>
      <c r="AH328" s="26"/>
      <c r="AI328" s="26"/>
      <c r="AJ328" s="26"/>
      <c r="AK328" s="26">
        <f>34180+332174</f>
        <v>366354</v>
      </c>
      <c r="AL328" s="26"/>
      <c r="AM328" s="26">
        <v>0</v>
      </c>
      <c r="AN328" s="26"/>
      <c r="AO328" s="26">
        <v>0</v>
      </c>
      <c r="AP328" s="26"/>
      <c r="AQ328" s="26">
        <v>0</v>
      </c>
      <c r="AR328" s="26"/>
      <c r="AS328" s="54">
        <f t="shared" si="15"/>
        <v>369387</v>
      </c>
      <c r="AT328" s="26"/>
      <c r="AU328" s="54">
        <f t="shared" si="16"/>
        <v>28721932</v>
      </c>
    </row>
    <row r="329" spans="1:47">
      <c r="A329" s="13" t="s">
        <v>274</v>
      </c>
      <c r="B329" s="13"/>
      <c r="C329" s="13" t="s">
        <v>116</v>
      </c>
      <c r="D329" s="13"/>
      <c r="E329" s="32">
        <v>45500</v>
      </c>
      <c r="F329" s="26"/>
      <c r="G329" s="26">
        <v>32187746</v>
      </c>
      <c r="H329" s="26"/>
      <c r="I329" s="26">
        <v>0</v>
      </c>
      <c r="J329" s="26"/>
      <c r="K329" s="26">
        <v>25778494</v>
      </c>
      <c r="L329" s="26"/>
      <c r="M329" s="26">
        <v>519622</v>
      </c>
      <c r="N329" s="26"/>
      <c r="O329" s="26">
        <v>177847</v>
      </c>
      <c r="P329" s="26"/>
      <c r="Q329" s="26">
        <v>322284</v>
      </c>
      <c r="R329" s="26"/>
      <c r="S329" s="26">
        <v>644694</v>
      </c>
      <c r="T329" s="26"/>
      <c r="U329" s="26">
        <v>131502</v>
      </c>
      <c r="V329" s="26"/>
      <c r="W329" s="26">
        <f>85317+406334+2229563</f>
        <v>2721214</v>
      </c>
      <c r="X329" s="26"/>
      <c r="Y329" s="54">
        <f t="shared" si="14"/>
        <v>62483403</v>
      </c>
      <c r="Z329" s="26"/>
      <c r="AA329" s="26">
        <v>0</v>
      </c>
      <c r="AB329" s="26"/>
      <c r="AC329" s="26"/>
      <c r="AD329" s="26"/>
      <c r="AE329" s="26">
        <v>0</v>
      </c>
      <c r="AF329" s="26"/>
      <c r="AG329" s="26"/>
      <c r="AH329" s="26"/>
      <c r="AI329" s="26"/>
      <c r="AJ329" s="26"/>
      <c r="AK329" s="26">
        <v>18420</v>
      </c>
      <c r="AL329" s="26"/>
      <c r="AM329" s="26">
        <v>0</v>
      </c>
      <c r="AN329" s="26"/>
      <c r="AO329" s="26">
        <v>0</v>
      </c>
      <c r="AP329" s="26"/>
      <c r="AQ329" s="26">
        <v>0</v>
      </c>
      <c r="AR329" s="26"/>
      <c r="AS329" s="54">
        <f t="shared" si="15"/>
        <v>18420</v>
      </c>
      <c r="AT329" s="26"/>
      <c r="AU329" s="54">
        <f t="shared" si="16"/>
        <v>62501823</v>
      </c>
    </row>
    <row r="330" spans="1:47" hidden="1">
      <c r="A330" s="13" t="s">
        <v>736</v>
      </c>
      <c r="B330" s="13"/>
      <c r="C330" s="13" t="s">
        <v>733</v>
      </c>
      <c r="D330" s="13"/>
      <c r="E330" s="32">
        <v>50633</v>
      </c>
      <c r="F330" s="26"/>
      <c r="G330" s="26">
        <v>0</v>
      </c>
      <c r="H330" s="26"/>
      <c r="I330" s="26">
        <v>0</v>
      </c>
      <c r="J330" s="26"/>
      <c r="K330" s="26">
        <v>0</v>
      </c>
      <c r="L330" s="26"/>
      <c r="M330" s="26">
        <v>0</v>
      </c>
      <c r="N330" s="26"/>
      <c r="O330" s="26">
        <v>0</v>
      </c>
      <c r="P330" s="26"/>
      <c r="Q330" s="26">
        <v>0</v>
      </c>
      <c r="R330" s="26"/>
      <c r="S330" s="26">
        <v>0</v>
      </c>
      <c r="T330" s="26"/>
      <c r="U330" s="26">
        <v>0</v>
      </c>
      <c r="V330" s="26"/>
      <c r="W330" s="26">
        <v>0</v>
      </c>
      <c r="X330" s="26"/>
      <c r="Y330" s="54">
        <f t="shared" si="14"/>
        <v>0</v>
      </c>
      <c r="Z330" s="26"/>
      <c r="AA330" s="26">
        <v>0</v>
      </c>
      <c r="AB330" s="26"/>
      <c r="AC330" s="26"/>
      <c r="AD330" s="26"/>
      <c r="AE330" s="26">
        <v>0</v>
      </c>
      <c r="AF330" s="26"/>
      <c r="AG330" s="26"/>
      <c r="AH330" s="26"/>
      <c r="AI330" s="26"/>
      <c r="AJ330" s="26"/>
      <c r="AK330" s="26">
        <v>0</v>
      </c>
      <c r="AL330" s="26"/>
      <c r="AM330" s="26">
        <v>0</v>
      </c>
      <c r="AN330" s="26"/>
      <c r="AO330" s="26">
        <v>0</v>
      </c>
      <c r="AP330" s="26"/>
      <c r="AQ330" s="26">
        <v>0</v>
      </c>
      <c r="AR330" s="26"/>
      <c r="AS330" s="54">
        <f t="shared" si="15"/>
        <v>0</v>
      </c>
      <c r="AT330" s="26"/>
      <c r="AU330" s="54">
        <f t="shared" si="16"/>
        <v>0</v>
      </c>
    </row>
    <row r="331" spans="1:47" hidden="1">
      <c r="A331" s="13" t="s">
        <v>610</v>
      </c>
      <c r="B331" s="13"/>
      <c r="C331" s="13" t="s">
        <v>608</v>
      </c>
      <c r="D331" s="13"/>
      <c r="E331" s="32">
        <v>49361</v>
      </c>
      <c r="F331" s="26"/>
      <c r="G331" s="26">
        <v>0</v>
      </c>
      <c r="H331" s="26"/>
      <c r="I331" s="26">
        <v>0</v>
      </c>
      <c r="J331" s="26"/>
      <c r="K331" s="26">
        <v>0</v>
      </c>
      <c r="L331" s="26"/>
      <c r="M331" s="26">
        <v>0</v>
      </c>
      <c r="N331" s="26"/>
      <c r="O331" s="26">
        <v>0</v>
      </c>
      <c r="P331" s="26"/>
      <c r="Q331" s="26">
        <v>0</v>
      </c>
      <c r="R331" s="26"/>
      <c r="S331" s="26">
        <v>0</v>
      </c>
      <c r="T331" s="26"/>
      <c r="U331" s="26">
        <v>0</v>
      </c>
      <c r="V331" s="26"/>
      <c r="W331" s="26">
        <v>0</v>
      </c>
      <c r="X331" s="26"/>
      <c r="Y331" s="54">
        <f t="shared" si="14"/>
        <v>0</v>
      </c>
      <c r="Z331" s="26"/>
      <c r="AA331" s="26">
        <v>0</v>
      </c>
      <c r="AB331" s="26"/>
      <c r="AC331" s="26"/>
      <c r="AD331" s="26"/>
      <c r="AE331" s="26">
        <v>0</v>
      </c>
      <c r="AF331" s="26"/>
      <c r="AG331" s="26"/>
      <c r="AH331" s="26"/>
      <c r="AI331" s="26"/>
      <c r="AJ331" s="26"/>
      <c r="AK331" s="26">
        <v>0</v>
      </c>
      <c r="AL331" s="26"/>
      <c r="AM331" s="26">
        <v>0</v>
      </c>
      <c r="AN331" s="26"/>
      <c r="AO331" s="26">
        <v>0</v>
      </c>
      <c r="AP331" s="26"/>
      <c r="AQ331" s="26">
        <v>0</v>
      </c>
      <c r="AR331" s="26"/>
      <c r="AS331" s="54">
        <f t="shared" si="15"/>
        <v>0</v>
      </c>
      <c r="AT331" s="26"/>
      <c r="AU331" s="54">
        <f t="shared" si="16"/>
        <v>0</v>
      </c>
    </row>
    <row r="332" spans="1:47">
      <c r="A332" s="13" t="s">
        <v>546</v>
      </c>
      <c r="B332" s="13"/>
      <c r="C332" s="13" t="s">
        <v>48</v>
      </c>
      <c r="D332" s="13"/>
      <c r="E332" s="32">
        <v>45518</v>
      </c>
      <c r="F332" s="26"/>
      <c r="G332" s="26">
        <v>5365914</v>
      </c>
      <c r="H332" s="26"/>
      <c r="I332" s="26">
        <v>0</v>
      </c>
      <c r="J332" s="26"/>
      <c r="K332" s="26">
        <f>914331+7371606</f>
        <v>8285937</v>
      </c>
      <c r="L332" s="26"/>
      <c r="M332" s="26">
        <v>258992</v>
      </c>
      <c r="N332" s="26"/>
      <c r="O332" s="26">
        <v>786713</v>
      </c>
      <c r="P332" s="26"/>
      <c r="Q332" s="26">
        <v>185092</v>
      </c>
      <c r="R332" s="26"/>
      <c r="S332" s="26">
        <v>0</v>
      </c>
      <c r="T332" s="26"/>
      <c r="U332" s="26">
        <v>0</v>
      </c>
      <c r="V332" s="26"/>
      <c r="W332" s="26">
        <f>333496+62070</f>
        <v>395566</v>
      </c>
      <c r="X332" s="26"/>
      <c r="Y332" s="54">
        <f t="shared" si="14"/>
        <v>15278214</v>
      </c>
      <c r="Z332" s="26"/>
      <c r="AA332" s="26">
        <v>417000</v>
      </c>
      <c r="AB332" s="26"/>
      <c r="AC332" s="26"/>
      <c r="AD332" s="26"/>
      <c r="AE332" s="26">
        <v>0</v>
      </c>
      <c r="AF332" s="26"/>
      <c r="AG332" s="26"/>
      <c r="AH332" s="26"/>
      <c r="AI332" s="26"/>
      <c r="AJ332" s="26"/>
      <c r="AK332" s="26">
        <v>12492</v>
      </c>
      <c r="AL332" s="26"/>
      <c r="AM332" s="26">
        <v>0</v>
      </c>
      <c r="AN332" s="26"/>
      <c r="AO332" s="26">
        <v>0</v>
      </c>
      <c r="AP332" s="26"/>
      <c r="AQ332" s="26">
        <v>0</v>
      </c>
      <c r="AR332" s="26"/>
      <c r="AS332" s="54">
        <f t="shared" si="15"/>
        <v>429492</v>
      </c>
      <c r="AT332" s="26"/>
      <c r="AU332" s="54">
        <f t="shared" si="16"/>
        <v>15707706</v>
      </c>
    </row>
    <row r="333" spans="1:47">
      <c r="A333" s="13" t="s">
        <v>662</v>
      </c>
      <c r="B333" s="13"/>
      <c r="C333" s="13" t="s">
        <v>62</v>
      </c>
      <c r="D333" s="13"/>
      <c r="E333" s="32">
        <v>49890</v>
      </c>
      <c r="F333" s="26"/>
      <c r="G333" s="26">
        <v>6617639</v>
      </c>
      <c r="H333" s="26"/>
      <c r="I333" s="26">
        <v>0</v>
      </c>
      <c r="J333" s="26"/>
      <c r="K333" s="26">
        <v>27444046</v>
      </c>
      <c r="L333" s="26"/>
      <c r="M333" s="26">
        <v>318897</v>
      </c>
      <c r="N333" s="26"/>
      <c r="O333" s="26">
        <v>787301</v>
      </c>
      <c r="P333" s="26"/>
      <c r="Q333" s="26">
        <v>258808</v>
      </c>
      <c r="R333" s="26"/>
      <c r="S333" s="26">
        <v>0</v>
      </c>
      <c r="T333" s="26"/>
      <c r="U333" s="26">
        <v>60063</v>
      </c>
      <c r="V333" s="26"/>
      <c r="W333" s="26">
        <f>103496+300350+25354</f>
        <v>429200</v>
      </c>
      <c r="X333" s="26"/>
      <c r="Y333" s="54">
        <f t="shared" si="14"/>
        <v>35915954</v>
      </c>
      <c r="Z333" s="26"/>
      <c r="AA333" s="26">
        <v>0</v>
      </c>
      <c r="AB333" s="26"/>
      <c r="AC333" s="26"/>
      <c r="AD333" s="26"/>
      <c r="AE333" s="26">
        <v>0</v>
      </c>
      <c r="AF333" s="26"/>
      <c r="AG333" s="26"/>
      <c r="AH333" s="26"/>
      <c r="AI333" s="26"/>
      <c r="AJ333" s="26"/>
      <c r="AK333" s="26">
        <v>0</v>
      </c>
      <c r="AL333" s="26"/>
      <c r="AM333" s="26">
        <v>0</v>
      </c>
      <c r="AN333" s="26"/>
      <c r="AO333" s="26">
        <v>0</v>
      </c>
      <c r="AP333" s="26"/>
      <c r="AQ333" s="26">
        <v>0</v>
      </c>
      <c r="AR333" s="26"/>
      <c r="AS333" s="54">
        <f t="shared" si="15"/>
        <v>0</v>
      </c>
      <c r="AT333" s="26"/>
      <c r="AU333" s="54">
        <f t="shared" si="16"/>
        <v>35915954</v>
      </c>
    </row>
    <row r="334" spans="1:47">
      <c r="A334" s="13" t="s">
        <v>634</v>
      </c>
      <c r="B334" s="13"/>
      <c r="C334" s="13" t="s">
        <v>59</v>
      </c>
      <c r="D334" s="13"/>
      <c r="E334" s="32">
        <v>49627</v>
      </c>
      <c r="F334" s="26"/>
      <c r="G334" s="26">
        <v>1768502</v>
      </c>
      <c r="H334" s="26"/>
      <c r="I334" s="26">
        <v>0</v>
      </c>
      <c r="J334" s="26"/>
      <c r="K334" s="26">
        <v>11284776</v>
      </c>
      <c r="L334" s="26"/>
      <c r="M334" s="26">
        <v>33112</v>
      </c>
      <c r="N334" s="26"/>
      <c r="O334" s="26">
        <v>1649540</v>
      </c>
      <c r="P334" s="26"/>
      <c r="Q334" s="26">
        <v>174298</v>
      </c>
      <c r="R334" s="26"/>
      <c r="S334" s="26">
        <v>0</v>
      </c>
      <c r="T334" s="26"/>
      <c r="U334" s="26">
        <v>23908</v>
      </c>
      <c r="V334" s="26"/>
      <c r="W334" s="26">
        <f>99898+263954+3602</f>
        <v>367454</v>
      </c>
      <c r="X334" s="26"/>
      <c r="Y334" s="54">
        <f t="shared" ref="Y334:Y399" si="17">SUM(G334:W334)</f>
        <v>15301590</v>
      </c>
      <c r="Z334" s="26"/>
      <c r="AA334" s="26">
        <v>6827</v>
      </c>
      <c r="AB334" s="26"/>
      <c r="AC334" s="26"/>
      <c r="AD334" s="26"/>
      <c r="AE334" s="26">
        <v>0</v>
      </c>
      <c r="AF334" s="26"/>
      <c r="AG334" s="26"/>
      <c r="AH334" s="26"/>
      <c r="AI334" s="26"/>
      <c r="AJ334" s="26"/>
      <c r="AK334" s="26">
        <v>34720</v>
      </c>
      <c r="AL334" s="26"/>
      <c r="AM334" s="26">
        <v>0</v>
      </c>
      <c r="AN334" s="26"/>
      <c r="AO334" s="26">
        <v>0</v>
      </c>
      <c r="AP334" s="26"/>
      <c r="AQ334" s="26">
        <v>0</v>
      </c>
      <c r="AR334" s="26"/>
      <c r="AS334" s="54">
        <f t="shared" ref="AS334:AS398" si="18">AK334+AE334+AA334</f>
        <v>41547</v>
      </c>
      <c r="AT334" s="26"/>
      <c r="AU334" s="54">
        <f t="shared" ref="AU334:AU398" si="19">Y334+AS334</f>
        <v>15343137</v>
      </c>
    </row>
    <row r="335" spans="1:47">
      <c r="A335" s="13" t="s">
        <v>229</v>
      </c>
      <c r="B335" s="13"/>
      <c r="C335" s="13" t="s">
        <v>14</v>
      </c>
      <c r="D335" s="13"/>
      <c r="E335" s="32">
        <v>45948</v>
      </c>
      <c r="F335" s="26"/>
      <c r="G335" s="26">
        <v>4609363</v>
      </c>
      <c r="H335" s="26"/>
      <c r="I335" s="26">
        <v>675932</v>
      </c>
      <c r="J335" s="26"/>
      <c r="K335" s="26">
        <v>3942052</v>
      </c>
      <c r="L335" s="26"/>
      <c r="M335" s="26">
        <v>58123</v>
      </c>
      <c r="N335" s="26"/>
      <c r="O335" s="26">
        <v>89609</v>
      </c>
      <c r="P335" s="26"/>
      <c r="Q335" s="26">
        <v>113030</v>
      </c>
      <c r="R335" s="26"/>
      <c r="S335" s="26">
        <v>0</v>
      </c>
      <c r="T335" s="26"/>
      <c r="U335" s="26">
        <v>17977</v>
      </c>
      <c r="V335" s="26"/>
      <c r="W335" s="26">
        <f>130618+281148</f>
        <v>411766</v>
      </c>
      <c r="X335" s="26"/>
      <c r="Y335" s="54">
        <f t="shared" si="17"/>
        <v>9917852</v>
      </c>
      <c r="Z335" s="26"/>
      <c r="AA335" s="26">
        <v>79117</v>
      </c>
      <c r="AB335" s="26"/>
      <c r="AC335" s="26"/>
      <c r="AD335" s="26"/>
      <c r="AE335" s="26">
        <v>0</v>
      </c>
      <c r="AF335" s="26"/>
      <c r="AG335" s="26"/>
      <c r="AH335" s="26"/>
      <c r="AI335" s="26"/>
      <c r="AJ335" s="26"/>
      <c r="AK335" s="26">
        <v>0</v>
      </c>
      <c r="AL335" s="26"/>
      <c r="AM335" s="26">
        <v>0</v>
      </c>
      <c r="AN335" s="26"/>
      <c r="AO335" s="26">
        <v>0</v>
      </c>
      <c r="AP335" s="26"/>
      <c r="AQ335" s="26">
        <v>0</v>
      </c>
      <c r="AR335" s="26"/>
      <c r="AS335" s="54">
        <f t="shared" si="18"/>
        <v>79117</v>
      </c>
      <c r="AT335" s="26"/>
      <c r="AU335" s="54">
        <f t="shared" si="19"/>
        <v>9996969</v>
      </c>
    </row>
    <row r="336" spans="1:47" hidden="1">
      <c r="A336" s="13" t="s">
        <v>332</v>
      </c>
      <c r="B336" s="13"/>
      <c r="C336" s="13" t="s">
        <v>21</v>
      </c>
      <c r="D336" s="13"/>
      <c r="E336" s="32">
        <v>46672</v>
      </c>
      <c r="F336" s="26"/>
      <c r="G336" s="26">
        <v>0</v>
      </c>
      <c r="H336" s="26"/>
      <c r="I336" s="26">
        <v>0</v>
      </c>
      <c r="J336" s="26"/>
      <c r="K336" s="26">
        <v>0</v>
      </c>
      <c r="L336" s="26"/>
      <c r="M336" s="26">
        <v>0</v>
      </c>
      <c r="N336" s="26"/>
      <c r="O336" s="26">
        <v>0</v>
      </c>
      <c r="P336" s="26"/>
      <c r="Q336" s="26">
        <v>0</v>
      </c>
      <c r="R336" s="26"/>
      <c r="S336" s="26">
        <v>0</v>
      </c>
      <c r="T336" s="26"/>
      <c r="U336" s="26">
        <v>0</v>
      </c>
      <c r="V336" s="26"/>
      <c r="W336" s="26">
        <v>0</v>
      </c>
      <c r="X336" s="26"/>
      <c r="Y336" s="54">
        <f t="shared" si="17"/>
        <v>0</v>
      </c>
      <c r="Z336" s="26"/>
      <c r="AA336" s="26">
        <v>0</v>
      </c>
      <c r="AB336" s="26"/>
      <c r="AC336" s="26"/>
      <c r="AD336" s="26"/>
      <c r="AE336" s="26">
        <v>0</v>
      </c>
      <c r="AF336" s="26"/>
      <c r="AG336" s="26"/>
      <c r="AH336" s="26"/>
      <c r="AI336" s="26"/>
      <c r="AJ336" s="26"/>
      <c r="AK336" s="26">
        <v>0</v>
      </c>
      <c r="AL336" s="26"/>
      <c r="AM336" s="26">
        <v>0</v>
      </c>
      <c r="AN336" s="26"/>
      <c r="AO336" s="26">
        <v>0</v>
      </c>
      <c r="AP336" s="26"/>
      <c r="AQ336" s="26">
        <v>0</v>
      </c>
      <c r="AR336" s="26"/>
      <c r="AS336" s="54">
        <f t="shared" si="18"/>
        <v>0</v>
      </c>
      <c r="AT336" s="26"/>
      <c r="AU336" s="54">
        <f t="shared" si="19"/>
        <v>0</v>
      </c>
    </row>
    <row r="337" spans="1:47">
      <c r="A337" s="13" t="s">
        <v>672</v>
      </c>
      <c r="B337" s="13"/>
      <c r="C337" s="13" t="s">
        <v>63</v>
      </c>
      <c r="D337" s="13"/>
      <c r="E337" s="32">
        <v>50039</v>
      </c>
      <c r="F337" s="26"/>
      <c r="G337" s="26">
        <v>3508175</v>
      </c>
      <c r="H337" s="26"/>
      <c r="I337" s="26">
        <v>0</v>
      </c>
      <c r="J337" s="26"/>
      <c r="K337" s="26">
        <v>4049284</v>
      </c>
      <c r="L337" s="26"/>
      <c r="M337" s="26">
        <v>371032</v>
      </c>
      <c r="N337" s="26"/>
      <c r="O337" s="26">
        <v>992280</v>
      </c>
      <c r="P337" s="26"/>
      <c r="Q337" s="26">
        <v>114006</v>
      </c>
      <c r="R337" s="26"/>
      <c r="S337" s="26">
        <v>0</v>
      </c>
      <c r="T337" s="26"/>
      <c r="U337" s="26">
        <v>33775</v>
      </c>
      <c r="V337" s="26"/>
      <c r="W337" s="26">
        <f>162749+100420</f>
        <v>263169</v>
      </c>
      <c r="X337" s="26"/>
      <c r="Y337" s="54">
        <f t="shared" si="17"/>
        <v>9331721</v>
      </c>
      <c r="Z337" s="26"/>
      <c r="AA337" s="26">
        <v>238042</v>
      </c>
      <c r="AB337" s="26"/>
      <c r="AC337" s="26"/>
      <c r="AD337" s="26"/>
      <c r="AE337" s="26">
        <v>0</v>
      </c>
      <c r="AF337" s="26"/>
      <c r="AG337" s="26"/>
      <c r="AH337" s="26"/>
      <c r="AI337" s="26"/>
      <c r="AJ337" s="26"/>
      <c r="AK337" s="26">
        <f>41008+10158</f>
        <v>51166</v>
      </c>
      <c r="AL337" s="26"/>
      <c r="AM337" s="26">
        <v>0</v>
      </c>
      <c r="AN337" s="26"/>
      <c r="AO337" s="26">
        <v>0</v>
      </c>
      <c r="AP337" s="26"/>
      <c r="AQ337" s="26">
        <v>0</v>
      </c>
      <c r="AR337" s="26"/>
      <c r="AS337" s="54">
        <f t="shared" si="18"/>
        <v>289208</v>
      </c>
      <c r="AT337" s="26"/>
      <c r="AU337" s="54">
        <f t="shared" si="19"/>
        <v>9620929</v>
      </c>
    </row>
    <row r="338" spans="1:47" hidden="1">
      <c r="A338" s="13" t="s">
        <v>748</v>
      </c>
      <c r="B338" s="13"/>
      <c r="C338" s="13" t="s">
        <v>747</v>
      </c>
      <c r="D338" s="13"/>
      <c r="E338" s="32">
        <v>50740</v>
      </c>
      <c r="F338" s="26"/>
      <c r="G338" s="26">
        <v>0</v>
      </c>
      <c r="H338" s="26"/>
      <c r="I338" s="26">
        <v>0</v>
      </c>
      <c r="J338" s="26"/>
      <c r="K338" s="26">
        <v>0</v>
      </c>
      <c r="L338" s="26"/>
      <c r="M338" s="26">
        <v>0</v>
      </c>
      <c r="N338" s="26"/>
      <c r="O338" s="26">
        <v>0</v>
      </c>
      <c r="P338" s="26"/>
      <c r="Q338" s="26">
        <v>0</v>
      </c>
      <c r="R338" s="26"/>
      <c r="S338" s="26">
        <v>0</v>
      </c>
      <c r="T338" s="26"/>
      <c r="U338" s="26">
        <v>0</v>
      </c>
      <c r="V338" s="26"/>
      <c r="W338" s="26">
        <v>0</v>
      </c>
      <c r="X338" s="26"/>
      <c r="Y338" s="54">
        <f t="shared" si="17"/>
        <v>0</v>
      </c>
      <c r="Z338" s="26"/>
      <c r="AA338" s="26">
        <v>0</v>
      </c>
      <c r="AB338" s="26"/>
      <c r="AC338" s="26"/>
      <c r="AD338" s="26"/>
      <c r="AE338" s="26">
        <v>0</v>
      </c>
      <c r="AF338" s="26"/>
      <c r="AG338" s="26"/>
      <c r="AH338" s="26"/>
      <c r="AI338" s="26"/>
      <c r="AJ338" s="26"/>
      <c r="AK338" s="26">
        <v>0</v>
      </c>
      <c r="AL338" s="26"/>
      <c r="AM338" s="26">
        <v>0</v>
      </c>
      <c r="AN338" s="26"/>
      <c r="AO338" s="26">
        <v>0</v>
      </c>
      <c r="AP338" s="26"/>
      <c r="AQ338" s="26">
        <v>0</v>
      </c>
      <c r="AR338" s="26"/>
      <c r="AS338" s="54">
        <f t="shared" si="18"/>
        <v>0</v>
      </c>
      <c r="AT338" s="26"/>
      <c r="AU338" s="54">
        <f t="shared" si="19"/>
        <v>0</v>
      </c>
    </row>
    <row r="339" spans="1:47">
      <c r="A339" s="13" t="s">
        <v>252</v>
      </c>
      <c r="B339" s="13"/>
      <c r="C339" s="13" t="s">
        <v>246</v>
      </c>
      <c r="D339" s="13"/>
      <c r="E339" s="32">
        <v>139303</v>
      </c>
      <c r="F339" s="26"/>
      <c r="G339" s="26">
        <v>11080062</v>
      </c>
      <c r="H339" s="26"/>
      <c r="I339" s="26">
        <v>0</v>
      </c>
      <c r="J339" s="26"/>
      <c r="K339" s="26">
        <v>6988099</v>
      </c>
      <c r="L339" s="26"/>
      <c r="M339" s="26">
        <v>113977</v>
      </c>
      <c r="N339" s="26"/>
      <c r="O339" s="26">
        <v>1054661</v>
      </c>
      <c r="P339" s="26"/>
      <c r="Q339" s="26">
        <v>307328</v>
      </c>
      <c r="R339" s="26"/>
      <c r="S339" s="26">
        <v>384064</v>
      </c>
      <c r="T339" s="26"/>
      <c r="U339" s="26">
        <v>220929</v>
      </c>
      <c r="V339" s="26"/>
      <c r="W339" s="26">
        <f>640604+15677+49250</f>
        <v>705531</v>
      </c>
      <c r="X339" s="26"/>
      <c r="Y339" s="54">
        <f t="shared" si="17"/>
        <v>20854651</v>
      </c>
      <c r="Z339" s="26"/>
      <c r="AA339" s="26">
        <v>242379</v>
      </c>
      <c r="AB339" s="26"/>
      <c r="AC339" s="26"/>
      <c r="AD339" s="26"/>
      <c r="AE339" s="26">
        <v>0</v>
      </c>
      <c r="AF339" s="26"/>
      <c r="AG339" s="26"/>
      <c r="AH339" s="26"/>
      <c r="AI339" s="26"/>
      <c r="AJ339" s="26"/>
      <c r="AK339" s="26">
        <v>0</v>
      </c>
      <c r="AL339" s="26"/>
      <c r="AM339" s="26">
        <v>0</v>
      </c>
      <c r="AN339" s="26"/>
      <c r="AO339" s="26">
        <v>0</v>
      </c>
      <c r="AP339" s="26"/>
      <c r="AQ339" s="26">
        <v>0</v>
      </c>
      <c r="AR339" s="26"/>
      <c r="AS339" s="54">
        <f t="shared" si="18"/>
        <v>242379</v>
      </c>
      <c r="AT339" s="26"/>
      <c r="AU339" s="54">
        <f t="shared" si="19"/>
        <v>21097030</v>
      </c>
    </row>
    <row r="340" spans="1:47">
      <c r="A340" s="13"/>
      <c r="B340" s="13"/>
      <c r="C340" s="13"/>
      <c r="D340" s="13"/>
      <c r="E340" s="32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54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54"/>
      <c r="AT340" s="26"/>
      <c r="AU340" s="54"/>
    </row>
    <row r="341" spans="1:47">
      <c r="A341" s="13"/>
      <c r="B341" s="13"/>
      <c r="C341" s="13"/>
      <c r="D341" s="13"/>
      <c r="E341" s="32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54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54"/>
      <c r="AT341" s="26"/>
      <c r="AU341" s="92" t="s">
        <v>819</v>
      </c>
    </row>
    <row r="342" spans="1:47" s="35" customFormat="1">
      <c r="A342" s="34" t="s">
        <v>449</v>
      </c>
      <c r="B342" s="34"/>
      <c r="C342" s="34" t="s">
        <v>37</v>
      </c>
      <c r="D342" s="34"/>
      <c r="E342" s="34">
        <v>47712</v>
      </c>
      <c r="F342" s="43"/>
      <c r="G342" s="43">
        <v>2568316</v>
      </c>
      <c r="H342" s="43"/>
      <c r="I342" s="43">
        <v>0</v>
      </c>
      <c r="J342" s="43"/>
      <c r="K342" s="43">
        <f>2935337+346120</f>
        <v>3281457</v>
      </c>
      <c r="L342" s="43"/>
      <c r="M342" s="43">
        <v>103544</v>
      </c>
      <c r="N342" s="43"/>
      <c r="O342" s="43">
        <v>256022</v>
      </c>
      <c r="P342" s="43"/>
      <c r="Q342" s="43">
        <v>59493</v>
      </c>
      <c r="R342" s="43"/>
      <c r="S342" s="43">
        <v>0</v>
      </c>
      <c r="T342" s="43"/>
      <c r="U342" s="43">
        <v>0</v>
      </c>
      <c r="V342" s="43"/>
      <c r="W342" s="43">
        <f>57474+35222+169330+254</f>
        <v>262280</v>
      </c>
      <c r="X342" s="43"/>
      <c r="Y342" s="66">
        <f t="shared" si="17"/>
        <v>6531112</v>
      </c>
      <c r="Z342" s="43"/>
      <c r="AA342" s="43">
        <v>1600</v>
      </c>
      <c r="AB342" s="43"/>
      <c r="AC342" s="43"/>
      <c r="AD342" s="43"/>
      <c r="AE342" s="43">
        <v>0</v>
      </c>
      <c r="AF342" s="43"/>
      <c r="AG342" s="43"/>
      <c r="AH342" s="43"/>
      <c r="AI342" s="43"/>
      <c r="AJ342" s="43"/>
      <c r="AK342" s="43">
        <f>1130+129596</f>
        <v>130726</v>
      </c>
      <c r="AL342" s="43"/>
      <c r="AM342" s="43">
        <v>0</v>
      </c>
      <c r="AN342" s="43"/>
      <c r="AO342" s="43">
        <v>0</v>
      </c>
      <c r="AP342" s="43"/>
      <c r="AQ342" s="43">
        <v>0</v>
      </c>
      <c r="AR342" s="43"/>
      <c r="AS342" s="66">
        <f t="shared" si="18"/>
        <v>132326</v>
      </c>
      <c r="AT342" s="43"/>
      <c r="AU342" s="66">
        <f t="shared" si="19"/>
        <v>6663438</v>
      </c>
    </row>
    <row r="343" spans="1:47">
      <c r="A343" s="13" t="s">
        <v>737</v>
      </c>
      <c r="B343" s="13"/>
      <c r="C343" s="13" t="s">
        <v>733</v>
      </c>
      <c r="D343" s="13"/>
      <c r="E343" s="32">
        <v>45526</v>
      </c>
      <c r="F343" s="26"/>
      <c r="G343" s="26">
        <v>2437308</v>
      </c>
      <c r="H343" s="26"/>
      <c r="I343" s="26">
        <v>707148</v>
      </c>
      <c r="J343" s="26"/>
      <c r="K343" s="26">
        <v>6426796</v>
      </c>
      <c r="L343" s="26"/>
      <c r="M343" s="26">
        <v>198699</v>
      </c>
      <c r="N343" s="26"/>
      <c r="O343" s="26">
        <v>461815</v>
      </c>
      <c r="P343" s="26"/>
      <c r="Q343" s="26">
        <v>130411</v>
      </c>
      <c r="R343" s="26"/>
      <c r="S343" s="26">
        <v>0</v>
      </c>
      <c r="T343" s="26"/>
      <c r="U343" s="26">
        <v>58093</v>
      </c>
      <c r="V343" s="26"/>
      <c r="W343" s="26">
        <f>164384+316181+14281</f>
        <v>494846</v>
      </c>
      <c r="X343" s="26"/>
      <c r="Y343" s="54">
        <f t="shared" si="17"/>
        <v>10915116</v>
      </c>
      <c r="Z343" s="26"/>
      <c r="AA343" s="26">
        <v>7470</v>
      </c>
      <c r="AB343" s="26"/>
      <c r="AC343" s="26"/>
      <c r="AD343" s="26"/>
      <c r="AE343" s="26">
        <v>0</v>
      </c>
      <c r="AF343" s="26"/>
      <c r="AG343" s="26"/>
      <c r="AH343" s="26"/>
      <c r="AI343" s="26"/>
      <c r="AJ343" s="26"/>
      <c r="AK343" s="26">
        <f>325+11742</f>
        <v>12067</v>
      </c>
      <c r="AL343" s="26"/>
      <c r="AM343" s="26">
        <v>0</v>
      </c>
      <c r="AN343" s="26"/>
      <c r="AO343" s="26">
        <v>0</v>
      </c>
      <c r="AP343" s="26"/>
      <c r="AQ343" s="26">
        <v>0</v>
      </c>
      <c r="AR343" s="26"/>
      <c r="AS343" s="54">
        <f t="shared" si="18"/>
        <v>19537</v>
      </c>
      <c r="AT343" s="26"/>
      <c r="AU343" s="54">
        <f t="shared" si="19"/>
        <v>10934653</v>
      </c>
    </row>
    <row r="344" spans="1:47">
      <c r="A344" s="13" t="s">
        <v>566</v>
      </c>
      <c r="B344" s="13"/>
      <c r="C344" s="13" t="s">
        <v>567</v>
      </c>
      <c r="D344" s="13"/>
      <c r="E344" s="32">
        <v>48777</v>
      </c>
      <c r="F344" s="26"/>
      <c r="G344" s="26">
        <v>4805979</v>
      </c>
      <c r="H344" s="26"/>
      <c r="I344" s="26">
        <v>0</v>
      </c>
      <c r="J344" s="26"/>
      <c r="K344" s="26">
        <v>24233140</v>
      </c>
      <c r="L344" s="26"/>
      <c r="M344" s="26">
        <v>553224</v>
      </c>
      <c r="N344" s="26"/>
      <c r="O344" s="26">
        <v>245625</v>
      </c>
      <c r="P344" s="26"/>
      <c r="Q344" s="26">
        <v>70254</v>
      </c>
      <c r="R344" s="26"/>
      <c r="S344" s="26">
        <v>0</v>
      </c>
      <c r="T344" s="26"/>
      <c r="U344" s="26">
        <v>47043</v>
      </c>
      <c r="V344" s="26"/>
      <c r="W344" s="26">
        <f>892+123709+411006</f>
        <v>535607</v>
      </c>
      <c r="X344" s="26"/>
      <c r="Y344" s="54">
        <f t="shared" si="17"/>
        <v>30490872</v>
      </c>
      <c r="Z344" s="26"/>
      <c r="AA344" s="26">
        <v>77917</v>
      </c>
      <c r="AB344" s="26"/>
      <c r="AC344" s="26"/>
      <c r="AD344" s="26"/>
      <c r="AE344" s="26">
        <f>3600000+72167</f>
        <v>3672167</v>
      </c>
      <c r="AF344" s="26"/>
      <c r="AG344" s="26"/>
      <c r="AH344" s="26"/>
      <c r="AI344" s="26"/>
      <c r="AJ344" s="26"/>
      <c r="AK344" s="26">
        <v>9604</v>
      </c>
      <c r="AL344" s="26"/>
      <c r="AM344" s="26">
        <v>0</v>
      </c>
      <c r="AN344" s="26"/>
      <c r="AO344" s="26">
        <v>0</v>
      </c>
      <c r="AP344" s="26"/>
      <c r="AQ344" s="26">
        <v>0</v>
      </c>
      <c r="AR344" s="26"/>
      <c r="AS344" s="54">
        <f t="shared" si="18"/>
        <v>3759688</v>
      </c>
      <c r="AT344" s="26"/>
      <c r="AU344" s="54">
        <f t="shared" si="19"/>
        <v>34250560</v>
      </c>
    </row>
    <row r="345" spans="1:47">
      <c r="A345" s="13" t="s">
        <v>894</v>
      </c>
      <c r="B345" s="13"/>
      <c r="C345" s="13" t="s">
        <v>78</v>
      </c>
      <c r="D345" s="13"/>
      <c r="E345" s="32">
        <v>45534</v>
      </c>
      <c r="F345" s="26"/>
      <c r="G345" s="26">
        <v>5337772</v>
      </c>
      <c r="H345" s="26"/>
      <c r="I345" s="26">
        <v>0</v>
      </c>
      <c r="J345" s="26"/>
      <c r="K345" s="26">
        <f>14068920+889098</f>
        <v>14958018</v>
      </c>
      <c r="L345" s="26"/>
      <c r="M345" s="26">
        <v>279833</v>
      </c>
      <c r="N345" s="26"/>
      <c r="O345" s="26">
        <v>837112</v>
      </c>
      <c r="P345" s="26"/>
      <c r="Q345" s="26">
        <v>202413</v>
      </c>
      <c r="R345" s="26"/>
      <c r="S345" s="26">
        <v>0</v>
      </c>
      <c r="T345" s="26"/>
      <c r="U345" s="26">
        <v>0</v>
      </c>
      <c r="V345" s="26"/>
      <c r="W345" s="26">
        <f>323498+253311+34295+192199</f>
        <v>803303</v>
      </c>
      <c r="X345" s="26"/>
      <c r="Y345" s="54">
        <f t="shared" si="17"/>
        <v>22418451</v>
      </c>
      <c r="Z345" s="26"/>
      <c r="AA345" s="26">
        <v>495548</v>
      </c>
      <c r="AB345" s="26"/>
      <c r="AC345" s="26"/>
      <c r="AD345" s="26"/>
      <c r="AE345" s="26">
        <v>0</v>
      </c>
      <c r="AF345" s="26"/>
      <c r="AG345" s="26"/>
      <c r="AH345" s="26"/>
      <c r="AI345" s="26"/>
      <c r="AJ345" s="26"/>
      <c r="AK345" s="26">
        <v>0</v>
      </c>
      <c r="AL345" s="26"/>
      <c r="AM345" s="26">
        <v>0</v>
      </c>
      <c r="AN345" s="26"/>
      <c r="AO345" s="26">
        <v>0</v>
      </c>
      <c r="AP345" s="26"/>
      <c r="AQ345" s="26">
        <v>0</v>
      </c>
      <c r="AR345" s="26"/>
      <c r="AS345" s="54">
        <f t="shared" si="18"/>
        <v>495548</v>
      </c>
      <c r="AT345" s="26"/>
      <c r="AU345" s="54">
        <f t="shared" si="19"/>
        <v>22913999</v>
      </c>
    </row>
    <row r="346" spans="1:47">
      <c r="A346" s="13" t="s">
        <v>462</v>
      </c>
      <c r="B346" s="13"/>
      <c r="C346" s="13" t="s">
        <v>40</v>
      </c>
      <c r="D346" s="13"/>
      <c r="E346" s="32">
        <v>44420</v>
      </c>
      <c r="F346" s="26"/>
      <c r="G346" s="26">
        <v>12456155</v>
      </c>
      <c r="H346" s="26"/>
      <c r="I346" s="26">
        <v>0</v>
      </c>
      <c r="J346" s="26"/>
      <c r="K346" s="26">
        <v>20331248</v>
      </c>
      <c r="L346" s="26"/>
      <c r="M346" s="26">
        <v>601240</v>
      </c>
      <c r="N346" s="26"/>
      <c r="O346" s="26">
        <v>1274892</v>
      </c>
      <c r="P346" s="26"/>
      <c r="Q346" s="26">
        <v>136744</v>
      </c>
      <c r="R346" s="26"/>
      <c r="S346" s="26">
        <v>566072</v>
      </c>
      <c r="T346" s="26"/>
      <c r="U346" s="26">
        <v>16664</v>
      </c>
      <c r="V346" s="26"/>
      <c r="W346" s="26">
        <f>536062+35566+5569</f>
        <v>577197</v>
      </c>
      <c r="X346" s="26"/>
      <c r="Y346" s="54">
        <f t="shared" si="17"/>
        <v>35960212</v>
      </c>
      <c r="Z346" s="26"/>
      <c r="AA346" s="26">
        <v>86885</v>
      </c>
      <c r="AB346" s="26"/>
      <c r="AC346" s="26"/>
      <c r="AD346" s="26"/>
      <c r="AE346" s="26">
        <v>767000</v>
      </c>
      <c r="AF346" s="26"/>
      <c r="AG346" s="26"/>
      <c r="AH346" s="26"/>
      <c r="AI346" s="26"/>
      <c r="AJ346" s="26"/>
      <c r="AK346" s="26">
        <v>140</v>
      </c>
      <c r="AL346" s="26"/>
      <c r="AM346" s="26">
        <v>0</v>
      </c>
      <c r="AN346" s="26"/>
      <c r="AO346" s="26">
        <v>0</v>
      </c>
      <c r="AP346" s="26"/>
      <c r="AQ346" s="26">
        <v>0</v>
      </c>
      <c r="AR346" s="26"/>
      <c r="AS346" s="54">
        <f t="shared" si="18"/>
        <v>854025</v>
      </c>
      <c r="AT346" s="26"/>
      <c r="AU346" s="54">
        <f t="shared" si="19"/>
        <v>36814237</v>
      </c>
    </row>
    <row r="347" spans="1:47">
      <c r="A347" s="13" t="s">
        <v>898</v>
      </c>
      <c r="B347" s="13"/>
      <c r="C347" s="13" t="s">
        <v>32</v>
      </c>
      <c r="D347" s="13"/>
      <c r="E347" s="32">
        <v>44412</v>
      </c>
      <c r="F347" s="26"/>
      <c r="G347" s="26">
        <v>13810711</v>
      </c>
      <c r="H347" s="26"/>
      <c r="I347" s="26">
        <v>0</v>
      </c>
      <c r="J347" s="26"/>
      <c r="K347" s="26">
        <v>32716277</v>
      </c>
      <c r="L347" s="26"/>
      <c r="M347" s="26">
        <v>2495237</v>
      </c>
      <c r="N347" s="26"/>
      <c r="O347" s="26">
        <v>545740</v>
      </c>
      <c r="P347" s="26"/>
      <c r="Q347" s="26">
        <v>133229</v>
      </c>
      <c r="R347" s="26"/>
      <c r="S347" s="26">
        <v>0</v>
      </c>
      <c r="T347" s="26"/>
      <c r="U347" s="26">
        <v>0</v>
      </c>
      <c r="V347" s="26"/>
      <c r="W347" s="26">
        <f>367043+178824</f>
        <v>545867</v>
      </c>
      <c r="X347" s="26"/>
      <c r="Y347" s="54">
        <f t="shared" si="17"/>
        <v>50247061</v>
      </c>
      <c r="Z347" s="26"/>
      <c r="AA347" s="26">
        <v>33159556</v>
      </c>
      <c r="AB347" s="26"/>
      <c r="AC347" s="26"/>
      <c r="AD347" s="26"/>
      <c r="AE347" s="26">
        <v>33000000</v>
      </c>
      <c r="AF347" s="26"/>
      <c r="AG347" s="26"/>
      <c r="AH347" s="26"/>
      <c r="AI347" s="26"/>
      <c r="AJ347" s="26"/>
      <c r="AK347" s="26">
        <f>431787-598295+2096318</f>
        <v>1929810</v>
      </c>
      <c r="AL347" s="26"/>
      <c r="AM347" s="26">
        <v>0</v>
      </c>
      <c r="AN347" s="26"/>
      <c r="AO347" s="26">
        <v>0</v>
      </c>
      <c r="AP347" s="26"/>
      <c r="AQ347" s="26">
        <v>0</v>
      </c>
      <c r="AR347" s="26"/>
      <c r="AS347" s="54">
        <f t="shared" si="18"/>
        <v>68089366</v>
      </c>
      <c r="AT347" s="26"/>
      <c r="AU347" s="54">
        <f t="shared" si="19"/>
        <v>118336427</v>
      </c>
    </row>
    <row r="348" spans="1:47">
      <c r="A348" s="13" t="s">
        <v>437</v>
      </c>
      <c r="B348" s="13"/>
      <c r="C348" s="13" t="s">
        <v>34</v>
      </c>
      <c r="D348" s="13"/>
      <c r="E348" s="32">
        <v>44438</v>
      </c>
      <c r="F348" s="26"/>
      <c r="G348" s="26">
        <v>9484858</v>
      </c>
      <c r="H348" s="26"/>
      <c r="I348" s="26">
        <v>0</v>
      </c>
      <c r="J348" s="26"/>
      <c r="K348" s="26">
        <v>11982276</v>
      </c>
      <c r="L348" s="26"/>
      <c r="M348" s="26">
        <v>469612</v>
      </c>
      <c r="N348" s="26"/>
      <c r="O348" s="26">
        <v>833731</v>
      </c>
      <c r="P348" s="26"/>
      <c r="Q348" s="26">
        <v>336159</v>
      </c>
      <c r="R348" s="26"/>
      <c r="S348" s="26">
        <v>507560</v>
      </c>
      <c r="T348" s="26"/>
      <c r="U348" s="26">
        <v>30279</v>
      </c>
      <c r="V348" s="26"/>
      <c r="W348" s="26">
        <v>579164</v>
      </c>
      <c r="X348" s="26"/>
      <c r="Y348" s="54">
        <f t="shared" si="17"/>
        <v>24223639</v>
      </c>
      <c r="Z348" s="26"/>
      <c r="AA348" s="26">
        <v>250366</v>
      </c>
      <c r="AB348" s="26"/>
      <c r="AC348" s="26"/>
      <c r="AD348" s="26"/>
      <c r="AE348" s="26">
        <v>41337</v>
      </c>
      <c r="AF348" s="26"/>
      <c r="AG348" s="26"/>
      <c r="AH348" s="26"/>
      <c r="AI348" s="26"/>
      <c r="AJ348" s="26"/>
      <c r="AK348" s="26">
        <v>413</v>
      </c>
      <c r="AL348" s="26"/>
      <c r="AM348" s="26">
        <v>0</v>
      </c>
      <c r="AN348" s="26"/>
      <c r="AO348" s="26">
        <v>0</v>
      </c>
      <c r="AP348" s="26"/>
      <c r="AQ348" s="26">
        <v>0</v>
      </c>
      <c r="AR348" s="26"/>
      <c r="AS348" s="54">
        <f t="shared" si="18"/>
        <v>292116</v>
      </c>
      <c r="AT348" s="26"/>
      <c r="AU348" s="54">
        <f t="shared" si="19"/>
        <v>24515755</v>
      </c>
    </row>
    <row r="349" spans="1:47">
      <c r="A349" s="13" t="s">
        <v>227</v>
      </c>
      <c r="B349" s="13"/>
      <c r="C349" s="13" t="s">
        <v>13</v>
      </c>
      <c r="D349" s="13"/>
      <c r="E349" s="32">
        <v>44446</v>
      </c>
      <c r="F349" s="26"/>
      <c r="G349" s="26">
        <v>2275249</v>
      </c>
      <c r="H349" s="26"/>
      <c r="I349" s="26">
        <v>0</v>
      </c>
      <c r="J349" s="26"/>
      <c r="K349" s="26">
        <v>18282240</v>
      </c>
      <c r="L349" s="26"/>
      <c r="M349" s="26">
        <v>460458</v>
      </c>
      <c r="N349" s="26"/>
      <c r="O349" s="26">
        <v>510913</v>
      </c>
      <c r="P349" s="26"/>
      <c r="Q349" s="26">
        <v>0</v>
      </c>
      <c r="R349" s="26"/>
      <c r="S349" s="26">
        <v>0</v>
      </c>
      <c r="T349" s="26"/>
      <c r="U349" s="26">
        <v>301904</v>
      </c>
      <c r="V349" s="26"/>
      <c r="W349" s="26">
        <v>197623</v>
      </c>
      <c r="X349" s="26"/>
      <c r="Y349" s="54">
        <f t="shared" si="17"/>
        <v>22028387</v>
      </c>
      <c r="Z349" s="26"/>
      <c r="AA349" s="26">
        <v>59514</v>
      </c>
      <c r="AB349" s="26"/>
      <c r="AC349" s="26"/>
      <c r="AD349" s="26"/>
      <c r="AE349" s="26">
        <v>1012902</v>
      </c>
      <c r="AF349" s="26"/>
      <c r="AG349" s="26"/>
      <c r="AH349" s="26"/>
      <c r="AI349" s="26"/>
      <c r="AJ349" s="26"/>
      <c r="AK349" s="26">
        <v>1902</v>
      </c>
      <c r="AL349" s="26"/>
      <c r="AM349" s="26">
        <v>0</v>
      </c>
      <c r="AN349" s="26"/>
      <c r="AO349" s="26">
        <v>0</v>
      </c>
      <c r="AP349" s="26"/>
      <c r="AQ349" s="26">
        <v>0</v>
      </c>
      <c r="AR349" s="26"/>
      <c r="AS349" s="54">
        <f t="shared" si="18"/>
        <v>1074318</v>
      </c>
      <c r="AT349" s="26"/>
      <c r="AU349" s="54">
        <f t="shared" si="19"/>
        <v>23102705</v>
      </c>
    </row>
    <row r="350" spans="1:47">
      <c r="A350" s="13" t="s">
        <v>844</v>
      </c>
      <c r="B350" s="13"/>
      <c r="C350" s="13" t="s">
        <v>27</v>
      </c>
      <c r="D350" s="13"/>
      <c r="E350" s="32">
        <v>44461</v>
      </c>
      <c r="F350" s="26"/>
      <c r="G350" s="26">
        <v>42097992</v>
      </c>
      <c r="H350" s="26"/>
      <c r="I350" s="26">
        <v>0</v>
      </c>
      <c r="J350" s="26"/>
      <c r="K350" s="26">
        <f>104914+7609564+711343</f>
        <v>8425821</v>
      </c>
      <c r="L350" s="26"/>
      <c r="M350" s="26">
        <v>914844</v>
      </c>
      <c r="N350" s="26"/>
      <c r="O350" s="26">
        <v>546696</v>
      </c>
      <c r="P350" s="26"/>
      <c r="Q350" s="26">
        <v>427918</v>
      </c>
      <c r="R350" s="26"/>
      <c r="S350" s="26">
        <v>0</v>
      </c>
      <c r="T350" s="26"/>
      <c r="U350" s="26">
        <v>0</v>
      </c>
      <c r="V350" s="26"/>
      <c r="W350" s="26">
        <f>661402+1320182</f>
        <v>1981584</v>
      </c>
      <c r="X350" s="26"/>
      <c r="Y350" s="54">
        <f t="shared" si="17"/>
        <v>54394855</v>
      </c>
      <c r="Z350" s="26"/>
      <c r="AA350" s="26">
        <v>1010307</v>
      </c>
      <c r="AB350" s="26"/>
      <c r="AC350" s="26"/>
      <c r="AD350" s="26"/>
      <c r="AE350" s="26">
        <v>1708000</v>
      </c>
      <c r="AF350" s="26"/>
      <c r="AG350" s="26"/>
      <c r="AH350" s="26"/>
      <c r="AI350" s="26"/>
      <c r="AJ350" s="26"/>
      <c r="AK350" s="26">
        <v>566</v>
      </c>
      <c r="AL350" s="26"/>
      <c r="AM350" s="26">
        <v>0</v>
      </c>
      <c r="AN350" s="26"/>
      <c r="AO350" s="26">
        <v>0</v>
      </c>
      <c r="AP350" s="26"/>
      <c r="AQ350" s="26">
        <v>0</v>
      </c>
      <c r="AR350" s="26"/>
      <c r="AS350" s="54">
        <f t="shared" si="18"/>
        <v>2718873</v>
      </c>
      <c r="AT350" s="26"/>
      <c r="AU350" s="54">
        <f t="shared" si="19"/>
        <v>57113728</v>
      </c>
    </row>
    <row r="351" spans="1:47">
      <c r="A351" s="13" t="s">
        <v>635</v>
      </c>
      <c r="B351" s="13"/>
      <c r="C351" s="13" t="s">
        <v>59</v>
      </c>
      <c r="D351" s="13"/>
      <c r="E351" s="32">
        <v>44461</v>
      </c>
      <c r="F351" s="26"/>
      <c r="G351" s="26">
        <v>1045562</v>
      </c>
      <c r="H351" s="26"/>
      <c r="I351" s="26">
        <v>0</v>
      </c>
      <c r="J351" s="26"/>
      <c r="K351" s="26">
        <v>3033836</v>
      </c>
      <c r="L351" s="26"/>
      <c r="M351" s="26">
        <v>37516</v>
      </c>
      <c r="N351" s="26"/>
      <c r="O351" s="26">
        <v>802899</v>
      </c>
      <c r="P351" s="26"/>
      <c r="Q351" s="26">
        <v>38659</v>
      </c>
      <c r="R351" s="26"/>
      <c r="S351" s="26">
        <v>0</v>
      </c>
      <c r="T351" s="26"/>
      <c r="U351" s="26">
        <v>18493</v>
      </c>
      <c r="V351" s="26"/>
      <c r="W351" s="26">
        <v>170648</v>
      </c>
      <c r="X351" s="26"/>
      <c r="Y351" s="54">
        <f t="shared" si="17"/>
        <v>5147613</v>
      </c>
      <c r="Z351" s="26"/>
      <c r="AA351" s="26">
        <v>0</v>
      </c>
      <c r="AB351" s="26"/>
      <c r="AC351" s="26"/>
      <c r="AD351" s="26"/>
      <c r="AE351" s="26">
        <v>0</v>
      </c>
      <c r="AF351" s="26"/>
      <c r="AG351" s="26"/>
      <c r="AH351" s="26"/>
      <c r="AI351" s="26"/>
      <c r="AJ351" s="26"/>
      <c r="AK351" s="26">
        <v>0</v>
      </c>
      <c r="AL351" s="26"/>
      <c r="AM351" s="26">
        <v>0</v>
      </c>
      <c r="AN351" s="26"/>
      <c r="AO351" s="26">
        <v>0</v>
      </c>
      <c r="AP351" s="26"/>
      <c r="AQ351" s="26">
        <v>0</v>
      </c>
      <c r="AR351" s="26"/>
      <c r="AS351" s="54">
        <f t="shared" si="18"/>
        <v>0</v>
      </c>
      <c r="AT351" s="26"/>
      <c r="AU351" s="54">
        <f t="shared" si="19"/>
        <v>5147613</v>
      </c>
    </row>
    <row r="352" spans="1:47">
      <c r="A352" s="13" t="s">
        <v>230</v>
      </c>
      <c r="B352" s="13"/>
      <c r="C352" s="13" t="s">
        <v>14</v>
      </c>
      <c r="D352" s="13"/>
      <c r="E352" s="32">
        <v>45955</v>
      </c>
      <c r="F352" s="26"/>
      <c r="G352" s="26">
        <v>3047043</v>
      </c>
      <c r="H352" s="26"/>
      <c r="I352" s="26">
        <v>1623104</v>
      </c>
      <c r="J352" s="26"/>
      <c r="K352" s="26">
        <v>4736180</v>
      </c>
      <c r="L352" s="26"/>
      <c r="M352" s="26">
        <v>243337</v>
      </c>
      <c r="N352" s="26"/>
      <c r="O352" s="26">
        <v>78418</v>
      </c>
      <c r="P352" s="26"/>
      <c r="Q352" s="26">
        <v>173938</v>
      </c>
      <c r="R352" s="26"/>
      <c r="S352" s="26">
        <v>0</v>
      </c>
      <c r="T352" s="26"/>
      <c r="U352" s="26">
        <v>167216</v>
      </c>
      <c r="V352" s="26"/>
      <c r="W352" s="26">
        <v>266173</v>
      </c>
      <c r="X352" s="26"/>
      <c r="Y352" s="54">
        <f t="shared" si="17"/>
        <v>10335409</v>
      </c>
      <c r="Z352" s="26"/>
      <c r="AA352" s="26">
        <v>34000</v>
      </c>
      <c r="AB352" s="26"/>
      <c r="AC352" s="26"/>
      <c r="AD352" s="26"/>
      <c r="AE352" s="26">
        <v>0</v>
      </c>
      <c r="AF352" s="26"/>
      <c r="AG352" s="26"/>
      <c r="AH352" s="26"/>
      <c r="AI352" s="26"/>
      <c r="AJ352" s="26"/>
      <c r="AK352" s="26">
        <v>0</v>
      </c>
      <c r="AL352" s="26"/>
      <c r="AM352" s="26">
        <v>0</v>
      </c>
      <c r="AN352" s="26"/>
      <c r="AO352" s="26">
        <v>0</v>
      </c>
      <c r="AP352" s="26"/>
      <c r="AQ352" s="26">
        <v>0</v>
      </c>
      <c r="AR352" s="26"/>
      <c r="AS352" s="54">
        <f t="shared" si="18"/>
        <v>34000</v>
      </c>
      <c r="AT352" s="26"/>
      <c r="AU352" s="54">
        <f t="shared" si="19"/>
        <v>10369409</v>
      </c>
    </row>
    <row r="353" spans="1:47" hidden="1">
      <c r="A353" s="13" t="s">
        <v>231</v>
      </c>
      <c r="B353" s="13"/>
      <c r="C353" s="13" t="s">
        <v>14</v>
      </c>
      <c r="D353" s="13"/>
      <c r="E353" s="32">
        <v>45963</v>
      </c>
      <c r="F353" s="26"/>
      <c r="G353" s="26">
        <v>0</v>
      </c>
      <c r="H353" s="26"/>
      <c r="I353" s="26">
        <v>0</v>
      </c>
      <c r="J353" s="26"/>
      <c r="K353" s="26">
        <v>0</v>
      </c>
      <c r="L353" s="26"/>
      <c r="M353" s="26">
        <v>0</v>
      </c>
      <c r="N353" s="26"/>
      <c r="O353" s="26">
        <v>0</v>
      </c>
      <c r="P353" s="26"/>
      <c r="Q353" s="26">
        <v>0</v>
      </c>
      <c r="R353" s="26"/>
      <c r="S353" s="26">
        <v>0</v>
      </c>
      <c r="T353" s="26"/>
      <c r="U353" s="26">
        <v>0</v>
      </c>
      <c r="V353" s="26"/>
      <c r="W353" s="26">
        <v>0</v>
      </c>
      <c r="X353" s="26"/>
      <c r="Y353" s="54">
        <f t="shared" si="17"/>
        <v>0</v>
      </c>
      <c r="Z353" s="26"/>
      <c r="AA353" s="26">
        <v>0</v>
      </c>
      <c r="AB353" s="26"/>
      <c r="AC353" s="26"/>
      <c r="AD353" s="26"/>
      <c r="AE353" s="26">
        <v>0</v>
      </c>
      <c r="AF353" s="26"/>
      <c r="AG353" s="26"/>
      <c r="AH353" s="26"/>
      <c r="AI353" s="26"/>
      <c r="AJ353" s="26"/>
      <c r="AK353" s="26">
        <v>0</v>
      </c>
      <c r="AL353" s="26"/>
      <c r="AM353" s="26">
        <v>0</v>
      </c>
      <c r="AN353" s="26"/>
      <c r="AO353" s="26">
        <v>0</v>
      </c>
      <c r="AP353" s="26"/>
      <c r="AQ353" s="26">
        <v>0</v>
      </c>
      <c r="AR353" s="26"/>
      <c r="AS353" s="54">
        <f t="shared" si="18"/>
        <v>0</v>
      </c>
      <c r="AT353" s="26"/>
      <c r="AU353" s="54">
        <f t="shared" si="19"/>
        <v>0</v>
      </c>
    </row>
    <row r="354" spans="1:47">
      <c r="A354" s="13" t="s">
        <v>560</v>
      </c>
      <c r="B354" s="13"/>
      <c r="C354" s="13" t="s">
        <v>50</v>
      </c>
      <c r="D354" s="13"/>
      <c r="E354" s="32">
        <v>48710</v>
      </c>
      <c r="F354" s="26"/>
      <c r="G354" s="26">
        <v>4223009</v>
      </c>
      <c r="H354" s="26"/>
      <c r="I354" s="26">
        <v>0</v>
      </c>
      <c r="J354" s="26"/>
      <c r="K354" s="26">
        <f>5687+599510+6550086</f>
        <v>7155283</v>
      </c>
      <c r="L354" s="26"/>
      <c r="M354" s="26">
        <v>177514</v>
      </c>
      <c r="N354" s="26"/>
      <c r="O354" s="26">
        <v>43180</v>
      </c>
      <c r="P354" s="26"/>
      <c r="Q354" s="26">
        <v>89916</v>
      </c>
      <c r="R354" s="26"/>
      <c r="S354" s="26">
        <v>0</v>
      </c>
      <c r="T354" s="26"/>
      <c r="U354" s="26">
        <v>0</v>
      </c>
      <c r="V354" s="26"/>
      <c r="W354" s="26">
        <f>86280+33896+241252</f>
        <v>361428</v>
      </c>
      <c r="X354" s="26"/>
      <c r="Y354" s="54">
        <f t="shared" si="17"/>
        <v>12050330</v>
      </c>
      <c r="Z354" s="26"/>
      <c r="AA354" s="26">
        <v>0</v>
      </c>
      <c r="AB354" s="26"/>
      <c r="AC354" s="26"/>
      <c r="AD354" s="26"/>
      <c r="AE354" s="26">
        <v>0</v>
      </c>
      <c r="AF354" s="26"/>
      <c r="AG354" s="26"/>
      <c r="AH354" s="26"/>
      <c r="AI354" s="26"/>
      <c r="AJ354" s="26"/>
      <c r="AK354" s="26">
        <v>493</v>
      </c>
      <c r="AL354" s="26"/>
      <c r="AM354" s="26">
        <v>0</v>
      </c>
      <c r="AN354" s="26"/>
      <c r="AO354" s="26">
        <v>0</v>
      </c>
      <c r="AP354" s="26"/>
      <c r="AQ354" s="26">
        <v>0</v>
      </c>
      <c r="AR354" s="26"/>
      <c r="AS354" s="54">
        <f t="shared" si="18"/>
        <v>493</v>
      </c>
      <c r="AT354" s="26"/>
      <c r="AU354" s="54">
        <f t="shared" si="19"/>
        <v>12050823</v>
      </c>
    </row>
    <row r="355" spans="1:47" hidden="1">
      <c r="A355" s="13" t="s">
        <v>587</v>
      </c>
      <c r="B355" s="13"/>
      <c r="C355" s="13" t="s">
        <v>586</v>
      </c>
      <c r="D355" s="13"/>
      <c r="E355" s="32">
        <v>44479</v>
      </c>
      <c r="F355" s="26"/>
      <c r="G355" s="26">
        <v>0</v>
      </c>
      <c r="H355" s="26"/>
      <c r="I355" s="26">
        <v>0</v>
      </c>
      <c r="J355" s="26"/>
      <c r="K355" s="26">
        <v>0</v>
      </c>
      <c r="L355" s="26"/>
      <c r="M355" s="26">
        <v>0</v>
      </c>
      <c r="N355" s="26"/>
      <c r="O355" s="26">
        <v>0</v>
      </c>
      <c r="P355" s="26"/>
      <c r="Q355" s="26">
        <v>0</v>
      </c>
      <c r="R355" s="26"/>
      <c r="S355" s="26">
        <v>0</v>
      </c>
      <c r="T355" s="26"/>
      <c r="U355" s="26">
        <v>0</v>
      </c>
      <c r="V355" s="26"/>
      <c r="W355" s="26">
        <v>0</v>
      </c>
      <c r="X355" s="26"/>
      <c r="Y355" s="54">
        <f t="shared" si="17"/>
        <v>0</v>
      </c>
      <c r="Z355" s="26"/>
      <c r="AA355" s="26">
        <v>0</v>
      </c>
      <c r="AB355" s="26"/>
      <c r="AC355" s="26"/>
      <c r="AD355" s="26"/>
      <c r="AE355" s="26">
        <v>0</v>
      </c>
      <c r="AF355" s="26"/>
      <c r="AG355" s="26"/>
      <c r="AH355" s="26"/>
      <c r="AI355" s="26"/>
      <c r="AJ355" s="26"/>
      <c r="AK355" s="26">
        <v>0</v>
      </c>
      <c r="AL355" s="26"/>
      <c r="AM355" s="26">
        <v>0</v>
      </c>
      <c r="AN355" s="26"/>
      <c r="AO355" s="26">
        <v>0</v>
      </c>
      <c r="AP355" s="26"/>
      <c r="AQ355" s="26">
        <v>0</v>
      </c>
      <c r="AR355" s="26"/>
      <c r="AS355" s="54">
        <f t="shared" si="18"/>
        <v>0</v>
      </c>
      <c r="AT355" s="26"/>
      <c r="AU355" s="54">
        <f t="shared" si="19"/>
        <v>0</v>
      </c>
    </row>
    <row r="356" spans="1:47">
      <c r="A356" s="13" t="s">
        <v>450</v>
      </c>
      <c r="B356" s="13"/>
      <c r="C356" s="13" t="s">
        <v>37</v>
      </c>
      <c r="D356" s="13"/>
      <c r="E356" s="32">
        <v>47720</v>
      </c>
      <c r="F356" s="26"/>
      <c r="G356" s="26">
        <v>3300025</v>
      </c>
      <c r="H356" s="26"/>
      <c r="I356" s="26">
        <v>0</v>
      </c>
      <c r="J356" s="26"/>
      <c r="K356" s="26">
        <v>6465911</v>
      </c>
      <c r="L356" s="26"/>
      <c r="M356" s="26">
        <v>138545</v>
      </c>
      <c r="N356" s="26"/>
      <c r="O356" s="26">
        <v>331285</v>
      </c>
      <c r="P356" s="26"/>
      <c r="Q356" s="26">
        <v>250139</v>
      </c>
      <c r="R356" s="26"/>
      <c r="S356" s="26">
        <v>0</v>
      </c>
      <c r="T356" s="26"/>
      <c r="U356" s="26">
        <v>0</v>
      </c>
      <c r="V356" s="26"/>
      <c r="W356" s="26">
        <v>260859</v>
      </c>
      <c r="X356" s="26"/>
      <c r="Y356" s="54">
        <f t="shared" si="17"/>
        <v>10746764</v>
      </c>
      <c r="Z356" s="26"/>
      <c r="AA356" s="26">
        <v>0</v>
      </c>
      <c r="AB356" s="26"/>
      <c r="AC356" s="26"/>
      <c r="AD356" s="26"/>
      <c r="AE356" s="26">
        <v>2276469</v>
      </c>
      <c r="AF356" s="26"/>
      <c r="AG356" s="26"/>
      <c r="AH356" s="26"/>
      <c r="AI356" s="26"/>
      <c r="AJ356" s="26"/>
      <c r="AK356" s="26">
        <v>662</v>
      </c>
      <c r="AL356" s="26"/>
      <c r="AM356" s="26">
        <v>0</v>
      </c>
      <c r="AN356" s="26"/>
      <c r="AO356" s="26">
        <v>0</v>
      </c>
      <c r="AP356" s="26"/>
      <c r="AQ356" s="26">
        <v>0</v>
      </c>
      <c r="AR356" s="26"/>
      <c r="AS356" s="54">
        <f t="shared" si="18"/>
        <v>2277131</v>
      </c>
      <c r="AT356" s="26"/>
      <c r="AU356" s="54">
        <f t="shared" si="19"/>
        <v>13023895</v>
      </c>
    </row>
    <row r="357" spans="1:47">
      <c r="A357" s="13" t="s">
        <v>253</v>
      </c>
      <c r="B357" s="13"/>
      <c r="C357" s="13" t="s">
        <v>246</v>
      </c>
      <c r="D357" s="13"/>
      <c r="E357" s="32">
        <v>46136</v>
      </c>
      <c r="F357" s="26"/>
      <c r="G357" s="26">
        <v>1695626</v>
      </c>
      <c r="H357" s="26"/>
      <c r="I357" s="26">
        <v>0</v>
      </c>
      <c r="J357" s="26"/>
      <c r="K357" s="26">
        <v>5659514</v>
      </c>
      <c r="L357" s="26"/>
      <c r="M357" s="26">
        <v>99805</v>
      </c>
      <c r="N357" s="26"/>
      <c r="O357" s="26">
        <v>26859</v>
      </c>
      <c r="P357" s="26"/>
      <c r="Q357" s="26">
        <v>0</v>
      </c>
      <c r="R357" s="26"/>
      <c r="S357" s="26">
        <v>0</v>
      </c>
      <c r="T357" s="26"/>
      <c r="U357" s="26">
        <v>0</v>
      </c>
      <c r="V357" s="26"/>
      <c r="W357" s="26">
        <v>325103</v>
      </c>
      <c r="X357" s="26"/>
      <c r="Y357" s="54">
        <f t="shared" si="17"/>
        <v>7806907</v>
      </c>
      <c r="Z357" s="26"/>
      <c r="AA357" s="26">
        <v>28211</v>
      </c>
      <c r="AB357" s="26"/>
      <c r="AC357" s="26"/>
      <c r="AD357" s="26"/>
      <c r="AE357" s="26">
        <v>0</v>
      </c>
      <c r="AF357" s="26"/>
      <c r="AG357" s="26"/>
      <c r="AH357" s="26"/>
      <c r="AI357" s="26"/>
      <c r="AJ357" s="26"/>
      <c r="AK357" s="26">
        <v>0</v>
      </c>
      <c r="AL357" s="26"/>
      <c r="AM357" s="26">
        <v>0</v>
      </c>
      <c r="AN357" s="26"/>
      <c r="AO357" s="26">
        <v>0</v>
      </c>
      <c r="AP357" s="26"/>
      <c r="AQ357" s="26">
        <v>0</v>
      </c>
      <c r="AR357" s="26"/>
      <c r="AS357" s="54">
        <f t="shared" si="18"/>
        <v>28211</v>
      </c>
      <c r="AT357" s="26"/>
      <c r="AU357" s="54">
        <f t="shared" si="19"/>
        <v>7835118</v>
      </c>
    </row>
    <row r="358" spans="1:47">
      <c r="A358" s="13" t="s">
        <v>703</v>
      </c>
      <c r="B358" s="13"/>
      <c r="C358" s="13" t="s">
        <v>65</v>
      </c>
      <c r="D358" s="13"/>
      <c r="E358" s="32">
        <v>44487</v>
      </c>
      <c r="F358" s="26"/>
      <c r="G358" s="26">
        <v>10059131</v>
      </c>
      <c r="H358" s="26"/>
      <c r="I358" s="26">
        <v>0</v>
      </c>
      <c r="J358" s="26"/>
      <c r="K358" s="26">
        <v>12078126</v>
      </c>
      <c r="L358" s="26"/>
      <c r="M358" s="26">
        <v>316818</v>
      </c>
      <c r="N358" s="26"/>
      <c r="O358" s="26">
        <v>674291</v>
      </c>
      <c r="P358" s="26"/>
      <c r="Q358" s="26">
        <v>532296</v>
      </c>
      <c r="R358" s="26"/>
      <c r="S358" s="26">
        <v>0</v>
      </c>
      <c r="T358" s="26"/>
      <c r="U358" s="26">
        <v>12459</v>
      </c>
      <c r="V358" s="26"/>
      <c r="W358" s="26">
        <f>5100+865500+368040</f>
        <v>1238640</v>
      </c>
      <c r="X358" s="26"/>
      <c r="Y358" s="54">
        <f t="shared" si="17"/>
        <v>24911761</v>
      </c>
      <c r="Z358" s="26"/>
      <c r="AA358" s="26">
        <v>133500</v>
      </c>
      <c r="AB358" s="26"/>
      <c r="AC358" s="26"/>
      <c r="AD358" s="26"/>
      <c r="AE358" s="26">
        <v>0</v>
      </c>
      <c r="AF358" s="26"/>
      <c r="AG358" s="26"/>
      <c r="AH358" s="26"/>
      <c r="AI358" s="26"/>
      <c r="AJ358" s="26"/>
      <c r="AK358" s="26">
        <v>0</v>
      </c>
      <c r="AL358" s="26"/>
      <c r="AM358" s="26">
        <v>0</v>
      </c>
      <c r="AN358" s="26"/>
      <c r="AO358" s="26">
        <v>0</v>
      </c>
      <c r="AP358" s="26"/>
      <c r="AQ358" s="26">
        <v>0</v>
      </c>
      <c r="AR358" s="26"/>
      <c r="AS358" s="54">
        <f t="shared" si="18"/>
        <v>133500</v>
      </c>
      <c r="AT358" s="26"/>
      <c r="AU358" s="54">
        <f t="shared" si="19"/>
        <v>25045261</v>
      </c>
    </row>
    <row r="359" spans="1:47">
      <c r="A359" s="13" t="s">
        <v>275</v>
      </c>
      <c r="B359" s="13"/>
      <c r="C359" s="13" t="s">
        <v>116</v>
      </c>
      <c r="D359" s="13"/>
      <c r="E359" s="32">
        <v>45559</v>
      </c>
      <c r="F359" s="26"/>
      <c r="G359" s="26">
        <v>11582266</v>
      </c>
      <c r="H359" s="26"/>
      <c r="I359" s="26">
        <v>0</v>
      </c>
      <c r="J359" s="26"/>
      <c r="K359" s="26">
        <v>14512019</v>
      </c>
      <c r="L359" s="26"/>
      <c r="M359" s="26">
        <v>747420</v>
      </c>
      <c r="N359" s="26"/>
      <c r="O359" s="26">
        <v>792848</v>
      </c>
      <c r="P359" s="26"/>
      <c r="Q359" s="26">
        <v>0</v>
      </c>
      <c r="R359" s="26"/>
      <c r="S359" s="26">
        <v>0</v>
      </c>
      <c r="T359" s="26"/>
      <c r="U359" s="26">
        <v>0</v>
      </c>
      <c r="V359" s="26"/>
      <c r="W359" s="26">
        <v>579350</v>
      </c>
      <c r="X359" s="26"/>
      <c r="Y359" s="54">
        <f t="shared" si="17"/>
        <v>28213903</v>
      </c>
      <c r="Z359" s="26"/>
      <c r="AA359" s="26">
        <v>0</v>
      </c>
      <c r="AB359" s="26"/>
      <c r="AC359" s="26"/>
      <c r="AD359" s="26"/>
      <c r="AE359" s="26">
        <v>0</v>
      </c>
      <c r="AF359" s="26"/>
      <c r="AG359" s="26"/>
      <c r="AH359" s="26"/>
      <c r="AI359" s="26"/>
      <c r="AJ359" s="26"/>
      <c r="AK359" s="26">
        <v>0</v>
      </c>
      <c r="AL359" s="26"/>
      <c r="AM359" s="26">
        <v>0</v>
      </c>
      <c r="AN359" s="26"/>
      <c r="AO359" s="26">
        <v>0</v>
      </c>
      <c r="AP359" s="26"/>
      <c r="AQ359" s="26">
        <v>0</v>
      </c>
      <c r="AR359" s="26"/>
      <c r="AS359" s="54">
        <f t="shared" si="18"/>
        <v>0</v>
      </c>
      <c r="AT359" s="26"/>
      <c r="AU359" s="54">
        <f t="shared" si="19"/>
        <v>28213903</v>
      </c>
    </row>
    <row r="360" spans="1:47" hidden="1">
      <c r="A360" s="13" t="s">
        <v>642</v>
      </c>
      <c r="B360" s="13"/>
      <c r="C360" s="13" t="s">
        <v>60</v>
      </c>
      <c r="D360" s="13"/>
      <c r="E360" s="32">
        <v>49718</v>
      </c>
      <c r="F360" s="26"/>
      <c r="G360" s="26">
        <v>0</v>
      </c>
      <c r="H360" s="26"/>
      <c r="I360" s="26">
        <v>0</v>
      </c>
      <c r="J360" s="26"/>
      <c r="K360" s="26">
        <v>0</v>
      </c>
      <c r="L360" s="26"/>
      <c r="M360" s="26">
        <v>0</v>
      </c>
      <c r="N360" s="26"/>
      <c r="O360" s="26">
        <v>0</v>
      </c>
      <c r="P360" s="26"/>
      <c r="Q360" s="26">
        <v>0</v>
      </c>
      <c r="R360" s="26"/>
      <c r="S360" s="26">
        <v>0</v>
      </c>
      <c r="T360" s="26"/>
      <c r="U360" s="26">
        <v>0</v>
      </c>
      <c r="V360" s="26"/>
      <c r="W360" s="26">
        <v>0</v>
      </c>
      <c r="X360" s="26"/>
      <c r="Y360" s="54">
        <f t="shared" si="17"/>
        <v>0</v>
      </c>
      <c r="Z360" s="26"/>
      <c r="AA360" s="26">
        <v>0</v>
      </c>
      <c r="AB360" s="26"/>
      <c r="AC360" s="26"/>
      <c r="AD360" s="26"/>
      <c r="AE360" s="26">
        <v>0</v>
      </c>
      <c r="AF360" s="26"/>
      <c r="AG360" s="26"/>
      <c r="AH360" s="26"/>
      <c r="AI360" s="26"/>
      <c r="AJ360" s="26"/>
      <c r="AK360" s="26">
        <v>0</v>
      </c>
      <c r="AL360" s="26"/>
      <c r="AM360" s="26">
        <v>0</v>
      </c>
      <c r="AN360" s="26"/>
      <c r="AO360" s="26">
        <v>0</v>
      </c>
      <c r="AP360" s="26"/>
      <c r="AQ360" s="26">
        <v>0</v>
      </c>
      <c r="AR360" s="26"/>
      <c r="AS360" s="54">
        <f t="shared" si="18"/>
        <v>0</v>
      </c>
      <c r="AT360" s="26"/>
      <c r="AU360" s="54">
        <f t="shared" si="19"/>
        <v>0</v>
      </c>
    </row>
    <row r="361" spans="1:47">
      <c r="A361" s="13" t="s">
        <v>484</v>
      </c>
      <c r="B361" s="13"/>
      <c r="C361" s="13" t="s">
        <v>42</v>
      </c>
      <c r="D361" s="13"/>
      <c r="E361" s="13">
        <v>44453</v>
      </c>
      <c r="F361" s="26"/>
      <c r="G361" s="26">
        <v>29329331</v>
      </c>
      <c r="H361" s="26"/>
      <c r="I361" s="26">
        <v>0</v>
      </c>
      <c r="J361" s="26"/>
      <c r="K361" s="26">
        <v>35724396</v>
      </c>
      <c r="L361" s="26"/>
      <c r="M361" s="26">
        <v>2189194</v>
      </c>
      <c r="N361" s="26"/>
      <c r="O361" s="26">
        <v>733341</v>
      </c>
      <c r="P361" s="26"/>
      <c r="Q361" s="26">
        <v>439352</v>
      </c>
      <c r="R361" s="26"/>
      <c r="S361" s="26">
        <v>0</v>
      </c>
      <c r="T361" s="26"/>
      <c r="U361" s="26">
        <v>0</v>
      </c>
      <c r="V361" s="26"/>
      <c r="W361" s="26">
        <v>1912712</v>
      </c>
      <c r="X361" s="26"/>
      <c r="Y361" s="54">
        <f t="shared" si="17"/>
        <v>70328326</v>
      </c>
      <c r="Z361" s="26"/>
      <c r="AA361" s="26">
        <v>3355161</v>
      </c>
      <c r="AB361" s="26"/>
      <c r="AC361" s="26"/>
      <c r="AD361" s="26"/>
      <c r="AE361" s="26">
        <v>438013</v>
      </c>
      <c r="AF361" s="26"/>
      <c r="AG361" s="26"/>
      <c r="AH361" s="26"/>
      <c r="AI361" s="26"/>
      <c r="AJ361" s="26"/>
      <c r="AK361" s="26">
        <v>0</v>
      </c>
      <c r="AL361" s="26"/>
      <c r="AM361" s="26">
        <v>0</v>
      </c>
      <c r="AN361" s="26"/>
      <c r="AO361" s="26">
        <v>0</v>
      </c>
      <c r="AP361" s="26"/>
      <c r="AQ361" s="26">
        <v>0</v>
      </c>
      <c r="AR361" s="26"/>
      <c r="AS361" s="54">
        <f t="shared" si="18"/>
        <v>3793174</v>
      </c>
      <c r="AT361" s="26"/>
      <c r="AU361" s="54">
        <f t="shared" si="19"/>
        <v>74121500</v>
      </c>
    </row>
    <row r="362" spans="1:47">
      <c r="A362" s="13" t="s">
        <v>386</v>
      </c>
      <c r="B362" s="13"/>
      <c r="C362" s="13" t="s">
        <v>30</v>
      </c>
      <c r="D362" s="13"/>
      <c r="E362" s="32">
        <v>47217</v>
      </c>
      <c r="F362" s="26"/>
      <c r="G362" s="26">
        <v>4195569</v>
      </c>
      <c r="H362" s="26"/>
      <c r="I362" s="26">
        <v>0</v>
      </c>
      <c r="J362" s="26"/>
      <c r="K362" s="26">
        <v>2435059</v>
      </c>
      <c r="L362" s="26"/>
      <c r="M362" s="26">
        <v>85486</v>
      </c>
      <c r="N362" s="26"/>
      <c r="O362" s="26">
        <v>204789</v>
      </c>
      <c r="P362" s="26"/>
      <c r="Q362" s="26">
        <v>105575</v>
      </c>
      <c r="R362" s="26"/>
      <c r="S362" s="26">
        <v>0</v>
      </c>
      <c r="T362" s="26"/>
      <c r="U362" s="26">
        <v>407</v>
      </c>
      <c r="V362" s="26"/>
      <c r="W362" s="26">
        <v>245897</v>
      </c>
      <c r="X362" s="26"/>
      <c r="Y362" s="54">
        <f t="shared" si="17"/>
        <v>7272782</v>
      </c>
      <c r="Z362" s="26"/>
      <c r="AA362" s="26">
        <v>18039</v>
      </c>
      <c r="AB362" s="26"/>
      <c r="AC362" s="26"/>
      <c r="AD362" s="26"/>
      <c r="AE362" s="26">
        <v>0</v>
      </c>
      <c r="AF362" s="26"/>
      <c r="AG362" s="26"/>
      <c r="AH362" s="26"/>
      <c r="AI362" s="26"/>
      <c r="AJ362" s="26"/>
      <c r="AK362" s="26">
        <v>0</v>
      </c>
      <c r="AL362" s="26"/>
      <c r="AM362" s="26">
        <v>0</v>
      </c>
      <c r="AN362" s="26"/>
      <c r="AO362" s="26">
        <v>0</v>
      </c>
      <c r="AP362" s="26"/>
      <c r="AQ362" s="26">
        <v>0</v>
      </c>
      <c r="AR362" s="26"/>
      <c r="AS362" s="54">
        <f t="shared" si="18"/>
        <v>18039</v>
      </c>
      <c r="AT362" s="26"/>
      <c r="AU362" s="54">
        <f t="shared" si="19"/>
        <v>7290821</v>
      </c>
    </row>
    <row r="363" spans="1:47">
      <c r="A363" s="13" t="s">
        <v>704</v>
      </c>
      <c r="B363" s="13"/>
      <c r="C363" s="13" t="s">
        <v>65</v>
      </c>
      <c r="D363" s="13"/>
      <c r="E363" s="32">
        <v>45542</v>
      </c>
      <c r="F363" s="26"/>
      <c r="G363" s="26">
        <v>2745108</v>
      </c>
      <c r="H363" s="26"/>
      <c r="I363" s="26">
        <v>0</v>
      </c>
      <c r="J363" s="26"/>
      <c r="K363" s="26">
        <f>6664467+1128047</f>
        <v>7792514</v>
      </c>
      <c r="L363" s="26"/>
      <c r="M363" s="26">
        <v>95597</v>
      </c>
      <c r="N363" s="26"/>
      <c r="O363" s="26">
        <v>793888</v>
      </c>
      <c r="P363" s="26"/>
      <c r="Q363" s="26">
        <v>197955</v>
      </c>
      <c r="R363" s="26"/>
      <c r="S363" s="26">
        <v>0</v>
      </c>
      <c r="T363" s="26"/>
      <c r="U363" s="26">
        <v>0</v>
      </c>
      <c r="V363" s="26"/>
      <c r="W363" s="26">
        <f>209544+26636+179793</f>
        <v>415973</v>
      </c>
      <c r="X363" s="26"/>
      <c r="Y363" s="54">
        <f t="shared" si="17"/>
        <v>12041035</v>
      </c>
      <c r="Z363" s="26"/>
      <c r="AA363" s="26">
        <v>0</v>
      </c>
      <c r="AB363" s="26"/>
      <c r="AC363" s="26"/>
      <c r="AD363" s="26"/>
      <c r="AE363" s="26">
        <v>0</v>
      </c>
      <c r="AF363" s="26"/>
      <c r="AG363" s="26"/>
      <c r="AH363" s="26"/>
      <c r="AI363" s="26"/>
      <c r="AJ363" s="26"/>
      <c r="AK363" s="26">
        <v>380</v>
      </c>
      <c r="AL363" s="26"/>
      <c r="AM363" s="26">
        <v>0</v>
      </c>
      <c r="AN363" s="26"/>
      <c r="AO363" s="26">
        <v>0</v>
      </c>
      <c r="AP363" s="26"/>
      <c r="AQ363" s="26">
        <v>0</v>
      </c>
      <c r="AR363" s="26"/>
      <c r="AS363" s="54">
        <f t="shared" si="18"/>
        <v>380</v>
      </c>
      <c r="AT363" s="26"/>
      <c r="AU363" s="54">
        <f t="shared" si="19"/>
        <v>12041415</v>
      </c>
    </row>
    <row r="364" spans="1:47">
      <c r="A364" s="13" t="s">
        <v>695</v>
      </c>
      <c r="B364" s="13"/>
      <c r="C364" s="13" t="s">
        <v>64</v>
      </c>
      <c r="D364" s="13"/>
      <c r="E364" s="32">
        <v>45567</v>
      </c>
      <c r="F364" s="26"/>
      <c r="G364" s="26">
        <v>3762201</v>
      </c>
      <c r="H364" s="26"/>
      <c r="I364" s="26">
        <v>0</v>
      </c>
      <c r="J364" s="26"/>
      <c r="K364" s="26">
        <v>8588933</v>
      </c>
      <c r="L364" s="26"/>
      <c r="M364" s="26">
        <v>115695</v>
      </c>
      <c r="N364" s="26"/>
      <c r="O364" s="26">
        <v>358178</v>
      </c>
      <c r="P364" s="26"/>
      <c r="Q364" s="26">
        <v>199647</v>
      </c>
      <c r="R364" s="26"/>
      <c r="S364" s="26">
        <v>0</v>
      </c>
      <c r="T364" s="26"/>
      <c r="U364" s="26">
        <v>1500</v>
      </c>
      <c r="V364" s="26"/>
      <c r="W364" s="26">
        <v>497372</v>
      </c>
      <c r="X364" s="26"/>
      <c r="Y364" s="54">
        <f t="shared" si="17"/>
        <v>13523526</v>
      </c>
      <c r="Z364" s="26"/>
      <c r="AA364" s="26">
        <v>250000</v>
      </c>
      <c r="AB364" s="26"/>
      <c r="AC364" s="26"/>
      <c r="AD364" s="26"/>
      <c r="AE364" s="26">
        <v>0</v>
      </c>
      <c r="AF364" s="26"/>
      <c r="AG364" s="26"/>
      <c r="AH364" s="26"/>
      <c r="AI364" s="26"/>
      <c r="AJ364" s="26"/>
      <c r="AK364" s="26">
        <v>0</v>
      </c>
      <c r="AL364" s="26"/>
      <c r="AM364" s="26">
        <v>0</v>
      </c>
      <c r="AN364" s="26"/>
      <c r="AO364" s="26">
        <v>0</v>
      </c>
      <c r="AP364" s="26"/>
      <c r="AQ364" s="26">
        <v>0</v>
      </c>
      <c r="AR364" s="26"/>
      <c r="AS364" s="54">
        <f t="shared" si="18"/>
        <v>250000</v>
      </c>
      <c r="AT364" s="26"/>
      <c r="AU364" s="54">
        <f t="shared" si="19"/>
        <v>13773526</v>
      </c>
    </row>
    <row r="365" spans="1:47">
      <c r="A365" s="13" t="s">
        <v>547</v>
      </c>
      <c r="B365" s="13"/>
      <c r="C365" s="13" t="s">
        <v>48</v>
      </c>
      <c r="D365" s="13"/>
      <c r="E365" s="32">
        <v>48637</v>
      </c>
      <c r="F365" s="26"/>
      <c r="G365" s="26">
        <v>2631891</v>
      </c>
      <c r="H365" s="26"/>
      <c r="I365" s="26">
        <v>0</v>
      </c>
      <c r="J365" s="26"/>
      <c r="K365" s="26">
        <v>5024035</v>
      </c>
      <c r="L365" s="26"/>
      <c r="M365" s="26">
        <v>244164</v>
      </c>
      <c r="N365" s="26"/>
      <c r="O365" s="26">
        <v>381577</v>
      </c>
      <c r="P365" s="26"/>
      <c r="Q365" s="26">
        <v>88031</v>
      </c>
      <c r="R365" s="26"/>
      <c r="S365" s="26">
        <v>0</v>
      </c>
      <c r="T365" s="26"/>
      <c r="U365" s="26">
        <v>0</v>
      </c>
      <c r="V365" s="26"/>
      <c r="W365" s="26">
        <v>157640</v>
      </c>
      <c r="X365" s="26"/>
      <c r="Y365" s="54">
        <f t="shared" si="17"/>
        <v>8527338</v>
      </c>
      <c r="Z365" s="26"/>
      <c r="AA365" s="26">
        <v>0</v>
      </c>
      <c r="AB365" s="26"/>
      <c r="AC365" s="26"/>
      <c r="AD365" s="26"/>
      <c r="AE365" s="26">
        <v>14479623</v>
      </c>
      <c r="AF365" s="26"/>
      <c r="AG365" s="26"/>
      <c r="AH365" s="26"/>
      <c r="AI365" s="26"/>
      <c r="AJ365" s="26"/>
      <c r="AK365" s="26">
        <v>0</v>
      </c>
      <c r="AL365" s="26"/>
      <c r="AM365" s="26">
        <v>0</v>
      </c>
      <c r="AN365" s="26"/>
      <c r="AO365" s="26">
        <v>0</v>
      </c>
      <c r="AP365" s="26"/>
      <c r="AQ365" s="26">
        <v>0</v>
      </c>
      <c r="AR365" s="26"/>
      <c r="AS365" s="54">
        <f t="shared" si="18"/>
        <v>14479623</v>
      </c>
      <c r="AT365" s="26"/>
      <c r="AU365" s="54">
        <f t="shared" si="19"/>
        <v>23006961</v>
      </c>
    </row>
    <row r="366" spans="1:47">
      <c r="A366" s="13" t="s">
        <v>837</v>
      </c>
      <c r="B366" s="13"/>
      <c r="C366" s="13" t="s">
        <v>64</v>
      </c>
      <c r="D366" s="13"/>
      <c r="E366" s="32"/>
      <c r="F366" s="26"/>
      <c r="G366" s="26">
        <v>8204619</v>
      </c>
      <c r="H366" s="26"/>
      <c r="I366" s="26">
        <v>0</v>
      </c>
      <c r="J366" s="26"/>
      <c r="K366" s="26">
        <f>14670868+2237022</f>
        <v>16907890</v>
      </c>
      <c r="L366" s="26"/>
      <c r="M366" s="26">
        <v>201706</v>
      </c>
      <c r="N366" s="26"/>
      <c r="O366" s="26">
        <f>723216+59237+35040</f>
        <v>817493</v>
      </c>
      <c r="P366" s="26"/>
      <c r="Q366" s="26">
        <v>174622</v>
      </c>
      <c r="R366" s="26"/>
      <c r="S366" s="26">
        <v>0</v>
      </c>
      <c r="T366" s="26"/>
      <c r="U366" s="26">
        <v>0</v>
      </c>
      <c r="V366" s="26"/>
      <c r="W366" s="26">
        <f>402489+713482</f>
        <v>1115971</v>
      </c>
      <c r="X366" s="26"/>
      <c r="Y366" s="54">
        <f t="shared" si="17"/>
        <v>27422301</v>
      </c>
      <c r="Z366" s="26"/>
      <c r="AA366" s="26">
        <v>15047</v>
      </c>
      <c r="AB366" s="26"/>
      <c r="AC366" s="26"/>
      <c r="AD366" s="26"/>
      <c r="AE366" s="26">
        <v>0</v>
      </c>
      <c r="AF366" s="26"/>
      <c r="AG366" s="26"/>
      <c r="AH366" s="26"/>
      <c r="AI366" s="26"/>
      <c r="AJ366" s="26"/>
      <c r="AK366" s="26">
        <v>0</v>
      </c>
      <c r="AL366" s="26"/>
      <c r="AM366" s="26">
        <v>0</v>
      </c>
      <c r="AN366" s="26"/>
      <c r="AO366" s="26">
        <v>0</v>
      </c>
      <c r="AP366" s="26"/>
      <c r="AQ366" s="26">
        <v>0</v>
      </c>
      <c r="AR366" s="26"/>
      <c r="AS366" s="54">
        <f t="shared" si="18"/>
        <v>15047</v>
      </c>
      <c r="AT366" s="26"/>
      <c r="AU366" s="54">
        <f t="shared" si="19"/>
        <v>27437348</v>
      </c>
    </row>
    <row r="367" spans="1:47">
      <c r="A367" s="13" t="s">
        <v>578</v>
      </c>
      <c r="B367" s="13"/>
      <c r="C367" s="13" t="s">
        <v>52</v>
      </c>
      <c r="D367" s="13"/>
      <c r="E367" s="32">
        <v>48900</v>
      </c>
      <c r="F367" s="26"/>
      <c r="G367" s="26">
        <v>2179889</v>
      </c>
      <c r="H367" s="26"/>
      <c r="I367" s="26">
        <v>0</v>
      </c>
      <c r="J367" s="26"/>
      <c r="K367" s="26">
        <v>6872156</v>
      </c>
      <c r="L367" s="26"/>
      <c r="M367" s="26">
        <v>65005</v>
      </c>
      <c r="N367" s="26"/>
      <c r="O367" s="26">
        <v>571860</v>
      </c>
      <c r="P367" s="26"/>
      <c r="Q367" s="26">
        <v>99016</v>
      </c>
      <c r="R367" s="26"/>
      <c r="S367" s="26">
        <v>0</v>
      </c>
      <c r="T367" s="26"/>
      <c r="U367" s="26">
        <v>1819</v>
      </c>
      <c r="V367" s="26"/>
      <c r="W367" s="26">
        <v>296246</v>
      </c>
      <c r="X367" s="26"/>
      <c r="Y367" s="54">
        <f t="shared" si="17"/>
        <v>10085991</v>
      </c>
      <c r="Z367" s="26"/>
      <c r="AA367" s="26">
        <v>300297</v>
      </c>
      <c r="AB367" s="26"/>
      <c r="AC367" s="26"/>
      <c r="AD367" s="26"/>
      <c r="AE367" s="26">
        <v>38052</v>
      </c>
      <c r="AF367" s="26"/>
      <c r="AG367" s="26"/>
      <c r="AH367" s="26"/>
      <c r="AI367" s="26"/>
      <c r="AJ367" s="26"/>
      <c r="AK367" s="26">
        <v>38052</v>
      </c>
      <c r="AL367" s="26"/>
      <c r="AM367" s="26">
        <v>0</v>
      </c>
      <c r="AN367" s="26"/>
      <c r="AO367" s="26">
        <v>0</v>
      </c>
      <c r="AP367" s="26"/>
      <c r="AQ367" s="26">
        <v>0</v>
      </c>
      <c r="AR367" s="26"/>
      <c r="AS367" s="54">
        <f t="shared" si="18"/>
        <v>376401</v>
      </c>
      <c r="AT367" s="26"/>
      <c r="AU367" s="54">
        <f t="shared" si="19"/>
        <v>10462392</v>
      </c>
    </row>
    <row r="368" spans="1:47">
      <c r="A368" s="13" t="s">
        <v>673</v>
      </c>
      <c r="B368" s="13"/>
      <c r="C368" s="13" t="s">
        <v>63</v>
      </c>
      <c r="D368" s="13"/>
      <c r="E368" s="32">
        <v>50047</v>
      </c>
      <c r="F368" s="26"/>
      <c r="G368" s="26">
        <v>30346784</v>
      </c>
      <c r="H368" s="26"/>
      <c r="I368" s="26">
        <v>0</v>
      </c>
      <c r="J368" s="26"/>
      <c r="K368" s="26">
        <v>11870969</v>
      </c>
      <c r="L368" s="26"/>
      <c r="M368" s="26">
        <v>966672</v>
      </c>
      <c r="N368" s="26"/>
      <c r="O368" s="26">
        <v>126047</v>
      </c>
      <c r="P368" s="26"/>
      <c r="Q368" s="26">
        <v>608414</v>
      </c>
      <c r="R368" s="26"/>
      <c r="S368" s="26">
        <v>0</v>
      </c>
      <c r="T368" s="26"/>
      <c r="U368" s="26">
        <v>13481</v>
      </c>
      <c r="V368" s="26"/>
      <c r="W368" s="26">
        <v>1054357</v>
      </c>
      <c r="X368" s="26"/>
      <c r="Y368" s="54">
        <f t="shared" si="17"/>
        <v>44986724</v>
      </c>
      <c r="Z368" s="26"/>
      <c r="AA368" s="26">
        <v>30160</v>
      </c>
      <c r="AB368" s="26"/>
      <c r="AC368" s="26"/>
      <c r="AD368" s="26"/>
      <c r="AE368" s="26">
        <v>0</v>
      </c>
      <c r="AF368" s="26"/>
      <c r="AG368" s="26"/>
      <c r="AH368" s="26"/>
      <c r="AI368" s="26"/>
      <c r="AJ368" s="26"/>
      <c r="AK368" s="26">
        <v>0</v>
      </c>
      <c r="AL368" s="26"/>
      <c r="AM368" s="26">
        <v>0</v>
      </c>
      <c r="AN368" s="26"/>
      <c r="AO368" s="26">
        <v>0</v>
      </c>
      <c r="AP368" s="26"/>
      <c r="AQ368" s="26">
        <v>0</v>
      </c>
      <c r="AR368" s="26"/>
      <c r="AS368" s="54">
        <f t="shared" si="18"/>
        <v>30160</v>
      </c>
      <c r="AT368" s="26"/>
      <c r="AU368" s="54">
        <f t="shared" si="19"/>
        <v>45016884</v>
      </c>
    </row>
    <row r="369" spans="1:47">
      <c r="A369" s="13" t="s">
        <v>741</v>
      </c>
      <c r="B369" s="13"/>
      <c r="C369" s="13" t="s">
        <v>72</v>
      </c>
      <c r="D369" s="13"/>
      <c r="E369" s="32">
        <v>50708</v>
      </c>
      <c r="F369" s="26"/>
      <c r="G369" s="26">
        <v>2616053</v>
      </c>
      <c r="H369" s="26"/>
      <c r="I369" s="26">
        <v>0</v>
      </c>
      <c r="J369" s="26"/>
      <c r="K369" s="26">
        <v>4509978</v>
      </c>
      <c r="L369" s="26"/>
      <c r="M369" s="26">
        <v>95074</v>
      </c>
      <c r="N369" s="26"/>
      <c r="O369" s="26">
        <v>191567</v>
      </c>
      <c r="P369" s="26"/>
      <c r="Q369" s="26">
        <v>0</v>
      </c>
      <c r="R369" s="26"/>
      <c r="S369" s="26">
        <v>0</v>
      </c>
      <c r="T369" s="26"/>
      <c r="U369" s="26">
        <v>0</v>
      </c>
      <c r="V369" s="26"/>
      <c r="W369" s="26">
        <v>375630</v>
      </c>
      <c r="X369" s="26"/>
      <c r="Y369" s="54">
        <f t="shared" si="17"/>
        <v>7788302</v>
      </c>
      <c r="Z369" s="26"/>
      <c r="AA369" s="26">
        <v>296537</v>
      </c>
      <c r="AB369" s="26"/>
      <c r="AC369" s="26"/>
      <c r="AD369" s="26"/>
      <c r="AE369" s="26">
        <v>0</v>
      </c>
      <c r="AF369" s="26"/>
      <c r="AG369" s="26"/>
      <c r="AH369" s="26"/>
      <c r="AI369" s="26"/>
      <c r="AJ369" s="26"/>
      <c r="AK369" s="26">
        <v>0</v>
      </c>
      <c r="AL369" s="26"/>
      <c r="AM369" s="26">
        <v>0</v>
      </c>
      <c r="AN369" s="26"/>
      <c r="AO369" s="26">
        <v>0</v>
      </c>
      <c r="AP369" s="26"/>
      <c r="AQ369" s="26">
        <v>0</v>
      </c>
      <c r="AR369" s="26"/>
      <c r="AS369" s="54">
        <f t="shared" si="18"/>
        <v>296537</v>
      </c>
      <c r="AT369" s="26"/>
      <c r="AU369" s="54">
        <f t="shared" si="19"/>
        <v>8084839</v>
      </c>
    </row>
    <row r="370" spans="1:47" hidden="1">
      <c r="A370" s="13" t="s">
        <v>581</v>
      </c>
      <c r="B370" s="13"/>
      <c r="C370" s="13" t="s">
        <v>53</v>
      </c>
      <c r="D370" s="13"/>
      <c r="E370" s="32">
        <v>48967</v>
      </c>
      <c r="F370" s="26"/>
      <c r="G370" s="26">
        <v>0</v>
      </c>
      <c r="H370" s="26"/>
      <c r="I370" s="26">
        <v>0</v>
      </c>
      <c r="J370" s="26"/>
      <c r="K370" s="26">
        <v>0</v>
      </c>
      <c r="L370" s="26"/>
      <c r="M370" s="26">
        <v>0</v>
      </c>
      <c r="N370" s="26"/>
      <c r="O370" s="26">
        <v>0</v>
      </c>
      <c r="P370" s="26"/>
      <c r="Q370" s="26">
        <v>0</v>
      </c>
      <c r="R370" s="26"/>
      <c r="S370" s="26">
        <v>0</v>
      </c>
      <c r="T370" s="26"/>
      <c r="U370" s="26">
        <v>0</v>
      </c>
      <c r="V370" s="26"/>
      <c r="W370" s="26">
        <v>0</v>
      </c>
      <c r="X370" s="26"/>
      <c r="Y370" s="54">
        <f t="shared" si="17"/>
        <v>0</v>
      </c>
      <c r="Z370" s="26"/>
      <c r="AA370" s="26">
        <v>0</v>
      </c>
      <c r="AB370" s="26"/>
      <c r="AC370" s="26"/>
      <c r="AD370" s="26"/>
      <c r="AE370" s="26">
        <v>0</v>
      </c>
      <c r="AF370" s="26"/>
      <c r="AG370" s="26"/>
      <c r="AH370" s="26"/>
      <c r="AI370" s="26"/>
      <c r="AJ370" s="26"/>
      <c r="AK370" s="26">
        <v>0</v>
      </c>
      <c r="AL370" s="26"/>
      <c r="AM370" s="26">
        <v>0</v>
      </c>
      <c r="AN370" s="26"/>
      <c r="AO370" s="26">
        <v>0</v>
      </c>
      <c r="AP370" s="26"/>
      <c r="AQ370" s="26">
        <v>0</v>
      </c>
      <c r="AR370" s="26"/>
      <c r="AS370" s="54">
        <f t="shared" si="18"/>
        <v>0</v>
      </c>
      <c r="AT370" s="26"/>
      <c r="AU370" s="54">
        <f t="shared" si="19"/>
        <v>0</v>
      </c>
    </row>
    <row r="371" spans="1:47">
      <c r="A371" s="13" t="s">
        <v>663</v>
      </c>
      <c r="B371" s="13"/>
      <c r="C371" s="13" t="s">
        <v>62</v>
      </c>
      <c r="D371" s="13"/>
      <c r="E371" s="32">
        <v>44503</v>
      </c>
      <c r="F371" s="26"/>
      <c r="G371" s="26">
        <v>23980409</v>
      </c>
      <c r="H371" s="26"/>
      <c r="I371" s="26">
        <v>0</v>
      </c>
      <c r="J371" s="26"/>
      <c r="K371" s="26">
        <v>19903496</v>
      </c>
      <c r="L371" s="26"/>
      <c r="M371" s="26">
        <v>301906</v>
      </c>
      <c r="N371" s="26"/>
      <c r="O371" s="26">
        <v>1012981</v>
      </c>
      <c r="P371" s="26"/>
      <c r="Q371" s="26">
        <v>472631</v>
      </c>
      <c r="R371" s="26"/>
      <c r="S371" s="26">
        <v>0</v>
      </c>
      <c r="T371" s="26"/>
      <c r="U371" s="26">
        <v>0</v>
      </c>
      <c r="V371" s="26"/>
      <c r="W371" s="26">
        <v>1638030</v>
      </c>
      <c r="X371" s="26"/>
      <c r="Y371" s="54">
        <f t="shared" si="17"/>
        <v>47309453</v>
      </c>
      <c r="Z371" s="26"/>
      <c r="AA371" s="26">
        <v>160009</v>
      </c>
      <c r="AB371" s="26"/>
      <c r="AC371" s="26"/>
      <c r="AD371" s="26"/>
      <c r="AE371" s="26">
        <v>889741</v>
      </c>
      <c r="AF371" s="26"/>
      <c r="AG371" s="26"/>
      <c r="AH371" s="26"/>
      <c r="AI371" s="26"/>
      <c r="AJ371" s="26"/>
      <c r="AK371" s="26">
        <v>889741</v>
      </c>
      <c r="AL371" s="26"/>
      <c r="AM371" s="26">
        <v>0</v>
      </c>
      <c r="AN371" s="26"/>
      <c r="AO371" s="26">
        <v>0</v>
      </c>
      <c r="AP371" s="26"/>
      <c r="AQ371" s="26">
        <v>0</v>
      </c>
      <c r="AR371" s="26"/>
      <c r="AS371" s="54">
        <f t="shared" si="18"/>
        <v>1939491</v>
      </c>
      <c r="AT371" s="26"/>
      <c r="AU371" s="54">
        <f t="shared" si="19"/>
        <v>49248944</v>
      </c>
    </row>
    <row r="372" spans="1:47" hidden="1">
      <c r="A372" s="13" t="s">
        <v>728</v>
      </c>
      <c r="B372" s="13"/>
      <c r="C372" s="13" t="s">
        <v>733</v>
      </c>
      <c r="D372" s="13"/>
      <c r="E372" s="32">
        <v>50641</v>
      </c>
      <c r="F372" s="26"/>
      <c r="G372" s="26">
        <v>0</v>
      </c>
      <c r="H372" s="26"/>
      <c r="I372" s="26">
        <v>0</v>
      </c>
      <c r="J372" s="26"/>
      <c r="K372" s="26">
        <v>0</v>
      </c>
      <c r="L372" s="26"/>
      <c r="M372" s="26">
        <v>0</v>
      </c>
      <c r="N372" s="26"/>
      <c r="O372" s="26">
        <v>0</v>
      </c>
      <c r="P372" s="26"/>
      <c r="Q372" s="26">
        <v>0</v>
      </c>
      <c r="R372" s="26"/>
      <c r="S372" s="26">
        <v>0</v>
      </c>
      <c r="T372" s="26"/>
      <c r="U372" s="26">
        <v>0</v>
      </c>
      <c r="V372" s="26"/>
      <c r="W372" s="26">
        <v>0</v>
      </c>
      <c r="X372" s="26"/>
      <c r="Y372" s="54">
        <f t="shared" si="17"/>
        <v>0</v>
      </c>
      <c r="Z372" s="26"/>
      <c r="AA372" s="26">
        <v>0</v>
      </c>
      <c r="AB372" s="26"/>
      <c r="AC372" s="26"/>
      <c r="AD372" s="26"/>
      <c r="AE372" s="26">
        <v>0</v>
      </c>
      <c r="AF372" s="26"/>
      <c r="AG372" s="26"/>
      <c r="AH372" s="26"/>
      <c r="AI372" s="26"/>
      <c r="AJ372" s="26"/>
      <c r="AK372" s="26">
        <v>0</v>
      </c>
      <c r="AL372" s="26"/>
      <c r="AM372" s="26">
        <v>0</v>
      </c>
      <c r="AN372" s="26"/>
      <c r="AO372" s="26">
        <v>0</v>
      </c>
      <c r="AP372" s="26"/>
      <c r="AQ372" s="26">
        <v>0</v>
      </c>
      <c r="AR372" s="26"/>
      <c r="AS372" s="54">
        <f t="shared" si="18"/>
        <v>0</v>
      </c>
      <c r="AT372" s="26"/>
      <c r="AU372" s="54">
        <f t="shared" si="19"/>
        <v>0</v>
      </c>
    </row>
    <row r="373" spans="1:47" hidden="1">
      <c r="A373" s="13" t="s">
        <v>406</v>
      </c>
      <c r="B373" s="13"/>
      <c r="C373" s="13" t="s">
        <v>32</v>
      </c>
      <c r="D373" s="13"/>
      <c r="E373" s="32">
        <v>44511</v>
      </c>
      <c r="F373" s="26"/>
      <c r="G373" s="26">
        <v>0</v>
      </c>
      <c r="H373" s="26"/>
      <c r="I373" s="26">
        <v>0</v>
      </c>
      <c r="J373" s="26"/>
      <c r="K373" s="26">
        <v>0</v>
      </c>
      <c r="L373" s="26"/>
      <c r="M373" s="26">
        <v>0</v>
      </c>
      <c r="N373" s="26"/>
      <c r="O373" s="26">
        <v>0</v>
      </c>
      <c r="P373" s="26"/>
      <c r="Q373" s="26">
        <v>0</v>
      </c>
      <c r="R373" s="26"/>
      <c r="S373" s="26">
        <v>0</v>
      </c>
      <c r="T373" s="26"/>
      <c r="U373" s="26">
        <v>0</v>
      </c>
      <c r="V373" s="26"/>
      <c r="W373" s="26">
        <v>0</v>
      </c>
      <c r="X373" s="26"/>
      <c r="Y373" s="54">
        <f t="shared" si="17"/>
        <v>0</v>
      </c>
      <c r="Z373" s="26"/>
      <c r="AA373" s="26">
        <v>0</v>
      </c>
      <c r="AB373" s="26"/>
      <c r="AC373" s="26"/>
      <c r="AD373" s="26"/>
      <c r="AE373" s="26">
        <v>0</v>
      </c>
      <c r="AF373" s="26"/>
      <c r="AG373" s="26"/>
      <c r="AH373" s="26"/>
      <c r="AI373" s="26"/>
      <c r="AJ373" s="26"/>
      <c r="AK373" s="26">
        <v>0</v>
      </c>
      <c r="AL373" s="26"/>
      <c r="AM373" s="26">
        <v>0</v>
      </c>
      <c r="AN373" s="26"/>
      <c r="AO373" s="26">
        <v>0</v>
      </c>
      <c r="AP373" s="26"/>
      <c r="AQ373" s="26">
        <v>0</v>
      </c>
      <c r="AR373" s="26"/>
      <c r="AS373" s="54">
        <f t="shared" si="18"/>
        <v>0</v>
      </c>
      <c r="AT373" s="26"/>
      <c r="AU373" s="54">
        <f t="shared" si="19"/>
        <v>0</v>
      </c>
    </row>
    <row r="374" spans="1:47">
      <c r="A374" s="13" t="s">
        <v>485</v>
      </c>
      <c r="B374" s="13"/>
      <c r="C374" s="13" t="s">
        <v>42</v>
      </c>
      <c r="D374" s="13"/>
      <c r="E374" s="32">
        <v>48025</v>
      </c>
      <c r="F374" s="26"/>
      <c r="G374" s="26">
        <v>4801413</v>
      </c>
      <c r="H374" s="26"/>
      <c r="I374" s="26">
        <v>0</v>
      </c>
      <c r="J374" s="26"/>
      <c r="K374" s="26">
        <v>22330003</v>
      </c>
      <c r="L374" s="26"/>
      <c r="M374" s="26">
        <v>320148</v>
      </c>
      <c r="N374" s="26"/>
      <c r="O374" s="26">
        <v>698873</v>
      </c>
      <c r="P374" s="26"/>
      <c r="Q374" s="26">
        <v>261531</v>
      </c>
      <c r="R374" s="26"/>
      <c r="S374" s="26">
        <v>0</v>
      </c>
      <c r="T374" s="26"/>
      <c r="U374" s="26">
        <v>0</v>
      </c>
      <c r="V374" s="26"/>
      <c r="W374" s="26">
        <v>575425</v>
      </c>
      <c r="X374" s="26"/>
      <c r="Y374" s="54">
        <f t="shared" si="17"/>
        <v>28987393</v>
      </c>
      <c r="Z374" s="26"/>
      <c r="AA374" s="26">
        <v>180522</v>
      </c>
      <c r="AB374" s="26"/>
      <c r="AC374" s="26"/>
      <c r="AD374" s="26"/>
      <c r="AE374" s="26">
        <v>5930698</v>
      </c>
      <c r="AF374" s="26"/>
      <c r="AG374" s="26"/>
      <c r="AH374" s="26"/>
      <c r="AI374" s="26"/>
      <c r="AJ374" s="26"/>
      <c r="AK374" s="26">
        <v>0</v>
      </c>
      <c r="AL374" s="26"/>
      <c r="AM374" s="26">
        <v>0</v>
      </c>
      <c r="AN374" s="26"/>
      <c r="AO374" s="26">
        <v>0</v>
      </c>
      <c r="AP374" s="26"/>
      <c r="AQ374" s="26">
        <v>0</v>
      </c>
      <c r="AR374" s="26"/>
      <c r="AS374" s="54">
        <f t="shared" si="18"/>
        <v>6111220</v>
      </c>
      <c r="AT374" s="26"/>
      <c r="AU374" s="54">
        <f t="shared" si="19"/>
        <v>35098613</v>
      </c>
    </row>
    <row r="375" spans="1:47">
      <c r="A375" s="13" t="s">
        <v>317</v>
      </c>
      <c r="B375" s="13"/>
      <c r="C375" s="13" t="s">
        <v>20</v>
      </c>
      <c r="D375" s="13"/>
      <c r="E375" s="32">
        <v>44529</v>
      </c>
      <c r="F375" s="26"/>
      <c r="G375" s="26">
        <v>35632081</v>
      </c>
      <c r="H375" s="26"/>
      <c r="I375" s="26">
        <v>0</v>
      </c>
      <c r="J375" s="26"/>
      <c r="K375" s="26">
        <v>15153016</v>
      </c>
      <c r="L375" s="26"/>
      <c r="M375" s="26">
        <v>733560</v>
      </c>
      <c r="N375" s="26"/>
      <c r="O375" s="26">
        <v>1138729</v>
      </c>
      <c r="P375" s="26"/>
      <c r="Q375" s="26">
        <v>430416</v>
      </c>
      <c r="R375" s="26"/>
      <c r="S375" s="26">
        <v>0</v>
      </c>
      <c r="T375" s="26"/>
      <c r="U375" s="26">
        <v>0</v>
      </c>
      <c r="V375" s="26"/>
      <c r="W375" s="26">
        <f>549564+741409</f>
        <v>1290973</v>
      </c>
      <c r="X375" s="26"/>
      <c r="Y375" s="54">
        <f t="shared" si="17"/>
        <v>54378775</v>
      </c>
      <c r="Z375" s="26"/>
      <c r="AA375" s="26">
        <v>257628</v>
      </c>
      <c r="AB375" s="26"/>
      <c r="AC375" s="26"/>
      <c r="AD375" s="26"/>
      <c r="AE375" s="26">
        <v>0</v>
      </c>
      <c r="AF375" s="26"/>
      <c r="AG375" s="26"/>
      <c r="AH375" s="26"/>
      <c r="AI375" s="26"/>
      <c r="AJ375" s="26"/>
      <c r="AK375" s="26">
        <v>0</v>
      </c>
      <c r="AL375" s="26"/>
      <c r="AM375" s="26">
        <v>0</v>
      </c>
      <c r="AN375" s="26"/>
      <c r="AO375" s="26">
        <v>0</v>
      </c>
      <c r="AP375" s="26"/>
      <c r="AQ375" s="26">
        <v>0</v>
      </c>
      <c r="AR375" s="26"/>
      <c r="AS375" s="54">
        <f t="shared" si="18"/>
        <v>257628</v>
      </c>
      <c r="AT375" s="26"/>
      <c r="AU375" s="54">
        <f t="shared" si="19"/>
        <v>54636403</v>
      </c>
    </row>
    <row r="376" spans="1:47">
      <c r="A376" s="13" t="s">
        <v>498</v>
      </c>
      <c r="B376" s="13"/>
      <c r="C376" s="13" t="s">
        <v>44</v>
      </c>
      <c r="D376" s="13"/>
      <c r="E376" s="32">
        <v>44537</v>
      </c>
      <c r="F376" s="26"/>
      <c r="G376" s="26">
        <v>15998607</v>
      </c>
      <c r="H376" s="26"/>
      <c r="I376" s="26">
        <v>0</v>
      </c>
      <c r="J376" s="26"/>
      <c r="K376" s="26">
        <v>13556061</v>
      </c>
      <c r="L376" s="26"/>
      <c r="M376" s="26">
        <v>386515</v>
      </c>
      <c r="N376" s="26"/>
      <c r="O376" s="26">
        <v>532572</v>
      </c>
      <c r="P376" s="26"/>
      <c r="Q376" s="26">
        <v>244310</v>
      </c>
      <c r="R376" s="26"/>
      <c r="S376" s="26">
        <v>0</v>
      </c>
      <c r="T376" s="26"/>
      <c r="U376" s="26">
        <v>0</v>
      </c>
      <c r="V376" s="26"/>
      <c r="W376" s="26">
        <v>1131088</v>
      </c>
      <c r="X376" s="26"/>
      <c r="Y376" s="54">
        <f t="shared" si="17"/>
        <v>31849153</v>
      </c>
      <c r="Z376" s="26"/>
      <c r="AA376" s="26">
        <v>51943</v>
      </c>
      <c r="AB376" s="26"/>
      <c r="AC376" s="26"/>
      <c r="AD376" s="26"/>
      <c r="AE376" s="26">
        <v>0</v>
      </c>
      <c r="AF376" s="26"/>
      <c r="AG376" s="26"/>
      <c r="AH376" s="26"/>
      <c r="AI376" s="26"/>
      <c r="AJ376" s="26"/>
      <c r="AK376" s="26">
        <v>0</v>
      </c>
      <c r="AL376" s="26"/>
      <c r="AM376" s="26">
        <v>0</v>
      </c>
      <c r="AN376" s="26"/>
      <c r="AO376" s="26">
        <v>0</v>
      </c>
      <c r="AP376" s="26"/>
      <c r="AQ376" s="26">
        <v>0</v>
      </c>
      <c r="AR376" s="26"/>
      <c r="AS376" s="54">
        <f t="shared" si="18"/>
        <v>51943</v>
      </c>
      <c r="AT376" s="26"/>
      <c r="AU376" s="54">
        <f t="shared" si="19"/>
        <v>31901096</v>
      </c>
    </row>
    <row r="377" spans="1:47">
      <c r="A377" s="13" t="s">
        <v>318</v>
      </c>
      <c r="B377" s="13"/>
      <c r="C377" s="13" t="s">
        <v>20</v>
      </c>
      <c r="D377" s="13"/>
      <c r="E377" s="32">
        <v>44545</v>
      </c>
      <c r="F377" s="26"/>
      <c r="G377" s="26">
        <v>34205019</v>
      </c>
      <c r="H377" s="26"/>
      <c r="I377" s="26">
        <v>0</v>
      </c>
      <c r="J377" s="26"/>
      <c r="K377" s="26">
        <v>12556835</v>
      </c>
      <c r="L377" s="26"/>
      <c r="M377" s="26">
        <v>820943</v>
      </c>
      <c r="N377" s="26"/>
      <c r="O377" s="26">
        <v>322892</v>
      </c>
      <c r="P377" s="26"/>
      <c r="Q377" s="26">
        <v>241921</v>
      </c>
      <c r="R377" s="26"/>
      <c r="S377" s="26">
        <v>0</v>
      </c>
      <c r="T377" s="26"/>
      <c r="U377" s="26">
        <v>108329</v>
      </c>
      <c r="V377" s="26"/>
      <c r="W377" s="26">
        <v>1520264</v>
      </c>
      <c r="X377" s="26"/>
      <c r="Y377" s="54">
        <f t="shared" si="17"/>
        <v>49776203</v>
      </c>
      <c r="Z377" s="26"/>
      <c r="AA377" s="26">
        <v>147000</v>
      </c>
      <c r="AB377" s="26"/>
      <c r="AC377" s="26"/>
      <c r="AD377" s="26"/>
      <c r="AE377" s="26">
        <v>276433</v>
      </c>
      <c r="AF377" s="26"/>
      <c r="AG377" s="26"/>
      <c r="AH377" s="26"/>
      <c r="AI377" s="26"/>
      <c r="AJ377" s="26"/>
      <c r="AK377" s="26">
        <v>3000</v>
      </c>
      <c r="AL377" s="26"/>
      <c r="AM377" s="26">
        <v>0</v>
      </c>
      <c r="AN377" s="26"/>
      <c r="AO377" s="26">
        <v>0</v>
      </c>
      <c r="AP377" s="26"/>
      <c r="AQ377" s="26">
        <v>0</v>
      </c>
      <c r="AR377" s="26"/>
      <c r="AS377" s="54">
        <f t="shared" si="18"/>
        <v>426433</v>
      </c>
      <c r="AT377" s="26"/>
      <c r="AU377" s="54">
        <f t="shared" si="19"/>
        <v>50202636</v>
      </c>
    </row>
    <row r="378" spans="1:47">
      <c r="A378" s="13" t="s">
        <v>709</v>
      </c>
      <c r="B378" s="13"/>
      <c r="C378" s="13" t="s">
        <v>66</v>
      </c>
      <c r="D378" s="13"/>
      <c r="E378" s="32">
        <v>50336</v>
      </c>
      <c r="F378" s="26"/>
      <c r="G378" s="26">
        <v>4472403</v>
      </c>
      <c r="H378" s="26"/>
      <c r="I378" s="26">
        <v>1613961</v>
      </c>
      <c r="J378" s="26"/>
      <c r="K378" s="26">
        <v>23773398</v>
      </c>
      <c r="L378" s="26"/>
      <c r="M378" s="26">
        <v>861250</v>
      </c>
      <c r="N378" s="26"/>
      <c r="O378" s="26">
        <v>375130</v>
      </c>
      <c r="P378" s="26"/>
      <c r="Q378" s="26">
        <v>136558</v>
      </c>
      <c r="R378" s="26"/>
      <c r="S378" s="26">
        <v>0</v>
      </c>
      <c r="T378" s="26"/>
      <c r="U378" s="26">
        <v>11393</v>
      </c>
      <c r="V378" s="26"/>
      <c r="W378" s="26">
        <v>433884</v>
      </c>
      <c r="X378" s="26"/>
      <c r="Y378" s="54">
        <f t="shared" si="17"/>
        <v>31677977</v>
      </c>
      <c r="Z378" s="26"/>
      <c r="AA378" s="26">
        <v>507000</v>
      </c>
      <c r="AB378" s="26"/>
      <c r="AC378" s="26"/>
      <c r="AD378" s="26"/>
      <c r="AE378" s="26">
        <v>0</v>
      </c>
      <c r="AF378" s="26"/>
      <c r="AG378" s="26"/>
      <c r="AH378" s="26"/>
      <c r="AI378" s="26"/>
      <c r="AJ378" s="26"/>
      <c r="AK378" s="26">
        <v>0</v>
      </c>
      <c r="AL378" s="26"/>
      <c r="AM378" s="26">
        <v>0</v>
      </c>
      <c r="AN378" s="26"/>
      <c r="AO378" s="26">
        <v>0</v>
      </c>
      <c r="AP378" s="26"/>
      <c r="AQ378" s="26">
        <v>0</v>
      </c>
      <c r="AR378" s="26"/>
      <c r="AS378" s="54">
        <f t="shared" si="18"/>
        <v>507000</v>
      </c>
      <c r="AT378" s="26"/>
      <c r="AU378" s="54">
        <f t="shared" si="19"/>
        <v>32184977</v>
      </c>
    </row>
    <row r="379" spans="1:47">
      <c r="A379" s="13" t="s">
        <v>266</v>
      </c>
      <c r="B379" s="13"/>
      <c r="C379" s="13" t="s">
        <v>17</v>
      </c>
      <c r="D379" s="13"/>
      <c r="E379" s="32">
        <v>46250</v>
      </c>
      <c r="F379" s="26"/>
      <c r="G379" s="26">
        <v>10824793</v>
      </c>
      <c r="H379" s="26"/>
      <c r="I379" s="26">
        <v>0</v>
      </c>
      <c r="J379" s="26"/>
      <c r="K379" s="26">
        <v>17233778</v>
      </c>
      <c r="L379" s="26"/>
      <c r="M379" s="26">
        <v>419629</v>
      </c>
      <c r="N379" s="26"/>
      <c r="O379" s="26">
        <v>1838153</v>
      </c>
      <c r="P379" s="26"/>
      <c r="Q379" s="26">
        <v>233066</v>
      </c>
      <c r="R379" s="26"/>
      <c r="S379" s="26">
        <v>0</v>
      </c>
      <c r="T379" s="26"/>
      <c r="U379" s="26">
        <v>35038</v>
      </c>
      <c r="V379" s="26"/>
      <c r="W379" s="26">
        <v>964689</v>
      </c>
      <c r="X379" s="26"/>
      <c r="Y379" s="54">
        <f t="shared" si="17"/>
        <v>31549146</v>
      </c>
      <c r="Z379" s="26"/>
      <c r="AA379" s="26">
        <v>0</v>
      </c>
      <c r="AB379" s="26"/>
      <c r="AC379" s="26"/>
      <c r="AD379" s="26"/>
      <c r="AE379" s="26">
        <v>0</v>
      </c>
      <c r="AF379" s="26"/>
      <c r="AG379" s="26"/>
      <c r="AH379" s="26"/>
      <c r="AI379" s="26"/>
      <c r="AJ379" s="26"/>
      <c r="AK379" s="26">
        <v>775</v>
      </c>
      <c r="AL379" s="26"/>
      <c r="AM379" s="26">
        <v>0</v>
      </c>
      <c r="AN379" s="26"/>
      <c r="AO379" s="26">
        <v>0</v>
      </c>
      <c r="AP379" s="26"/>
      <c r="AQ379" s="26">
        <v>0</v>
      </c>
      <c r="AR379" s="26"/>
      <c r="AS379" s="54">
        <f t="shared" si="18"/>
        <v>775</v>
      </c>
      <c r="AT379" s="26"/>
      <c r="AU379" s="54">
        <f t="shared" si="19"/>
        <v>31549921</v>
      </c>
    </row>
    <row r="380" spans="1:47" s="35" customFormat="1" hidden="1">
      <c r="A380" s="34" t="s">
        <v>266</v>
      </c>
      <c r="B380" s="34"/>
      <c r="C380" s="34" t="s">
        <v>22</v>
      </c>
      <c r="D380" s="34"/>
      <c r="E380" s="34">
        <v>46722</v>
      </c>
      <c r="F380" s="43"/>
      <c r="G380" s="26">
        <v>0</v>
      </c>
      <c r="H380" s="26"/>
      <c r="I380" s="26">
        <v>0</v>
      </c>
      <c r="J380" s="26"/>
      <c r="K380" s="26">
        <v>0</v>
      </c>
      <c r="L380" s="26"/>
      <c r="M380" s="26">
        <v>0</v>
      </c>
      <c r="N380" s="26"/>
      <c r="O380" s="26">
        <v>0</v>
      </c>
      <c r="P380" s="26"/>
      <c r="Q380" s="26">
        <v>0</v>
      </c>
      <c r="R380" s="26"/>
      <c r="S380" s="26">
        <v>0</v>
      </c>
      <c r="T380" s="26"/>
      <c r="U380" s="26">
        <v>0</v>
      </c>
      <c r="V380" s="26"/>
      <c r="W380" s="26">
        <v>0</v>
      </c>
      <c r="X380" s="26"/>
      <c r="Y380" s="54">
        <f t="shared" si="17"/>
        <v>0</v>
      </c>
      <c r="Z380" s="26"/>
      <c r="AA380" s="26">
        <v>0</v>
      </c>
      <c r="AB380" s="26"/>
      <c r="AC380" s="26"/>
      <c r="AD380" s="26"/>
      <c r="AE380" s="26">
        <v>0</v>
      </c>
      <c r="AF380" s="26"/>
      <c r="AG380" s="26"/>
      <c r="AH380" s="26"/>
      <c r="AI380" s="26"/>
      <c r="AJ380" s="26"/>
      <c r="AK380" s="26">
        <v>0</v>
      </c>
      <c r="AL380" s="26"/>
      <c r="AM380" s="26">
        <v>0</v>
      </c>
      <c r="AN380" s="26"/>
      <c r="AO380" s="26">
        <v>0</v>
      </c>
      <c r="AP380" s="26"/>
      <c r="AQ380" s="26">
        <v>0</v>
      </c>
      <c r="AR380" s="26"/>
      <c r="AS380" s="54">
        <f t="shared" si="18"/>
        <v>0</v>
      </c>
      <c r="AT380" s="26"/>
      <c r="AU380" s="54">
        <f t="shared" si="19"/>
        <v>0</v>
      </c>
    </row>
    <row r="381" spans="1:47">
      <c r="A381" s="13" t="s">
        <v>561</v>
      </c>
      <c r="B381" s="13"/>
      <c r="C381" s="13" t="s">
        <v>50</v>
      </c>
      <c r="D381" s="13"/>
      <c r="E381" s="32">
        <v>48728</v>
      </c>
      <c r="F381" s="26"/>
      <c r="G381" s="26">
        <v>23047809</v>
      </c>
      <c r="H381" s="26"/>
      <c r="I381" s="26">
        <v>0</v>
      </c>
      <c r="J381" s="26"/>
      <c r="K381" s="26">
        <v>27214573</v>
      </c>
      <c r="L381" s="26"/>
      <c r="M381" s="26">
        <v>443539</v>
      </c>
      <c r="N381" s="26"/>
      <c r="O381" s="26">
        <v>741003</v>
      </c>
      <c r="P381" s="26"/>
      <c r="Q381" s="26">
        <v>520633</v>
      </c>
      <c r="R381" s="26"/>
      <c r="S381" s="26">
        <v>0</v>
      </c>
      <c r="T381" s="26"/>
      <c r="U381" s="26">
        <v>0</v>
      </c>
      <c r="V381" s="26"/>
      <c r="W381" s="26">
        <f>395709+2956298</f>
        <v>3352007</v>
      </c>
      <c r="X381" s="26"/>
      <c r="Y381" s="54">
        <f t="shared" si="17"/>
        <v>55319564</v>
      </c>
      <c r="Z381" s="26"/>
      <c r="AA381" s="26">
        <v>37400</v>
      </c>
      <c r="AB381" s="26"/>
      <c r="AC381" s="26"/>
      <c r="AD381" s="26"/>
      <c r="AE381" s="26">
        <v>0</v>
      </c>
      <c r="AF381" s="26"/>
      <c r="AG381" s="26"/>
      <c r="AH381" s="26"/>
      <c r="AI381" s="26"/>
      <c r="AJ381" s="26"/>
      <c r="AK381" s="26">
        <v>78284</v>
      </c>
      <c r="AL381" s="26"/>
      <c r="AM381" s="26">
        <v>0</v>
      </c>
      <c r="AN381" s="26"/>
      <c r="AO381" s="26">
        <v>0</v>
      </c>
      <c r="AP381" s="26"/>
      <c r="AQ381" s="26">
        <v>0</v>
      </c>
      <c r="AR381" s="26"/>
      <c r="AS381" s="54">
        <f t="shared" si="18"/>
        <v>115684</v>
      </c>
      <c r="AT381" s="26"/>
      <c r="AU381" s="54">
        <f t="shared" si="19"/>
        <v>55435248</v>
      </c>
    </row>
    <row r="382" spans="1:47">
      <c r="A382" s="13" t="s">
        <v>570</v>
      </c>
      <c r="B382" s="13"/>
      <c r="C382" s="13" t="s">
        <v>78</v>
      </c>
      <c r="D382" s="13"/>
      <c r="E382" s="32">
        <v>48819</v>
      </c>
      <c r="F382" s="26"/>
      <c r="G382" s="26">
        <v>4892212</v>
      </c>
      <c r="H382" s="26"/>
      <c r="I382" s="26">
        <v>0</v>
      </c>
      <c r="J382" s="26"/>
      <c r="K382" s="26">
        <v>6480306</v>
      </c>
      <c r="L382" s="26"/>
      <c r="M382" s="26">
        <v>101479</v>
      </c>
      <c r="N382" s="26"/>
      <c r="O382" s="26">
        <v>713182</v>
      </c>
      <c r="P382" s="26"/>
      <c r="Q382" s="26">
        <v>91489</v>
      </c>
      <c r="R382" s="26"/>
      <c r="S382" s="26">
        <v>0</v>
      </c>
      <c r="T382" s="26"/>
      <c r="U382" s="26">
        <v>0</v>
      </c>
      <c r="V382" s="26"/>
      <c r="W382" s="26">
        <v>266263</v>
      </c>
      <c r="X382" s="26"/>
      <c r="Y382" s="54">
        <f t="shared" si="17"/>
        <v>12544931</v>
      </c>
      <c r="Z382" s="26"/>
      <c r="AA382" s="26">
        <v>11987947</v>
      </c>
      <c r="AB382" s="26"/>
      <c r="AC382" s="26"/>
      <c r="AD382" s="26"/>
      <c r="AE382" s="26">
        <v>14500000</v>
      </c>
      <c r="AF382" s="26"/>
      <c r="AG382" s="26"/>
      <c r="AH382" s="26"/>
      <c r="AI382" s="26"/>
      <c r="AJ382" s="26"/>
      <c r="AK382" s="26">
        <v>0</v>
      </c>
      <c r="AL382" s="26"/>
      <c r="AM382" s="26">
        <v>0</v>
      </c>
      <c r="AN382" s="26"/>
      <c r="AO382" s="26">
        <v>0</v>
      </c>
      <c r="AP382" s="26"/>
      <c r="AQ382" s="26">
        <v>0</v>
      </c>
      <c r="AR382" s="26"/>
      <c r="AS382" s="54">
        <f t="shared" si="18"/>
        <v>26487947</v>
      </c>
      <c r="AT382" s="26"/>
      <c r="AU382" s="54">
        <f t="shared" si="19"/>
        <v>39032878</v>
      </c>
    </row>
    <row r="383" spans="1:47">
      <c r="A383" s="13" t="s">
        <v>486</v>
      </c>
      <c r="B383" s="13"/>
      <c r="C383" s="12" t="s">
        <v>50</v>
      </c>
      <c r="D383" s="13"/>
      <c r="E383" s="32">
        <v>48033</v>
      </c>
      <c r="F383" s="26"/>
      <c r="G383" s="26">
        <v>8938005</v>
      </c>
      <c r="H383" s="26"/>
      <c r="I383" s="26">
        <v>0</v>
      </c>
      <c r="J383" s="26"/>
      <c r="K383" s="26">
        <v>12311224</v>
      </c>
      <c r="L383" s="26"/>
      <c r="M383" s="26">
        <v>373190</v>
      </c>
      <c r="N383" s="26"/>
      <c r="O383" s="26">
        <v>205442</v>
      </c>
      <c r="P383" s="26"/>
      <c r="Q383" s="26">
        <v>102654</v>
      </c>
      <c r="R383" s="26"/>
      <c r="S383" s="26">
        <v>0</v>
      </c>
      <c r="T383" s="26"/>
      <c r="U383" s="26">
        <v>22211</v>
      </c>
      <c r="V383" s="26"/>
      <c r="W383" s="26">
        <v>353403</v>
      </c>
      <c r="X383" s="26"/>
      <c r="Y383" s="54">
        <f t="shared" si="17"/>
        <v>22306129</v>
      </c>
      <c r="Z383" s="26"/>
      <c r="AA383" s="26">
        <v>0</v>
      </c>
      <c r="AB383" s="26"/>
      <c r="AC383" s="26"/>
      <c r="AD383" s="26"/>
      <c r="AE383" s="26">
        <v>0</v>
      </c>
      <c r="AF383" s="26"/>
      <c r="AG383" s="26"/>
      <c r="AH383" s="26"/>
      <c r="AI383" s="26"/>
      <c r="AJ383" s="26"/>
      <c r="AK383" s="26">
        <v>0</v>
      </c>
      <c r="AL383" s="26"/>
      <c r="AM383" s="26">
        <v>0</v>
      </c>
      <c r="AN383" s="26"/>
      <c r="AO383" s="26">
        <v>0</v>
      </c>
      <c r="AP383" s="26"/>
      <c r="AQ383" s="26">
        <v>0</v>
      </c>
      <c r="AR383" s="26"/>
      <c r="AS383" s="54">
        <f t="shared" si="18"/>
        <v>0</v>
      </c>
      <c r="AT383" s="26"/>
      <c r="AU383" s="54">
        <f t="shared" si="19"/>
        <v>22306129</v>
      </c>
    </row>
    <row r="384" spans="1:47">
      <c r="A384" s="13" t="s">
        <v>486</v>
      </c>
      <c r="B384" s="13"/>
      <c r="C384" s="13" t="s">
        <v>42</v>
      </c>
      <c r="D384" s="13"/>
      <c r="E384" s="32">
        <v>48736</v>
      </c>
      <c r="F384" s="26"/>
      <c r="G384" s="26">
        <v>4655432</v>
      </c>
      <c r="H384" s="26"/>
      <c r="I384" s="26">
        <v>1921729</v>
      </c>
      <c r="J384" s="26"/>
      <c r="K384" s="26">
        <v>6003570</v>
      </c>
      <c r="L384" s="26"/>
      <c r="M384" s="26">
        <v>73396</v>
      </c>
      <c r="N384" s="26"/>
      <c r="O384" s="26">
        <v>568876</v>
      </c>
      <c r="P384" s="26"/>
      <c r="Q384" s="26">
        <v>178253</v>
      </c>
      <c r="R384" s="26"/>
      <c r="S384" s="26">
        <v>0</v>
      </c>
      <c r="T384" s="26"/>
      <c r="U384" s="26">
        <v>0</v>
      </c>
      <c r="V384" s="26"/>
      <c r="W384" s="26">
        <v>334469</v>
      </c>
      <c r="X384" s="26"/>
      <c r="Y384" s="54">
        <f t="shared" si="17"/>
        <v>13735725</v>
      </c>
      <c r="Z384" s="26"/>
      <c r="AA384" s="26">
        <v>48378</v>
      </c>
      <c r="AB384" s="26"/>
      <c r="AC384" s="26"/>
      <c r="AD384" s="26"/>
      <c r="AE384" s="26">
        <v>159372</v>
      </c>
      <c r="AF384" s="26"/>
      <c r="AG384" s="26"/>
      <c r="AH384" s="26"/>
      <c r="AI384" s="26"/>
      <c r="AJ384" s="26"/>
      <c r="AK384" s="26">
        <v>160836</v>
      </c>
      <c r="AL384" s="26"/>
      <c r="AM384" s="26">
        <v>0</v>
      </c>
      <c r="AN384" s="26"/>
      <c r="AO384" s="26">
        <v>0</v>
      </c>
      <c r="AP384" s="26"/>
      <c r="AQ384" s="26">
        <v>0</v>
      </c>
      <c r="AR384" s="26"/>
      <c r="AS384" s="54">
        <f t="shared" si="18"/>
        <v>368586</v>
      </c>
      <c r="AT384" s="26"/>
      <c r="AU384" s="54">
        <f t="shared" si="19"/>
        <v>14104311</v>
      </c>
    </row>
    <row r="385" spans="1:47">
      <c r="A385" s="13" t="s">
        <v>407</v>
      </c>
      <c r="B385" s="13"/>
      <c r="C385" s="13" t="s">
        <v>32</v>
      </c>
      <c r="D385" s="13"/>
      <c r="E385" s="32">
        <v>47365</v>
      </c>
      <c r="F385" s="26"/>
      <c r="G385" s="26">
        <v>44923966</v>
      </c>
      <c r="H385" s="26"/>
      <c r="I385" s="26">
        <v>0</v>
      </c>
      <c r="J385" s="26"/>
      <c r="K385" s="26">
        <v>42285156</v>
      </c>
      <c r="L385" s="26"/>
      <c r="M385" s="26">
        <v>923168</v>
      </c>
      <c r="N385" s="26"/>
      <c r="O385" s="26">
        <v>1107809</v>
      </c>
      <c r="P385" s="26"/>
      <c r="Q385" s="26">
        <v>641725</v>
      </c>
      <c r="R385" s="26"/>
      <c r="S385" s="26">
        <v>3488839</v>
      </c>
      <c r="T385" s="26"/>
      <c r="U385" s="26">
        <v>0</v>
      </c>
      <c r="V385" s="26"/>
      <c r="W385" s="26">
        <v>3262533</v>
      </c>
      <c r="X385" s="26"/>
      <c r="Y385" s="54">
        <f t="shared" si="17"/>
        <v>96633196</v>
      </c>
      <c r="Z385" s="26"/>
      <c r="AA385" s="26">
        <v>2628</v>
      </c>
      <c r="AB385" s="26"/>
      <c r="AC385" s="26"/>
      <c r="AD385" s="26"/>
      <c r="AE385" s="26">
        <v>858525</v>
      </c>
      <c r="AF385" s="26"/>
      <c r="AG385" s="26"/>
      <c r="AH385" s="26"/>
      <c r="AI385" s="26"/>
      <c r="AJ385" s="26"/>
      <c r="AK385" s="26">
        <v>858525</v>
      </c>
      <c r="AL385" s="26"/>
      <c r="AM385" s="26">
        <v>0</v>
      </c>
      <c r="AN385" s="26"/>
      <c r="AO385" s="26">
        <v>0</v>
      </c>
      <c r="AP385" s="26"/>
      <c r="AQ385" s="26">
        <v>0</v>
      </c>
      <c r="AR385" s="26"/>
      <c r="AS385" s="54">
        <f t="shared" si="18"/>
        <v>1719678</v>
      </c>
      <c r="AT385" s="26"/>
      <c r="AU385" s="54">
        <f t="shared" si="19"/>
        <v>98352874</v>
      </c>
    </row>
    <row r="386" spans="1:47">
      <c r="A386" s="13" t="s">
        <v>407</v>
      </c>
      <c r="B386" s="13"/>
      <c r="C386" s="13" t="s">
        <v>59</v>
      </c>
      <c r="D386" s="13"/>
      <c r="E386" s="32">
        <v>49635</v>
      </c>
      <c r="F386" s="26"/>
      <c r="G386" s="26">
        <v>1898054</v>
      </c>
      <c r="H386" s="26"/>
      <c r="I386" s="26">
        <v>0</v>
      </c>
      <c r="J386" s="26"/>
      <c r="K386" s="26">
        <v>14814465</v>
      </c>
      <c r="L386" s="26"/>
      <c r="M386" s="26">
        <v>217021</v>
      </c>
      <c r="N386" s="26"/>
      <c r="O386" s="26">
        <v>9409</v>
      </c>
      <c r="P386" s="26"/>
      <c r="Q386" s="26">
        <v>187748</v>
      </c>
      <c r="R386" s="26"/>
      <c r="S386" s="26">
        <v>0</v>
      </c>
      <c r="T386" s="26"/>
      <c r="U386" s="26">
        <v>2147</v>
      </c>
      <c r="V386" s="26"/>
      <c r="W386" s="26">
        <v>395779</v>
      </c>
      <c r="X386" s="26"/>
      <c r="Y386" s="54">
        <f t="shared" si="17"/>
        <v>17524623</v>
      </c>
      <c r="Z386" s="26"/>
      <c r="AA386" s="26">
        <v>68757</v>
      </c>
      <c r="AB386" s="26"/>
      <c r="AC386" s="26"/>
      <c r="AD386" s="26"/>
      <c r="AE386" s="26">
        <v>0</v>
      </c>
      <c r="AF386" s="26"/>
      <c r="AG386" s="26"/>
      <c r="AH386" s="26"/>
      <c r="AI386" s="26"/>
      <c r="AJ386" s="26"/>
      <c r="AK386" s="26">
        <v>7487</v>
      </c>
      <c r="AL386" s="26"/>
      <c r="AM386" s="26">
        <v>0</v>
      </c>
      <c r="AN386" s="26"/>
      <c r="AO386" s="26">
        <v>0</v>
      </c>
      <c r="AP386" s="26"/>
      <c r="AQ386" s="26">
        <v>0</v>
      </c>
      <c r="AR386" s="26"/>
      <c r="AS386" s="54">
        <f t="shared" si="18"/>
        <v>76244</v>
      </c>
      <c r="AT386" s="26"/>
      <c r="AU386" s="54">
        <f t="shared" si="19"/>
        <v>17600867</v>
      </c>
    </row>
    <row r="387" spans="1:47">
      <c r="A387" s="13" t="s">
        <v>407</v>
      </c>
      <c r="B387" s="13"/>
      <c r="C387" s="13" t="s">
        <v>62</v>
      </c>
      <c r="D387" s="13"/>
      <c r="E387" s="32">
        <v>49908</v>
      </c>
      <c r="F387" s="26"/>
      <c r="G387" s="26">
        <v>8404851</v>
      </c>
      <c r="H387" s="26"/>
      <c r="I387" s="26">
        <v>0</v>
      </c>
      <c r="J387" s="26"/>
      <c r="K387" s="26">
        <v>11748606</v>
      </c>
      <c r="L387" s="26"/>
      <c r="M387" s="26">
        <v>69279</v>
      </c>
      <c r="N387" s="26"/>
      <c r="O387" s="26">
        <v>635168</v>
      </c>
      <c r="P387" s="26"/>
      <c r="Q387" s="26">
        <v>238932</v>
      </c>
      <c r="R387" s="26"/>
      <c r="S387" s="26">
        <v>0</v>
      </c>
      <c r="T387" s="26"/>
      <c r="U387" s="26">
        <v>0</v>
      </c>
      <c r="V387" s="26"/>
      <c r="W387" s="26">
        <v>592979</v>
      </c>
      <c r="X387" s="26"/>
      <c r="Y387" s="54">
        <f t="shared" si="17"/>
        <v>21689815</v>
      </c>
      <c r="Z387" s="26"/>
      <c r="AA387" s="26">
        <v>158500</v>
      </c>
      <c r="AB387" s="26"/>
      <c r="AC387" s="26"/>
      <c r="AD387" s="26"/>
      <c r="AE387" s="26">
        <v>1335622</v>
      </c>
      <c r="AF387" s="26"/>
      <c r="AG387" s="26"/>
      <c r="AH387" s="26"/>
      <c r="AI387" s="26"/>
      <c r="AJ387" s="26"/>
      <c r="AK387" s="26">
        <v>176122</v>
      </c>
      <c r="AL387" s="26"/>
      <c r="AM387" s="26">
        <v>0</v>
      </c>
      <c r="AN387" s="26"/>
      <c r="AO387" s="26">
        <v>0</v>
      </c>
      <c r="AP387" s="26"/>
      <c r="AQ387" s="26">
        <v>0</v>
      </c>
      <c r="AR387" s="26"/>
      <c r="AS387" s="54">
        <f t="shared" si="18"/>
        <v>1670244</v>
      </c>
      <c r="AT387" s="26"/>
      <c r="AU387" s="54">
        <f t="shared" si="19"/>
        <v>23360059</v>
      </c>
    </row>
    <row r="388" spans="1:47">
      <c r="A388" s="13" t="s">
        <v>267</v>
      </c>
      <c r="B388" s="13"/>
      <c r="C388" s="13" t="s">
        <v>17</v>
      </c>
      <c r="D388" s="13"/>
      <c r="E388" s="32">
        <v>46268</v>
      </c>
      <c r="F388" s="26"/>
      <c r="G388" s="26">
        <v>5307371</v>
      </c>
      <c r="H388" s="26"/>
      <c r="I388" s="26">
        <v>0</v>
      </c>
      <c r="J388" s="26"/>
      <c r="K388" s="26">
        <v>8199205</v>
      </c>
      <c r="L388" s="26"/>
      <c r="M388" s="26">
        <v>1448</v>
      </c>
      <c r="N388" s="26"/>
      <c r="O388" s="26">
        <v>957178</v>
      </c>
      <c r="P388" s="26"/>
      <c r="Q388" s="26">
        <v>491563</v>
      </c>
      <c r="R388" s="26"/>
      <c r="S388" s="26">
        <v>0</v>
      </c>
      <c r="T388" s="26"/>
      <c r="U388" s="26">
        <v>0</v>
      </c>
      <c r="V388" s="26"/>
      <c r="W388" s="26">
        <v>497762</v>
      </c>
      <c r="X388" s="26"/>
      <c r="Y388" s="54">
        <f t="shared" si="17"/>
        <v>15454527</v>
      </c>
      <c r="Z388" s="26"/>
      <c r="AA388" s="26">
        <v>259</v>
      </c>
      <c r="AB388" s="26"/>
      <c r="AC388" s="26"/>
      <c r="AD388" s="26"/>
      <c r="AE388" s="26">
        <v>5214</v>
      </c>
      <c r="AF388" s="26"/>
      <c r="AG388" s="26"/>
      <c r="AH388" s="26"/>
      <c r="AI388" s="26"/>
      <c r="AJ388" s="26"/>
      <c r="AK388" s="26">
        <v>5214</v>
      </c>
      <c r="AL388" s="26"/>
      <c r="AM388" s="26">
        <v>0</v>
      </c>
      <c r="AN388" s="26"/>
      <c r="AO388" s="26">
        <v>0</v>
      </c>
      <c r="AP388" s="26"/>
      <c r="AQ388" s="26">
        <v>0</v>
      </c>
      <c r="AR388" s="26"/>
      <c r="AS388" s="54">
        <f t="shared" si="18"/>
        <v>10687</v>
      </c>
      <c r="AT388" s="26"/>
      <c r="AU388" s="54">
        <f t="shared" si="19"/>
        <v>15465214</v>
      </c>
    </row>
    <row r="389" spans="1:47">
      <c r="A389" s="13" t="s">
        <v>742</v>
      </c>
      <c r="B389" s="13"/>
      <c r="C389" s="13" t="s">
        <v>72</v>
      </c>
      <c r="D389" s="13"/>
      <c r="E389" s="32">
        <v>50716</v>
      </c>
      <c r="F389" s="26"/>
      <c r="G389" s="26">
        <v>5232437</v>
      </c>
      <c r="H389" s="26"/>
      <c r="I389" s="26">
        <v>0</v>
      </c>
      <c r="J389" s="26"/>
      <c r="K389" s="26">
        <v>4265624</v>
      </c>
      <c r="L389" s="26"/>
      <c r="M389" s="26">
        <v>99798</v>
      </c>
      <c r="N389" s="26"/>
      <c r="O389" s="26">
        <v>34803</v>
      </c>
      <c r="P389" s="26"/>
      <c r="Q389" s="26">
        <v>77836</v>
      </c>
      <c r="R389" s="26"/>
      <c r="S389" s="26">
        <v>466530</v>
      </c>
      <c r="T389" s="26"/>
      <c r="U389" s="26">
        <v>11134</v>
      </c>
      <c r="V389" s="26"/>
      <c r="W389" s="26">
        <v>345410</v>
      </c>
      <c r="X389" s="26"/>
      <c r="Y389" s="54">
        <f t="shared" si="17"/>
        <v>10533572</v>
      </c>
      <c r="Z389" s="26"/>
      <c r="AA389" s="26">
        <v>88444</v>
      </c>
      <c r="AB389" s="26"/>
      <c r="AC389" s="26"/>
      <c r="AD389" s="26"/>
      <c r="AE389" s="26">
        <v>0</v>
      </c>
      <c r="AF389" s="26"/>
      <c r="AG389" s="26"/>
      <c r="AH389" s="26"/>
      <c r="AI389" s="26"/>
      <c r="AJ389" s="26"/>
      <c r="AK389" s="26">
        <v>0</v>
      </c>
      <c r="AL389" s="26"/>
      <c r="AM389" s="26">
        <v>0</v>
      </c>
      <c r="AN389" s="26"/>
      <c r="AO389" s="26">
        <v>0</v>
      </c>
      <c r="AP389" s="26"/>
      <c r="AQ389" s="26">
        <v>0</v>
      </c>
      <c r="AR389" s="26"/>
      <c r="AS389" s="54">
        <f t="shared" si="18"/>
        <v>88444</v>
      </c>
      <c r="AT389" s="26"/>
      <c r="AU389" s="54">
        <f t="shared" si="19"/>
        <v>10622016</v>
      </c>
    </row>
    <row r="390" spans="1:47">
      <c r="A390" s="13" t="s">
        <v>674</v>
      </c>
      <c r="B390" s="13"/>
      <c r="C390" s="13" t="s">
        <v>63</v>
      </c>
      <c r="D390" s="13"/>
      <c r="E390" s="32">
        <v>44552</v>
      </c>
      <c r="F390" s="26"/>
      <c r="G390" s="26">
        <v>9247786</v>
      </c>
      <c r="H390" s="26"/>
      <c r="I390" s="26">
        <v>0</v>
      </c>
      <c r="J390" s="26"/>
      <c r="K390" s="26">
        <v>9801988</v>
      </c>
      <c r="L390" s="26"/>
      <c r="M390" s="26">
        <v>425876</v>
      </c>
      <c r="N390" s="26"/>
      <c r="O390" s="26">
        <v>2195173</v>
      </c>
      <c r="P390" s="26"/>
      <c r="Q390" s="26">
        <v>198768</v>
      </c>
      <c r="R390" s="26"/>
      <c r="S390" s="26">
        <v>0</v>
      </c>
      <c r="T390" s="26"/>
      <c r="U390" s="26">
        <v>51989</v>
      </c>
      <c r="V390" s="26"/>
      <c r="W390" s="26">
        <v>897600</v>
      </c>
      <c r="X390" s="26"/>
      <c r="Y390" s="54">
        <f t="shared" si="17"/>
        <v>22819180</v>
      </c>
      <c r="Z390" s="26"/>
      <c r="AA390" s="26">
        <v>0</v>
      </c>
      <c r="AB390" s="26"/>
      <c r="AC390" s="26"/>
      <c r="AD390" s="26"/>
      <c r="AE390" s="26">
        <v>0</v>
      </c>
      <c r="AF390" s="26"/>
      <c r="AG390" s="26"/>
      <c r="AH390" s="26"/>
      <c r="AI390" s="26"/>
      <c r="AJ390" s="26"/>
      <c r="AK390" s="26">
        <v>0</v>
      </c>
      <c r="AL390" s="26"/>
      <c r="AM390" s="26">
        <v>0</v>
      </c>
      <c r="AN390" s="26"/>
      <c r="AO390" s="26">
        <v>0</v>
      </c>
      <c r="AP390" s="26"/>
      <c r="AQ390" s="26">
        <v>0</v>
      </c>
      <c r="AR390" s="26"/>
      <c r="AS390" s="54">
        <f t="shared" si="18"/>
        <v>0</v>
      </c>
      <c r="AT390" s="26"/>
      <c r="AU390" s="54">
        <f t="shared" si="19"/>
        <v>22819180</v>
      </c>
    </row>
    <row r="391" spans="1:47">
      <c r="A391" s="13" t="s">
        <v>451</v>
      </c>
      <c r="B391" s="13"/>
      <c r="C391" s="13" t="s">
        <v>37</v>
      </c>
      <c r="D391" s="13"/>
      <c r="E391" s="32">
        <v>44560</v>
      </c>
      <c r="F391" s="26"/>
      <c r="G391" s="26">
        <v>8167953</v>
      </c>
      <c r="H391" s="26"/>
      <c r="I391" s="26">
        <v>1922603</v>
      </c>
      <c r="J391" s="26"/>
      <c r="K391" s="26">
        <v>16531306</v>
      </c>
      <c r="L391" s="26"/>
      <c r="M391" s="26">
        <v>757489</v>
      </c>
      <c r="N391" s="26"/>
      <c r="O391" s="26">
        <v>96451</v>
      </c>
      <c r="P391" s="26"/>
      <c r="Q391" s="26">
        <v>295328</v>
      </c>
      <c r="R391" s="26"/>
      <c r="S391" s="26">
        <v>0</v>
      </c>
      <c r="T391" s="26"/>
      <c r="U391" s="26">
        <v>118838</v>
      </c>
      <c r="V391" s="26"/>
      <c r="W391" s="26">
        <v>454309</v>
      </c>
      <c r="X391" s="26"/>
      <c r="Y391" s="54">
        <f t="shared" si="17"/>
        <v>28344277</v>
      </c>
      <c r="Z391" s="26"/>
      <c r="AA391" s="26">
        <v>0</v>
      </c>
      <c r="AB391" s="26"/>
      <c r="AC391" s="26"/>
      <c r="AD391" s="26"/>
      <c r="AE391" s="26">
        <v>7313</v>
      </c>
      <c r="AF391" s="26"/>
      <c r="AG391" s="26"/>
      <c r="AH391" s="26"/>
      <c r="AI391" s="26"/>
      <c r="AJ391" s="26"/>
      <c r="AK391" s="26">
        <v>7313</v>
      </c>
      <c r="AL391" s="26"/>
      <c r="AM391" s="26">
        <v>0</v>
      </c>
      <c r="AN391" s="26"/>
      <c r="AO391" s="26">
        <v>0</v>
      </c>
      <c r="AP391" s="26"/>
      <c r="AQ391" s="26">
        <v>0</v>
      </c>
      <c r="AR391" s="26"/>
      <c r="AS391" s="54">
        <f t="shared" si="18"/>
        <v>14626</v>
      </c>
      <c r="AT391" s="26"/>
      <c r="AU391" s="54">
        <f t="shared" si="19"/>
        <v>28358903</v>
      </c>
    </row>
    <row r="392" spans="1:47">
      <c r="A392" s="13" t="s">
        <v>902</v>
      </c>
      <c r="B392" s="13"/>
      <c r="C392" s="13" t="s">
        <v>32</v>
      </c>
      <c r="D392" s="13"/>
      <c r="E392" s="32">
        <v>44578</v>
      </c>
      <c r="F392" s="26"/>
      <c r="G392" s="26">
        <v>12956278</v>
      </c>
      <c r="H392" s="26"/>
      <c r="I392" s="26">
        <v>0</v>
      </c>
      <c r="J392" s="26"/>
      <c r="K392" s="26">
        <v>13639421</v>
      </c>
      <c r="L392" s="26"/>
      <c r="M392" s="26">
        <v>437553</v>
      </c>
      <c r="N392" s="26"/>
      <c r="O392" s="26">
        <v>40097</v>
      </c>
      <c r="P392" s="26"/>
      <c r="Q392" s="26">
        <v>0</v>
      </c>
      <c r="R392" s="26"/>
      <c r="S392" s="26">
        <v>82266</v>
      </c>
      <c r="T392" s="26"/>
      <c r="U392" s="26">
        <v>0</v>
      </c>
      <c r="V392" s="26"/>
      <c r="W392" s="26">
        <v>630020</v>
      </c>
      <c r="X392" s="26"/>
      <c r="Y392" s="54">
        <f t="shared" si="17"/>
        <v>27785635</v>
      </c>
      <c r="Z392" s="26"/>
      <c r="AA392" s="26">
        <v>83000</v>
      </c>
      <c r="AB392" s="26"/>
      <c r="AC392" s="26"/>
      <c r="AD392" s="26"/>
      <c r="AE392" s="26">
        <v>0</v>
      </c>
      <c r="AF392" s="26"/>
      <c r="AG392" s="26"/>
      <c r="AH392" s="26"/>
      <c r="AI392" s="26"/>
      <c r="AJ392" s="26"/>
      <c r="AK392" s="26">
        <v>0</v>
      </c>
      <c r="AL392" s="26"/>
      <c r="AM392" s="26">
        <v>0</v>
      </c>
      <c r="AN392" s="26"/>
      <c r="AO392" s="26">
        <v>0</v>
      </c>
      <c r="AP392" s="26"/>
      <c r="AQ392" s="26">
        <v>0</v>
      </c>
      <c r="AR392" s="26"/>
      <c r="AS392" s="54">
        <f t="shared" si="18"/>
        <v>83000</v>
      </c>
      <c r="AT392" s="26"/>
      <c r="AU392" s="54">
        <f t="shared" si="19"/>
        <v>27868635</v>
      </c>
    </row>
    <row r="393" spans="1:47">
      <c r="A393" s="13" t="s">
        <v>409</v>
      </c>
      <c r="B393" s="13"/>
      <c r="C393" s="13" t="s">
        <v>32</v>
      </c>
      <c r="D393" s="13"/>
      <c r="E393" s="32">
        <v>47373</v>
      </c>
      <c r="F393" s="26"/>
      <c r="G393" s="26">
        <v>30772915</v>
      </c>
      <c r="H393" s="26"/>
      <c r="I393" s="26">
        <v>0</v>
      </c>
      <c r="J393" s="26"/>
      <c r="K393" s="26">
        <v>31672670</v>
      </c>
      <c r="L393" s="26"/>
      <c r="M393" s="26">
        <v>1543598</v>
      </c>
      <c r="N393" s="26"/>
      <c r="O393" s="26">
        <v>1593704</v>
      </c>
      <c r="P393" s="26"/>
      <c r="Q393" s="26">
        <v>1466148</v>
      </c>
      <c r="R393" s="26"/>
      <c r="S393" s="26">
        <v>7884327</v>
      </c>
      <c r="T393" s="26"/>
      <c r="U393" s="26">
        <v>0</v>
      </c>
      <c r="V393" s="26"/>
      <c r="W393" s="26">
        <v>3068803</v>
      </c>
      <c r="X393" s="26"/>
      <c r="Y393" s="54">
        <f t="shared" si="17"/>
        <v>78002165</v>
      </c>
      <c r="Z393" s="26"/>
      <c r="AA393" s="26">
        <v>381212</v>
      </c>
      <c r="AB393" s="26"/>
      <c r="AC393" s="26"/>
      <c r="AD393" s="26"/>
      <c r="AE393" s="26">
        <v>0</v>
      </c>
      <c r="AF393" s="26"/>
      <c r="AG393" s="26"/>
      <c r="AH393" s="26"/>
      <c r="AI393" s="26"/>
      <c r="AJ393" s="26"/>
      <c r="AK393" s="26">
        <v>0</v>
      </c>
      <c r="AL393" s="26"/>
      <c r="AM393" s="26">
        <v>0</v>
      </c>
      <c r="AN393" s="26"/>
      <c r="AO393" s="26">
        <v>0</v>
      </c>
      <c r="AP393" s="26"/>
      <c r="AQ393" s="26">
        <v>0</v>
      </c>
      <c r="AR393" s="26"/>
      <c r="AS393" s="54">
        <f t="shared" si="18"/>
        <v>381212</v>
      </c>
      <c r="AT393" s="26"/>
      <c r="AU393" s="54">
        <f t="shared" si="19"/>
        <v>78383377</v>
      </c>
    </row>
    <row r="394" spans="1:47">
      <c r="A394" s="13" t="s">
        <v>562</v>
      </c>
      <c r="B394" s="13"/>
      <c r="C394" s="13" t="s">
        <v>50</v>
      </c>
      <c r="D394" s="13"/>
      <c r="E394" s="32">
        <v>44586</v>
      </c>
      <c r="F394" s="26"/>
      <c r="G394" s="26">
        <v>14333837</v>
      </c>
      <c r="H394" s="26"/>
      <c r="I394" s="26">
        <v>0</v>
      </c>
      <c r="J394" s="26"/>
      <c r="K394" s="26">
        <v>8328736</v>
      </c>
      <c r="L394" s="26"/>
      <c r="M394" s="26">
        <v>186722</v>
      </c>
      <c r="N394" s="26"/>
      <c r="O394" s="26">
        <v>136579</v>
      </c>
      <c r="P394" s="26"/>
      <c r="Q394" s="26">
        <v>328299</v>
      </c>
      <c r="R394" s="26"/>
      <c r="S394" s="26">
        <v>0</v>
      </c>
      <c r="T394" s="26"/>
      <c r="U394" s="26">
        <v>125938</v>
      </c>
      <c r="V394" s="26"/>
      <c r="W394" s="26">
        <f>1485+264882+464614</f>
        <v>730981</v>
      </c>
      <c r="X394" s="26"/>
      <c r="Y394" s="54">
        <f t="shared" si="17"/>
        <v>24171092</v>
      </c>
      <c r="Z394" s="26"/>
      <c r="AA394" s="26">
        <v>343469</v>
      </c>
      <c r="AB394" s="26"/>
      <c r="AC394" s="26"/>
      <c r="AD394" s="26"/>
      <c r="AE394" s="26">
        <v>0</v>
      </c>
      <c r="AF394" s="26"/>
      <c r="AG394" s="26"/>
      <c r="AH394" s="26"/>
      <c r="AI394" s="26"/>
      <c r="AJ394" s="26"/>
      <c r="AK394" s="26">
        <v>0</v>
      </c>
      <c r="AL394" s="26"/>
      <c r="AM394" s="26">
        <v>0</v>
      </c>
      <c r="AN394" s="26"/>
      <c r="AO394" s="26">
        <v>0</v>
      </c>
      <c r="AP394" s="26"/>
      <c r="AQ394" s="26">
        <v>0</v>
      </c>
      <c r="AR394" s="26"/>
      <c r="AS394" s="54">
        <f t="shared" si="18"/>
        <v>343469</v>
      </c>
      <c r="AT394" s="26"/>
      <c r="AU394" s="54">
        <f t="shared" si="19"/>
        <v>24514561</v>
      </c>
    </row>
    <row r="395" spans="1:47">
      <c r="A395" s="13" t="s">
        <v>499</v>
      </c>
      <c r="B395" s="13"/>
      <c r="C395" s="13" t="s">
        <v>44</v>
      </c>
      <c r="D395" s="13"/>
      <c r="E395" s="32">
        <v>44594</v>
      </c>
      <c r="F395" s="26"/>
      <c r="G395" s="26">
        <v>7903131</v>
      </c>
      <c r="H395" s="26"/>
      <c r="I395" s="26">
        <v>0</v>
      </c>
      <c r="J395" s="26"/>
      <c r="K395" s="26">
        <v>5453622</v>
      </c>
      <c r="L395" s="26"/>
      <c r="M395" s="26">
        <v>93189</v>
      </c>
      <c r="N395" s="26"/>
      <c r="O395" s="26">
        <v>310942</v>
      </c>
      <c r="P395" s="26"/>
      <c r="Q395" s="26">
        <v>37895</v>
      </c>
      <c r="R395" s="26"/>
      <c r="S395" s="26">
        <v>0</v>
      </c>
      <c r="T395" s="26"/>
      <c r="U395" s="26">
        <v>0</v>
      </c>
      <c r="V395" s="26"/>
      <c r="W395" s="26">
        <f>114064+230253</f>
        <v>344317</v>
      </c>
      <c r="X395" s="26"/>
      <c r="Y395" s="54">
        <f t="shared" si="17"/>
        <v>14143096</v>
      </c>
      <c r="Z395" s="26"/>
      <c r="AA395" s="26">
        <v>77200</v>
      </c>
      <c r="AB395" s="26"/>
      <c r="AC395" s="26"/>
      <c r="AD395" s="26"/>
      <c r="AE395" s="26">
        <v>0</v>
      </c>
      <c r="AF395" s="26"/>
      <c r="AG395" s="26"/>
      <c r="AH395" s="26"/>
      <c r="AI395" s="26"/>
      <c r="AJ395" s="26"/>
      <c r="AK395" s="26">
        <v>0</v>
      </c>
      <c r="AL395" s="26"/>
      <c r="AM395" s="26">
        <v>0</v>
      </c>
      <c r="AN395" s="26"/>
      <c r="AO395" s="26">
        <v>0</v>
      </c>
      <c r="AP395" s="26"/>
      <c r="AQ395" s="26">
        <v>0</v>
      </c>
      <c r="AR395" s="26"/>
      <c r="AS395" s="54">
        <f t="shared" si="18"/>
        <v>77200</v>
      </c>
      <c r="AT395" s="26"/>
      <c r="AU395" s="54">
        <f t="shared" si="19"/>
        <v>14220296</v>
      </c>
    </row>
    <row r="396" spans="1:47" hidden="1">
      <c r="A396" s="13" t="s">
        <v>643</v>
      </c>
      <c r="B396" s="13"/>
      <c r="C396" s="13" t="s">
        <v>60</v>
      </c>
      <c r="D396" s="13"/>
      <c r="E396" s="32">
        <v>49726</v>
      </c>
      <c r="F396" s="26"/>
      <c r="G396" s="26">
        <v>0</v>
      </c>
      <c r="H396" s="26"/>
      <c r="I396" s="26">
        <v>0</v>
      </c>
      <c r="J396" s="26"/>
      <c r="K396" s="26">
        <v>0</v>
      </c>
      <c r="L396" s="26"/>
      <c r="M396" s="26">
        <v>0</v>
      </c>
      <c r="N396" s="26"/>
      <c r="O396" s="26">
        <v>0</v>
      </c>
      <c r="P396" s="26"/>
      <c r="Q396" s="26">
        <v>0</v>
      </c>
      <c r="R396" s="26"/>
      <c r="S396" s="26">
        <v>0</v>
      </c>
      <c r="T396" s="26"/>
      <c r="U396" s="26">
        <v>0</v>
      </c>
      <c r="V396" s="26"/>
      <c r="W396" s="26">
        <v>0</v>
      </c>
      <c r="X396" s="26"/>
      <c r="Y396" s="54">
        <f t="shared" si="17"/>
        <v>0</v>
      </c>
      <c r="Z396" s="26"/>
      <c r="AA396" s="26">
        <v>0</v>
      </c>
      <c r="AB396" s="26"/>
      <c r="AC396" s="26"/>
      <c r="AD396" s="26"/>
      <c r="AE396" s="26">
        <v>0</v>
      </c>
      <c r="AF396" s="26"/>
      <c r="AG396" s="26"/>
      <c r="AH396" s="26"/>
      <c r="AI396" s="26"/>
      <c r="AJ396" s="26"/>
      <c r="AK396" s="26">
        <v>0</v>
      </c>
      <c r="AL396" s="26"/>
      <c r="AM396" s="26">
        <v>0</v>
      </c>
      <c r="AN396" s="26"/>
      <c r="AO396" s="26">
        <v>0</v>
      </c>
      <c r="AP396" s="26"/>
      <c r="AQ396" s="26">
        <v>0</v>
      </c>
      <c r="AR396" s="26"/>
      <c r="AS396" s="54">
        <f t="shared" si="18"/>
        <v>0</v>
      </c>
      <c r="AT396" s="26"/>
      <c r="AU396" s="54">
        <f t="shared" si="19"/>
        <v>0</v>
      </c>
    </row>
    <row r="397" spans="1:47">
      <c r="A397" s="13" t="s">
        <v>339</v>
      </c>
      <c r="B397" s="13"/>
      <c r="C397" s="13" t="s">
        <v>23</v>
      </c>
      <c r="D397" s="13"/>
      <c r="E397" s="32">
        <v>46763</v>
      </c>
      <c r="F397" s="26"/>
      <c r="G397" s="26">
        <v>113844843</v>
      </c>
      <c r="H397" s="26"/>
      <c r="I397" s="26">
        <v>0</v>
      </c>
      <c r="J397" s="26"/>
      <c r="K397" s="26">
        <f>3569344+20031316+740872</f>
        <v>24341532</v>
      </c>
      <c r="L397" s="26"/>
      <c r="M397" s="26">
        <v>4474517</v>
      </c>
      <c r="N397" s="26"/>
      <c r="O397" s="26">
        <f>4493533+1223276</f>
        <v>5716809</v>
      </c>
      <c r="P397" s="26"/>
      <c r="Q397" s="26">
        <v>455463</v>
      </c>
      <c r="R397" s="26"/>
      <c r="S397" s="26">
        <v>0</v>
      </c>
      <c r="T397" s="26"/>
      <c r="U397" s="26">
        <v>0</v>
      </c>
      <c r="V397" s="26"/>
      <c r="W397" s="26">
        <v>1186247</v>
      </c>
      <c r="X397" s="26"/>
      <c r="Y397" s="54">
        <f t="shared" si="17"/>
        <v>150019411</v>
      </c>
      <c r="Z397" s="26"/>
      <c r="AA397" s="26">
        <v>0</v>
      </c>
      <c r="AB397" s="26"/>
      <c r="AC397" s="26"/>
      <c r="AD397" s="26"/>
      <c r="AE397" s="26">
        <f>18578+36400000+598093+9339997</f>
        <v>46356668</v>
      </c>
      <c r="AF397" s="26"/>
      <c r="AG397" s="26"/>
      <c r="AH397" s="26"/>
      <c r="AI397" s="26"/>
      <c r="AJ397" s="26"/>
      <c r="AK397" s="26">
        <v>0</v>
      </c>
      <c r="AL397" s="26"/>
      <c r="AM397" s="26">
        <v>0</v>
      </c>
      <c r="AN397" s="26"/>
      <c r="AO397" s="26">
        <v>0</v>
      </c>
      <c r="AP397" s="26"/>
      <c r="AQ397" s="26">
        <v>0</v>
      </c>
      <c r="AR397" s="26"/>
      <c r="AS397" s="54">
        <f t="shared" si="18"/>
        <v>46356668</v>
      </c>
      <c r="AT397" s="26"/>
      <c r="AU397" s="54">
        <f t="shared" si="19"/>
        <v>196376079</v>
      </c>
    </row>
    <row r="398" spans="1:47">
      <c r="A398" s="13" t="s">
        <v>319</v>
      </c>
      <c r="B398" s="13"/>
      <c r="C398" s="13" t="s">
        <v>20</v>
      </c>
      <c r="D398" s="13"/>
      <c r="E398" s="13">
        <v>46573</v>
      </c>
      <c r="F398" s="26"/>
      <c r="G398" s="26">
        <v>21751895</v>
      </c>
      <c r="H398" s="26"/>
      <c r="I398" s="26">
        <v>0</v>
      </c>
      <c r="J398" s="26"/>
      <c r="K398" s="26">
        <v>15946303</v>
      </c>
      <c r="L398" s="26"/>
      <c r="M398" s="26">
        <v>1281793</v>
      </c>
      <c r="N398" s="26"/>
      <c r="O398" s="26">
        <v>293790</v>
      </c>
      <c r="P398" s="26"/>
      <c r="Q398" s="26">
        <v>0</v>
      </c>
      <c r="R398" s="26"/>
      <c r="S398" s="26">
        <v>434352</v>
      </c>
      <c r="T398" s="26"/>
      <c r="U398" s="26">
        <v>112366</v>
      </c>
      <c r="V398" s="26"/>
      <c r="W398" s="26">
        <f>5892+1173841+323919</f>
        <v>1503652</v>
      </c>
      <c r="X398" s="26"/>
      <c r="Y398" s="54">
        <f t="shared" si="17"/>
        <v>41324151</v>
      </c>
      <c r="Z398" s="26"/>
      <c r="AA398" s="26">
        <v>0</v>
      </c>
      <c r="AB398" s="26"/>
      <c r="AC398" s="26"/>
      <c r="AD398" s="26"/>
      <c r="AE398" s="26">
        <f>14755972+2244000+1481992+406206+15527</f>
        <v>18903697</v>
      </c>
      <c r="AF398" s="26"/>
      <c r="AG398" s="26"/>
      <c r="AH398" s="26"/>
      <c r="AI398" s="26"/>
      <c r="AJ398" s="26"/>
      <c r="AK398" s="26">
        <v>0</v>
      </c>
      <c r="AL398" s="26"/>
      <c r="AM398" s="26">
        <v>0</v>
      </c>
      <c r="AN398" s="26"/>
      <c r="AO398" s="26">
        <v>0</v>
      </c>
      <c r="AP398" s="26"/>
      <c r="AQ398" s="26">
        <v>0</v>
      </c>
      <c r="AR398" s="26"/>
      <c r="AS398" s="54">
        <f t="shared" si="18"/>
        <v>18903697</v>
      </c>
      <c r="AT398" s="26"/>
      <c r="AU398" s="54">
        <f t="shared" si="19"/>
        <v>60227848</v>
      </c>
    </row>
    <row r="399" spans="1:47">
      <c r="A399" s="13" t="s">
        <v>618</v>
      </c>
      <c r="B399" s="13"/>
      <c r="C399" s="13" t="s">
        <v>113</v>
      </c>
      <c r="D399" s="13"/>
      <c r="E399" s="32">
        <v>49478</v>
      </c>
      <c r="F399" s="26"/>
      <c r="G399" s="26">
        <v>12390672</v>
      </c>
      <c r="H399" s="26"/>
      <c r="I399" s="26">
        <v>0</v>
      </c>
      <c r="J399" s="26"/>
      <c r="K399" s="26">
        <f>42140+4725866+676255</f>
        <v>5444261</v>
      </c>
      <c r="L399" s="26"/>
      <c r="M399" s="26">
        <v>405134</v>
      </c>
      <c r="N399" s="26"/>
      <c r="O399" s="26">
        <v>148050</v>
      </c>
      <c r="P399" s="26"/>
      <c r="Q399" s="26">
        <v>255064</v>
      </c>
      <c r="R399" s="26"/>
      <c r="S399" s="26">
        <v>0</v>
      </c>
      <c r="T399" s="26"/>
      <c r="U399" s="26">
        <v>0</v>
      </c>
      <c r="V399" s="26"/>
      <c r="W399" s="26">
        <f>430086+125202+210573</f>
        <v>765861</v>
      </c>
      <c r="X399" s="26"/>
      <c r="Y399" s="54">
        <f t="shared" si="17"/>
        <v>19409042</v>
      </c>
      <c r="Z399" s="26"/>
      <c r="AA399" s="26">
        <v>30636</v>
      </c>
      <c r="AB399" s="26"/>
      <c r="AC399" s="26"/>
      <c r="AD399" s="26"/>
      <c r="AE399" s="26">
        <v>0</v>
      </c>
      <c r="AF399" s="26"/>
      <c r="AG399" s="26"/>
      <c r="AH399" s="26"/>
      <c r="AI399" s="26"/>
      <c r="AJ399" s="26"/>
      <c r="AK399" s="26">
        <v>0</v>
      </c>
      <c r="AL399" s="26"/>
      <c r="AM399" s="26">
        <v>0</v>
      </c>
      <c r="AN399" s="26"/>
      <c r="AO399" s="26">
        <v>0</v>
      </c>
      <c r="AP399" s="26"/>
      <c r="AQ399" s="26">
        <v>0</v>
      </c>
      <c r="AR399" s="26"/>
      <c r="AS399" s="54">
        <f t="shared" ref="AS399:AS457" si="20">AK399+AE399+AA399</f>
        <v>30636</v>
      </c>
      <c r="AT399" s="26"/>
      <c r="AU399" s="54">
        <f t="shared" ref="AU399:AU457" si="21">Y399+AS399</f>
        <v>19439678</v>
      </c>
    </row>
    <row r="400" spans="1:47">
      <c r="A400" s="13" t="s">
        <v>320</v>
      </c>
      <c r="B400" s="13"/>
      <c r="C400" s="13" t="s">
        <v>20</v>
      </c>
      <c r="D400" s="13"/>
      <c r="E400" s="32">
        <v>46581</v>
      </c>
      <c r="F400" s="26"/>
      <c r="G400" s="26">
        <v>39879562</v>
      </c>
      <c r="H400" s="26"/>
      <c r="I400" s="26">
        <v>0</v>
      </c>
      <c r="J400" s="26"/>
      <c r="K400" s="26">
        <v>9538474</v>
      </c>
      <c r="L400" s="26"/>
      <c r="M400" s="26">
        <v>1782271</v>
      </c>
      <c r="N400" s="26"/>
      <c r="O400" s="26">
        <f>2820356+77844</f>
        <v>2898200</v>
      </c>
      <c r="P400" s="26"/>
      <c r="Q400" s="26">
        <v>202607</v>
      </c>
      <c r="R400" s="26"/>
      <c r="S400" s="26">
        <v>0</v>
      </c>
      <c r="T400" s="26"/>
      <c r="U400" s="26">
        <v>0</v>
      </c>
      <c r="V400" s="26"/>
      <c r="W400" s="26">
        <f>491963+7230+107769</f>
        <v>606962</v>
      </c>
      <c r="X400" s="26"/>
      <c r="Y400" s="54">
        <f t="shared" ref="Y400:Y405" si="22">SUM(G400:W400)</f>
        <v>54908076</v>
      </c>
      <c r="Z400" s="26"/>
      <c r="AA400" s="26">
        <v>260319</v>
      </c>
      <c r="AB400" s="26"/>
      <c r="AC400" s="26"/>
      <c r="AD400" s="26"/>
      <c r="AE400" s="26">
        <f>3612+294690</f>
        <v>298302</v>
      </c>
      <c r="AF400" s="26"/>
      <c r="AG400" s="26"/>
      <c r="AH400" s="26"/>
      <c r="AI400" s="26"/>
      <c r="AJ400" s="26"/>
      <c r="AK400" s="26">
        <v>0</v>
      </c>
      <c r="AL400" s="26"/>
      <c r="AM400" s="26">
        <v>0</v>
      </c>
      <c r="AN400" s="26"/>
      <c r="AO400" s="26">
        <v>0</v>
      </c>
      <c r="AP400" s="26"/>
      <c r="AQ400" s="26">
        <v>0</v>
      </c>
      <c r="AR400" s="26"/>
      <c r="AS400" s="54">
        <f t="shared" si="20"/>
        <v>558621</v>
      </c>
      <c r="AT400" s="26"/>
      <c r="AU400" s="54">
        <f t="shared" si="21"/>
        <v>55466697</v>
      </c>
    </row>
    <row r="401" spans="1:47">
      <c r="A401" s="13" t="s">
        <v>504</v>
      </c>
      <c r="B401" s="13"/>
      <c r="C401" s="13" t="s">
        <v>118</v>
      </c>
      <c r="D401" s="13"/>
      <c r="E401" s="32">
        <v>44602</v>
      </c>
      <c r="F401" s="26"/>
      <c r="G401" s="26">
        <v>24573493</v>
      </c>
      <c r="H401" s="26"/>
      <c r="I401" s="26">
        <v>0</v>
      </c>
      <c r="J401" s="26"/>
      <c r="K401" s="26">
        <f>17047159+2323193</f>
        <v>19370352</v>
      </c>
      <c r="L401" s="26"/>
      <c r="M401" s="26">
        <v>1040897</v>
      </c>
      <c r="N401" s="26"/>
      <c r="O401" s="26">
        <f>1473809+116050</f>
        <v>1589859</v>
      </c>
      <c r="P401" s="26"/>
      <c r="Q401" s="26">
        <v>242367</v>
      </c>
      <c r="R401" s="26"/>
      <c r="S401" s="26">
        <v>708411</v>
      </c>
      <c r="T401" s="26"/>
      <c r="U401" s="26">
        <v>0</v>
      </c>
      <c r="V401" s="26"/>
      <c r="W401" s="26">
        <f>1000011+130780</f>
        <v>1130791</v>
      </c>
      <c r="X401" s="26"/>
      <c r="Y401" s="54">
        <f t="shared" si="22"/>
        <v>48656170</v>
      </c>
      <c r="Z401" s="26"/>
      <c r="AA401" s="26">
        <v>2360</v>
      </c>
      <c r="AB401" s="26"/>
      <c r="AC401" s="26"/>
      <c r="AD401" s="26"/>
      <c r="AE401" s="26">
        <v>9305</v>
      </c>
      <c r="AF401" s="26"/>
      <c r="AG401" s="26"/>
      <c r="AH401" s="26"/>
      <c r="AI401" s="26"/>
      <c r="AJ401" s="26"/>
      <c r="AK401" s="26">
        <v>0</v>
      </c>
      <c r="AL401" s="26"/>
      <c r="AM401" s="26">
        <v>0</v>
      </c>
      <c r="AN401" s="26"/>
      <c r="AO401" s="26">
        <v>0</v>
      </c>
      <c r="AP401" s="26"/>
      <c r="AQ401" s="26">
        <v>0</v>
      </c>
      <c r="AR401" s="26"/>
      <c r="AS401" s="54">
        <f t="shared" si="20"/>
        <v>11665</v>
      </c>
      <c r="AT401" s="26"/>
      <c r="AU401" s="54">
        <f t="shared" si="21"/>
        <v>48667835</v>
      </c>
    </row>
    <row r="402" spans="1:47">
      <c r="A402" s="13" t="s">
        <v>729</v>
      </c>
      <c r="B402" s="13"/>
      <c r="C402" s="13" t="s">
        <v>71</v>
      </c>
      <c r="D402" s="13"/>
      <c r="E402" s="32">
        <v>44610</v>
      </c>
      <c r="F402" s="26"/>
      <c r="G402" s="26">
        <v>8213431</v>
      </c>
      <c r="H402" s="26"/>
      <c r="I402" s="26">
        <v>0</v>
      </c>
      <c r="J402" s="26"/>
      <c r="K402" s="26">
        <v>8594694</v>
      </c>
      <c r="L402" s="26"/>
      <c r="M402" s="26">
        <v>1287534</v>
      </c>
      <c r="N402" s="26"/>
      <c r="O402" s="26">
        <v>278202</v>
      </c>
      <c r="P402" s="26"/>
      <c r="Q402" s="26">
        <v>301665</v>
      </c>
      <c r="R402" s="26"/>
      <c r="S402" s="26">
        <v>0</v>
      </c>
      <c r="T402" s="26"/>
      <c r="U402" s="26">
        <v>14399</v>
      </c>
      <c r="V402" s="26"/>
      <c r="W402" s="26">
        <f>6463+379977+36302</f>
        <v>422742</v>
      </c>
      <c r="X402" s="26"/>
      <c r="Y402" s="54">
        <f t="shared" si="22"/>
        <v>19112667</v>
      </c>
      <c r="Z402" s="26"/>
      <c r="AA402" s="26">
        <v>0</v>
      </c>
      <c r="AB402" s="26"/>
      <c r="AC402" s="26"/>
      <c r="AD402" s="26"/>
      <c r="AE402" s="26">
        <f>1000000+57457+765688+17670000</f>
        <v>19493145</v>
      </c>
      <c r="AF402" s="26"/>
      <c r="AG402" s="26"/>
      <c r="AH402" s="26"/>
      <c r="AI402" s="26"/>
      <c r="AJ402" s="26"/>
      <c r="AK402" s="26">
        <v>0</v>
      </c>
      <c r="AL402" s="26"/>
      <c r="AM402" s="26">
        <v>0</v>
      </c>
      <c r="AN402" s="26"/>
      <c r="AO402" s="26">
        <v>0</v>
      </c>
      <c r="AP402" s="26"/>
      <c r="AQ402" s="26">
        <v>0</v>
      </c>
      <c r="AR402" s="26"/>
      <c r="AS402" s="54">
        <f t="shared" si="20"/>
        <v>19493145</v>
      </c>
      <c r="AT402" s="26"/>
      <c r="AU402" s="54">
        <f t="shared" si="21"/>
        <v>38605812</v>
      </c>
    </row>
    <row r="403" spans="1:47">
      <c r="A403" s="13" t="s">
        <v>664</v>
      </c>
      <c r="B403" s="13"/>
      <c r="C403" s="13" t="s">
        <v>62</v>
      </c>
      <c r="D403" s="13"/>
      <c r="E403" s="32">
        <v>49916</v>
      </c>
      <c r="F403" s="26"/>
      <c r="G403" s="26">
        <v>2614021</v>
      </c>
      <c r="H403" s="26"/>
      <c r="I403" s="26">
        <v>0</v>
      </c>
      <c r="J403" s="26"/>
      <c r="K403" s="26">
        <f>400+9999815+471062</f>
        <v>10471277</v>
      </c>
      <c r="L403" s="26"/>
      <c r="M403" s="26">
        <v>733060</v>
      </c>
      <c r="N403" s="26"/>
      <c r="O403" s="26">
        <f>363921+32526</f>
        <v>396447</v>
      </c>
      <c r="P403" s="26"/>
      <c r="Q403" s="26">
        <v>174028</v>
      </c>
      <c r="R403" s="26"/>
      <c r="S403" s="26">
        <v>0</v>
      </c>
      <c r="T403" s="26"/>
      <c r="U403" s="26">
        <v>0</v>
      </c>
      <c r="V403" s="26"/>
      <c r="W403" s="26">
        <f>199308+30242</f>
        <v>229550</v>
      </c>
      <c r="X403" s="26"/>
      <c r="Y403" s="54">
        <f t="shared" si="22"/>
        <v>14618383</v>
      </c>
      <c r="Z403" s="26"/>
      <c r="AA403" s="26">
        <v>0</v>
      </c>
      <c r="AB403" s="26"/>
      <c r="AC403" s="26"/>
      <c r="AD403" s="26"/>
      <c r="AE403" s="26">
        <v>0</v>
      </c>
      <c r="AF403" s="26"/>
      <c r="AG403" s="26"/>
      <c r="AH403" s="26"/>
      <c r="AI403" s="26"/>
      <c r="AJ403" s="26"/>
      <c r="AK403" s="26">
        <v>4474</v>
      </c>
      <c r="AL403" s="26"/>
      <c r="AM403" s="26">
        <v>0</v>
      </c>
      <c r="AN403" s="26"/>
      <c r="AO403" s="26">
        <v>0</v>
      </c>
      <c r="AP403" s="26"/>
      <c r="AQ403" s="26">
        <v>0</v>
      </c>
      <c r="AR403" s="26"/>
      <c r="AS403" s="54">
        <f t="shared" si="20"/>
        <v>4474</v>
      </c>
      <c r="AT403" s="26"/>
      <c r="AU403" s="54">
        <f t="shared" si="21"/>
        <v>14622857</v>
      </c>
    </row>
    <row r="404" spans="1:47">
      <c r="A404" s="13" t="s">
        <v>743</v>
      </c>
      <c r="B404" s="13"/>
      <c r="C404" s="13" t="s">
        <v>72</v>
      </c>
      <c r="D404" s="13"/>
      <c r="E404" s="32">
        <v>50724</v>
      </c>
      <c r="F404" s="26"/>
      <c r="G404" s="26">
        <v>5075420</v>
      </c>
      <c r="H404" s="26"/>
      <c r="I404" s="26">
        <v>2509647</v>
      </c>
      <c r="J404" s="26"/>
      <c r="K404" s="26">
        <v>7470069</v>
      </c>
      <c r="L404" s="26"/>
      <c r="M404" s="26">
        <v>152711</v>
      </c>
      <c r="N404" s="26"/>
      <c r="O404" s="26">
        <v>643945</v>
      </c>
      <c r="P404" s="26"/>
      <c r="Q404" s="26">
        <v>129344</v>
      </c>
      <c r="R404" s="26"/>
      <c r="S404" s="26">
        <v>0</v>
      </c>
      <c r="T404" s="26"/>
      <c r="U404" s="26">
        <v>21736</v>
      </c>
      <c r="V404" s="26"/>
      <c r="W404" s="26">
        <f>431260+102969</f>
        <v>534229</v>
      </c>
      <c r="X404" s="26"/>
      <c r="Y404" s="54">
        <f t="shared" si="22"/>
        <v>16537101</v>
      </c>
      <c r="Z404" s="26"/>
      <c r="AA404" s="26">
        <v>60000</v>
      </c>
      <c r="AB404" s="26"/>
      <c r="AC404" s="26"/>
      <c r="AD404" s="26"/>
      <c r="AE404" s="26">
        <v>0</v>
      </c>
      <c r="AF404" s="26"/>
      <c r="AG404" s="26"/>
      <c r="AH404" s="26"/>
      <c r="AI404" s="26"/>
      <c r="AJ404" s="26"/>
      <c r="AK404" s="26">
        <v>0</v>
      </c>
      <c r="AL404" s="26"/>
      <c r="AM404" s="26">
        <v>0</v>
      </c>
      <c r="AN404" s="26"/>
      <c r="AO404" s="26">
        <v>0</v>
      </c>
      <c r="AP404" s="26"/>
      <c r="AQ404" s="26">
        <v>0</v>
      </c>
      <c r="AR404" s="26"/>
      <c r="AS404" s="54">
        <f t="shared" si="20"/>
        <v>60000</v>
      </c>
      <c r="AT404" s="26"/>
      <c r="AU404" s="54">
        <f t="shared" si="21"/>
        <v>16597101</v>
      </c>
    </row>
    <row r="405" spans="1:47">
      <c r="A405" s="13" t="s">
        <v>505</v>
      </c>
      <c r="B405" s="13"/>
      <c r="C405" s="13" t="s">
        <v>118</v>
      </c>
      <c r="D405" s="13"/>
      <c r="E405" s="32">
        <v>48215</v>
      </c>
      <c r="F405" s="26"/>
      <c r="G405" s="26">
        <v>9509845</v>
      </c>
      <c r="H405" s="26"/>
      <c r="I405" s="26">
        <v>0</v>
      </c>
      <c r="J405" s="26"/>
      <c r="K405" s="26">
        <f>3548516+276185</f>
        <v>3824701</v>
      </c>
      <c r="L405" s="26"/>
      <c r="M405" s="26">
        <v>420085</v>
      </c>
      <c r="N405" s="26"/>
      <c r="O405" s="26">
        <f>66278+2526+78591</f>
        <v>147395</v>
      </c>
      <c r="P405" s="26"/>
      <c r="Q405" s="26">
        <v>204927</v>
      </c>
      <c r="R405" s="26"/>
      <c r="S405" s="26">
        <v>0</v>
      </c>
      <c r="T405" s="26"/>
      <c r="U405" s="26">
        <v>0</v>
      </c>
      <c r="V405" s="26"/>
      <c r="W405" s="26">
        <f>10000+146701</f>
        <v>156701</v>
      </c>
      <c r="X405" s="26"/>
      <c r="Y405" s="54">
        <f t="shared" si="22"/>
        <v>14263654</v>
      </c>
      <c r="Z405" s="26"/>
      <c r="AA405" s="26">
        <v>120905</v>
      </c>
      <c r="AB405" s="26"/>
      <c r="AC405" s="26"/>
      <c r="AD405" s="26"/>
      <c r="AE405" s="26">
        <v>15114</v>
      </c>
      <c r="AF405" s="26"/>
      <c r="AG405" s="26"/>
      <c r="AH405" s="26"/>
      <c r="AI405" s="26"/>
      <c r="AJ405" s="26"/>
      <c r="AK405" s="26">
        <v>0</v>
      </c>
      <c r="AL405" s="26"/>
      <c r="AM405" s="26">
        <v>0</v>
      </c>
      <c r="AN405" s="26"/>
      <c r="AO405" s="26">
        <v>0</v>
      </c>
      <c r="AP405" s="26"/>
      <c r="AQ405" s="26">
        <v>0</v>
      </c>
      <c r="AR405" s="26"/>
      <c r="AS405" s="54">
        <f t="shared" si="20"/>
        <v>136019</v>
      </c>
      <c r="AT405" s="26"/>
      <c r="AU405" s="54">
        <f t="shared" si="21"/>
        <v>14399673</v>
      </c>
    </row>
    <row r="406" spans="1:47" hidden="1">
      <c r="A406" s="13" t="s">
        <v>611</v>
      </c>
      <c r="B406" s="13"/>
      <c r="C406" s="13" t="s">
        <v>608</v>
      </c>
      <c r="D406" s="13"/>
      <c r="E406" s="32">
        <v>49379</v>
      </c>
      <c r="F406" s="26"/>
      <c r="G406" s="26">
        <v>0</v>
      </c>
      <c r="H406" s="26"/>
      <c r="I406" s="26">
        <v>0</v>
      </c>
      <c r="J406" s="26"/>
      <c r="K406" s="26">
        <v>0</v>
      </c>
      <c r="L406" s="26"/>
      <c r="M406" s="26">
        <v>0</v>
      </c>
      <c r="N406" s="26"/>
      <c r="O406" s="26">
        <v>0</v>
      </c>
      <c r="P406" s="26"/>
      <c r="Q406" s="26">
        <v>0</v>
      </c>
      <c r="R406" s="26"/>
      <c r="S406" s="26">
        <v>0</v>
      </c>
      <c r="T406" s="26"/>
      <c r="U406" s="26">
        <v>0</v>
      </c>
      <c r="V406" s="26"/>
      <c r="W406" s="26">
        <v>0</v>
      </c>
      <c r="X406" s="26"/>
      <c r="Y406" s="54">
        <f t="shared" ref="Y406:Y457" si="23">SUM(G406:W406)</f>
        <v>0</v>
      </c>
      <c r="Z406" s="26"/>
      <c r="AA406" s="26">
        <v>0</v>
      </c>
      <c r="AB406" s="26"/>
      <c r="AC406" s="26"/>
      <c r="AD406" s="26"/>
      <c r="AE406" s="26">
        <v>0</v>
      </c>
      <c r="AF406" s="26"/>
      <c r="AG406" s="26"/>
      <c r="AH406" s="26"/>
      <c r="AI406" s="26"/>
      <c r="AJ406" s="26"/>
      <c r="AK406" s="26">
        <v>0</v>
      </c>
      <c r="AL406" s="26"/>
      <c r="AM406" s="26">
        <v>0</v>
      </c>
      <c r="AN406" s="26"/>
      <c r="AO406" s="26">
        <v>0</v>
      </c>
      <c r="AP406" s="26"/>
      <c r="AQ406" s="26">
        <v>0</v>
      </c>
      <c r="AR406" s="26"/>
      <c r="AS406" s="54">
        <f t="shared" si="20"/>
        <v>0</v>
      </c>
      <c r="AT406" s="26"/>
      <c r="AU406" s="54">
        <f t="shared" si="21"/>
        <v>0</v>
      </c>
    </row>
    <row r="407" spans="1:47" hidden="1">
      <c r="A407" s="13" t="s">
        <v>612</v>
      </c>
      <c r="B407" s="13"/>
      <c r="C407" s="13" t="s">
        <v>608</v>
      </c>
      <c r="D407" s="13"/>
      <c r="E407" s="32">
        <v>49387</v>
      </c>
      <c r="F407" s="26"/>
      <c r="G407" s="26">
        <v>0</v>
      </c>
      <c r="H407" s="26"/>
      <c r="I407" s="26">
        <v>0</v>
      </c>
      <c r="J407" s="26"/>
      <c r="K407" s="26">
        <v>0</v>
      </c>
      <c r="L407" s="26"/>
      <c r="M407" s="26">
        <v>0</v>
      </c>
      <c r="N407" s="26"/>
      <c r="O407" s="26">
        <v>0</v>
      </c>
      <c r="P407" s="26"/>
      <c r="Q407" s="26">
        <v>0</v>
      </c>
      <c r="R407" s="26"/>
      <c r="S407" s="26">
        <v>0</v>
      </c>
      <c r="T407" s="26"/>
      <c r="U407" s="26">
        <v>0</v>
      </c>
      <c r="V407" s="26"/>
      <c r="W407" s="26">
        <v>0</v>
      </c>
      <c r="X407" s="26"/>
      <c r="Y407" s="54">
        <f t="shared" si="23"/>
        <v>0</v>
      </c>
      <c r="Z407" s="26"/>
      <c r="AA407" s="26">
        <v>0</v>
      </c>
      <c r="AB407" s="26"/>
      <c r="AC407" s="26"/>
      <c r="AD407" s="26"/>
      <c r="AE407" s="26">
        <v>0</v>
      </c>
      <c r="AF407" s="26"/>
      <c r="AG407" s="26"/>
      <c r="AH407" s="26"/>
      <c r="AI407" s="26"/>
      <c r="AJ407" s="26"/>
      <c r="AK407" s="26">
        <v>0</v>
      </c>
      <c r="AL407" s="26"/>
      <c r="AM407" s="26">
        <v>0</v>
      </c>
      <c r="AN407" s="26"/>
      <c r="AO407" s="26">
        <v>0</v>
      </c>
      <c r="AP407" s="26"/>
      <c r="AQ407" s="26">
        <v>0</v>
      </c>
      <c r="AR407" s="26"/>
      <c r="AS407" s="54">
        <f t="shared" si="20"/>
        <v>0</v>
      </c>
      <c r="AT407" s="26"/>
      <c r="AU407" s="54">
        <f t="shared" si="21"/>
        <v>0</v>
      </c>
    </row>
    <row r="408" spans="1:47">
      <c r="A408" s="13" t="s">
        <v>466</v>
      </c>
      <c r="B408" s="13"/>
      <c r="C408" s="13" t="s">
        <v>41</v>
      </c>
      <c r="D408" s="13"/>
      <c r="E408" s="32">
        <v>44628</v>
      </c>
      <c r="F408" s="26"/>
      <c r="G408" s="26">
        <v>11193447</v>
      </c>
      <c r="H408" s="26"/>
      <c r="I408" s="26">
        <v>0</v>
      </c>
      <c r="J408" s="26"/>
      <c r="K408" s="26">
        <v>55319320</v>
      </c>
      <c r="L408" s="26"/>
      <c r="M408" s="26">
        <v>1623328</v>
      </c>
      <c r="N408" s="26"/>
      <c r="O408" s="26">
        <v>1245547</v>
      </c>
      <c r="P408" s="26"/>
      <c r="Q408" s="26">
        <v>125142</v>
      </c>
      <c r="R408" s="26"/>
      <c r="S408" s="26">
        <v>0</v>
      </c>
      <c r="T408" s="26"/>
      <c r="U408" s="26">
        <v>0</v>
      </c>
      <c r="V408" s="26"/>
      <c r="W408" s="26">
        <v>726174</v>
      </c>
      <c r="X408" s="26"/>
      <c r="Y408" s="54">
        <f t="shared" si="23"/>
        <v>70232958</v>
      </c>
      <c r="Z408" s="26"/>
      <c r="AA408" s="26">
        <v>208576</v>
      </c>
      <c r="AB408" s="26"/>
      <c r="AC408" s="26"/>
      <c r="AD408" s="26"/>
      <c r="AE408" s="26">
        <v>0</v>
      </c>
      <c r="AF408" s="26"/>
      <c r="AG408" s="26"/>
      <c r="AH408" s="26"/>
      <c r="AI408" s="26"/>
      <c r="AJ408" s="26"/>
      <c r="AK408" s="26">
        <v>7710</v>
      </c>
      <c r="AL408" s="26"/>
      <c r="AM408" s="26">
        <v>0</v>
      </c>
      <c r="AN408" s="26"/>
      <c r="AO408" s="26">
        <v>0</v>
      </c>
      <c r="AP408" s="26"/>
      <c r="AQ408" s="26">
        <v>0</v>
      </c>
      <c r="AR408" s="26"/>
      <c r="AS408" s="54">
        <f t="shared" si="20"/>
        <v>216286</v>
      </c>
      <c r="AT408" s="26"/>
      <c r="AU408" s="54">
        <f t="shared" si="21"/>
        <v>70449244</v>
      </c>
    </row>
    <row r="409" spans="1:47" hidden="1">
      <c r="A409" s="13" t="s">
        <v>467</v>
      </c>
      <c r="B409" s="13"/>
      <c r="C409" s="13" t="s">
        <v>41</v>
      </c>
      <c r="D409" s="13"/>
      <c r="E409" s="32">
        <v>47894</v>
      </c>
      <c r="F409" s="26"/>
      <c r="G409" s="26">
        <v>0</v>
      </c>
      <c r="H409" s="26"/>
      <c r="I409" s="26">
        <v>0</v>
      </c>
      <c r="J409" s="26"/>
      <c r="K409" s="26">
        <v>0</v>
      </c>
      <c r="L409" s="26"/>
      <c r="M409" s="26">
        <v>0</v>
      </c>
      <c r="N409" s="26"/>
      <c r="O409" s="26">
        <v>0</v>
      </c>
      <c r="P409" s="26"/>
      <c r="Q409" s="26">
        <v>0</v>
      </c>
      <c r="R409" s="26"/>
      <c r="S409" s="26">
        <v>0</v>
      </c>
      <c r="T409" s="26"/>
      <c r="U409" s="26">
        <v>0</v>
      </c>
      <c r="V409" s="26"/>
      <c r="W409" s="26">
        <v>0</v>
      </c>
      <c r="X409" s="26"/>
      <c r="Y409" s="54">
        <f t="shared" si="23"/>
        <v>0</v>
      </c>
      <c r="Z409" s="26"/>
      <c r="AA409" s="26">
        <v>0</v>
      </c>
      <c r="AB409" s="26"/>
      <c r="AC409" s="26"/>
      <c r="AD409" s="26"/>
      <c r="AE409" s="26">
        <v>0</v>
      </c>
      <c r="AF409" s="26"/>
      <c r="AG409" s="26"/>
      <c r="AH409" s="26"/>
      <c r="AI409" s="26"/>
      <c r="AJ409" s="26"/>
      <c r="AK409" s="26">
        <v>0</v>
      </c>
      <c r="AL409" s="26"/>
      <c r="AM409" s="26">
        <v>0</v>
      </c>
      <c r="AN409" s="26"/>
      <c r="AO409" s="26">
        <v>0</v>
      </c>
      <c r="AP409" s="26"/>
      <c r="AQ409" s="26">
        <v>0</v>
      </c>
      <c r="AR409" s="26"/>
      <c r="AS409" s="54">
        <f t="shared" si="20"/>
        <v>0</v>
      </c>
      <c r="AT409" s="26"/>
      <c r="AU409" s="54">
        <f t="shared" si="21"/>
        <v>0</v>
      </c>
    </row>
    <row r="410" spans="1:47">
      <c r="A410" s="13" t="s">
        <v>624</v>
      </c>
      <c r="B410" s="13"/>
      <c r="C410" s="13" t="s">
        <v>58</v>
      </c>
      <c r="D410" s="13"/>
      <c r="E410" s="32">
        <v>49510</v>
      </c>
      <c r="F410" s="26"/>
      <c r="G410" s="26">
        <v>1549699</v>
      </c>
      <c r="H410" s="26"/>
      <c r="I410" s="26">
        <v>0</v>
      </c>
      <c r="J410" s="26"/>
      <c r="K410" s="26">
        <v>8296594</v>
      </c>
      <c r="L410" s="26"/>
      <c r="M410" s="26">
        <v>208347</v>
      </c>
      <c r="N410" s="26"/>
      <c r="O410" s="26">
        <v>533167</v>
      </c>
      <c r="P410" s="26"/>
      <c r="Q410" s="26">
        <v>155360</v>
      </c>
      <c r="R410" s="26"/>
      <c r="S410" s="26">
        <v>0</v>
      </c>
      <c r="T410" s="26"/>
      <c r="U410" s="26">
        <v>0</v>
      </c>
      <c r="V410" s="26"/>
      <c r="W410" s="26">
        <v>161256</v>
      </c>
      <c r="X410" s="26"/>
      <c r="Y410" s="54">
        <f t="shared" si="23"/>
        <v>10904423</v>
      </c>
      <c r="Z410" s="26"/>
      <c r="AA410" s="26">
        <v>36563</v>
      </c>
      <c r="AB410" s="26"/>
      <c r="AC410" s="26"/>
      <c r="AD410" s="26"/>
      <c r="AE410" s="26">
        <v>0</v>
      </c>
      <c r="AF410" s="26"/>
      <c r="AG410" s="26"/>
      <c r="AH410" s="26"/>
      <c r="AI410" s="26"/>
      <c r="AJ410" s="26"/>
      <c r="AK410" s="26">
        <v>113110</v>
      </c>
      <c r="AL410" s="26"/>
      <c r="AM410" s="26">
        <v>0</v>
      </c>
      <c r="AN410" s="26"/>
      <c r="AO410" s="26">
        <v>0</v>
      </c>
      <c r="AP410" s="26"/>
      <c r="AQ410" s="26">
        <v>0</v>
      </c>
      <c r="AR410" s="26"/>
      <c r="AS410" s="54">
        <f t="shared" si="20"/>
        <v>149673</v>
      </c>
      <c r="AT410" s="26"/>
      <c r="AU410" s="54">
        <f t="shared" si="21"/>
        <v>11054096</v>
      </c>
    </row>
    <row r="411" spans="1:47" hidden="1">
      <c r="A411" s="13" t="s">
        <v>613</v>
      </c>
      <c r="B411" s="13"/>
      <c r="C411" s="13" t="s">
        <v>608</v>
      </c>
      <c r="D411" s="13"/>
      <c r="E411" s="32">
        <v>49395</v>
      </c>
      <c r="F411" s="26"/>
      <c r="G411" s="26">
        <v>0</v>
      </c>
      <c r="H411" s="26"/>
      <c r="I411" s="26">
        <v>0</v>
      </c>
      <c r="J411" s="26"/>
      <c r="K411" s="26">
        <v>0</v>
      </c>
      <c r="L411" s="26"/>
      <c r="M411" s="26">
        <v>0</v>
      </c>
      <c r="N411" s="26"/>
      <c r="O411" s="26">
        <v>0</v>
      </c>
      <c r="P411" s="26"/>
      <c r="Q411" s="26">
        <v>0</v>
      </c>
      <c r="R411" s="26"/>
      <c r="S411" s="26">
        <v>0</v>
      </c>
      <c r="T411" s="26"/>
      <c r="U411" s="26">
        <v>0</v>
      </c>
      <c r="V411" s="26"/>
      <c r="W411" s="26">
        <v>0</v>
      </c>
      <c r="X411" s="26"/>
      <c r="Y411" s="54">
        <f t="shared" si="23"/>
        <v>0</v>
      </c>
      <c r="Z411" s="26"/>
      <c r="AA411" s="26">
        <v>0</v>
      </c>
      <c r="AB411" s="26"/>
      <c r="AC411" s="26"/>
      <c r="AD411" s="26"/>
      <c r="AE411" s="26">
        <v>0</v>
      </c>
      <c r="AF411" s="26"/>
      <c r="AG411" s="26"/>
      <c r="AH411" s="26"/>
      <c r="AI411" s="26"/>
      <c r="AJ411" s="26"/>
      <c r="AK411" s="26">
        <v>0</v>
      </c>
      <c r="AL411" s="26"/>
      <c r="AM411" s="26">
        <v>0</v>
      </c>
      <c r="AN411" s="26"/>
      <c r="AO411" s="26">
        <v>0</v>
      </c>
      <c r="AP411" s="26"/>
      <c r="AQ411" s="26">
        <v>0</v>
      </c>
      <c r="AR411" s="26"/>
      <c r="AS411" s="54">
        <f t="shared" si="20"/>
        <v>0</v>
      </c>
      <c r="AT411" s="26"/>
      <c r="AU411" s="54">
        <f t="shared" si="21"/>
        <v>0</v>
      </c>
    </row>
    <row r="412" spans="1:47" hidden="1">
      <c r="A412" s="13" t="s">
        <v>541</v>
      </c>
      <c r="B412" s="13"/>
      <c r="C412" s="13" t="s">
        <v>540</v>
      </c>
      <c r="D412" s="13"/>
      <c r="E412" s="32">
        <v>48579</v>
      </c>
      <c r="F412" s="26"/>
      <c r="G412" s="26">
        <v>0</v>
      </c>
      <c r="H412" s="26"/>
      <c r="I412" s="26">
        <v>0</v>
      </c>
      <c r="J412" s="26"/>
      <c r="K412" s="26">
        <v>0</v>
      </c>
      <c r="L412" s="26"/>
      <c r="M412" s="26">
        <v>0</v>
      </c>
      <c r="N412" s="26"/>
      <c r="O412" s="26">
        <v>0</v>
      </c>
      <c r="P412" s="26"/>
      <c r="Q412" s="26">
        <v>0</v>
      </c>
      <c r="R412" s="26"/>
      <c r="S412" s="26">
        <v>0</v>
      </c>
      <c r="T412" s="26"/>
      <c r="U412" s="26">
        <v>0</v>
      </c>
      <c r="V412" s="26"/>
      <c r="W412" s="26">
        <v>0</v>
      </c>
      <c r="X412" s="26"/>
      <c r="Y412" s="54">
        <f t="shared" si="23"/>
        <v>0</v>
      </c>
      <c r="Z412" s="26"/>
      <c r="AA412" s="26">
        <v>0</v>
      </c>
      <c r="AB412" s="26"/>
      <c r="AC412" s="26"/>
      <c r="AD412" s="26"/>
      <c r="AE412" s="26">
        <v>0</v>
      </c>
      <c r="AF412" s="26"/>
      <c r="AG412" s="26"/>
      <c r="AH412" s="26"/>
      <c r="AI412" s="26"/>
      <c r="AJ412" s="26"/>
      <c r="AK412" s="26">
        <v>0</v>
      </c>
      <c r="AL412" s="26"/>
      <c r="AM412" s="26">
        <v>0</v>
      </c>
      <c r="AN412" s="26"/>
      <c r="AO412" s="26">
        <v>0</v>
      </c>
      <c r="AP412" s="26"/>
      <c r="AQ412" s="26">
        <v>0</v>
      </c>
      <c r="AR412" s="26"/>
      <c r="AS412" s="54">
        <f t="shared" si="20"/>
        <v>0</v>
      </c>
      <c r="AT412" s="26"/>
      <c r="AU412" s="54">
        <f t="shared" si="21"/>
        <v>0</v>
      </c>
    </row>
    <row r="413" spans="1:47">
      <c r="A413" s="13" t="s">
        <v>321</v>
      </c>
      <c r="B413" s="13"/>
      <c r="C413" s="13" t="s">
        <v>20</v>
      </c>
      <c r="D413" s="13"/>
      <c r="E413" s="32">
        <v>44636</v>
      </c>
      <c r="F413" s="26"/>
      <c r="G413" s="26">
        <v>88782525</v>
      </c>
      <c r="H413" s="26"/>
      <c r="I413" s="26">
        <v>0</v>
      </c>
      <c r="J413" s="26"/>
      <c r="K413" s="26">
        <v>49642343</v>
      </c>
      <c r="L413" s="26"/>
      <c r="M413" s="26">
        <v>1563767</v>
      </c>
      <c r="N413" s="26"/>
      <c r="O413" s="26">
        <v>2045771</v>
      </c>
      <c r="P413" s="26"/>
      <c r="Q413" s="26">
        <v>1063187</v>
      </c>
      <c r="R413" s="26"/>
      <c r="S413" s="26">
        <v>0</v>
      </c>
      <c r="T413" s="26"/>
      <c r="U413" s="26">
        <v>154151</v>
      </c>
      <c r="V413" s="26"/>
      <c r="W413" s="26">
        <v>3794332</v>
      </c>
      <c r="X413" s="26"/>
      <c r="Y413" s="54">
        <f t="shared" si="23"/>
        <v>147046076</v>
      </c>
      <c r="Z413" s="26"/>
      <c r="AA413" s="26">
        <v>426856</v>
      </c>
      <c r="AB413" s="26"/>
      <c r="AC413" s="26"/>
      <c r="AD413" s="26"/>
      <c r="AE413" s="26">
        <v>2511519</v>
      </c>
      <c r="AF413" s="26"/>
      <c r="AG413" s="26"/>
      <c r="AH413" s="26"/>
      <c r="AI413" s="26"/>
      <c r="AJ413" s="26"/>
      <c r="AK413" s="26">
        <v>1632583</v>
      </c>
      <c r="AL413" s="26"/>
      <c r="AM413" s="26">
        <v>0</v>
      </c>
      <c r="AN413" s="26"/>
      <c r="AO413" s="26">
        <v>0</v>
      </c>
      <c r="AP413" s="26"/>
      <c r="AQ413" s="26">
        <v>0</v>
      </c>
      <c r="AR413" s="26"/>
      <c r="AS413" s="54">
        <f t="shared" si="20"/>
        <v>4570958</v>
      </c>
      <c r="AT413" s="26"/>
      <c r="AU413" s="54">
        <f t="shared" si="21"/>
        <v>151617034</v>
      </c>
    </row>
    <row r="414" spans="1:47">
      <c r="A414" s="13" t="s">
        <v>438</v>
      </c>
      <c r="B414" s="13"/>
      <c r="C414" s="13" t="s">
        <v>34</v>
      </c>
      <c r="D414" s="13"/>
      <c r="E414" s="32">
        <v>47597</v>
      </c>
      <c r="F414" s="26"/>
      <c r="G414" s="26">
        <v>2957116</v>
      </c>
      <c r="H414" s="26"/>
      <c r="I414" s="26">
        <v>1878643</v>
      </c>
      <c r="J414" s="26"/>
      <c r="K414" s="26">
        <v>5955451</v>
      </c>
      <c r="L414" s="26"/>
      <c r="M414" s="26">
        <v>71079</v>
      </c>
      <c r="N414" s="26"/>
      <c r="O414" s="26">
        <v>388644</v>
      </c>
      <c r="P414" s="26"/>
      <c r="Q414" s="26">
        <v>207032</v>
      </c>
      <c r="R414" s="26"/>
      <c r="S414" s="26">
        <v>0</v>
      </c>
      <c r="T414" s="26"/>
      <c r="U414" s="26">
        <v>0</v>
      </c>
      <c r="V414" s="26"/>
      <c r="W414" s="26">
        <v>420920</v>
      </c>
      <c r="X414" s="26"/>
      <c r="Y414" s="54">
        <f t="shared" si="23"/>
        <v>11878885</v>
      </c>
      <c r="Z414" s="26"/>
      <c r="AA414" s="26">
        <v>76155</v>
      </c>
      <c r="AB414" s="26"/>
      <c r="AC414" s="26"/>
      <c r="AD414" s="26"/>
      <c r="AE414" s="26">
        <v>0</v>
      </c>
      <c r="AF414" s="26"/>
      <c r="AG414" s="26"/>
      <c r="AH414" s="26"/>
      <c r="AI414" s="26"/>
      <c r="AJ414" s="26"/>
      <c r="AK414" s="26">
        <v>0</v>
      </c>
      <c r="AL414" s="26"/>
      <c r="AM414" s="26">
        <v>0</v>
      </c>
      <c r="AN414" s="26"/>
      <c r="AO414" s="26">
        <v>0</v>
      </c>
      <c r="AP414" s="26"/>
      <c r="AQ414" s="26">
        <v>0</v>
      </c>
      <c r="AR414" s="26"/>
      <c r="AS414" s="54">
        <f t="shared" si="20"/>
        <v>76155</v>
      </c>
      <c r="AT414" s="26"/>
      <c r="AU414" s="54">
        <f t="shared" si="21"/>
        <v>11955040</v>
      </c>
    </row>
    <row r="415" spans="1:47" hidden="1">
      <c r="A415" s="13" t="s">
        <v>584</v>
      </c>
      <c r="B415" s="13"/>
      <c r="C415" s="13" t="s">
        <v>583</v>
      </c>
      <c r="D415" s="13"/>
      <c r="E415" s="32">
        <v>45575</v>
      </c>
      <c r="F415" s="26"/>
      <c r="G415" s="26">
        <v>0</v>
      </c>
      <c r="H415" s="26"/>
      <c r="I415" s="26">
        <v>0</v>
      </c>
      <c r="J415" s="26"/>
      <c r="K415" s="26">
        <v>0</v>
      </c>
      <c r="L415" s="26"/>
      <c r="M415" s="26">
        <v>0</v>
      </c>
      <c r="N415" s="26"/>
      <c r="O415" s="26">
        <v>0</v>
      </c>
      <c r="P415" s="26"/>
      <c r="Q415" s="26">
        <v>0</v>
      </c>
      <c r="R415" s="26"/>
      <c r="S415" s="26">
        <v>0</v>
      </c>
      <c r="T415" s="26"/>
      <c r="U415" s="26">
        <v>0</v>
      </c>
      <c r="V415" s="26"/>
      <c r="W415" s="26">
        <v>0</v>
      </c>
      <c r="X415" s="26"/>
      <c r="Y415" s="54">
        <f t="shared" si="23"/>
        <v>0</v>
      </c>
      <c r="Z415" s="26"/>
      <c r="AA415" s="26">
        <v>0</v>
      </c>
      <c r="AB415" s="26"/>
      <c r="AC415" s="26"/>
      <c r="AD415" s="26"/>
      <c r="AE415" s="26">
        <v>0</v>
      </c>
      <c r="AF415" s="26"/>
      <c r="AG415" s="26"/>
      <c r="AH415" s="26"/>
      <c r="AI415" s="26"/>
      <c r="AJ415" s="26"/>
      <c r="AK415" s="26">
        <v>0</v>
      </c>
      <c r="AL415" s="26"/>
      <c r="AM415" s="26">
        <v>0</v>
      </c>
      <c r="AN415" s="26"/>
      <c r="AO415" s="26">
        <v>0</v>
      </c>
      <c r="AP415" s="26"/>
      <c r="AQ415" s="26">
        <v>0</v>
      </c>
      <c r="AR415" s="26"/>
      <c r="AS415" s="54">
        <f t="shared" si="20"/>
        <v>0</v>
      </c>
      <c r="AT415" s="26"/>
      <c r="AU415" s="54">
        <f t="shared" si="21"/>
        <v>0</v>
      </c>
    </row>
    <row r="416" spans="1:47">
      <c r="A416" s="13" t="s">
        <v>344</v>
      </c>
      <c r="B416" s="13"/>
      <c r="C416" s="13" t="s">
        <v>24</v>
      </c>
      <c r="D416" s="13"/>
      <c r="E416" s="32">
        <v>46813</v>
      </c>
      <c r="F416" s="26"/>
      <c r="G416" s="26">
        <v>13806287</v>
      </c>
      <c r="H416" s="26"/>
      <c r="I416" s="26">
        <v>0</v>
      </c>
      <c r="J416" s="26"/>
      <c r="K416" s="26">
        <v>7766260</v>
      </c>
      <c r="L416" s="26"/>
      <c r="M416" s="26">
        <v>305339</v>
      </c>
      <c r="N416" s="26"/>
      <c r="O416" s="26">
        <v>316322</v>
      </c>
      <c r="P416" s="26"/>
      <c r="Q416" s="26">
        <v>246499</v>
      </c>
      <c r="R416" s="26"/>
      <c r="S416" s="26">
        <v>0</v>
      </c>
      <c r="T416" s="26"/>
      <c r="U416" s="26">
        <v>0</v>
      </c>
      <c r="V416" s="26"/>
      <c r="W416" s="26">
        <v>897275</v>
      </c>
      <c r="X416" s="26"/>
      <c r="Y416" s="54">
        <f t="shared" si="23"/>
        <v>23337982</v>
      </c>
      <c r="Z416" s="26"/>
      <c r="AA416" s="26">
        <v>129991</v>
      </c>
      <c r="AB416" s="26"/>
      <c r="AC416" s="26"/>
      <c r="AD416" s="26"/>
      <c r="AE416" s="26">
        <v>0</v>
      </c>
      <c r="AF416" s="26"/>
      <c r="AG416" s="26"/>
      <c r="AH416" s="26"/>
      <c r="AI416" s="26"/>
      <c r="AJ416" s="26"/>
      <c r="AK416" s="26">
        <v>1900000</v>
      </c>
      <c r="AL416" s="26"/>
      <c r="AM416" s="26">
        <v>0</v>
      </c>
      <c r="AN416" s="26"/>
      <c r="AO416" s="26">
        <v>0</v>
      </c>
      <c r="AP416" s="26"/>
      <c r="AQ416" s="26">
        <v>0</v>
      </c>
      <c r="AR416" s="26"/>
      <c r="AS416" s="54">
        <f t="shared" si="20"/>
        <v>2029991</v>
      </c>
      <c r="AT416" s="26"/>
      <c r="AU416" s="54">
        <f t="shared" si="21"/>
        <v>25367973</v>
      </c>
    </row>
    <row r="417" spans="1:47">
      <c r="A417" s="13" t="s">
        <v>213</v>
      </c>
      <c r="B417" s="13"/>
      <c r="C417" s="13" t="s">
        <v>41</v>
      </c>
      <c r="D417" s="13"/>
      <c r="E417" s="32">
        <v>47902</v>
      </c>
      <c r="F417" s="26"/>
      <c r="G417" s="26">
        <v>17400098</v>
      </c>
      <c r="H417" s="26"/>
      <c r="I417" s="26">
        <v>0</v>
      </c>
      <c r="J417" s="26"/>
      <c r="K417" s="26">
        <v>12647424</v>
      </c>
      <c r="L417" s="26"/>
      <c r="M417" s="26">
        <v>1253434</v>
      </c>
      <c r="N417" s="26"/>
      <c r="O417" s="26">
        <v>81496</v>
      </c>
      <c r="P417" s="26"/>
      <c r="Q417" s="26">
        <v>299946</v>
      </c>
      <c r="R417" s="26"/>
      <c r="S417" s="26">
        <v>0</v>
      </c>
      <c r="T417" s="26"/>
      <c r="U417" s="26">
        <v>0</v>
      </c>
      <c r="V417" s="26"/>
      <c r="W417" s="26">
        <v>1214641</v>
      </c>
      <c r="X417" s="26"/>
      <c r="Y417" s="54">
        <f t="shared" si="23"/>
        <v>32897039</v>
      </c>
      <c r="Z417" s="26"/>
      <c r="AA417" s="26">
        <v>2433697</v>
      </c>
      <c r="AB417" s="26"/>
      <c r="AC417" s="26"/>
      <c r="AD417" s="26"/>
      <c r="AE417" s="26">
        <v>188400</v>
      </c>
      <c r="AF417" s="26"/>
      <c r="AG417" s="26"/>
      <c r="AH417" s="26"/>
      <c r="AI417" s="26"/>
      <c r="AJ417" s="26"/>
      <c r="AK417" s="26">
        <v>190916</v>
      </c>
      <c r="AL417" s="26"/>
      <c r="AM417" s="26">
        <v>0</v>
      </c>
      <c r="AN417" s="26"/>
      <c r="AO417" s="26">
        <v>0</v>
      </c>
      <c r="AP417" s="26"/>
      <c r="AQ417" s="26">
        <v>0</v>
      </c>
      <c r="AR417" s="26"/>
      <c r="AS417" s="54">
        <f t="shared" si="20"/>
        <v>2813013</v>
      </c>
      <c r="AT417" s="26"/>
      <c r="AU417" s="54">
        <f t="shared" si="21"/>
        <v>35710052</v>
      </c>
    </row>
    <row r="418" spans="1:47">
      <c r="A418" s="13" t="s">
        <v>213</v>
      </c>
      <c r="B418" s="13"/>
      <c r="C418" s="13" t="s">
        <v>62</v>
      </c>
      <c r="D418" s="13"/>
      <c r="E418" s="32">
        <v>49924</v>
      </c>
      <c r="F418" s="26"/>
      <c r="G418" s="26">
        <v>20743382</v>
      </c>
      <c r="H418" s="26"/>
      <c r="I418" s="26">
        <v>0</v>
      </c>
      <c r="J418" s="26"/>
      <c r="K418" s="26">
        <v>23201568</v>
      </c>
      <c r="L418" s="26"/>
      <c r="M418" s="26">
        <v>1244826</v>
      </c>
      <c r="N418" s="26"/>
      <c r="O418" s="26">
        <v>1625086</v>
      </c>
      <c r="P418" s="26"/>
      <c r="Q418" s="26">
        <v>568127</v>
      </c>
      <c r="R418" s="26"/>
      <c r="S418" s="26">
        <v>0</v>
      </c>
      <c r="T418" s="26"/>
      <c r="U418" s="26">
        <v>83615</v>
      </c>
      <c r="V418" s="26"/>
      <c r="W418" s="26">
        <v>1326510</v>
      </c>
      <c r="X418" s="26"/>
      <c r="Y418" s="54">
        <f t="shared" si="23"/>
        <v>48793114</v>
      </c>
      <c r="Z418" s="26"/>
      <c r="AA418" s="26">
        <v>0</v>
      </c>
      <c r="AB418" s="26"/>
      <c r="AC418" s="26"/>
      <c r="AD418" s="26"/>
      <c r="AE418" s="26">
        <v>0</v>
      </c>
      <c r="AF418" s="26"/>
      <c r="AG418" s="26"/>
      <c r="AH418" s="26"/>
      <c r="AI418" s="26"/>
      <c r="AJ418" s="26"/>
      <c r="AK418" s="26">
        <v>3029</v>
      </c>
      <c r="AL418" s="26"/>
      <c r="AM418" s="26">
        <v>0</v>
      </c>
      <c r="AN418" s="26"/>
      <c r="AO418" s="26">
        <v>0</v>
      </c>
      <c r="AP418" s="26"/>
      <c r="AQ418" s="26">
        <v>0</v>
      </c>
      <c r="AR418" s="26"/>
      <c r="AS418" s="54">
        <f t="shared" si="20"/>
        <v>3029</v>
      </c>
      <c r="AT418" s="26"/>
      <c r="AU418" s="54">
        <f t="shared" si="21"/>
        <v>48796143</v>
      </c>
    </row>
    <row r="419" spans="1:47">
      <c r="A419" s="13" t="s">
        <v>744</v>
      </c>
      <c r="B419" s="13"/>
      <c r="C419" s="13" t="s">
        <v>72</v>
      </c>
      <c r="D419" s="13"/>
      <c r="E419" s="13">
        <v>45583</v>
      </c>
      <c r="F419" s="26"/>
      <c r="G419" s="26">
        <v>28170707</v>
      </c>
      <c r="H419" s="26"/>
      <c r="I419" s="26">
        <v>0</v>
      </c>
      <c r="J419" s="26"/>
      <c r="K419" s="26">
        <v>14094751</v>
      </c>
      <c r="L419" s="26"/>
      <c r="M419" s="26">
        <v>349820</v>
      </c>
      <c r="N419" s="26"/>
      <c r="O419" s="26">
        <v>117137</v>
      </c>
      <c r="P419" s="26"/>
      <c r="Q419" s="26">
        <v>0</v>
      </c>
      <c r="R419" s="26"/>
      <c r="S419" s="26">
        <v>0</v>
      </c>
      <c r="T419" s="26"/>
      <c r="U419" s="26">
        <v>0</v>
      </c>
      <c r="V419" s="26"/>
      <c r="W419" s="26">
        <v>1433495</v>
      </c>
      <c r="X419" s="26"/>
      <c r="Y419" s="54">
        <f t="shared" si="23"/>
        <v>44165910</v>
      </c>
      <c r="Z419" s="26"/>
      <c r="AA419" s="26">
        <v>0</v>
      </c>
      <c r="AB419" s="26"/>
      <c r="AC419" s="26"/>
      <c r="AD419" s="26"/>
      <c r="AE419" s="26">
        <v>0</v>
      </c>
      <c r="AF419" s="26"/>
      <c r="AG419" s="26"/>
      <c r="AH419" s="26"/>
      <c r="AI419" s="26"/>
      <c r="AJ419" s="26"/>
      <c r="AK419" s="26">
        <v>839</v>
      </c>
      <c r="AL419" s="26"/>
      <c r="AM419" s="26">
        <v>0</v>
      </c>
      <c r="AN419" s="26"/>
      <c r="AO419" s="26">
        <v>0</v>
      </c>
      <c r="AP419" s="26"/>
      <c r="AQ419" s="26">
        <v>0</v>
      </c>
      <c r="AR419" s="26"/>
      <c r="AS419" s="54">
        <f t="shared" si="20"/>
        <v>839</v>
      </c>
      <c r="AT419" s="26"/>
      <c r="AU419" s="54">
        <f t="shared" si="21"/>
        <v>44166749</v>
      </c>
    </row>
    <row r="420" spans="1:47">
      <c r="A420" s="13" t="s">
        <v>375</v>
      </c>
      <c r="B420" s="13"/>
      <c r="C420" s="13" t="s">
        <v>28</v>
      </c>
      <c r="D420" s="13"/>
      <c r="E420" s="32">
        <v>47076</v>
      </c>
      <c r="F420" s="26"/>
      <c r="G420" s="26">
        <v>1185945</v>
      </c>
      <c r="H420" s="26"/>
      <c r="I420" s="26">
        <v>452638</v>
      </c>
      <c r="J420" s="26"/>
      <c r="K420" s="26">
        <v>2252235</v>
      </c>
      <c r="L420" s="26"/>
      <c r="M420" s="26">
        <v>62981</v>
      </c>
      <c r="N420" s="26"/>
      <c r="O420" s="26">
        <v>848138</v>
      </c>
      <c r="P420" s="26"/>
      <c r="Q420" s="26">
        <v>151023</v>
      </c>
      <c r="R420" s="26"/>
      <c r="S420" s="26">
        <v>0</v>
      </c>
      <c r="T420" s="26"/>
      <c r="U420" s="26">
        <v>16319</v>
      </c>
      <c r="V420" s="26"/>
      <c r="W420" s="26">
        <v>170957</v>
      </c>
      <c r="X420" s="26"/>
      <c r="Y420" s="54">
        <f t="shared" si="23"/>
        <v>5140236</v>
      </c>
      <c r="Z420" s="26"/>
      <c r="AA420" s="26">
        <v>0</v>
      </c>
      <c r="AB420" s="26"/>
      <c r="AC420" s="26"/>
      <c r="AD420" s="26"/>
      <c r="AE420" s="26">
        <v>0</v>
      </c>
      <c r="AF420" s="26"/>
      <c r="AG420" s="26"/>
      <c r="AH420" s="26"/>
      <c r="AI420" s="26"/>
      <c r="AJ420" s="26"/>
      <c r="AK420" s="26">
        <v>463</v>
      </c>
      <c r="AL420" s="26"/>
      <c r="AM420" s="26">
        <v>0</v>
      </c>
      <c r="AN420" s="26"/>
      <c r="AO420" s="26">
        <v>0</v>
      </c>
      <c r="AP420" s="26"/>
      <c r="AQ420" s="26">
        <v>0</v>
      </c>
      <c r="AR420" s="26"/>
      <c r="AS420" s="54">
        <f t="shared" si="20"/>
        <v>463</v>
      </c>
      <c r="AT420" s="26"/>
      <c r="AU420" s="54">
        <f t="shared" si="21"/>
        <v>5140699</v>
      </c>
    </row>
    <row r="421" spans="1:47">
      <c r="A421" s="13" t="s">
        <v>353</v>
      </c>
      <c r="B421" s="13"/>
      <c r="C421" s="13" t="s">
        <v>25</v>
      </c>
      <c r="D421" s="13"/>
      <c r="E421" s="32">
        <v>46896</v>
      </c>
      <c r="F421" s="26"/>
      <c r="G421" s="26">
        <v>54096715</v>
      </c>
      <c r="H421" s="26"/>
      <c r="I421" s="26">
        <v>0</v>
      </c>
      <c r="J421" s="26"/>
      <c r="K421" s="26">
        <v>50694740</v>
      </c>
      <c r="L421" s="26"/>
      <c r="M421" s="26">
        <v>4248136</v>
      </c>
      <c r="N421" s="26"/>
      <c r="O421" s="26">
        <v>974331</v>
      </c>
      <c r="P421" s="26"/>
      <c r="Q421" s="26">
        <v>990206</v>
      </c>
      <c r="R421" s="26"/>
      <c r="S421" s="26">
        <v>0</v>
      </c>
      <c r="T421" s="26"/>
      <c r="U421" s="26">
        <v>0</v>
      </c>
      <c r="V421" s="26"/>
      <c r="W421" s="26">
        <v>3169225</v>
      </c>
      <c r="X421" s="26"/>
      <c r="Y421" s="54">
        <f t="shared" si="23"/>
        <v>114173353</v>
      </c>
      <c r="Z421" s="26"/>
      <c r="AA421" s="26">
        <v>0</v>
      </c>
      <c r="AB421" s="26"/>
      <c r="AC421" s="26"/>
      <c r="AD421" s="26"/>
      <c r="AE421" s="26">
        <v>0</v>
      </c>
      <c r="AF421" s="26"/>
      <c r="AG421" s="26"/>
      <c r="AH421" s="26"/>
      <c r="AI421" s="26"/>
      <c r="AJ421" s="26"/>
      <c r="AK421" s="26">
        <v>0</v>
      </c>
      <c r="AL421" s="26"/>
      <c r="AM421" s="26">
        <v>0</v>
      </c>
      <c r="AN421" s="26"/>
      <c r="AO421" s="26">
        <v>0</v>
      </c>
      <c r="AP421" s="26"/>
      <c r="AQ421" s="26">
        <v>0</v>
      </c>
      <c r="AR421" s="26"/>
      <c r="AS421" s="54">
        <f t="shared" si="20"/>
        <v>0</v>
      </c>
      <c r="AT421" s="26"/>
      <c r="AU421" s="54">
        <f t="shared" si="21"/>
        <v>114173353</v>
      </c>
    </row>
    <row r="422" spans="1:47">
      <c r="A422" s="13" t="s">
        <v>376</v>
      </c>
      <c r="B422" s="13"/>
      <c r="C422" s="13" t="s">
        <v>28</v>
      </c>
      <c r="D422" s="13"/>
      <c r="E422" s="32">
        <v>47084</v>
      </c>
      <c r="F422" s="26"/>
      <c r="G422" s="26">
        <v>7006331</v>
      </c>
      <c r="H422" s="26"/>
      <c r="I422" s="26">
        <v>0</v>
      </c>
      <c r="J422" s="26"/>
      <c r="K422" s="26">
        <v>8398380</v>
      </c>
      <c r="L422" s="26"/>
      <c r="M422" s="26">
        <v>284481</v>
      </c>
      <c r="N422" s="26"/>
      <c r="O422" s="26">
        <v>572300</v>
      </c>
      <c r="P422" s="26"/>
      <c r="Q422" s="26">
        <v>189277</v>
      </c>
      <c r="R422" s="26"/>
      <c r="S422" s="26">
        <v>453160</v>
      </c>
      <c r="T422" s="26"/>
      <c r="U422" s="26">
        <v>47972</v>
      </c>
      <c r="V422" s="26"/>
      <c r="W422" s="26">
        <v>497038</v>
      </c>
      <c r="X422" s="26"/>
      <c r="Y422" s="54">
        <f t="shared" si="23"/>
        <v>17448939</v>
      </c>
      <c r="Z422" s="26"/>
      <c r="AA422" s="26">
        <v>13250</v>
      </c>
      <c r="AB422" s="26"/>
      <c r="AC422" s="26"/>
      <c r="AD422" s="26"/>
      <c r="AE422" s="26">
        <v>0</v>
      </c>
      <c r="AF422" s="26"/>
      <c r="AG422" s="26"/>
      <c r="AH422" s="26"/>
      <c r="AI422" s="26"/>
      <c r="AJ422" s="26"/>
      <c r="AK422" s="26">
        <v>0</v>
      </c>
      <c r="AL422" s="26"/>
      <c r="AM422" s="26">
        <v>0</v>
      </c>
      <c r="AN422" s="26"/>
      <c r="AO422" s="26">
        <v>0</v>
      </c>
      <c r="AP422" s="26"/>
      <c r="AQ422" s="26">
        <v>0</v>
      </c>
      <c r="AR422" s="26"/>
      <c r="AS422" s="54">
        <f t="shared" si="20"/>
        <v>13250</v>
      </c>
      <c r="AT422" s="26"/>
      <c r="AU422" s="54">
        <f t="shared" si="21"/>
        <v>17462189</v>
      </c>
    </row>
    <row r="423" spans="1:47">
      <c r="A423" s="13" t="s">
        <v>548</v>
      </c>
      <c r="B423" s="13"/>
      <c r="C423" s="13" t="s">
        <v>48</v>
      </c>
      <c r="D423" s="13"/>
      <c r="E423" s="32">
        <v>44644</v>
      </c>
      <c r="F423" s="26"/>
      <c r="G423" s="26">
        <v>14150431</v>
      </c>
      <c r="H423" s="26"/>
      <c r="I423" s="26">
        <v>0</v>
      </c>
      <c r="J423" s="26"/>
      <c r="K423" s="26">
        <v>17278434</v>
      </c>
      <c r="L423" s="26"/>
      <c r="M423" s="26">
        <v>214974</v>
      </c>
      <c r="N423" s="26"/>
      <c r="O423" s="26">
        <v>188331</v>
      </c>
      <c r="P423" s="26"/>
      <c r="Q423" s="26">
        <v>457060</v>
      </c>
      <c r="R423" s="26"/>
      <c r="S423" s="26">
        <v>0</v>
      </c>
      <c r="T423" s="26"/>
      <c r="U423" s="26">
        <v>0</v>
      </c>
      <c r="V423" s="26"/>
      <c r="W423" s="26">
        <v>528061</v>
      </c>
      <c r="X423" s="26"/>
      <c r="Y423" s="54">
        <f t="shared" si="23"/>
        <v>32817291</v>
      </c>
      <c r="Z423" s="26"/>
      <c r="AA423" s="26">
        <v>0</v>
      </c>
      <c r="AB423" s="26"/>
      <c r="AC423" s="26"/>
      <c r="AD423" s="26"/>
      <c r="AE423" s="26">
        <v>0</v>
      </c>
      <c r="AF423" s="26"/>
      <c r="AG423" s="26"/>
      <c r="AH423" s="26"/>
      <c r="AI423" s="26"/>
      <c r="AJ423" s="26"/>
      <c r="AK423" s="26">
        <v>900</v>
      </c>
      <c r="AL423" s="26"/>
      <c r="AM423" s="26">
        <v>0</v>
      </c>
      <c r="AN423" s="26"/>
      <c r="AO423" s="26">
        <v>0</v>
      </c>
      <c r="AP423" s="26"/>
      <c r="AQ423" s="26">
        <v>0</v>
      </c>
      <c r="AR423" s="26"/>
      <c r="AS423" s="54">
        <f t="shared" si="20"/>
        <v>900</v>
      </c>
      <c r="AT423" s="26"/>
      <c r="AU423" s="54">
        <f t="shared" si="21"/>
        <v>32818191</v>
      </c>
    </row>
    <row r="424" spans="1:47" hidden="1">
      <c r="A424" s="13" t="s">
        <v>365</v>
      </c>
      <c r="B424" s="13"/>
      <c r="C424" s="13" t="s">
        <v>27</v>
      </c>
      <c r="D424" s="13"/>
      <c r="E424" s="32">
        <v>46995</v>
      </c>
      <c r="F424" s="26"/>
      <c r="G424" s="26">
        <v>0</v>
      </c>
      <c r="H424" s="26"/>
      <c r="I424" s="26">
        <v>0</v>
      </c>
      <c r="J424" s="26"/>
      <c r="K424" s="26">
        <v>0</v>
      </c>
      <c r="L424" s="26"/>
      <c r="M424" s="26">
        <v>0</v>
      </c>
      <c r="N424" s="26"/>
      <c r="O424" s="26">
        <v>0</v>
      </c>
      <c r="P424" s="26"/>
      <c r="Q424" s="26">
        <v>0</v>
      </c>
      <c r="R424" s="26"/>
      <c r="S424" s="26">
        <v>0</v>
      </c>
      <c r="T424" s="26"/>
      <c r="U424" s="26">
        <v>0</v>
      </c>
      <c r="V424" s="26"/>
      <c r="W424" s="26">
        <v>0</v>
      </c>
      <c r="X424" s="26"/>
      <c r="Y424" s="54">
        <f t="shared" si="23"/>
        <v>0</v>
      </c>
      <c r="Z424" s="26"/>
      <c r="AA424" s="26">
        <v>0</v>
      </c>
      <c r="AB424" s="26"/>
      <c r="AC424" s="26"/>
      <c r="AD424" s="26"/>
      <c r="AE424" s="26">
        <v>0</v>
      </c>
      <c r="AF424" s="26"/>
      <c r="AG424" s="26"/>
      <c r="AH424" s="26"/>
      <c r="AI424" s="26"/>
      <c r="AJ424" s="26"/>
      <c r="AK424" s="26">
        <v>0</v>
      </c>
      <c r="AL424" s="26"/>
      <c r="AM424" s="26">
        <v>0</v>
      </c>
      <c r="AN424" s="26"/>
      <c r="AO424" s="26">
        <v>0</v>
      </c>
      <c r="AP424" s="26"/>
      <c r="AQ424" s="26">
        <v>0</v>
      </c>
      <c r="AR424" s="26"/>
      <c r="AS424" s="54">
        <f t="shared" si="20"/>
        <v>0</v>
      </c>
      <c r="AT424" s="26"/>
      <c r="AU424" s="54">
        <f t="shared" si="21"/>
        <v>0</v>
      </c>
    </row>
    <row r="425" spans="1:47">
      <c r="A425" s="13" t="s">
        <v>365</v>
      </c>
      <c r="B425" s="13"/>
      <c r="C425" s="13" t="s">
        <v>62</v>
      </c>
      <c r="D425" s="13"/>
      <c r="E425" s="32">
        <v>49932</v>
      </c>
      <c r="F425" s="26"/>
      <c r="G425" s="26">
        <v>26279630</v>
      </c>
      <c r="H425" s="26"/>
      <c r="I425" s="26">
        <v>0</v>
      </c>
      <c r="J425" s="26"/>
      <c r="K425" s="26">
        <v>26114685</v>
      </c>
      <c r="L425" s="26"/>
      <c r="M425" s="26">
        <v>992377</v>
      </c>
      <c r="N425" s="26"/>
      <c r="O425" s="26">
        <v>932065</v>
      </c>
      <c r="P425" s="26"/>
      <c r="Q425" s="26">
        <v>789417</v>
      </c>
      <c r="R425" s="26"/>
      <c r="S425" s="26">
        <v>0</v>
      </c>
      <c r="T425" s="26"/>
      <c r="U425" s="26">
        <v>153852</v>
      </c>
      <c r="V425" s="26"/>
      <c r="W425" s="26">
        <v>1552791</v>
      </c>
      <c r="X425" s="26"/>
      <c r="Y425" s="54">
        <f t="shared" si="23"/>
        <v>56814817</v>
      </c>
      <c r="Z425" s="26"/>
      <c r="AA425" s="26">
        <v>0</v>
      </c>
      <c r="AB425" s="26"/>
      <c r="AC425" s="26"/>
      <c r="AD425" s="26"/>
      <c r="AE425" s="26">
        <v>0</v>
      </c>
      <c r="AF425" s="26"/>
      <c r="AG425" s="26"/>
      <c r="AH425" s="26"/>
      <c r="AI425" s="26"/>
      <c r="AJ425" s="26"/>
      <c r="AK425" s="26">
        <v>4854</v>
      </c>
      <c r="AL425" s="26"/>
      <c r="AM425" s="26">
        <v>0</v>
      </c>
      <c r="AN425" s="26"/>
      <c r="AO425" s="26">
        <v>0</v>
      </c>
      <c r="AP425" s="26"/>
      <c r="AQ425" s="26">
        <v>0</v>
      </c>
      <c r="AR425" s="26"/>
      <c r="AS425" s="54">
        <f t="shared" si="20"/>
        <v>4854</v>
      </c>
      <c r="AT425" s="26"/>
      <c r="AU425" s="54">
        <f t="shared" si="21"/>
        <v>56819671</v>
      </c>
    </row>
    <row r="426" spans="1:47">
      <c r="A426" s="13" t="s">
        <v>528</v>
      </c>
      <c r="B426" s="13"/>
      <c r="C426" s="13" t="s">
        <v>46</v>
      </c>
      <c r="D426" s="13"/>
      <c r="E426" s="32">
        <v>48421</v>
      </c>
      <c r="F426" s="26"/>
      <c r="G426" s="26">
        <v>4484986</v>
      </c>
      <c r="H426" s="26"/>
      <c r="I426" s="26">
        <v>0</v>
      </c>
      <c r="J426" s="26"/>
      <c r="K426" s="26">
        <v>6032049</v>
      </c>
      <c r="L426" s="26"/>
      <c r="M426" s="26">
        <v>246347</v>
      </c>
      <c r="N426" s="26"/>
      <c r="O426" s="26">
        <v>2085261</v>
      </c>
      <c r="P426" s="26"/>
      <c r="Q426" s="26">
        <v>233267</v>
      </c>
      <c r="R426" s="26"/>
      <c r="S426" s="26">
        <v>0</v>
      </c>
      <c r="T426" s="26"/>
      <c r="U426" s="26">
        <v>30942</v>
      </c>
      <c r="V426" s="26"/>
      <c r="W426" s="26">
        <v>446207</v>
      </c>
      <c r="X426" s="26"/>
      <c r="Y426" s="54">
        <f t="shared" si="23"/>
        <v>13559059</v>
      </c>
      <c r="Z426" s="26"/>
      <c r="AA426" s="26">
        <v>78468</v>
      </c>
      <c r="AB426" s="26"/>
      <c r="AC426" s="26"/>
      <c r="AD426" s="26"/>
      <c r="AE426" s="26">
        <v>0</v>
      </c>
      <c r="AF426" s="26"/>
      <c r="AG426" s="26"/>
      <c r="AH426" s="26"/>
      <c r="AI426" s="26"/>
      <c r="AJ426" s="26"/>
      <c r="AK426" s="26">
        <v>0</v>
      </c>
      <c r="AL426" s="26"/>
      <c r="AM426" s="26">
        <v>0</v>
      </c>
      <c r="AN426" s="26"/>
      <c r="AO426" s="26">
        <v>0</v>
      </c>
      <c r="AP426" s="26"/>
      <c r="AQ426" s="26">
        <v>0</v>
      </c>
      <c r="AR426" s="26"/>
      <c r="AS426" s="54">
        <f t="shared" si="20"/>
        <v>78468</v>
      </c>
      <c r="AT426" s="26"/>
      <c r="AU426" s="54">
        <f t="shared" si="21"/>
        <v>13637527</v>
      </c>
    </row>
    <row r="427" spans="1:47">
      <c r="A427" s="13" t="s">
        <v>619</v>
      </c>
      <c r="B427" s="13"/>
      <c r="C427" s="13" t="s">
        <v>113</v>
      </c>
      <c r="D427" s="13"/>
      <c r="E427" s="32">
        <v>49460</v>
      </c>
      <c r="F427" s="26"/>
      <c r="G427" s="26">
        <v>2492172</v>
      </c>
      <c r="H427" s="26"/>
      <c r="I427" s="26">
        <v>0</v>
      </c>
      <c r="J427" s="26"/>
      <c r="K427" s="26">
        <v>11687326</v>
      </c>
      <c r="L427" s="26"/>
      <c r="M427" s="26">
        <v>286323</v>
      </c>
      <c r="N427" s="26"/>
      <c r="O427" s="26">
        <v>433999</v>
      </c>
      <c r="P427" s="26"/>
      <c r="Q427" s="26">
        <v>68666</v>
      </c>
      <c r="R427" s="26"/>
      <c r="S427" s="26">
        <v>0</v>
      </c>
      <c r="T427" s="26"/>
      <c r="U427" s="26">
        <v>0</v>
      </c>
      <c r="V427" s="26"/>
      <c r="W427" s="26">
        <v>244873</v>
      </c>
      <c r="X427" s="26"/>
      <c r="Y427" s="54">
        <f t="shared" si="23"/>
        <v>15213359</v>
      </c>
      <c r="Z427" s="26"/>
      <c r="AA427" s="26">
        <v>162089</v>
      </c>
      <c r="AB427" s="26"/>
      <c r="AC427" s="26"/>
      <c r="AD427" s="26"/>
      <c r="AE427" s="26">
        <v>0</v>
      </c>
      <c r="AF427" s="26"/>
      <c r="AG427" s="26"/>
      <c r="AH427" s="26"/>
      <c r="AI427" s="26"/>
      <c r="AJ427" s="26"/>
      <c r="AK427" s="26">
        <v>460000</v>
      </c>
      <c r="AL427" s="26"/>
      <c r="AM427" s="26">
        <v>0</v>
      </c>
      <c r="AN427" s="26"/>
      <c r="AO427" s="26">
        <v>0</v>
      </c>
      <c r="AP427" s="26"/>
      <c r="AQ427" s="26">
        <v>0</v>
      </c>
      <c r="AR427" s="26"/>
      <c r="AS427" s="54">
        <f t="shared" si="20"/>
        <v>622089</v>
      </c>
      <c r="AT427" s="26"/>
      <c r="AU427" s="54">
        <f t="shared" si="21"/>
        <v>15835448</v>
      </c>
    </row>
    <row r="428" spans="1:47">
      <c r="A428" s="13" t="s">
        <v>520</v>
      </c>
      <c r="B428" s="13"/>
      <c r="C428" s="13" t="s">
        <v>45</v>
      </c>
      <c r="D428" s="13"/>
      <c r="E428" s="32">
        <v>48348</v>
      </c>
      <c r="F428" s="26"/>
      <c r="G428" s="26">
        <v>12140564</v>
      </c>
      <c r="H428" s="26"/>
      <c r="I428" s="26">
        <v>0</v>
      </c>
      <c r="J428" s="26"/>
      <c r="K428" s="26">
        <v>8818309</v>
      </c>
      <c r="L428" s="26"/>
      <c r="M428" s="26">
        <v>248237</v>
      </c>
      <c r="N428" s="26"/>
      <c r="O428" s="26">
        <v>232110</v>
      </c>
      <c r="P428" s="26"/>
      <c r="Q428" s="26">
        <v>316755</v>
      </c>
      <c r="R428" s="26"/>
      <c r="S428" s="26">
        <v>0</v>
      </c>
      <c r="T428" s="26"/>
      <c r="U428" s="26">
        <v>0</v>
      </c>
      <c r="V428" s="26"/>
      <c r="W428" s="26">
        <v>734593</v>
      </c>
      <c r="X428" s="26"/>
      <c r="Y428" s="54">
        <f t="shared" si="23"/>
        <v>22490568</v>
      </c>
      <c r="Z428" s="26"/>
      <c r="AA428" s="26">
        <v>0</v>
      </c>
      <c r="AB428" s="26"/>
      <c r="AC428" s="26"/>
      <c r="AD428" s="26"/>
      <c r="AE428" s="26">
        <v>0</v>
      </c>
      <c r="AF428" s="26"/>
      <c r="AG428" s="26"/>
      <c r="AH428" s="26"/>
      <c r="AI428" s="26"/>
      <c r="AJ428" s="26"/>
      <c r="AK428" s="26">
        <v>0</v>
      </c>
      <c r="AL428" s="26"/>
      <c r="AM428" s="26">
        <v>0</v>
      </c>
      <c r="AN428" s="26"/>
      <c r="AO428" s="26">
        <v>0</v>
      </c>
      <c r="AP428" s="26"/>
      <c r="AQ428" s="26">
        <v>0</v>
      </c>
      <c r="AR428" s="26"/>
      <c r="AS428" s="54">
        <f t="shared" si="20"/>
        <v>0</v>
      </c>
      <c r="AT428" s="26"/>
      <c r="AU428" s="54">
        <f t="shared" si="21"/>
        <v>22490568</v>
      </c>
    </row>
    <row r="429" spans="1:47">
      <c r="A429" s="13"/>
      <c r="B429" s="13"/>
      <c r="C429" s="13"/>
      <c r="D429" s="13"/>
      <c r="E429" s="32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54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54"/>
      <c r="AT429" s="26"/>
      <c r="AU429" s="54"/>
    </row>
    <row r="430" spans="1:47">
      <c r="A430" s="13"/>
      <c r="B430" s="13"/>
      <c r="C430" s="13"/>
      <c r="D430" s="13"/>
      <c r="E430" s="32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54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54"/>
      <c r="AT430" s="26"/>
      <c r="AU430" s="92" t="s">
        <v>819</v>
      </c>
    </row>
    <row r="431" spans="1:47" s="35" customFormat="1">
      <c r="A431" s="34" t="s">
        <v>582</v>
      </c>
      <c r="B431" s="34"/>
      <c r="C431" s="34" t="s">
        <v>53</v>
      </c>
      <c r="D431" s="34"/>
      <c r="E431" s="34">
        <v>44651</v>
      </c>
      <c r="F431" s="43"/>
      <c r="G431" s="43">
        <v>14144127</v>
      </c>
      <c r="H431" s="43"/>
      <c r="I431" s="43">
        <v>0</v>
      </c>
      <c r="J431" s="43"/>
      <c r="K431" s="43">
        <v>7617046</v>
      </c>
      <c r="L431" s="43"/>
      <c r="M431" s="43">
        <v>384466</v>
      </c>
      <c r="N431" s="43"/>
      <c r="O431" s="43">
        <v>370852</v>
      </c>
      <c r="P431" s="43"/>
      <c r="Q431" s="43">
        <v>127828</v>
      </c>
      <c r="R431" s="43"/>
      <c r="S431" s="43">
        <v>0</v>
      </c>
      <c r="T431" s="43"/>
      <c r="U431" s="43">
        <v>48489</v>
      </c>
      <c r="V431" s="43"/>
      <c r="W431" s="43">
        <f>104388+426875+1350</f>
        <v>532613</v>
      </c>
      <c r="X431" s="43"/>
      <c r="Y431" s="66">
        <f t="shared" si="23"/>
        <v>23225421</v>
      </c>
      <c r="Z431" s="43"/>
      <c r="AA431" s="43">
        <v>535493</v>
      </c>
      <c r="AB431" s="43"/>
      <c r="AC431" s="43"/>
      <c r="AD431" s="43"/>
      <c r="AE431" s="43">
        <v>0</v>
      </c>
      <c r="AF431" s="43"/>
      <c r="AG431" s="43"/>
      <c r="AH431" s="43"/>
      <c r="AI431" s="43"/>
      <c r="AJ431" s="43"/>
      <c r="AK431" s="43">
        <v>11849</v>
      </c>
      <c r="AL431" s="43"/>
      <c r="AM431" s="43">
        <v>0</v>
      </c>
      <c r="AN431" s="43"/>
      <c r="AO431" s="43">
        <v>0</v>
      </c>
      <c r="AP431" s="43"/>
      <c r="AQ431" s="43">
        <v>0</v>
      </c>
      <c r="AR431" s="43"/>
      <c r="AS431" s="66">
        <f t="shared" si="20"/>
        <v>547342</v>
      </c>
      <c r="AT431" s="43"/>
      <c r="AU431" s="66">
        <f t="shared" si="21"/>
        <v>23772763</v>
      </c>
    </row>
    <row r="432" spans="1:47">
      <c r="A432" s="13" t="s">
        <v>636</v>
      </c>
      <c r="B432" s="13"/>
      <c r="C432" s="13" t="s">
        <v>59</v>
      </c>
      <c r="D432" s="13"/>
      <c r="E432" s="32">
        <v>44669</v>
      </c>
      <c r="F432" s="26"/>
      <c r="G432" s="26">
        <v>5846283</v>
      </c>
      <c r="H432" s="26"/>
      <c r="I432" s="26">
        <v>0</v>
      </c>
      <c r="J432" s="26"/>
      <c r="K432" s="26">
        <v>22889706</v>
      </c>
      <c r="L432" s="26"/>
      <c r="M432" s="26">
        <v>220765</v>
      </c>
      <c r="N432" s="26"/>
      <c r="O432" s="26">
        <v>853102</v>
      </c>
      <c r="P432" s="26"/>
      <c r="Q432" s="26">
        <v>140440</v>
      </c>
      <c r="R432" s="26"/>
      <c r="S432" s="26">
        <v>0</v>
      </c>
      <c r="T432" s="26"/>
      <c r="U432" s="26">
        <v>91535</v>
      </c>
      <c r="V432" s="26"/>
      <c r="W432" s="26">
        <v>284271</v>
      </c>
      <c r="X432" s="26"/>
      <c r="Y432" s="54">
        <f t="shared" si="23"/>
        <v>30326102</v>
      </c>
      <c r="Z432" s="26"/>
      <c r="AA432" s="26">
        <v>113451</v>
      </c>
      <c r="AB432" s="26"/>
      <c r="AC432" s="26"/>
      <c r="AD432" s="26"/>
      <c r="AE432" s="26">
        <v>0</v>
      </c>
      <c r="AF432" s="26"/>
      <c r="AG432" s="26"/>
      <c r="AH432" s="26"/>
      <c r="AI432" s="26"/>
      <c r="AJ432" s="26"/>
      <c r="AK432" s="26">
        <v>104500</v>
      </c>
      <c r="AL432" s="26"/>
      <c r="AM432" s="26">
        <v>0</v>
      </c>
      <c r="AN432" s="26"/>
      <c r="AO432" s="26">
        <v>0</v>
      </c>
      <c r="AP432" s="26"/>
      <c r="AQ432" s="26">
        <v>0</v>
      </c>
      <c r="AR432" s="26"/>
      <c r="AS432" s="54">
        <f t="shared" si="20"/>
        <v>217951</v>
      </c>
      <c r="AT432" s="26"/>
      <c r="AU432" s="54">
        <f t="shared" si="21"/>
        <v>30544053</v>
      </c>
    </row>
    <row r="433" spans="1:47" hidden="1">
      <c r="A433" s="13" t="s">
        <v>605</v>
      </c>
      <c r="B433" s="13"/>
      <c r="C433" s="13" t="s">
        <v>57</v>
      </c>
      <c r="D433" s="13"/>
      <c r="E433" s="32">
        <v>49288</v>
      </c>
      <c r="F433" s="26"/>
      <c r="G433" s="26">
        <v>0</v>
      </c>
      <c r="H433" s="26"/>
      <c r="I433" s="26">
        <v>0</v>
      </c>
      <c r="J433" s="26"/>
      <c r="K433" s="26">
        <v>0</v>
      </c>
      <c r="L433" s="26"/>
      <c r="M433" s="26">
        <v>0</v>
      </c>
      <c r="N433" s="26"/>
      <c r="O433" s="26">
        <v>0</v>
      </c>
      <c r="P433" s="26"/>
      <c r="Q433" s="26">
        <v>0</v>
      </c>
      <c r="R433" s="26"/>
      <c r="S433" s="26">
        <v>0</v>
      </c>
      <c r="T433" s="26"/>
      <c r="U433" s="26">
        <v>0</v>
      </c>
      <c r="V433" s="26"/>
      <c r="W433" s="26">
        <v>0</v>
      </c>
      <c r="X433" s="26"/>
      <c r="Y433" s="54">
        <f t="shared" si="23"/>
        <v>0</v>
      </c>
      <c r="Z433" s="26"/>
      <c r="AA433" s="26">
        <v>0</v>
      </c>
      <c r="AB433" s="26"/>
      <c r="AC433" s="26"/>
      <c r="AD433" s="26"/>
      <c r="AE433" s="26">
        <v>0</v>
      </c>
      <c r="AF433" s="26"/>
      <c r="AG433" s="26"/>
      <c r="AH433" s="26"/>
      <c r="AI433" s="26"/>
      <c r="AJ433" s="26"/>
      <c r="AK433" s="26">
        <v>0</v>
      </c>
      <c r="AL433" s="26"/>
      <c r="AM433" s="26">
        <v>0</v>
      </c>
      <c r="AN433" s="26"/>
      <c r="AO433" s="26">
        <v>0</v>
      </c>
      <c r="AP433" s="26"/>
      <c r="AQ433" s="26">
        <v>0</v>
      </c>
      <c r="AR433" s="26"/>
      <c r="AS433" s="54">
        <f t="shared" si="20"/>
        <v>0</v>
      </c>
      <c r="AT433" s="26"/>
      <c r="AU433" s="54">
        <f t="shared" si="21"/>
        <v>0</v>
      </c>
    </row>
    <row r="434" spans="1:47">
      <c r="A434" s="13" t="s">
        <v>410</v>
      </c>
      <c r="B434" s="13"/>
      <c r="C434" s="13" t="s">
        <v>32</v>
      </c>
      <c r="D434" s="13"/>
      <c r="E434" s="32">
        <v>44677</v>
      </c>
      <c r="F434" s="26"/>
      <c r="G434" s="26">
        <v>52613944</v>
      </c>
      <c r="H434" s="26"/>
      <c r="I434" s="26">
        <v>0</v>
      </c>
      <c r="J434" s="26"/>
      <c r="K434" s="26">
        <v>24846527</v>
      </c>
      <c r="L434" s="26"/>
      <c r="M434" s="26">
        <v>2020746</v>
      </c>
      <c r="N434" s="26"/>
      <c r="O434" s="26">
        <v>1018668</v>
      </c>
      <c r="P434" s="26"/>
      <c r="Q434" s="26">
        <v>132579</v>
      </c>
      <c r="R434" s="26"/>
      <c r="S434" s="26">
        <v>0</v>
      </c>
      <c r="T434" s="26"/>
      <c r="U434" s="26">
        <v>0</v>
      </c>
      <c r="V434" s="26"/>
      <c r="W434" s="26">
        <v>2877978</v>
      </c>
      <c r="X434" s="26"/>
      <c r="Y434" s="54">
        <f t="shared" si="23"/>
        <v>83510442</v>
      </c>
      <c r="Z434" s="26"/>
      <c r="AA434" s="26">
        <v>2080616</v>
      </c>
      <c r="AB434" s="26"/>
      <c r="AC434" s="26"/>
      <c r="AD434" s="26"/>
      <c r="AE434" s="26">
        <v>0</v>
      </c>
      <c r="AF434" s="26"/>
      <c r="AG434" s="26"/>
      <c r="AH434" s="26"/>
      <c r="AI434" s="26"/>
      <c r="AJ434" s="26"/>
      <c r="AK434" s="26">
        <v>54486</v>
      </c>
      <c r="AL434" s="26"/>
      <c r="AM434" s="26">
        <v>0</v>
      </c>
      <c r="AN434" s="26"/>
      <c r="AO434" s="26">
        <v>0</v>
      </c>
      <c r="AP434" s="26"/>
      <c r="AQ434" s="26">
        <v>0</v>
      </c>
      <c r="AR434" s="26"/>
      <c r="AS434" s="54">
        <f t="shared" si="20"/>
        <v>2135102</v>
      </c>
      <c r="AT434" s="26"/>
      <c r="AU434" s="54">
        <f t="shared" si="21"/>
        <v>85645544</v>
      </c>
    </row>
    <row r="435" spans="1:47">
      <c r="A435" s="13" t="s">
        <v>224</v>
      </c>
      <c r="B435" s="13"/>
      <c r="C435" s="13" t="s">
        <v>12</v>
      </c>
      <c r="D435" s="13"/>
      <c r="E435" s="32">
        <v>45880</v>
      </c>
      <c r="F435" s="26"/>
      <c r="G435" s="26">
        <v>3669411</v>
      </c>
      <c r="H435" s="26"/>
      <c r="I435" s="26">
        <v>0</v>
      </c>
      <c r="J435" s="26"/>
      <c r="K435" s="26">
        <v>10261057</v>
      </c>
      <c r="L435" s="26"/>
      <c r="M435" s="26">
        <v>148760</v>
      </c>
      <c r="N435" s="26"/>
      <c r="O435" s="26">
        <v>231637</v>
      </c>
      <c r="P435" s="26"/>
      <c r="Q435" s="26">
        <v>160837</v>
      </c>
      <c r="R435" s="26"/>
      <c r="S435" s="26">
        <v>0</v>
      </c>
      <c r="T435" s="26"/>
      <c r="U435" s="26">
        <v>1800</v>
      </c>
      <c r="V435" s="26"/>
      <c r="W435" s="26">
        <v>237329</v>
      </c>
      <c r="X435" s="26"/>
      <c r="Y435" s="54">
        <f t="shared" si="23"/>
        <v>14710831</v>
      </c>
      <c r="Z435" s="26"/>
      <c r="AA435" s="26">
        <v>86040</v>
      </c>
      <c r="AB435" s="26"/>
      <c r="AC435" s="26"/>
      <c r="AD435" s="26"/>
      <c r="AE435" s="26">
        <v>0</v>
      </c>
      <c r="AF435" s="26"/>
      <c r="AG435" s="26"/>
      <c r="AH435" s="26"/>
      <c r="AI435" s="26"/>
      <c r="AJ435" s="26"/>
      <c r="AK435" s="26">
        <v>0</v>
      </c>
      <c r="AL435" s="26"/>
      <c r="AM435" s="26">
        <v>0</v>
      </c>
      <c r="AN435" s="26"/>
      <c r="AO435" s="26">
        <v>0</v>
      </c>
      <c r="AP435" s="26"/>
      <c r="AQ435" s="26">
        <v>0</v>
      </c>
      <c r="AR435" s="26"/>
      <c r="AS435" s="54">
        <f t="shared" si="20"/>
        <v>86040</v>
      </c>
      <c r="AT435" s="26"/>
      <c r="AU435" s="54">
        <f t="shared" si="21"/>
        <v>14796871</v>
      </c>
    </row>
    <row r="436" spans="1:47">
      <c r="A436" s="13" t="s">
        <v>903</v>
      </c>
      <c r="B436" s="13"/>
      <c r="C436" s="13" t="s">
        <v>56</v>
      </c>
      <c r="D436" s="13"/>
      <c r="E436" s="32"/>
      <c r="F436" s="26"/>
      <c r="G436" s="26">
        <v>12382596</v>
      </c>
      <c r="H436" s="26"/>
      <c r="I436" s="26">
        <v>0</v>
      </c>
      <c r="J436" s="26"/>
      <c r="K436" s="26">
        <v>24551129</v>
      </c>
      <c r="L436" s="26"/>
      <c r="M436" s="26">
        <v>1385129</v>
      </c>
      <c r="N436" s="26"/>
      <c r="O436" s="26">
        <v>1043204</v>
      </c>
      <c r="P436" s="26"/>
      <c r="Q436" s="26">
        <v>234556</v>
      </c>
      <c r="R436" s="26"/>
      <c r="S436" s="26">
        <v>0</v>
      </c>
      <c r="T436" s="26"/>
      <c r="U436" s="26">
        <v>383482</v>
      </c>
      <c r="V436" s="26"/>
      <c r="W436" s="26">
        <f>221034+24095+457190</f>
        <v>702319</v>
      </c>
      <c r="X436" s="26"/>
      <c r="Y436" s="54">
        <f t="shared" si="23"/>
        <v>40682415</v>
      </c>
      <c r="Z436" s="26"/>
      <c r="AA436" s="26">
        <v>175000</v>
      </c>
      <c r="AB436" s="26"/>
      <c r="AC436" s="26"/>
      <c r="AD436" s="26"/>
      <c r="AE436" s="26">
        <v>0</v>
      </c>
      <c r="AF436" s="26"/>
      <c r="AG436" s="26"/>
      <c r="AH436" s="26"/>
      <c r="AI436" s="26"/>
      <c r="AJ436" s="26"/>
      <c r="AK436" s="26">
        <v>293200</v>
      </c>
      <c r="AL436" s="26"/>
      <c r="AM436" s="26">
        <v>0</v>
      </c>
      <c r="AN436" s="26"/>
      <c r="AO436" s="26">
        <v>0</v>
      </c>
      <c r="AP436" s="26"/>
      <c r="AQ436" s="26">
        <v>0</v>
      </c>
      <c r="AR436" s="26"/>
      <c r="AS436" s="54">
        <f t="shared" si="20"/>
        <v>468200</v>
      </c>
      <c r="AT436" s="26"/>
      <c r="AU436" s="54">
        <f t="shared" si="21"/>
        <v>41150615</v>
      </c>
    </row>
    <row r="437" spans="1:47">
      <c r="A437" s="13" t="s">
        <v>411</v>
      </c>
      <c r="B437" s="13"/>
      <c r="C437" s="13" t="s">
        <v>32</v>
      </c>
      <c r="D437" s="13"/>
      <c r="E437" s="32">
        <v>44693</v>
      </c>
      <c r="F437" s="26"/>
      <c r="G437" s="26">
        <v>7409890</v>
      </c>
      <c r="H437" s="26"/>
      <c r="I437" s="26">
        <v>0</v>
      </c>
      <c r="J437" s="26"/>
      <c r="K437" s="26">
        <v>6593427</v>
      </c>
      <c r="L437" s="26"/>
      <c r="M437" s="26">
        <v>145222</v>
      </c>
      <c r="N437" s="26"/>
      <c r="O437" s="26">
        <v>367242</v>
      </c>
      <c r="P437" s="26"/>
      <c r="Q437" s="26">
        <v>119895</v>
      </c>
      <c r="R437" s="26"/>
      <c r="S437" s="26">
        <v>0</v>
      </c>
      <c r="T437" s="26"/>
      <c r="U437" s="26">
        <v>11695</v>
      </c>
      <c r="V437" s="26"/>
      <c r="W437" s="26">
        <f>50971+251734+95403</f>
        <v>398108</v>
      </c>
      <c r="X437" s="26"/>
      <c r="Y437" s="54">
        <f t="shared" si="23"/>
        <v>15045479</v>
      </c>
      <c r="Z437" s="26"/>
      <c r="AA437" s="26">
        <v>59766</v>
      </c>
      <c r="AB437" s="26"/>
      <c r="AC437" s="26"/>
      <c r="AD437" s="26"/>
      <c r="AE437" s="26">
        <v>0</v>
      </c>
      <c r="AF437" s="26"/>
      <c r="AG437" s="26"/>
      <c r="AH437" s="26"/>
      <c r="AI437" s="26"/>
      <c r="AJ437" s="26"/>
      <c r="AK437" s="26">
        <v>0</v>
      </c>
      <c r="AL437" s="26"/>
      <c r="AM437" s="26">
        <v>0</v>
      </c>
      <c r="AN437" s="26"/>
      <c r="AO437" s="26">
        <v>0</v>
      </c>
      <c r="AP437" s="26"/>
      <c r="AQ437" s="26">
        <v>0</v>
      </c>
      <c r="AR437" s="26"/>
      <c r="AS437" s="54">
        <f t="shared" si="20"/>
        <v>59766</v>
      </c>
      <c r="AT437" s="26"/>
      <c r="AU437" s="54">
        <f t="shared" si="21"/>
        <v>15105245</v>
      </c>
    </row>
    <row r="438" spans="1:47">
      <c r="A438" s="13" t="s">
        <v>675</v>
      </c>
      <c r="B438" s="13"/>
      <c r="C438" s="13" t="s">
        <v>63</v>
      </c>
      <c r="D438" s="13"/>
      <c r="E438" s="32">
        <v>50054</v>
      </c>
      <c r="F438" s="26"/>
      <c r="G438" s="26">
        <v>24324596</v>
      </c>
      <c r="H438" s="26"/>
      <c r="I438" s="26">
        <v>0</v>
      </c>
      <c r="J438" s="26"/>
      <c r="K438" s="26">
        <v>7626434</v>
      </c>
      <c r="L438" s="26"/>
      <c r="M438" s="26">
        <v>863006</v>
      </c>
      <c r="N438" s="26"/>
      <c r="O438" s="26">
        <v>266424</v>
      </c>
      <c r="P438" s="26"/>
      <c r="Q438" s="26">
        <v>212216</v>
      </c>
      <c r="R438" s="26"/>
      <c r="S438" s="26">
        <v>0</v>
      </c>
      <c r="T438" s="26"/>
      <c r="U438" s="26">
        <v>28497</v>
      </c>
      <c r="V438" s="26"/>
      <c r="W438" s="26">
        <v>733664</v>
      </c>
      <c r="X438" s="26"/>
      <c r="Y438" s="54">
        <f t="shared" si="23"/>
        <v>34054837</v>
      </c>
      <c r="Z438" s="26"/>
      <c r="AA438" s="26">
        <v>60000</v>
      </c>
      <c r="AB438" s="26"/>
      <c r="AC438" s="26"/>
      <c r="AD438" s="26"/>
      <c r="AE438" s="26">
        <v>0</v>
      </c>
      <c r="AF438" s="26"/>
      <c r="AG438" s="26"/>
      <c r="AH438" s="26"/>
      <c r="AI438" s="26"/>
      <c r="AJ438" s="26"/>
      <c r="AK438" s="26">
        <v>15031</v>
      </c>
      <c r="AL438" s="26"/>
      <c r="AM438" s="26">
        <v>0</v>
      </c>
      <c r="AN438" s="26"/>
      <c r="AO438" s="26">
        <v>0</v>
      </c>
      <c r="AP438" s="26"/>
      <c r="AQ438" s="26">
        <v>0</v>
      </c>
      <c r="AR438" s="26"/>
      <c r="AS438" s="54">
        <f t="shared" si="20"/>
        <v>75031</v>
      </c>
      <c r="AT438" s="26"/>
      <c r="AU438" s="54">
        <f t="shared" si="21"/>
        <v>34129868</v>
      </c>
    </row>
    <row r="439" spans="1:47">
      <c r="A439" s="13" t="s">
        <v>366</v>
      </c>
      <c r="B439" s="13"/>
      <c r="C439" s="13" t="s">
        <v>27</v>
      </c>
      <c r="D439" s="13"/>
      <c r="E439" s="32">
        <v>47001</v>
      </c>
      <c r="F439" s="26"/>
      <c r="G439" s="26">
        <v>26261350</v>
      </c>
      <c r="H439" s="26"/>
      <c r="I439" s="26">
        <v>0</v>
      </c>
      <c r="J439" s="26"/>
      <c r="K439" s="26">
        <f>30725358+3649217</f>
        <v>34374575</v>
      </c>
      <c r="L439" s="26"/>
      <c r="M439" s="26">
        <v>868791</v>
      </c>
      <c r="N439" s="26"/>
      <c r="O439" s="26">
        <v>835335</v>
      </c>
      <c r="P439" s="26"/>
      <c r="Q439" s="26">
        <v>495378</v>
      </c>
      <c r="R439" s="26"/>
      <c r="S439" s="26">
        <v>0</v>
      </c>
      <c r="T439" s="26"/>
      <c r="U439" s="26">
        <v>0</v>
      </c>
      <c r="V439" s="26"/>
      <c r="W439" s="26">
        <f>984226+190287+1077997</f>
        <v>2252510</v>
      </c>
      <c r="X439" s="26"/>
      <c r="Y439" s="54">
        <f t="shared" si="23"/>
        <v>65087939</v>
      </c>
      <c r="Z439" s="26"/>
      <c r="AA439" s="26">
        <v>68924</v>
      </c>
      <c r="AB439" s="26"/>
      <c r="AC439" s="26"/>
      <c r="AD439" s="26"/>
      <c r="AE439" s="26">
        <f>65540000+120400</f>
        <v>65660400</v>
      </c>
      <c r="AF439" s="26"/>
      <c r="AG439" s="26"/>
      <c r="AH439" s="26"/>
      <c r="AI439" s="26"/>
      <c r="AJ439" s="26"/>
      <c r="AK439" s="26">
        <f>122949+2416000+10</f>
        <v>2538959</v>
      </c>
      <c r="AL439" s="26"/>
      <c r="AM439" s="26">
        <v>0</v>
      </c>
      <c r="AN439" s="26"/>
      <c r="AO439" s="26">
        <v>0</v>
      </c>
      <c r="AP439" s="26"/>
      <c r="AQ439" s="26">
        <v>0</v>
      </c>
      <c r="AR439" s="26"/>
      <c r="AS439" s="54">
        <f t="shared" si="20"/>
        <v>68268283</v>
      </c>
      <c r="AT439" s="26"/>
      <c r="AU439" s="54">
        <f t="shared" si="21"/>
        <v>133356222</v>
      </c>
    </row>
    <row r="440" spans="1:47" hidden="1">
      <c r="A440" s="13" t="s">
        <v>322</v>
      </c>
      <c r="B440" s="13"/>
      <c r="C440" s="13" t="s">
        <v>20</v>
      </c>
      <c r="D440" s="13"/>
      <c r="E440" s="32">
        <v>46599</v>
      </c>
      <c r="F440" s="26"/>
      <c r="G440" s="26">
        <v>0</v>
      </c>
      <c r="H440" s="26"/>
      <c r="I440" s="26">
        <v>0</v>
      </c>
      <c r="J440" s="26"/>
      <c r="K440" s="26">
        <v>0</v>
      </c>
      <c r="L440" s="26"/>
      <c r="M440" s="26">
        <v>0</v>
      </c>
      <c r="N440" s="26"/>
      <c r="O440" s="26">
        <v>0</v>
      </c>
      <c r="P440" s="26"/>
      <c r="Q440" s="26">
        <v>0</v>
      </c>
      <c r="R440" s="26"/>
      <c r="S440" s="26">
        <v>0</v>
      </c>
      <c r="T440" s="26"/>
      <c r="U440" s="26">
        <v>0</v>
      </c>
      <c r="V440" s="26"/>
      <c r="W440" s="26">
        <v>0</v>
      </c>
      <c r="X440" s="26"/>
      <c r="Y440" s="54">
        <f t="shared" si="23"/>
        <v>0</v>
      </c>
      <c r="Z440" s="26"/>
      <c r="AA440" s="26">
        <v>0</v>
      </c>
      <c r="AB440" s="26"/>
      <c r="AC440" s="26"/>
      <c r="AD440" s="26"/>
      <c r="AE440" s="26">
        <v>0</v>
      </c>
      <c r="AF440" s="26"/>
      <c r="AG440" s="26"/>
      <c r="AH440" s="26"/>
      <c r="AI440" s="26"/>
      <c r="AJ440" s="26"/>
      <c r="AK440" s="26">
        <v>0</v>
      </c>
      <c r="AL440" s="26"/>
      <c r="AM440" s="26">
        <v>0</v>
      </c>
      <c r="AN440" s="26"/>
      <c r="AO440" s="26">
        <v>0</v>
      </c>
      <c r="AP440" s="26"/>
      <c r="AQ440" s="26">
        <v>0</v>
      </c>
      <c r="AR440" s="26"/>
      <c r="AS440" s="54">
        <f t="shared" si="20"/>
        <v>0</v>
      </c>
      <c r="AT440" s="26"/>
      <c r="AU440" s="54">
        <f t="shared" si="21"/>
        <v>0</v>
      </c>
    </row>
    <row r="441" spans="1:47">
      <c r="A441" s="13" t="s">
        <v>529</v>
      </c>
      <c r="B441" s="13"/>
      <c r="C441" s="13" t="s">
        <v>46</v>
      </c>
      <c r="D441" s="13"/>
      <c r="E441" s="32">
        <v>48439</v>
      </c>
      <c r="F441" s="26"/>
      <c r="G441" s="26">
        <v>2581839</v>
      </c>
      <c r="H441" s="26"/>
      <c r="I441" s="26">
        <v>0</v>
      </c>
      <c r="J441" s="26"/>
      <c r="K441" s="26">
        <v>4303148</v>
      </c>
      <c r="L441" s="26"/>
      <c r="M441" s="26">
        <v>78484</v>
      </c>
      <c r="N441" s="26"/>
      <c r="O441" s="26">
        <v>1330521</v>
      </c>
      <c r="P441" s="26"/>
      <c r="Q441" s="26">
        <v>185040</v>
      </c>
      <c r="R441" s="26"/>
      <c r="S441" s="26">
        <v>52048</v>
      </c>
      <c r="T441" s="26"/>
      <c r="U441" s="26">
        <v>0</v>
      </c>
      <c r="V441" s="26"/>
      <c r="W441" s="26">
        <v>272089</v>
      </c>
      <c r="X441" s="26"/>
      <c r="Y441" s="54">
        <f t="shared" si="23"/>
        <v>8803169</v>
      </c>
      <c r="Z441" s="26"/>
      <c r="AA441" s="26">
        <v>0</v>
      </c>
      <c r="AB441" s="26"/>
      <c r="AC441" s="26"/>
      <c r="AD441" s="26"/>
      <c r="AE441" s="26">
        <v>0</v>
      </c>
      <c r="AF441" s="26"/>
      <c r="AG441" s="26"/>
      <c r="AH441" s="26"/>
      <c r="AI441" s="26"/>
      <c r="AJ441" s="26"/>
      <c r="AK441" s="26">
        <v>0</v>
      </c>
      <c r="AL441" s="26"/>
      <c r="AM441" s="26">
        <v>0</v>
      </c>
      <c r="AN441" s="26"/>
      <c r="AO441" s="26">
        <v>0</v>
      </c>
      <c r="AP441" s="26"/>
      <c r="AQ441" s="26">
        <v>0</v>
      </c>
      <c r="AR441" s="26"/>
      <c r="AS441" s="54">
        <f t="shared" si="20"/>
        <v>0</v>
      </c>
      <c r="AT441" s="26"/>
      <c r="AU441" s="54">
        <f t="shared" si="21"/>
        <v>8803169</v>
      </c>
    </row>
    <row r="442" spans="1:47">
      <c r="A442" s="13" t="s">
        <v>429</v>
      </c>
      <c r="B442" s="13"/>
      <c r="C442" s="13" t="s">
        <v>426</v>
      </c>
      <c r="D442" s="13"/>
      <c r="E442" s="32">
        <v>47506</v>
      </c>
      <c r="F442" s="26"/>
      <c r="G442" s="26">
        <v>1164696</v>
      </c>
      <c r="H442" s="26"/>
      <c r="I442" s="26">
        <v>521184</v>
      </c>
      <c r="J442" s="26"/>
      <c r="K442" s="26">
        <v>3106227</v>
      </c>
      <c r="L442" s="26"/>
      <c r="M442" s="26">
        <v>70951</v>
      </c>
      <c r="N442" s="26"/>
      <c r="O442" s="26">
        <v>458604</v>
      </c>
      <c r="P442" s="26"/>
      <c r="Q442" s="26">
        <v>64937</v>
      </c>
      <c r="R442" s="26"/>
      <c r="S442" s="26">
        <v>0</v>
      </c>
      <c r="T442" s="26"/>
      <c r="U442" s="26">
        <v>0</v>
      </c>
      <c r="V442" s="26"/>
      <c r="W442" s="26">
        <v>16365</v>
      </c>
      <c r="X442" s="26"/>
      <c r="Y442" s="54">
        <f t="shared" si="23"/>
        <v>5402964</v>
      </c>
      <c r="Z442" s="26"/>
      <c r="AA442" s="26">
        <v>32000</v>
      </c>
      <c r="AB442" s="26"/>
      <c r="AC442" s="26"/>
      <c r="AD442" s="26"/>
      <c r="AE442" s="26">
        <v>0</v>
      </c>
      <c r="AF442" s="26"/>
      <c r="AG442" s="26"/>
      <c r="AH442" s="26"/>
      <c r="AI442" s="26"/>
      <c r="AJ442" s="26"/>
      <c r="AK442" s="26">
        <v>420</v>
      </c>
      <c r="AL442" s="26"/>
      <c r="AM442" s="26">
        <v>0</v>
      </c>
      <c r="AN442" s="26"/>
      <c r="AO442" s="26">
        <v>0</v>
      </c>
      <c r="AP442" s="26"/>
      <c r="AQ442" s="26">
        <v>0</v>
      </c>
      <c r="AR442" s="26"/>
      <c r="AS442" s="54">
        <f t="shared" si="20"/>
        <v>32420</v>
      </c>
      <c r="AT442" s="26"/>
      <c r="AU442" s="54">
        <f t="shared" si="21"/>
        <v>5435384</v>
      </c>
    </row>
    <row r="443" spans="1:47">
      <c r="A443" s="13" t="s">
        <v>292</v>
      </c>
      <c r="B443" s="13"/>
      <c r="C443" s="13" t="s">
        <v>19</v>
      </c>
      <c r="D443" s="13"/>
      <c r="E443" s="32">
        <v>46474</v>
      </c>
      <c r="F443" s="26"/>
      <c r="G443" s="26">
        <v>2834188</v>
      </c>
      <c r="H443" s="26"/>
      <c r="I443" s="26">
        <v>0</v>
      </c>
      <c r="J443" s="26"/>
      <c r="K443" s="26">
        <v>8751360</v>
      </c>
      <c r="L443" s="26"/>
      <c r="M443" s="26">
        <v>194060</v>
      </c>
      <c r="N443" s="26"/>
      <c r="O443" s="26">
        <v>356290</v>
      </c>
      <c r="P443" s="26"/>
      <c r="Q443" s="26">
        <v>164111</v>
      </c>
      <c r="R443" s="26"/>
      <c r="S443" s="26">
        <v>0</v>
      </c>
      <c r="T443" s="26"/>
      <c r="U443" s="26">
        <v>0</v>
      </c>
      <c r="V443" s="26"/>
      <c r="W443" s="26">
        <v>418099</v>
      </c>
      <c r="X443" s="26"/>
      <c r="Y443" s="54">
        <f t="shared" si="23"/>
        <v>12718108</v>
      </c>
      <c r="Z443" s="26"/>
      <c r="AA443" s="26">
        <v>35000</v>
      </c>
      <c r="AB443" s="26"/>
      <c r="AC443" s="26"/>
      <c r="AD443" s="26"/>
      <c r="AE443" s="26">
        <v>0</v>
      </c>
      <c r="AF443" s="26"/>
      <c r="AG443" s="26"/>
      <c r="AH443" s="26"/>
      <c r="AI443" s="26"/>
      <c r="AJ443" s="26"/>
      <c r="AK443" s="26">
        <v>165745</v>
      </c>
      <c r="AL443" s="26"/>
      <c r="AM443" s="26">
        <v>0</v>
      </c>
      <c r="AN443" s="26"/>
      <c r="AO443" s="26">
        <v>0</v>
      </c>
      <c r="AP443" s="26"/>
      <c r="AQ443" s="26">
        <v>0</v>
      </c>
      <c r="AR443" s="26"/>
      <c r="AS443" s="54">
        <f t="shared" si="20"/>
        <v>200745</v>
      </c>
      <c r="AT443" s="26"/>
      <c r="AU443" s="54">
        <f t="shared" si="21"/>
        <v>12918853</v>
      </c>
    </row>
    <row r="444" spans="1:47">
      <c r="A444" s="13" t="s">
        <v>904</v>
      </c>
      <c r="B444" s="13"/>
      <c r="C444" s="13" t="s">
        <v>77</v>
      </c>
      <c r="D444" s="13"/>
      <c r="E444" s="32">
        <v>46078</v>
      </c>
      <c r="F444" s="26"/>
      <c r="G444" s="26">
        <v>2505723</v>
      </c>
      <c r="H444" s="26"/>
      <c r="I444" s="26">
        <v>0</v>
      </c>
      <c r="J444" s="26"/>
      <c r="K444" s="26">
        <v>8894682</v>
      </c>
      <c r="L444" s="26"/>
      <c r="M444" s="26">
        <v>159847</v>
      </c>
      <c r="N444" s="26"/>
      <c r="O444" s="26">
        <v>404877</v>
      </c>
      <c r="P444" s="26"/>
      <c r="Q444" s="26">
        <v>71348</v>
      </c>
      <c r="R444" s="26"/>
      <c r="S444" s="26">
        <v>0</v>
      </c>
      <c r="T444" s="26"/>
      <c r="U444" s="26">
        <v>2525</v>
      </c>
      <c r="V444" s="26"/>
      <c r="W444" s="26">
        <v>337397</v>
      </c>
      <c r="X444" s="26"/>
      <c r="Y444" s="54">
        <f t="shared" si="23"/>
        <v>12376399</v>
      </c>
      <c r="Z444" s="26"/>
      <c r="AA444" s="26">
        <v>0</v>
      </c>
      <c r="AB444" s="26"/>
      <c r="AC444" s="26"/>
      <c r="AD444" s="26"/>
      <c r="AE444" s="26">
        <v>0</v>
      </c>
      <c r="AF444" s="26"/>
      <c r="AG444" s="26"/>
      <c r="AH444" s="26"/>
      <c r="AI444" s="26"/>
      <c r="AJ444" s="26"/>
      <c r="AK444" s="26">
        <v>291020</v>
      </c>
      <c r="AL444" s="26"/>
      <c r="AM444" s="26">
        <v>0</v>
      </c>
      <c r="AN444" s="26"/>
      <c r="AO444" s="26">
        <v>0</v>
      </c>
      <c r="AP444" s="26"/>
      <c r="AQ444" s="26">
        <v>0</v>
      </c>
      <c r="AR444" s="26"/>
      <c r="AS444" s="54">
        <f t="shared" si="20"/>
        <v>291020</v>
      </c>
      <c r="AT444" s="26"/>
      <c r="AU444" s="54">
        <f t="shared" si="21"/>
        <v>12667419</v>
      </c>
    </row>
    <row r="445" spans="1:47">
      <c r="A445" s="13" t="s">
        <v>730</v>
      </c>
      <c r="B445" s="13"/>
      <c r="C445" s="13" t="s">
        <v>71</v>
      </c>
      <c r="D445" s="13"/>
      <c r="E445" s="32">
        <v>45591</v>
      </c>
      <c r="F445" s="26"/>
      <c r="G445" s="26">
        <v>3770747</v>
      </c>
      <c r="H445" s="26"/>
      <c r="I445" s="26">
        <v>0</v>
      </c>
      <c r="J445" s="26"/>
      <c r="K445" s="26">
        <v>5988373</v>
      </c>
      <c r="L445" s="26"/>
      <c r="M445" s="26">
        <v>232656</v>
      </c>
      <c r="N445" s="26"/>
      <c r="O445" s="26">
        <v>228494</v>
      </c>
      <c r="P445" s="26"/>
      <c r="Q445" s="26">
        <v>73079</v>
      </c>
      <c r="R445" s="26"/>
      <c r="S445" s="26">
        <v>0</v>
      </c>
      <c r="T445" s="26"/>
      <c r="U445" s="26">
        <v>0</v>
      </c>
      <c r="V445" s="26"/>
      <c r="W445" s="26">
        <v>374838</v>
      </c>
      <c r="X445" s="26"/>
      <c r="Y445" s="54">
        <f t="shared" si="23"/>
        <v>10668187</v>
      </c>
      <c r="Z445" s="26"/>
      <c r="AA445" s="26">
        <v>46995</v>
      </c>
      <c r="AB445" s="26"/>
      <c r="AC445" s="26"/>
      <c r="AD445" s="26"/>
      <c r="AE445" s="26">
        <v>8631502</v>
      </c>
      <c r="AF445" s="26"/>
      <c r="AG445" s="26"/>
      <c r="AH445" s="26"/>
      <c r="AI445" s="26"/>
      <c r="AJ445" s="26"/>
      <c r="AK445" s="26">
        <v>0</v>
      </c>
      <c r="AL445" s="26"/>
      <c r="AM445" s="26">
        <v>0</v>
      </c>
      <c r="AN445" s="26"/>
      <c r="AO445" s="26">
        <v>0</v>
      </c>
      <c r="AP445" s="26"/>
      <c r="AQ445" s="26">
        <v>0</v>
      </c>
      <c r="AR445" s="26"/>
      <c r="AS445" s="54">
        <f t="shared" si="20"/>
        <v>8678497</v>
      </c>
      <c r="AT445" s="26"/>
      <c r="AU445" s="54">
        <f t="shared" si="21"/>
        <v>19346684</v>
      </c>
    </row>
    <row r="446" spans="1:47">
      <c r="A446" s="13" t="s">
        <v>530</v>
      </c>
      <c r="B446" s="13"/>
      <c r="C446" s="13" t="s">
        <v>46</v>
      </c>
      <c r="D446" s="13"/>
      <c r="E446" s="32">
        <v>48447</v>
      </c>
      <c r="F446" s="26"/>
      <c r="G446" s="26">
        <v>7673901</v>
      </c>
      <c r="H446" s="26"/>
      <c r="I446" s="26">
        <v>0</v>
      </c>
      <c r="J446" s="26"/>
      <c r="K446" s="26">
        <v>7574856</v>
      </c>
      <c r="L446" s="26"/>
      <c r="M446" s="26">
        <v>254293</v>
      </c>
      <c r="N446" s="26"/>
      <c r="O446" s="26">
        <v>2431067</v>
      </c>
      <c r="P446" s="26"/>
      <c r="Q446" s="26">
        <v>299429</v>
      </c>
      <c r="R446" s="26"/>
      <c r="S446" s="26">
        <v>151396</v>
      </c>
      <c r="T446" s="26"/>
      <c r="U446" s="26">
        <v>0</v>
      </c>
      <c r="V446" s="26"/>
      <c r="W446" s="26">
        <v>600464</v>
      </c>
      <c r="X446" s="26"/>
      <c r="Y446" s="54">
        <f t="shared" si="23"/>
        <v>18985406</v>
      </c>
      <c r="Z446" s="26"/>
      <c r="AA446" s="26">
        <v>78219</v>
      </c>
      <c r="AB446" s="26"/>
      <c r="AC446" s="26"/>
      <c r="AD446" s="26"/>
      <c r="AE446" s="26">
        <v>9783212</v>
      </c>
      <c r="AF446" s="26"/>
      <c r="AG446" s="26"/>
      <c r="AH446" s="26"/>
      <c r="AI446" s="26"/>
      <c r="AJ446" s="26"/>
      <c r="AK446" s="26">
        <v>230000</v>
      </c>
      <c r="AL446" s="26"/>
      <c r="AM446" s="26">
        <v>0</v>
      </c>
      <c r="AN446" s="26"/>
      <c r="AO446" s="26">
        <v>0</v>
      </c>
      <c r="AP446" s="26"/>
      <c r="AQ446" s="26">
        <v>0</v>
      </c>
      <c r="AR446" s="26"/>
      <c r="AS446" s="54">
        <f t="shared" si="20"/>
        <v>10091431</v>
      </c>
      <c r="AT446" s="26"/>
      <c r="AU446" s="54">
        <f t="shared" si="21"/>
        <v>29076837</v>
      </c>
    </row>
    <row r="447" spans="1:47">
      <c r="A447" s="13" t="s">
        <v>293</v>
      </c>
      <c r="B447" s="13"/>
      <c r="C447" s="13" t="s">
        <v>19</v>
      </c>
      <c r="D447" s="13"/>
      <c r="E447" s="32">
        <v>46482</v>
      </c>
      <c r="F447" s="26"/>
      <c r="G447" s="26">
        <v>8114348</v>
      </c>
      <c r="H447" s="26"/>
      <c r="I447" s="26">
        <v>0</v>
      </c>
      <c r="J447" s="26"/>
      <c r="K447" s="26">
        <v>12904350</v>
      </c>
      <c r="L447" s="26"/>
      <c r="M447" s="26">
        <v>253429</v>
      </c>
      <c r="N447" s="26"/>
      <c r="O447" s="26">
        <v>557976</v>
      </c>
      <c r="P447" s="26"/>
      <c r="Q447" s="26">
        <v>212568</v>
      </c>
      <c r="R447" s="26"/>
      <c r="S447" s="26">
        <v>0</v>
      </c>
      <c r="T447" s="26"/>
      <c r="U447" s="26">
        <v>17951</v>
      </c>
      <c r="V447" s="26"/>
      <c r="W447" s="26">
        <v>642274</v>
      </c>
      <c r="X447" s="26"/>
      <c r="Y447" s="54">
        <f t="shared" si="23"/>
        <v>22702896</v>
      </c>
      <c r="Z447" s="26"/>
      <c r="AA447" s="26">
        <v>0</v>
      </c>
      <c r="AB447" s="26"/>
      <c r="AC447" s="26"/>
      <c r="AD447" s="26"/>
      <c r="AE447" s="26">
        <v>0</v>
      </c>
      <c r="AF447" s="26"/>
      <c r="AG447" s="26"/>
      <c r="AH447" s="26"/>
      <c r="AI447" s="26"/>
      <c r="AJ447" s="26"/>
      <c r="AK447" s="26">
        <v>94355</v>
      </c>
      <c r="AL447" s="26"/>
      <c r="AM447" s="26">
        <v>0</v>
      </c>
      <c r="AN447" s="26"/>
      <c r="AO447" s="26">
        <v>0</v>
      </c>
      <c r="AP447" s="26"/>
      <c r="AQ447" s="26">
        <v>0</v>
      </c>
      <c r="AR447" s="26"/>
      <c r="AS447" s="54">
        <f t="shared" si="20"/>
        <v>94355</v>
      </c>
      <c r="AT447" s="26"/>
      <c r="AU447" s="54">
        <f t="shared" si="21"/>
        <v>22797251</v>
      </c>
    </row>
    <row r="448" spans="1:47">
      <c r="A448" s="13" t="s">
        <v>430</v>
      </c>
      <c r="B448" s="13"/>
      <c r="C448" s="13" t="s">
        <v>426</v>
      </c>
      <c r="D448" s="13"/>
      <c r="E448" s="32">
        <v>47514</v>
      </c>
      <c r="F448" s="26"/>
      <c r="G448" s="26">
        <v>2395930</v>
      </c>
      <c r="H448" s="26"/>
      <c r="I448" s="26">
        <v>1052905</v>
      </c>
      <c r="J448" s="26"/>
      <c r="K448" s="26">
        <v>6406714</v>
      </c>
      <c r="L448" s="26"/>
      <c r="M448" s="26">
        <v>234691</v>
      </c>
      <c r="N448" s="26"/>
      <c r="O448" s="26">
        <v>336348</v>
      </c>
      <c r="P448" s="26"/>
      <c r="Q448" s="26">
        <v>117690</v>
      </c>
      <c r="R448" s="26"/>
      <c r="S448" s="26">
        <v>0</v>
      </c>
      <c r="T448" s="26"/>
      <c r="U448" s="26">
        <v>0</v>
      </c>
      <c r="V448" s="26"/>
      <c r="W448" s="26">
        <v>374680</v>
      </c>
      <c r="X448" s="26"/>
      <c r="Y448" s="54">
        <f t="shared" si="23"/>
        <v>10918958</v>
      </c>
      <c r="Z448" s="26"/>
      <c r="AA448" s="26">
        <v>4513</v>
      </c>
      <c r="AB448" s="26"/>
      <c r="AC448" s="26"/>
      <c r="AD448" s="26"/>
      <c r="AE448" s="26">
        <v>0</v>
      </c>
      <c r="AF448" s="26"/>
      <c r="AG448" s="26"/>
      <c r="AH448" s="26"/>
      <c r="AI448" s="26"/>
      <c r="AJ448" s="26"/>
      <c r="AK448" s="26">
        <v>1712</v>
      </c>
      <c r="AL448" s="26"/>
      <c r="AM448" s="26">
        <v>0</v>
      </c>
      <c r="AN448" s="26"/>
      <c r="AO448" s="26">
        <v>0</v>
      </c>
      <c r="AP448" s="26"/>
      <c r="AQ448" s="26">
        <v>0</v>
      </c>
      <c r="AR448" s="26"/>
      <c r="AS448" s="54">
        <f t="shared" si="20"/>
        <v>6225</v>
      </c>
      <c r="AT448" s="26"/>
      <c r="AU448" s="54">
        <f t="shared" si="21"/>
        <v>10925183</v>
      </c>
    </row>
    <row r="449" spans="1:47">
      <c r="A449" s="13" t="s">
        <v>488</v>
      </c>
      <c r="B449" s="13"/>
      <c r="C449" s="13" t="s">
        <v>41</v>
      </c>
      <c r="D449" s="13"/>
      <c r="E449" s="32"/>
      <c r="F449" s="26"/>
      <c r="G449" s="26">
        <v>28345917</v>
      </c>
      <c r="H449" s="26"/>
      <c r="I449" s="26">
        <v>0</v>
      </c>
      <c r="J449" s="26"/>
      <c r="K449" s="26">
        <v>13319358</v>
      </c>
      <c r="L449" s="26"/>
      <c r="M449" s="26">
        <v>509491</v>
      </c>
      <c r="N449" s="26"/>
      <c r="O449" s="26">
        <v>1385001</v>
      </c>
      <c r="P449" s="26"/>
      <c r="Q449" s="26">
        <v>515909</v>
      </c>
      <c r="R449" s="26"/>
      <c r="S449" s="26">
        <v>0</v>
      </c>
      <c r="T449" s="26"/>
      <c r="U449" s="26">
        <v>0</v>
      </c>
      <c r="V449" s="26"/>
      <c r="W449" s="26">
        <v>254844</v>
      </c>
      <c r="X449" s="26"/>
      <c r="Y449" s="54">
        <f t="shared" si="23"/>
        <v>44330520</v>
      </c>
      <c r="Z449" s="26"/>
      <c r="AA449" s="26">
        <v>412542</v>
      </c>
      <c r="AB449" s="26"/>
      <c r="AC449" s="26"/>
      <c r="AD449" s="26"/>
      <c r="AE449" s="26">
        <v>0</v>
      </c>
      <c r="AF449" s="26"/>
      <c r="AG449" s="26"/>
      <c r="AH449" s="26"/>
      <c r="AI449" s="26"/>
      <c r="AJ449" s="26"/>
      <c r="AK449" s="26">
        <v>13230</v>
      </c>
      <c r="AL449" s="26"/>
      <c r="AM449" s="26">
        <v>0</v>
      </c>
      <c r="AN449" s="26"/>
      <c r="AO449" s="26">
        <v>0</v>
      </c>
      <c r="AP449" s="26"/>
      <c r="AQ449" s="26">
        <v>0</v>
      </c>
      <c r="AR449" s="26"/>
      <c r="AS449" s="54">
        <f t="shared" si="20"/>
        <v>425772</v>
      </c>
      <c r="AT449" s="26"/>
      <c r="AU449" s="54">
        <f t="shared" si="21"/>
        <v>44756292</v>
      </c>
    </row>
    <row r="450" spans="1:47">
      <c r="A450" s="13" t="s">
        <v>488</v>
      </c>
      <c r="B450" s="13"/>
      <c r="C450" s="13" t="s">
        <v>43</v>
      </c>
      <c r="D450" s="13"/>
      <c r="E450" s="32">
        <v>48090</v>
      </c>
      <c r="F450" s="26"/>
      <c r="G450" s="26">
        <v>1973847</v>
      </c>
      <c r="H450" s="26"/>
      <c r="I450" s="26">
        <v>0</v>
      </c>
      <c r="J450" s="26"/>
      <c r="K450" s="26">
        <v>4637316</v>
      </c>
      <c r="L450" s="26"/>
      <c r="M450" s="26">
        <v>83157</v>
      </c>
      <c r="N450" s="26"/>
      <c r="O450" s="26">
        <v>524380</v>
      </c>
      <c r="P450" s="26"/>
      <c r="Q450" s="26">
        <v>72682</v>
      </c>
      <c r="R450" s="26"/>
      <c r="S450" s="26">
        <v>0</v>
      </c>
      <c r="T450" s="26"/>
      <c r="U450" s="26">
        <v>0</v>
      </c>
      <c r="V450" s="26"/>
      <c r="W450" s="26">
        <v>261578</v>
      </c>
      <c r="X450" s="26"/>
      <c r="Y450" s="54">
        <f t="shared" si="23"/>
        <v>7552960</v>
      </c>
      <c r="Z450" s="26"/>
      <c r="AA450" s="26">
        <v>1000</v>
      </c>
      <c r="AB450" s="26"/>
      <c r="AC450" s="26"/>
      <c r="AD450" s="26"/>
      <c r="AE450" s="26">
        <v>0</v>
      </c>
      <c r="AF450" s="26"/>
      <c r="AG450" s="26"/>
      <c r="AH450" s="26"/>
      <c r="AI450" s="26"/>
      <c r="AJ450" s="26"/>
      <c r="AK450" s="26">
        <v>0</v>
      </c>
      <c r="AL450" s="26"/>
      <c r="AM450" s="26">
        <v>0</v>
      </c>
      <c r="AN450" s="26"/>
      <c r="AO450" s="26">
        <v>0</v>
      </c>
      <c r="AP450" s="26"/>
      <c r="AQ450" s="26">
        <v>0</v>
      </c>
      <c r="AR450" s="26"/>
      <c r="AS450" s="54">
        <f t="shared" si="20"/>
        <v>1000</v>
      </c>
      <c r="AT450" s="26"/>
      <c r="AU450" s="54">
        <f t="shared" si="21"/>
        <v>7553960</v>
      </c>
    </row>
    <row r="451" spans="1:47">
      <c r="A451" s="13" t="s">
        <v>475</v>
      </c>
      <c r="B451" s="13"/>
      <c r="C451" s="13" t="s">
        <v>471</v>
      </c>
      <c r="D451" s="13"/>
      <c r="E451" s="32">
        <v>47944</v>
      </c>
      <c r="F451" s="26"/>
      <c r="G451" s="26">
        <v>2230539</v>
      </c>
      <c r="H451" s="26"/>
      <c r="I451" s="26">
        <v>0</v>
      </c>
      <c r="J451" s="26"/>
      <c r="K451" s="26">
        <v>15724128</v>
      </c>
      <c r="L451" s="26"/>
      <c r="M451" s="26">
        <v>174919</v>
      </c>
      <c r="N451" s="26"/>
      <c r="O451" s="26">
        <v>156104</v>
      </c>
      <c r="P451" s="26"/>
      <c r="Q451" s="26">
        <v>101255</v>
      </c>
      <c r="R451" s="26"/>
      <c r="S451" s="26">
        <v>573500</v>
      </c>
      <c r="T451" s="26"/>
      <c r="U451" s="26">
        <v>0</v>
      </c>
      <c r="V451" s="26"/>
      <c r="W451" s="26">
        <v>400304</v>
      </c>
      <c r="X451" s="26"/>
      <c r="Y451" s="54">
        <f t="shared" si="23"/>
        <v>19360749</v>
      </c>
      <c r="Z451" s="26"/>
      <c r="AA451" s="26">
        <v>560762</v>
      </c>
      <c r="AB451" s="26"/>
      <c r="AC451" s="26"/>
      <c r="AD451" s="26"/>
      <c r="AE451" s="26">
        <v>0</v>
      </c>
      <c r="AF451" s="26"/>
      <c r="AG451" s="26"/>
      <c r="AH451" s="26"/>
      <c r="AI451" s="26"/>
      <c r="AJ451" s="26"/>
      <c r="AK451" s="26">
        <v>5500</v>
      </c>
      <c r="AL451" s="26"/>
      <c r="AM451" s="26">
        <v>0</v>
      </c>
      <c r="AN451" s="26"/>
      <c r="AO451" s="26">
        <v>0</v>
      </c>
      <c r="AP451" s="26"/>
      <c r="AQ451" s="26">
        <v>0</v>
      </c>
      <c r="AR451" s="26"/>
      <c r="AS451" s="54">
        <f t="shared" si="20"/>
        <v>566262</v>
      </c>
      <c r="AT451" s="26"/>
      <c r="AU451" s="54">
        <f t="shared" si="21"/>
        <v>19927011</v>
      </c>
    </row>
    <row r="452" spans="1:47">
      <c r="A452" s="13" t="s">
        <v>323</v>
      </c>
      <c r="B452" s="13"/>
      <c r="C452" s="13" t="s">
        <v>20</v>
      </c>
      <c r="D452" s="13"/>
      <c r="E452" s="32">
        <v>44701</v>
      </c>
      <c r="F452" s="26"/>
      <c r="G452" s="26">
        <v>25419002</v>
      </c>
      <c r="H452" s="26"/>
      <c r="I452" s="26">
        <v>0</v>
      </c>
      <c r="J452" s="26"/>
      <c r="K452" s="26">
        <v>7577284</v>
      </c>
      <c r="L452" s="26"/>
      <c r="M452" s="26">
        <v>291928</v>
      </c>
      <c r="N452" s="26"/>
      <c r="O452" s="26">
        <v>114979</v>
      </c>
      <c r="P452" s="26"/>
      <c r="Q452" s="26">
        <v>209092</v>
      </c>
      <c r="R452" s="26"/>
      <c r="S452" s="26">
        <v>0</v>
      </c>
      <c r="T452" s="26"/>
      <c r="U452" s="26">
        <v>95691</v>
      </c>
      <c r="V452" s="26"/>
      <c r="W452" s="26">
        <v>553493</v>
      </c>
      <c r="X452" s="26"/>
      <c r="Y452" s="54">
        <f t="shared" si="23"/>
        <v>34261469</v>
      </c>
      <c r="Z452" s="26"/>
      <c r="AA452" s="26">
        <v>0</v>
      </c>
      <c r="AB452" s="26"/>
      <c r="AC452" s="26"/>
      <c r="AD452" s="26"/>
      <c r="AE452" s="26">
        <v>0</v>
      </c>
      <c r="AF452" s="26"/>
      <c r="AG452" s="26"/>
      <c r="AH452" s="26"/>
      <c r="AI452" s="26"/>
      <c r="AJ452" s="26"/>
      <c r="AK452" s="26">
        <v>0</v>
      </c>
      <c r="AL452" s="26"/>
      <c r="AM452" s="26">
        <v>0</v>
      </c>
      <c r="AN452" s="26"/>
      <c r="AO452" s="26">
        <v>0</v>
      </c>
      <c r="AP452" s="26"/>
      <c r="AQ452" s="26">
        <v>0</v>
      </c>
      <c r="AR452" s="26"/>
      <c r="AS452" s="54">
        <f t="shared" si="20"/>
        <v>0</v>
      </c>
      <c r="AT452" s="26"/>
      <c r="AU452" s="54">
        <f t="shared" si="21"/>
        <v>34261469</v>
      </c>
    </row>
    <row r="453" spans="1:47">
      <c r="A453" s="13" t="s">
        <v>395</v>
      </c>
      <c r="B453" s="13"/>
      <c r="C453" s="13" t="s">
        <v>31</v>
      </c>
      <c r="D453" s="13"/>
      <c r="E453" s="32">
        <v>47308</v>
      </c>
      <c r="F453" s="26"/>
      <c r="G453" s="26">
        <v>4714465</v>
      </c>
      <c r="H453" s="26"/>
      <c r="I453" s="26">
        <v>0</v>
      </c>
      <c r="J453" s="26"/>
      <c r="K453" s="26">
        <v>12040500</v>
      </c>
      <c r="L453" s="26"/>
      <c r="M453" s="26">
        <v>116357</v>
      </c>
      <c r="N453" s="26"/>
      <c r="O453" s="26">
        <v>596837</v>
      </c>
      <c r="P453" s="26"/>
      <c r="Q453" s="26">
        <v>107766</v>
      </c>
      <c r="R453" s="26"/>
      <c r="S453" s="26">
        <v>0</v>
      </c>
      <c r="T453" s="26"/>
      <c r="U453" s="26">
        <v>30080</v>
      </c>
      <c r="V453" s="26"/>
      <c r="W453" s="26">
        <f>139882+263418+57692</f>
        <v>460992</v>
      </c>
      <c r="X453" s="26"/>
      <c r="Y453" s="54">
        <f t="shared" si="23"/>
        <v>18066997</v>
      </c>
      <c r="Z453" s="26"/>
      <c r="AA453" s="26">
        <v>200000</v>
      </c>
      <c r="AB453" s="26"/>
      <c r="AC453" s="26"/>
      <c r="AD453" s="26"/>
      <c r="AE453" s="26">
        <v>0</v>
      </c>
      <c r="AF453" s="26"/>
      <c r="AG453" s="26"/>
      <c r="AH453" s="26"/>
      <c r="AI453" s="26"/>
      <c r="AJ453" s="26"/>
      <c r="AK453" s="26">
        <v>8410</v>
      </c>
      <c r="AL453" s="26"/>
      <c r="AM453" s="26">
        <v>0</v>
      </c>
      <c r="AN453" s="26"/>
      <c r="AO453" s="26">
        <v>0</v>
      </c>
      <c r="AP453" s="26"/>
      <c r="AQ453" s="26">
        <v>0</v>
      </c>
      <c r="AR453" s="26"/>
      <c r="AS453" s="54">
        <f t="shared" si="20"/>
        <v>208410</v>
      </c>
      <c r="AT453" s="26"/>
      <c r="AU453" s="54">
        <f t="shared" si="21"/>
        <v>18275407</v>
      </c>
    </row>
    <row r="454" spans="1:47">
      <c r="A454" s="13" t="s">
        <v>600</v>
      </c>
      <c r="B454" s="13"/>
      <c r="C454" s="13" t="s">
        <v>56</v>
      </c>
      <c r="D454" s="13"/>
      <c r="E454" s="32">
        <v>49213</v>
      </c>
      <c r="F454" s="26"/>
      <c r="G454" s="26">
        <v>4933989</v>
      </c>
      <c r="H454" s="26"/>
      <c r="I454" s="26">
        <v>0</v>
      </c>
      <c r="J454" s="26"/>
      <c r="K454" s="26">
        <v>6097435</v>
      </c>
      <c r="L454" s="26"/>
      <c r="M454" s="26">
        <v>61208</v>
      </c>
      <c r="N454" s="26"/>
      <c r="O454" s="26">
        <v>208974</v>
      </c>
      <c r="P454" s="26"/>
      <c r="Q454" s="26">
        <v>94299</v>
      </c>
      <c r="R454" s="26"/>
      <c r="S454" s="26">
        <v>0</v>
      </c>
      <c r="T454" s="26"/>
      <c r="U454" s="26">
        <v>13745</v>
      </c>
      <c r="V454" s="26"/>
      <c r="W454" s="26">
        <v>354367</v>
      </c>
      <c r="X454" s="26"/>
      <c r="Y454" s="54">
        <f t="shared" si="23"/>
        <v>11764017</v>
      </c>
      <c r="Z454" s="26"/>
      <c r="AA454" s="26">
        <v>0</v>
      </c>
      <c r="AB454" s="26"/>
      <c r="AC454" s="26"/>
      <c r="AD454" s="26"/>
      <c r="AE454" s="26">
        <v>0</v>
      </c>
      <c r="AF454" s="26"/>
      <c r="AG454" s="26"/>
      <c r="AH454" s="26"/>
      <c r="AI454" s="26"/>
      <c r="AJ454" s="26"/>
      <c r="AK454" s="26">
        <v>0</v>
      </c>
      <c r="AL454" s="26"/>
      <c r="AM454" s="26">
        <v>0</v>
      </c>
      <c r="AN454" s="26"/>
      <c r="AO454" s="26">
        <v>0</v>
      </c>
      <c r="AP454" s="26"/>
      <c r="AQ454" s="26">
        <v>0</v>
      </c>
      <c r="AR454" s="26"/>
      <c r="AS454" s="54">
        <f t="shared" si="20"/>
        <v>0</v>
      </c>
      <c r="AT454" s="26"/>
      <c r="AU454" s="54">
        <f t="shared" si="21"/>
        <v>11764017</v>
      </c>
    </row>
    <row r="455" spans="1:47">
      <c r="A455" s="13" t="s">
        <v>254</v>
      </c>
      <c r="B455" s="13"/>
      <c r="C455" s="13" t="s">
        <v>246</v>
      </c>
      <c r="D455" s="13"/>
      <c r="E455" s="32">
        <v>46144</v>
      </c>
      <c r="F455" s="26"/>
      <c r="G455" s="26">
        <v>8200063</v>
      </c>
      <c r="H455" s="26"/>
      <c r="I455" s="26">
        <v>2861441</v>
      </c>
      <c r="J455" s="26"/>
      <c r="K455" s="26">
        <v>13620674</v>
      </c>
      <c r="L455" s="26"/>
      <c r="M455" s="26">
        <v>278655</v>
      </c>
      <c r="N455" s="26"/>
      <c r="O455" s="26">
        <v>47343</v>
      </c>
      <c r="P455" s="26"/>
      <c r="Q455" s="26">
        <v>574182</v>
      </c>
      <c r="R455" s="26"/>
      <c r="S455" s="26">
        <v>0</v>
      </c>
      <c r="T455" s="26"/>
      <c r="U455" s="26">
        <v>0</v>
      </c>
      <c r="V455" s="26"/>
      <c r="W455" s="26">
        <v>1195208</v>
      </c>
      <c r="X455" s="26"/>
      <c r="Y455" s="54">
        <f t="shared" si="23"/>
        <v>26777566</v>
      </c>
      <c r="Z455" s="26"/>
      <c r="AA455" s="26">
        <v>4569</v>
      </c>
      <c r="AB455" s="26"/>
      <c r="AC455" s="26"/>
      <c r="AD455" s="26"/>
      <c r="AE455" s="26">
        <v>0</v>
      </c>
      <c r="AF455" s="26"/>
      <c r="AG455" s="26"/>
      <c r="AH455" s="26"/>
      <c r="AI455" s="26"/>
      <c r="AJ455" s="26"/>
      <c r="AK455" s="26">
        <v>347392</v>
      </c>
      <c r="AL455" s="26"/>
      <c r="AM455" s="26">
        <v>0</v>
      </c>
      <c r="AN455" s="26"/>
      <c r="AO455" s="26">
        <v>0</v>
      </c>
      <c r="AP455" s="26"/>
      <c r="AQ455" s="26">
        <v>0</v>
      </c>
      <c r="AR455" s="26"/>
      <c r="AS455" s="54">
        <f t="shared" si="20"/>
        <v>351961</v>
      </c>
      <c r="AT455" s="26"/>
      <c r="AU455" s="54">
        <f t="shared" si="21"/>
        <v>27129527</v>
      </c>
    </row>
    <row r="456" spans="1:47">
      <c r="A456" s="13" t="s">
        <v>745</v>
      </c>
      <c r="B456" s="13"/>
      <c r="C456" s="13" t="s">
        <v>72</v>
      </c>
      <c r="D456" s="13"/>
      <c r="E456" s="32">
        <v>45609</v>
      </c>
      <c r="F456" s="26"/>
      <c r="G456" s="26">
        <v>13727813</v>
      </c>
      <c r="H456" s="26"/>
      <c r="I456" s="26">
        <v>0</v>
      </c>
      <c r="J456" s="26"/>
      <c r="K456" s="26">
        <v>7893499</v>
      </c>
      <c r="L456" s="26"/>
      <c r="M456" s="26">
        <v>463266</v>
      </c>
      <c r="N456" s="26"/>
      <c r="O456" s="26">
        <v>460121</v>
      </c>
      <c r="P456" s="26"/>
      <c r="Q456" s="26">
        <v>216188</v>
      </c>
      <c r="R456" s="26"/>
      <c r="S456" s="26">
        <v>1854492</v>
      </c>
      <c r="T456" s="26"/>
      <c r="U456" s="26">
        <v>4998</v>
      </c>
      <c r="V456" s="26"/>
      <c r="W456" s="26">
        <v>429526</v>
      </c>
      <c r="X456" s="26"/>
      <c r="Y456" s="54">
        <f t="shared" si="23"/>
        <v>25049903</v>
      </c>
      <c r="Z456" s="26"/>
      <c r="AA456" s="26">
        <v>17375</v>
      </c>
      <c r="AB456" s="26"/>
      <c r="AC456" s="26"/>
      <c r="AD456" s="26"/>
      <c r="AE456" s="26">
        <v>0</v>
      </c>
      <c r="AF456" s="26"/>
      <c r="AG456" s="26"/>
      <c r="AH456" s="26"/>
      <c r="AI456" s="26"/>
      <c r="AJ456" s="26"/>
      <c r="AK456" s="26">
        <v>0</v>
      </c>
      <c r="AL456" s="26"/>
      <c r="AM456" s="26">
        <v>0</v>
      </c>
      <c r="AN456" s="26"/>
      <c r="AO456" s="26">
        <v>0</v>
      </c>
      <c r="AP456" s="26"/>
      <c r="AQ456" s="26">
        <v>0</v>
      </c>
      <c r="AR456" s="26"/>
      <c r="AS456" s="54">
        <f t="shared" si="20"/>
        <v>17375</v>
      </c>
      <c r="AT456" s="26"/>
      <c r="AU456" s="54">
        <f t="shared" si="21"/>
        <v>25067278</v>
      </c>
    </row>
    <row r="457" spans="1:47">
      <c r="A457" s="13" t="s">
        <v>651</v>
      </c>
      <c r="B457" s="13"/>
      <c r="C457" s="13" t="s">
        <v>61</v>
      </c>
      <c r="D457" s="13"/>
      <c r="E457" s="13">
        <v>49817</v>
      </c>
      <c r="F457" s="26"/>
      <c r="G457" s="26">
        <v>1241813</v>
      </c>
      <c r="H457" s="26"/>
      <c r="I457" s="26">
        <v>343222</v>
      </c>
      <c r="J457" s="26"/>
      <c r="K457" s="26">
        <v>2442350</v>
      </c>
      <c r="L457" s="26"/>
      <c r="M457" s="26">
        <v>70855</v>
      </c>
      <c r="N457" s="26"/>
      <c r="O457" s="26">
        <v>314555</v>
      </c>
      <c r="P457" s="26"/>
      <c r="Q457" s="26">
        <v>50336</v>
      </c>
      <c r="R457" s="26"/>
      <c r="S457" s="26">
        <v>0</v>
      </c>
      <c r="T457" s="26"/>
      <c r="U457" s="26">
        <v>31448</v>
      </c>
      <c r="V457" s="26"/>
      <c r="W457" s="26">
        <v>120985</v>
      </c>
      <c r="X457" s="26"/>
      <c r="Y457" s="54">
        <f t="shared" si="23"/>
        <v>4615564</v>
      </c>
      <c r="Z457" s="26"/>
      <c r="AA457" s="26">
        <v>10000</v>
      </c>
      <c r="AB457" s="26"/>
      <c r="AC457" s="26"/>
      <c r="AD457" s="26"/>
      <c r="AE457" s="26">
        <v>3766625</v>
      </c>
      <c r="AF457" s="26"/>
      <c r="AG457" s="26"/>
      <c r="AH457" s="26"/>
      <c r="AI457" s="26"/>
      <c r="AJ457" s="26"/>
      <c r="AK457" s="26">
        <v>1300</v>
      </c>
      <c r="AL457" s="26"/>
      <c r="AM457" s="26">
        <v>0</v>
      </c>
      <c r="AN457" s="26"/>
      <c r="AO457" s="26">
        <v>0</v>
      </c>
      <c r="AP457" s="26"/>
      <c r="AQ457" s="26">
        <v>0</v>
      </c>
      <c r="AR457" s="26"/>
      <c r="AS457" s="54">
        <f t="shared" si="20"/>
        <v>3777925</v>
      </c>
      <c r="AT457" s="26"/>
      <c r="AU457" s="54">
        <f t="shared" si="21"/>
        <v>8393489</v>
      </c>
    </row>
    <row r="458" spans="1:47">
      <c r="A458" s="13" t="s">
        <v>839</v>
      </c>
      <c r="B458" s="13"/>
      <c r="C458" s="13" t="s">
        <v>115</v>
      </c>
      <c r="D458" s="13"/>
      <c r="E458" s="32"/>
      <c r="F458" s="26"/>
      <c r="G458" s="26">
        <v>9870727</v>
      </c>
      <c r="H458" s="26"/>
      <c r="I458" s="26">
        <v>0</v>
      </c>
      <c r="J458" s="26"/>
      <c r="K458" s="26">
        <f>9524301+1857366</f>
        <v>11381667</v>
      </c>
      <c r="L458" s="26"/>
      <c r="M458" s="26">
        <v>69693</v>
      </c>
      <c r="N458" s="26"/>
      <c r="O458" s="26">
        <f>584994+3774+204662+74432</f>
        <v>867862</v>
      </c>
      <c r="P458" s="26"/>
      <c r="Q458" s="26">
        <v>173815</v>
      </c>
      <c r="R458" s="26"/>
      <c r="S458" s="26">
        <v>0</v>
      </c>
      <c r="T458" s="26"/>
      <c r="U458" s="26">
        <v>0</v>
      </c>
      <c r="V458" s="26"/>
      <c r="W458" s="26">
        <v>424566</v>
      </c>
      <c r="X458" s="26"/>
      <c r="Y458" s="54">
        <f t="shared" ref="Y458:Y506" si="24">SUM(G458:W458)</f>
        <v>22788330</v>
      </c>
      <c r="Z458" s="26"/>
      <c r="AA458" s="26">
        <v>35986</v>
      </c>
      <c r="AB458" s="26"/>
      <c r="AC458" s="26"/>
      <c r="AD458" s="26"/>
      <c r="AE458" s="26">
        <v>0</v>
      </c>
      <c r="AF458" s="26"/>
      <c r="AG458" s="26"/>
      <c r="AH458" s="26"/>
      <c r="AI458" s="26"/>
      <c r="AJ458" s="26"/>
      <c r="AK458" s="26">
        <v>44219</v>
      </c>
      <c r="AL458" s="26"/>
      <c r="AM458" s="26">
        <v>0</v>
      </c>
      <c r="AN458" s="26"/>
      <c r="AO458" s="26">
        <v>0</v>
      </c>
      <c r="AP458" s="26"/>
      <c r="AQ458" s="26">
        <v>0</v>
      </c>
      <c r="AR458" s="26"/>
      <c r="AS458" s="54">
        <f t="shared" ref="AS458:AS506" si="25">AK458+AE458+AA458</f>
        <v>80205</v>
      </c>
      <c r="AT458" s="26"/>
      <c r="AU458" s="54">
        <f t="shared" ref="AU458:AU506" si="26">Y458+AS458</f>
        <v>22868535</v>
      </c>
    </row>
    <row r="459" spans="1:47">
      <c r="A459" s="13" t="s">
        <v>345</v>
      </c>
      <c r="B459" s="13"/>
      <c r="C459" s="13" t="s">
        <v>24</v>
      </c>
      <c r="D459" s="13"/>
      <c r="E459" s="32">
        <v>44743</v>
      </c>
      <c r="F459" s="26"/>
      <c r="G459" s="26">
        <v>18915186</v>
      </c>
      <c r="H459" s="26"/>
      <c r="I459" s="26">
        <v>0</v>
      </c>
      <c r="J459" s="26"/>
      <c r="K459" s="26">
        <f>21478637+7134955</f>
        <v>28613592</v>
      </c>
      <c r="L459" s="26"/>
      <c r="M459" s="26">
        <v>367488</v>
      </c>
      <c r="N459" s="26"/>
      <c r="O459" s="26">
        <f>584044+565621+119215</f>
        <v>1268880</v>
      </c>
      <c r="P459" s="26"/>
      <c r="Q459" s="26">
        <v>236953</v>
      </c>
      <c r="R459" s="26"/>
      <c r="S459" s="26">
        <v>0</v>
      </c>
      <c r="T459" s="26"/>
      <c r="U459" s="26">
        <v>0</v>
      </c>
      <c r="V459" s="26"/>
      <c r="W459" s="26">
        <f>135064+671731-16852</f>
        <v>789943</v>
      </c>
      <c r="X459" s="26"/>
      <c r="Y459" s="54">
        <f t="shared" si="24"/>
        <v>50192042</v>
      </c>
      <c r="Z459" s="26"/>
      <c r="AA459" s="26">
        <v>166354</v>
      </c>
      <c r="AB459" s="26"/>
      <c r="AC459" s="26"/>
      <c r="AD459" s="26"/>
      <c r="AE459" s="26">
        <v>0</v>
      </c>
      <c r="AF459" s="26"/>
      <c r="AG459" s="26"/>
      <c r="AH459" s="26"/>
      <c r="AI459" s="26"/>
      <c r="AJ459" s="26"/>
      <c r="AK459" s="26">
        <v>0</v>
      </c>
      <c r="AL459" s="26"/>
      <c r="AM459" s="26">
        <v>0</v>
      </c>
      <c r="AN459" s="26"/>
      <c r="AO459" s="26">
        <v>0</v>
      </c>
      <c r="AP459" s="26"/>
      <c r="AQ459" s="26">
        <v>0</v>
      </c>
      <c r="AR459" s="26"/>
      <c r="AS459" s="54">
        <f t="shared" si="25"/>
        <v>166354</v>
      </c>
      <c r="AT459" s="26"/>
      <c r="AU459" s="54">
        <f t="shared" si="26"/>
        <v>50358396</v>
      </c>
    </row>
    <row r="460" spans="1:47">
      <c r="A460" s="13" t="s">
        <v>665</v>
      </c>
      <c r="B460" s="13"/>
      <c r="C460" s="13" t="s">
        <v>62</v>
      </c>
      <c r="D460" s="13"/>
      <c r="E460" s="32">
        <v>49940</v>
      </c>
      <c r="F460" s="26"/>
      <c r="G460" s="26">
        <v>4751008</v>
      </c>
      <c r="H460" s="26"/>
      <c r="I460" s="26">
        <v>0</v>
      </c>
      <c r="J460" s="26"/>
      <c r="K460" s="26">
        <f>883605+21175670+16740</f>
        <v>22076015</v>
      </c>
      <c r="L460" s="26"/>
      <c r="M460" s="26">
        <v>969553</v>
      </c>
      <c r="N460" s="26"/>
      <c r="O460" s="26">
        <f>510513+247604+37178</f>
        <v>795295</v>
      </c>
      <c r="P460" s="26"/>
      <c r="Q460" s="26">
        <v>195162</v>
      </c>
      <c r="R460" s="26"/>
      <c r="S460" s="26">
        <v>0</v>
      </c>
      <c r="T460" s="26"/>
      <c r="U460" s="26">
        <v>0</v>
      </c>
      <c r="V460" s="26"/>
      <c r="W460" s="26">
        <v>162371</v>
      </c>
      <c r="X460" s="26"/>
      <c r="Y460" s="54">
        <f t="shared" si="24"/>
        <v>28949404</v>
      </c>
      <c r="Z460" s="26"/>
      <c r="AA460" s="26">
        <v>0</v>
      </c>
      <c r="AB460" s="26"/>
      <c r="AC460" s="26"/>
      <c r="AD460" s="26"/>
      <c r="AE460" s="26">
        <v>0</v>
      </c>
      <c r="AF460" s="26"/>
      <c r="AG460" s="26"/>
      <c r="AH460" s="26"/>
      <c r="AI460" s="26"/>
      <c r="AJ460" s="26"/>
      <c r="AK460" s="26">
        <v>0</v>
      </c>
      <c r="AL460" s="26"/>
      <c r="AM460" s="26">
        <v>0</v>
      </c>
      <c r="AN460" s="26"/>
      <c r="AO460" s="26">
        <v>0</v>
      </c>
      <c r="AP460" s="26"/>
      <c r="AQ460" s="26">
        <v>0</v>
      </c>
      <c r="AR460" s="26"/>
      <c r="AS460" s="54">
        <f t="shared" si="25"/>
        <v>0</v>
      </c>
      <c r="AT460" s="26"/>
      <c r="AU460" s="54">
        <f t="shared" si="26"/>
        <v>28949404</v>
      </c>
    </row>
    <row r="461" spans="1:47">
      <c r="A461" s="13" t="s">
        <v>592</v>
      </c>
      <c r="B461" s="13"/>
      <c r="C461" s="13" t="s">
        <v>55</v>
      </c>
      <c r="D461" s="13"/>
      <c r="E461" s="32">
        <v>49130</v>
      </c>
      <c r="F461" s="26"/>
      <c r="G461" s="26">
        <v>1981532</v>
      </c>
      <c r="H461" s="26"/>
      <c r="I461" s="26">
        <v>0</v>
      </c>
      <c r="J461" s="26"/>
      <c r="K461" s="26">
        <v>12723362</v>
      </c>
      <c r="L461" s="26"/>
      <c r="M461" s="26">
        <v>403533</v>
      </c>
      <c r="N461" s="26"/>
      <c r="O461" s="26">
        <f>551856+19170+131373</f>
        <v>702399</v>
      </c>
      <c r="P461" s="26"/>
      <c r="Q461" s="26">
        <v>81491</v>
      </c>
      <c r="R461" s="26"/>
      <c r="S461" s="26">
        <v>0</v>
      </c>
      <c r="T461" s="26"/>
      <c r="U461" s="26">
        <v>10067</v>
      </c>
      <c r="V461" s="26"/>
      <c r="W461" s="26">
        <v>601538</v>
      </c>
      <c r="X461" s="26"/>
      <c r="Y461" s="54">
        <f t="shared" si="24"/>
        <v>16503922</v>
      </c>
      <c r="Z461" s="26"/>
      <c r="AA461" s="26">
        <v>74538</v>
      </c>
      <c r="AB461" s="26"/>
      <c r="AC461" s="26"/>
      <c r="AD461" s="26"/>
      <c r="AE461" s="26">
        <v>0</v>
      </c>
      <c r="AF461" s="26"/>
      <c r="AG461" s="26"/>
      <c r="AH461" s="26"/>
      <c r="AI461" s="26"/>
      <c r="AJ461" s="26"/>
      <c r="AK461" s="26">
        <v>0</v>
      </c>
      <c r="AL461" s="26"/>
      <c r="AM461" s="26">
        <v>0</v>
      </c>
      <c r="AN461" s="26"/>
      <c r="AO461" s="26">
        <v>0</v>
      </c>
      <c r="AP461" s="26"/>
      <c r="AQ461" s="26">
        <v>0</v>
      </c>
      <c r="AR461" s="26"/>
      <c r="AS461" s="54">
        <f t="shared" si="25"/>
        <v>74538</v>
      </c>
      <c r="AT461" s="26"/>
      <c r="AU461" s="54">
        <f t="shared" si="26"/>
        <v>16578460</v>
      </c>
    </row>
    <row r="462" spans="1:47">
      <c r="A462" s="13" t="s">
        <v>521</v>
      </c>
      <c r="B462" s="13"/>
      <c r="C462" s="13" t="s">
        <v>45</v>
      </c>
      <c r="D462" s="13"/>
      <c r="E462" s="32">
        <v>48355</v>
      </c>
      <c r="F462" s="26"/>
      <c r="G462" s="26">
        <v>1499352</v>
      </c>
      <c r="H462" s="26"/>
      <c r="I462" s="26">
        <v>389537</v>
      </c>
      <c r="J462" s="26"/>
      <c r="K462" s="26">
        <v>4894432</v>
      </c>
      <c r="L462" s="26"/>
      <c r="M462" s="26">
        <v>59310</v>
      </c>
      <c r="N462" s="26"/>
      <c r="O462" s="26">
        <f>398799+116356+2800</f>
        <v>517955</v>
      </c>
      <c r="P462" s="26"/>
      <c r="Q462" s="26">
        <v>71217</v>
      </c>
      <c r="R462" s="26"/>
      <c r="S462" s="26">
        <v>0</v>
      </c>
      <c r="T462" s="26"/>
      <c r="U462" s="26">
        <v>17633</v>
      </c>
      <c r="V462" s="26"/>
      <c r="W462" s="26">
        <v>56928</v>
      </c>
      <c r="X462" s="26"/>
      <c r="Y462" s="54">
        <f t="shared" si="24"/>
        <v>7506364</v>
      </c>
      <c r="Z462" s="26"/>
      <c r="AA462" s="26">
        <v>0</v>
      </c>
      <c r="AB462" s="26"/>
      <c r="AC462" s="26"/>
      <c r="AD462" s="26"/>
      <c r="AE462" s="26">
        <v>0</v>
      </c>
      <c r="AF462" s="26"/>
      <c r="AG462" s="26"/>
      <c r="AH462" s="26"/>
      <c r="AI462" s="26"/>
      <c r="AJ462" s="26"/>
      <c r="AK462" s="26">
        <v>1500</v>
      </c>
      <c r="AL462" s="26"/>
      <c r="AM462" s="26">
        <v>0</v>
      </c>
      <c r="AN462" s="26"/>
      <c r="AO462" s="26">
        <v>0</v>
      </c>
      <c r="AP462" s="26"/>
      <c r="AQ462" s="26">
        <v>0</v>
      </c>
      <c r="AR462" s="26"/>
      <c r="AS462" s="54">
        <f t="shared" si="25"/>
        <v>1500</v>
      </c>
      <c r="AT462" s="26"/>
      <c r="AU462" s="54">
        <f t="shared" si="26"/>
        <v>7507864</v>
      </c>
    </row>
    <row r="463" spans="1:47">
      <c r="A463" s="13" t="s">
        <v>644</v>
      </c>
      <c r="B463" s="13"/>
      <c r="C463" s="13" t="s">
        <v>60</v>
      </c>
      <c r="D463" s="13"/>
      <c r="E463" s="32">
        <v>49684</v>
      </c>
      <c r="F463" s="26"/>
      <c r="G463" s="26">
        <v>3335043</v>
      </c>
      <c r="H463" s="26"/>
      <c r="I463" s="26">
        <v>0</v>
      </c>
      <c r="J463" s="26"/>
      <c r="K463" s="26">
        <f>497040+6719292</f>
        <v>7216332</v>
      </c>
      <c r="L463" s="26"/>
      <c r="M463" s="26">
        <v>379237</v>
      </c>
      <c r="N463" s="26"/>
      <c r="O463" s="26">
        <f>670089+258363+44009</f>
        <v>972461</v>
      </c>
      <c r="P463" s="26"/>
      <c r="Q463" s="26">
        <v>139682</v>
      </c>
      <c r="R463" s="26"/>
      <c r="S463" s="26">
        <v>0</v>
      </c>
      <c r="T463" s="26"/>
      <c r="U463" s="26">
        <v>0</v>
      </c>
      <c r="V463" s="26"/>
      <c r="W463" s="26">
        <v>56708</v>
      </c>
      <c r="X463" s="26"/>
      <c r="Y463" s="54">
        <f t="shared" si="24"/>
        <v>12099463</v>
      </c>
      <c r="Z463" s="26"/>
      <c r="AA463" s="26">
        <v>932015</v>
      </c>
      <c r="AB463" s="26"/>
      <c r="AC463" s="26"/>
      <c r="AD463" s="26"/>
      <c r="AE463" s="26">
        <v>0</v>
      </c>
      <c r="AF463" s="26"/>
      <c r="AG463" s="26"/>
      <c r="AH463" s="26"/>
      <c r="AI463" s="26"/>
      <c r="AJ463" s="26"/>
      <c r="AK463" s="26">
        <f>11359+150975</f>
        <v>162334</v>
      </c>
      <c r="AL463" s="26"/>
      <c r="AM463" s="26">
        <v>0</v>
      </c>
      <c r="AN463" s="26"/>
      <c r="AO463" s="26">
        <v>0</v>
      </c>
      <c r="AP463" s="26"/>
      <c r="AQ463" s="26">
        <v>0</v>
      </c>
      <c r="AR463" s="26"/>
      <c r="AS463" s="54">
        <f t="shared" si="25"/>
        <v>1094349</v>
      </c>
      <c r="AT463" s="26"/>
      <c r="AU463" s="54">
        <f t="shared" si="26"/>
        <v>13193812</v>
      </c>
    </row>
    <row r="464" spans="1:47">
      <c r="A464" s="13" t="s">
        <v>237</v>
      </c>
      <c r="B464" s="13"/>
      <c r="C464" s="13" t="s">
        <v>15</v>
      </c>
      <c r="D464" s="13"/>
      <c r="E464" s="32">
        <v>46003</v>
      </c>
      <c r="F464" s="26"/>
      <c r="G464" s="26">
        <v>2988071</v>
      </c>
      <c r="H464" s="26"/>
      <c r="I464" s="26">
        <v>0</v>
      </c>
      <c r="J464" s="26"/>
      <c r="K464" s="26">
        <v>3582631</v>
      </c>
      <c r="L464" s="26"/>
      <c r="M464" s="26">
        <v>23699</v>
      </c>
      <c r="N464" s="26"/>
      <c r="O464" s="26">
        <f>824877+246+74702</f>
        <v>899825</v>
      </c>
      <c r="P464" s="26"/>
      <c r="Q464" s="26">
        <v>136425</v>
      </c>
      <c r="R464" s="26"/>
      <c r="S464" s="26">
        <v>0</v>
      </c>
      <c r="T464" s="26"/>
      <c r="U464" s="26">
        <v>22481</v>
      </c>
      <c r="V464" s="26"/>
      <c r="W464" s="26">
        <v>8604</v>
      </c>
      <c r="X464" s="26"/>
      <c r="Y464" s="54">
        <f t="shared" si="24"/>
        <v>7661736</v>
      </c>
      <c r="Z464" s="26"/>
      <c r="AA464" s="26">
        <v>109211</v>
      </c>
      <c r="AB464" s="26"/>
      <c r="AC464" s="26"/>
      <c r="AD464" s="26"/>
      <c r="AE464" s="26">
        <v>0</v>
      </c>
      <c r="AF464" s="26"/>
      <c r="AG464" s="26"/>
      <c r="AH464" s="26"/>
      <c r="AI464" s="26"/>
      <c r="AJ464" s="26"/>
      <c r="AK464" s="26">
        <v>0</v>
      </c>
      <c r="AL464" s="26"/>
      <c r="AM464" s="26">
        <v>0</v>
      </c>
      <c r="AN464" s="26"/>
      <c r="AO464" s="26">
        <v>0</v>
      </c>
      <c r="AP464" s="26"/>
      <c r="AQ464" s="26">
        <v>0</v>
      </c>
      <c r="AR464" s="26"/>
      <c r="AS464" s="54">
        <f t="shared" si="25"/>
        <v>109211</v>
      </c>
      <c r="AT464" s="26"/>
      <c r="AU464" s="54">
        <f t="shared" si="26"/>
        <v>7770947</v>
      </c>
    </row>
    <row r="465" spans="1:57">
      <c r="A465" s="13" t="s">
        <v>324</v>
      </c>
      <c r="B465" s="13"/>
      <c r="C465" s="13" t="s">
        <v>20</v>
      </c>
      <c r="D465" s="13"/>
      <c r="E465" s="32">
        <v>44750</v>
      </c>
      <c r="F465" s="26"/>
      <c r="G465" s="26">
        <v>65224344</v>
      </c>
      <c r="H465" s="26"/>
      <c r="I465" s="26">
        <v>0</v>
      </c>
      <c r="J465" s="26"/>
      <c r="K465" s="26">
        <v>29558547</v>
      </c>
      <c r="L465" s="26"/>
      <c r="M465" s="26">
        <v>1844670</v>
      </c>
      <c r="N465" s="26"/>
      <c r="O465" s="26">
        <f>1661400+801769+149690</f>
        <v>2612859</v>
      </c>
      <c r="P465" s="26"/>
      <c r="Q465" s="26">
        <v>171779</v>
      </c>
      <c r="R465" s="26"/>
      <c r="S465" s="26">
        <v>0</v>
      </c>
      <c r="T465" s="26"/>
      <c r="U465" s="26">
        <v>822575</v>
      </c>
      <c r="V465" s="26"/>
      <c r="W465" s="26">
        <v>410654</v>
      </c>
      <c r="X465" s="26"/>
      <c r="Y465" s="54">
        <f t="shared" si="24"/>
        <v>100645428</v>
      </c>
      <c r="Z465" s="26"/>
      <c r="AA465" s="26">
        <v>175000</v>
      </c>
      <c r="AB465" s="26"/>
      <c r="AC465" s="26"/>
      <c r="AD465" s="26"/>
      <c r="AE465" s="26">
        <v>0</v>
      </c>
      <c r="AF465" s="26"/>
      <c r="AG465" s="26"/>
      <c r="AH465" s="26"/>
      <c r="AI465" s="26"/>
      <c r="AJ465" s="26"/>
      <c r="AK465" s="26">
        <v>5500000</v>
      </c>
      <c r="AL465" s="26"/>
      <c r="AM465" s="26">
        <v>0</v>
      </c>
      <c r="AN465" s="26"/>
      <c r="AO465" s="26">
        <v>0</v>
      </c>
      <c r="AP465" s="26"/>
      <c r="AQ465" s="26">
        <v>0</v>
      </c>
      <c r="AR465" s="26"/>
      <c r="AS465" s="54">
        <f t="shared" si="25"/>
        <v>5675000</v>
      </c>
      <c r="AT465" s="26"/>
      <c r="AU465" s="54">
        <f t="shared" si="26"/>
        <v>106320428</v>
      </c>
    </row>
    <row r="466" spans="1:57">
      <c r="A466" s="13" t="s">
        <v>500</v>
      </c>
      <c r="B466" s="13"/>
      <c r="C466" s="13" t="s">
        <v>44</v>
      </c>
      <c r="D466" s="13"/>
      <c r="E466" s="32">
        <v>44768</v>
      </c>
      <c r="F466" s="26"/>
      <c r="G466" s="26">
        <v>11082833</v>
      </c>
      <c r="H466" s="26"/>
      <c r="I466" s="26">
        <v>0</v>
      </c>
      <c r="J466" s="26"/>
      <c r="K466" s="26">
        <v>8073875</v>
      </c>
      <c r="L466" s="26"/>
      <c r="M466" s="26">
        <v>337944</v>
      </c>
      <c r="N466" s="26"/>
      <c r="O466" s="26">
        <v>991163</v>
      </c>
      <c r="P466" s="26"/>
      <c r="Q466" s="26">
        <v>88946</v>
      </c>
      <c r="R466" s="26"/>
      <c r="S466" s="26">
        <v>0</v>
      </c>
      <c r="T466" s="26"/>
      <c r="U466" s="26">
        <v>0</v>
      </c>
      <c r="V466" s="26"/>
      <c r="W466" s="26">
        <f>145173+245265</f>
        <v>390438</v>
      </c>
      <c r="X466" s="26"/>
      <c r="Y466" s="54">
        <f t="shared" si="24"/>
        <v>20965199</v>
      </c>
      <c r="Z466" s="26"/>
      <c r="AA466" s="26">
        <v>1229473</v>
      </c>
      <c r="AB466" s="26"/>
      <c r="AC466" s="26"/>
      <c r="AD466" s="26"/>
      <c r="AE466" s="26">
        <v>0</v>
      </c>
      <c r="AF466" s="26"/>
      <c r="AG466" s="26"/>
      <c r="AH466" s="26"/>
      <c r="AI466" s="26"/>
      <c r="AJ466" s="26"/>
      <c r="AK466" s="26">
        <v>0</v>
      </c>
      <c r="AL466" s="26"/>
      <c r="AM466" s="26">
        <v>0</v>
      </c>
      <c r="AN466" s="26"/>
      <c r="AO466" s="26">
        <v>0</v>
      </c>
      <c r="AP466" s="26"/>
      <c r="AQ466" s="26">
        <v>0</v>
      </c>
      <c r="AR466" s="26"/>
      <c r="AS466" s="54">
        <f t="shared" si="25"/>
        <v>1229473</v>
      </c>
      <c r="AT466" s="26"/>
      <c r="AU466" s="54">
        <f t="shared" si="26"/>
        <v>22194672</v>
      </c>
    </row>
    <row r="467" spans="1:57">
      <c r="A467" s="13" t="s">
        <v>620</v>
      </c>
      <c r="B467" s="13"/>
      <c r="C467" s="13" t="s">
        <v>113</v>
      </c>
      <c r="D467" s="13"/>
      <c r="E467" s="32">
        <v>44776</v>
      </c>
      <c r="F467" s="26"/>
      <c r="G467" s="26">
        <v>7212740</v>
      </c>
      <c r="H467" s="26"/>
      <c r="I467" s="26">
        <v>2432914</v>
      </c>
      <c r="J467" s="26"/>
      <c r="K467" s="26">
        <v>10445211</v>
      </c>
      <c r="L467" s="26"/>
      <c r="M467" s="26">
        <v>174028</v>
      </c>
      <c r="N467" s="26"/>
      <c r="O467" s="26">
        <f>354939+26283</f>
        <v>381222</v>
      </c>
      <c r="P467" s="26"/>
      <c r="Q467" s="26">
        <f>213095</f>
        <v>213095</v>
      </c>
      <c r="R467" s="26"/>
      <c r="S467" s="26">
        <v>0</v>
      </c>
      <c r="T467" s="26"/>
      <c r="U467" s="26">
        <v>291423</v>
      </c>
      <c r="V467" s="26"/>
      <c r="W467" s="26">
        <v>76260</v>
      </c>
      <c r="X467" s="26"/>
      <c r="Y467" s="54">
        <f t="shared" si="24"/>
        <v>21226893</v>
      </c>
      <c r="Z467" s="26"/>
      <c r="AA467" s="26">
        <v>81062</v>
      </c>
      <c r="AB467" s="26"/>
      <c r="AC467" s="26"/>
      <c r="AD467" s="26"/>
      <c r="AE467" s="26">
        <v>0</v>
      </c>
      <c r="AF467" s="26"/>
      <c r="AG467" s="26"/>
      <c r="AH467" s="26"/>
      <c r="AI467" s="26"/>
      <c r="AJ467" s="26"/>
      <c r="AK467" s="26">
        <v>1072309</v>
      </c>
      <c r="AL467" s="26"/>
      <c r="AM467" s="26">
        <v>0</v>
      </c>
      <c r="AN467" s="26"/>
      <c r="AO467" s="26">
        <v>0</v>
      </c>
      <c r="AP467" s="26"/>
      <c r="AQ467" s="26">
        <v>0</v>
      </c>
      <c r="AR467" s="26"/>
      <c r="AS467" s="54">
        <f t="shared" si="25"/>
        <v>1153371</v>
      </c>
      <c r="AT467" s="26"/>
      <c r="AU467" s="54">
        <f t="shared" si="26"/>
        <v>22380264</v>
      </c>
    </row>
    <row r="468" spans="1:57" hidden="1">
      <c r="A468" s="13" t="s">
        <v>652</v>
      </c>
      <c r="B468" s="13"/>
      <c r="C468" s="13" t="s">
        <v>61</v>
      </c>
      <c r="D468" s="13"/>
      <c r="E468" s="32">
        <v>44784</v>
      </c>
      <c r="F468" s="26"/>
      <c r="G468" s="26">
        <v>0</v>
      </c>
      <c r="H468" s="26"/>
      <c r="I468" s="26">
        <v>0</v>
      </c>
      <c r="J468" s="26"/>
      <c r="K468" s="26">
        <v>0</v>
      </c>
      <c r="L468" s="26"/>
      <c r="M468" s="26">
        <v>0</v>
      </c>
      <c r="N468" s="26"/>
      <c r="O468" s="26">
        <v>0</v>
      </c>
      <c r="P468" s="26"/>
      <c r="Q468" s="26">
        <v>0</v>
      </c>
      <c r="R468" s="26"/>
      <c r="S468" s="26">
        <v>0</v>
      </c>
      <c r="T468" s="26"/>
      <c r="U468" s="26">
        <v>0</v>
      </c>
      <c r="V468" s="26"/>
      <c r="W468" s="26">
        <v>0</v>
      </c>
      <c r="X468" s="26"/>
      <c r="Y468" s="54">
        <f t="shared" si="24"/>
        <v>0</v>
      </c>
      <c r="Z468" s="26"/>
      <c r="AA468" s="26">
        <v>0</v>
      </c>
      <c r="AB468" s="26"/>
      <c r="AC468" s="26"/>
      <c r="AD468" s="26"/>
      <c r="AE468" s="26">
        <v>0</v>
      </c>
      <c r="AF468" s="26"/>
      <c r="AG468" s="26"/>
      <c r="AH468" s="26"/>
      <c r="AI468" s="26"/>
      <c r="AJ468" s="26"/>
      <c r="AK468" s="26">
        <v>0</v>
      </c>
      <c r="AL468" s="26"/>
      <c r="AM468" s="26">
        <v>0</v>
      </c>
      <c r="AN468" s="26"/>
      <c r="AO468" s="26">
        <v>0</v>
      </c>
      <c r="AP468" s="26"/>
      <c r="AQ468" s="26">
        <v>0</v>
      </c>
      <c r="AR468" s="26"/>
      <c r="AS468" s="54">
        <f t="shared" si="25"/>
        <v>0</v>
      </c>
      <c r="AT468" s="26"/>
      <c r="AU468" s="54">
        <f t="shared" si="26"/>
        <v>0</v>
      </c>
    </row>
    <row r="469" spans="1:57">
      <c r="A469" s="13" t="s">
        <v>325</v>
      </c>
      <c r="B469" s="13"/>
      <c r="C469" s="13" t="s">
        <v>20</v>
      </c>
      <c r="D469" s="13"/>
      <c r="E469" s="32">
        <v>46607</v>
      </c>
      <c r="F469" s="26"/>
      <c r="G469" s="26">
        <v>53677942</v>
      </c>
      <c r="H469" s="26"/>
      <c r="I469" s="26">
        <v>0</v>
      </c>
      <c r="J469" s="26"/>
      <c r="K469" s="26">
        <v>15810386</v>
      </c>
      <c r="L469" s="26"/>
      <c r="M469" s="26">
        <v>1218277</v>
      </c>
      <c r="N469" s="26"/>
      <c r="O469" s="26">
        <f>1010926+72277+511250</f>
        <v>1594453</v>
      </c>
      <c r="P469" s="26"/>
      <c r="Q469" s="26">
        <v>853631</v>
      </c>
      <c r="R469" s="26"/>
      <c r="S469" s="26">
        <v>524274</v>
      </c>
      <c r="T469" s="26"/>
      <c r="U469" s="26">
        <v>65303</v>
      </c>
      <c r="V469" s="26"/>
      <c r="W469" s="26">
        <f>75+162425</f>
        <v>162500</v>
      </c>
      <c r="X469" s="26"/>
      <c r="Y469" s="54">
        <f t="shared" si="24"/>
        <v>73906766</v>
      </c>
      <c r="Z469" s="26"/>
      <c r="AA469" s="26">
        <v>21152</v>
      </c>
      <c r="AB469" s="26"/>
      <c r="AC469" s="26"/>
      <c r="AD469" s="26"/>
      <c r="AE469" s="26">
        <v>0</v>
      </c>
      <c r="AF469" s="26"/>
      <c r="AG469" s="26"/>
      <c r="AH469" s="26"/>
      <c r="AI469" s="26"/>
      <c r="AJ469" s="26"/>
      <c r="AK469" s="26">
        <v>64390</v>
      </c>
      <c r="AL469" s="26"/>
      <c r="AM469" s="26">
        <v>0</v>
      </c>
      <c r="AN469" s="26"/>
      <c r="AO469" s="26">
        <v>0</v>
      </c>
      <c r="AP469" s="26"/>
      <c r="AQ469" s="26">
        <v>0</v>
      </c>
      <c r="AR469" s="26"/>
      <c r="AS469" s="54">
        <f t="shared" si="25"/>
        <v>85542</v>
      </c>
      <c r="AT469" s="26"/>
      <c r="AU469" s="54">
        <f t="shared" si="26"/>
        <v>73992308</v>
      </c>
    </row>
    <row r="470" spans="1:57">
      <c r="A470" s="13" t="s">
        <v>905</v>
      </c>
      <c r="B470" s="13"/>
      <c r="C470" s="13" t="s">
        <v>37</v>
      </c>
      <c r="D470" s="13"/>
      <c r="E470" s="32"/>
      <c r="F470" s="26"/>
      <c r="G470" s="26">
        <v>2501286</v>
      </c>
      <c r="H470" s="26"/>
      <c r="I470" s="26">
        <v>0</v>
      </c>
      <c r="J470" s="26"/>
      <c r="K470" s="26">
        <f>458084+4941852</f>
        <v>5399936</v>
      </c>
      <c r="L470" s="26"/>
      <c r="M470" s="26">
        <v>197787</v>
      </c>
      <c r="N470" s="26"/>
      <c r="O470" s="26">
        <f>297069+193788+32010</f>
        <v>522867</v>
      </c>
      <c r="P470" s="26"/>
      <c r="Q470" s="26">
        <v>162882</v>
      </c>
      <c r="R470" s="26"/>
      <c r="S470" s="26">
        <v>0</v>
      </c>
      <c r="T470" s="26"/>
      <c r="U470" s="26">
        <v>0</v>
      </c>
      <c r="V470" s="26"/>
      <c r="W470" s="26">
        <v>35429</v>
      </c>
      <c r="X470" s="26"/>
      <c r="Y470" s="54">
        <f t="shared" si="24"/>
        <v>8820187</v>
      </c>
      <c r="Z470" s="26"/>
      <c r="AA470" s="26">
        <v>14513</v>
      </c>
      <c r="AB470" s="26"/>
      <c r="AC470" s="26"/>
      <c r="AD470" s="26"/>
      <c r="AE470" s="26">
        <v>0</v>
      </c>
      <c r="AF470" s="26"/>
      <c r="AG470" s="26"/>
      <c r="AH470" s="26"/>
      <c r="AI470" s="26"/>
      <c r="AJ470" s="26"/>
      <c r="AK470" s="26">
        <v>0</v>
      </c>
      <c r="AL470" s="26"/>
      <c r="AM470" s="26">
        <v>0</v>
      </c>
      <c r="AN470" s="26"/>
      <c r="AO470" s="26">
        <v>0</v>
      </c>
      <c r="AP470" s="26"/>
      <c r="AQ470" s="26">
        <v>0</v>
      </c>
      <c r="AR470" s="26"/>
      <c r="AS470" s="54">
        <f t="shared" si="25"/>
        <v>14513</v>
      </c>
      <c r="AT470" s="26"/>
      <c r="AU470" s="54">
        <f t="shared" si="26"/>
        <v>8834700</v>
      </c>
    </row>
    <row r="471" spans="1:57">
      <c r="A471" s="13" t="s">
        <v>326</v>
      </c>
      <c r="B471" s="13"/>
      <c r="C471" s="13" t="s">
        <v>20</v>
      </c>
      <c r="D471" s="13"/>
      <c r="E471" s="32">
        <v>44792</v>
      </c>
      <c r="F471" s="26"/>
      <c r="G471" s="26">
        <v>41113136</v>
      </c>
      <c r="H471" s="26"/>
      <c r="I471" s="26">
        <v>0</v>
      </c>
      <c r="J471" s="26"/>
      <c r="K471" s="26">
        <v>23844021</v>
      </c>
      <c r="L471" s="26"/>
      <c r="M471" s="26">
        <v>1023501</v>
      </c>
      <c r="N471" s="26"/>
      <c r="O471" s="26">
        <f>1621430+1013192+185991</f>
        <v>2820613</v>
      </c>
      <c r="P471" s="26"/>
      <c r="Q471" s="26">
        <v>132492</v>
      </c>
      <c r="R471" s="26"/>
      <c r="S471" s="26">
        <v>20000</v>
      </c>
      <c r="T471" s="26"/>
      <c r="U471" s="26">
        <v>73943</v>
      </c>
      <c r="V471" s="26"/>
      <c r="W471" s="26">
        <v>751391</v>
      </c>
      <c r="X471" s="26"/>
      <c r="Y471" s="54">
        <f t="shared" si="24"/>
        <v>69779097</v>
      </c>
      <c r="Z471" s="26"/>
      <c r="AA471" s="26">
        <v>2990211</v>
      </c>
      <c r="AB471" s="26"/>
      <c r="AC471" s="26"/>
      <c r="AD471" s="26"/>
      <c r="AE471" s="26">
        <v>1000000</v>
      </c>
      <c r="AF471" s="26"/>
      <c r="AG471" s="26"/>
      <c r="AH471" s="26"/>
      <c r="AI471" s="26"/>
      <c r="AJ471" s="26"/>
      <c r="AK471" s="26">
        <f>500+1387+8671+85838</f>
        <v>96396</v>
      </c>
      <c r="AL471" s="26"/>
      <c r="AM471" s="26">
        <v>0</v>
      </c>
      <c r="AN471" s="26"/>
      <c r="AO471" s="26">
        <v>0</v>
      </c>
      <c r="AP471" s="26"/>
      <c r="AQ471" s="26">
        <v>0</v>
      </c>
      <c r="AR471" s="26"/>
      <c r="AS471" s="54">
        <f t="shared" si="25"/>
        <v>4086607</v>
      </c>
      <c r="AT471" s="26"/>
      <c r="AU471" s="54">
        <f t="shared" si="26"/>
        <v>73865704</v>
      </c>
    </row>
    <row r="472" spans="1:57" hidden="1">
      <c r="A472" s="13" t="s">
        <v>476</v>
      </c>
      <c r="B472" s="13"/>
      <c r="C472" s="13" t="s">
        <v>471</v>
      </c>
      <c r="D472" s="13"/>
      <c r="E472" s="32">
        <v>47951</v>
      </c>
      <c r="F472" s="26"/>
      <c r="G472" s="26">
        <v>0</v>
      </c>
      <c r="H472" s="26"/>
      <c r="I472" s="26">
        <v>0</v>
      </c>
      <c r="J472" s="26"/>
      <c r="K472" s="26">
        <v>0</v>
      </c>
      <c r="L472" s="26"/>
      <c r="M472" s="26">
        <v>0</v>
      </c>
      <c r="N472" s="26"/>
      <c r="O472" s="26">
        <v>0</v>
      </c>
      <c r="P472" s="26"/>
      <c r="Q472" s="26">
        <v>0</v>
      </c>
      <c r="R472" s="26"/>
      <c r="S472" s="26">
        <v>0</v>
      </c>
      <c r="T472" s="26"/>
      <c r="U472" s="26">
        <v>0</v>
      </c>
      <c r="V472" s="26"/>
      <c r="W472" s="26">
        <v>0</v>
      </c>
      <c r="X472" s="26"/>
      <c r="Y472" s="54">
        <f t="shared" si="24"/>
        <v>0</v>
      </c>
      <c r="Z472" s="26"/>
      <c r="AA472" s="26">
        <v>0</v>
      </c>
      <c r="AB472" s="26"/>
      <c r="AC472" s="26"/>
      <c r="AD472" s="26"/>
      <c r="AE472" s="26">
        <v>0</v>
      </c>
      <c r="AF472" s="26"/>
      <c r="AG472" s="26"/>
      <c r="AH472" s="26"/>
      <c r="AI472" s="26"/>
      <c r="AJ472" s="26"/>
      <c r="AK472" s="26">
        <v>0</v>
      </c>
      <c r="AL472" s="26"/>
      <c r="AM472" s="26">
        <v>0</v>
      </c>
      <c r="AN472" s="26"/>
      <c r="AO472" s="26">
        <v>0</v>
      </c>
      <c r="AP472" s="26"/>
      <c r="AQ472" s="26">
        <v>0</v>
      </c>
      <c r="AR472" s="26"/>
      <c r="AS472" s="54">
        <f t="shared" si="25"/>
        <v>0</v>
      </c>
      <c r="AT472" s="26"/>
      <c r="AU472" s="54">
        <f t="shared" si="26"/>
        <v>0</v>
      </c>
    </row>
    <row r="473" spans="1:57">
      <c r="A473" s="13" t="s">
        <v>522</v>
      </c>
      <c r="B473" s="13"/>
      <c r="C473" s="13" t="s">
        <v>45</v>
      </c>
      <c r="D473" s="13"/>
      <c r="E473" s="32">
        <v>48363</v>
      </c>
      <c r="F473" s="26"/>
      <c r="G473" s="26">
        <v>5531008</v>
      </c>
      <c r="H473" s="26"/>
      <c r="I473" s="26">
        <v>0</v>
      </c>
      <c r="J473" s="26"/>
      <c r="K473" s="26">
        <f>7959200+579995</f>
        <v>8539195</v>
      </c>
      <c r="L473" s="26"/>
      <c r="M473" s="26">
        <v>669716</v>
      </c>
      <c r="N473" s="26"/>
      <c r="O473" s="26">
        <f>238855+36750+27374</f>
        <v>302979</v>
      </c>
      <c r="P473" s="26"/>
      <c r="Q473" s="26">
        <v>245601</v>
      </c>
      <c r="R473" s="26"/>
      <c r="S473" s="26">
        <v>0</v>
      </c>
      <c r="T473" s="26"/>
      <c r="U473" s="26">
        <v>0</v>
      </c>
      <c r="V473" s="26"/>
      <c r="W473" s="26">
        <v>71757</v>
      </c>
      <c r="X473" s="26"/>
      <c r="Y473" s="54">
        <f t="shared" si="24"/>
        <v>15360256</v>
      </c>
      <c r="Z473" s="26"/>
      <c r="AA473" s="26">
        <v>18402897</v>
      </c>
      <c r="AB473" s="26"/>
      <c r="AC473" s="26"/>
      <c r="AD473" s="26"/>
      <c r="AE473" s="26">
        <v>0</v>
      </c>
      <c r="AF473" s="26"/>
      <c r="AG473" s="26"/>
      <c r="AH473" s="26"/>
      <c r="AI473" s="26"/>
      <c r="AJ473" s="26"/>
      <c r="AK473" s="26">
        <f>20399996+294331</f>
        <v>20694327</v>
      </c>
      <c r="AL473" s="26"/>
      <c r="AM473" s="26">
        <v>0</v>
      </c>
      <c r="AN473" s="26"/>
      <c r="AO473" s="26">
        <v>0</v>
      </c>
      <c r="AP473" s="26"/>
      <c r="AQ473" s="26">
        <v>0</v>
      </c>
      <c r="AR473" s="26"/>
      <c r="AS473" s="54">
        <f t="shared" si="25"/>
        <v>39097224</v>
      </c>
      <c r="AT473" s="26"/>
      <c r="AU473" s="54">
        <f t="shared" si="26"/>
        <v>54457480</v>
      </c>
    </row>
    <row r="474" spans="1:57">
      <c r="A474" s="13" t="s">
        <v>601</v>
      </c>
      <c r="B474" s="13"/>
      <c r="C474" s="13" t="s">
        <v>56</v>
      </c>
      <c r="D474" s="13"/>
      <c r="E474" s="32">
        <v>49221</v>
      </c>
      <c r="F474" s="26"/>
      <c r="G474" s="26">
        <v>6414455</v>
      </c>
      <c r="H474" s="26"/>
      <c r="I474" s="26">
        <v>0</v>
      </c>
      <c r="J474" s="26"/>
      <c r="K474" s="26">
        <v>13573596</v>
      </c>
      <c r="L474" s="26"/>
      <c r="M474" s="26">
        <v>170673</v>
      </c>
      <c r="N474" s="26"/>
      <c r="O474" s="26">
        <f>126952+2479+390709</f>
        <v>520140</v>
      </c>
      <c r="P474" s="26"/>
      <c r="Q474" s="26">
        <v>203990</v>
      </c>
      <c r="R474" s="26"/>
      <c r="S474" s="26">
        <v>0</v>
      </c>
      <c r="T474" s="26"/>
      <c r="U474" s="26">
        <v>3663</v>
      </c>
      <c r="V474" s="26"/>
      <c r="W474" s="26">
        <v>94266</v>
      </c>
      <c r="X474" s="26"/>
      <c r="Y474" s="54">
        <f t="shared" si="24"/>
        <v>20980783</v>
      </c>
      <c r="Z474" s="26"/>
      <c r="AA474" s="26">
        <v>0</v>
      </c>
      <c r="AB474" s="26"/>
      <c r="AC474" s="26"/>
      <c r="AD474" s="26"/>
      <c r="AE474" s="26">
        <v>0</v>
      </c>
      <c r="AF474" s="26"/>
      <c r="AG474" s="26"/>
      <c r="AH474" s="26"/>
      <c r="AI474" s="26"/>
      <c r="AJ474" s="26"/>
      <c r="AK474" s="26">
        <v>500</v>
      </c>
      <c r="AL474" s="26"/>
      <c r="AM474" s="26">
        <v>0</v>
      </c>
      <c r="AN474" s="26"/>
      <c r="AO474" s="26">
        <v>0</v>
      </c>
      <c r="AP474" s="26"/>
      <c r="AQ474" s="26">
        <v>0</v>
      </c>
      <c r="AR474" s="26"/>
      <c r="AS474" s="54">
        <f t="shared" si="25"/>
        <v>500</v>
      </c>
      <c r="AT474" s="26"/>
      <c r="AU474" s="54">
        <f t="shared" si="26"/>
        <v>20981283</v>
      </c>
    </row>
    <row r="475" spans="1:57" s="52" customFormat="1">
      <c r="A475" s="51" t="s">
        <v>601</v>
      </c>
      <c r="B475" s="51"/>
      <c r="C475" s="51" t="s">
        <v>71</v>
      </c>
      <c r="D475" s="51"/>
      <c r="E475" s="51">
        <v>50583</v>
      </c>
      <c r="F475" s="53"/>
      <c r="G475" s="26">
        <v>6384603</v>
      </c>
      <c r="H475" s="26"/>
      <c r="I475" s="26">
        <v>0</v>
      </c>
      <c r="J475" s="26"/>
      <c r="K475" s="26">
        <v>8138288</v>
      </c>
      <c r="L475" s="26"/>
      <c r="M475" s="26">
        <v>166356</v>
      </c>
      <c r="N475" s="26"/>
      <c r="O475" s="26">
        <f>808990+340568+6748</f>
        <v>1156306</v>
      </c>
      <c r="P475" s="26"/>
      <c r="Q475" s="26">
        <v>199521</v>
      </c>
      <c r="R475" s="26"/>
      <c r="S475" s="26">
        <v>0</v>
      </c>
      <c r="T475" s="26"/>
      <c r="U475" s="26">
        <v>9460</v>
      </c>
      <c r="V475" s="26"/>
      <c r="W475" s="26">
        <v>181210</v>
      </c>
      <c r="X475" s="26"/>
      <c r="Y475" s="54">
        <f t="shared" si="24"/>
        <v>16235744</v>
      </c>
      <c r="Z475" s="26"/>
      <c r="AA475" s="26">
        <v>0</v>
      </c>
      <c r="AB475" s="26"/>
      <c r="AC475" s="26"/>
      <c r="AD475" s="26"/>
      <c r="AE475" s="26">
        <v>0</v>
      </c>
      <c r="AF475" s="26"/>
      <c r="AG475" s="26"/>
      <c r="AH475" s="26"/>
      <c r="AI475" s="26"/>
      <c r="AJ475" s="26"/>
      <c r="AK475" s="26">
        <v>0</v>
      </c>
      <c r="AL475" s="26"/>
      <c r="AM475" s="26">
        <v>0</v>
      </c>
      <c r="AN475" s="26"/>
      <c r="AO475" s="26">
        <v>0</v>
      </c>
      <c r="AP475" s="26"/>
      <c r="AQ475" s="26">
        <v>0</v>
      </c>
      <c r="AR475" s="26"/>
      <c r="AS475" s="54">
        <f t="shared" si="25"/>
        <v>0</v>
      </c>
      <c r="AT475" s="26"/>
      <c r="AU475" s="54">
        <f t="shared" si="26"/>
        <v>16235744</v>
      </c>
    </row>
    <row r="476" spans="1:57" s="26" customFormat="1">
      <c r="A476" s="13" t="s">
        <v>268</v>
      </c>
      <c r="B476" s="13"/>
      <c r="C476" s="13" t="s">
        <v>17</v>
      </c>
      <c r="D476" s="13"/>
      <c r="E476" s="32">
        <v>46276</v>
      </c>
      <c r="G476" s="26">
        <v>2142128</v>
      </c>
      <c r="I476" s="26">
        <v>974894</v>
      </c>
      <c r="K476" s="26">
        <v>4124930</v>
      </c>
      <c r="M476" s="26">
        <v>212202</v>
      </c>
      <c r="O476" s="26">
        <f>527567+135082</f>
        <v>662649</v>
      </c>
      <c r="Q476" s="26">
        <v>111961</v>
      </c>
      <c r="S476" s="26">
        <v>0</v>
      </c>
      <c r="U476" s="26">
        <v>16766</v>
      </c>
      <c r="W476" s="26">
        <v>17823</v>
      </c>
      <c r="Y476" s="54">
        <f t="shared" si="24"/>
        <v>8263353</v>
      </c>
      <c r="AA476" s="26">
        <v>0</v>
      </c>
      <c r="AE476" s="26">
        <v>0</v>
      </c>
      <c r="AK476" s="26">
        <v>0</v>
      </c>
      <c r="AM476" s="26">
        <v>0</v>
      </c>
      <c r="AO476" s="26">
        <v>0</v>
      </c>
      <c r="AQ476" s="26">
        <v>0</v>
      </c>
      <c r="AS476" s="54">
        <f t="shared" si="25"/>
        <v>0</v>
      </c>
      <c r="AU476" s="54">
        <f t="shared" si="26"/>
        <v>8263353</v>
      </c>
    </row>
    <row r="477" spans="1:57">
      <c r="A477" s="13" t="s">
        <v>268</v>
      </c>
      <c r="B477" s="13"/>
      <c r="C477" s="13" t="s">
        <v>58</v>
      </c>
      <c r="D477" s="13"/>
      <c r="E477" s="32">
        <v>49528</v>
      </c>
      <c r="F477" s="26"/>
      <c r="G477" s="26">
        <v>1932547</v>
      </c>
      <c r="H477" s="26"/>
      <c r="I477" s="26">
        <v>98757</v>
      </c>
      <c r="J477" s="26"/>
      <c r="K477" s="26">
        <v>8638547</v>
      </c>
      <c r="L477" s="26"/>
      <c r="M477" s="26">
        <v>202890</v>
      </c>
      <c r="N477" s="26"/>
      <c r="O477" s="26">
        <f>728298+35175+167153</f>
        <v>930626</v>
      </c>
      <c r="P477" s="26"/>
      <c r="Q477" s="26">
        <v>52661</v>
      </c>
      <c r="R477" s="26"/>
      <c r="S477" s="26">
        <v>0</v>
      </c>
      <c r="T477" s="26"/>
      <c r="U477" s="26">
        <v>0</v>
      </c>
      <c r="V477" s="26"/>
      <c r="W477" s="26">
        <v>309834</v>
      </c>
      <c r="X477" s="26"/>
      <c r="Y477" s="54">
        <f t="shared" si="24"/>
        <v>12165862</v>
      </c>
      <c r="Z477" s="26"/>
      <c r="AA477" s="26">
        <v>44008</v>
      </c>
      <c r="AB477" s="26"/>
      <c r="AC477" s="26"/>
      <c r="AD477" s="26"/>
      <c r="AE477" s="26">
        <v>0</v>
      </c>
      <c r="AF477" s="26"/>
      <c r="AG477" s="26"/>
      <c r="AH477" s="26"/>
      <c r="AI477" s="26"/>
      <c r="AJ477" s="26"/>
      <c r="AK477" s="26">
        <v>1900</v>
      </c>
      <c r="AL477" s="26"/>
      <c r="AM477" s="26">
        <v>0</v>
      </c>
      <c r="AN477" s="26"/>
      <c r="AO477" s="26">
        <v>0</v>
      </c>
      <c r="AP477" s="26"/>
      <c r="AQ477" s="26">
        <v>0</v>
      </c>
      <c r="AR477" s="26"/>
      <c r="AS477" s="54">
        <f t="shared" si="25"/>
        <v>45908</v>
      </c>
      <c r="AT477" s="26"/>
      <c r="AU477" s="54">
        <f t="shared" si="26"/>
        <v>12211770</v>
      </c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</row>
    <row r="478" spans="1:57">
      <c r="A478" s="13" t="s">
        <v>288</v>
      </c>
      <c r="B478" s="13"/>
      <c r="C478" s="13" t="s">
        <v>115</v>
      </c>
      <c r="D478" s="13"/>
      <c r="E478" s="32">
        <v>46441</v>
      </c>
      <c r="F478" s="26"/>
      <c r="G478" s="26">
        <v>1843753</v>
      </c>
      <c r="H478" s="26"/>
      <c r="I478" s="26">
        <v>0</v>
      </c>
      <c r="J478" s="26"/>
      <c r="K478" s="26">
        <f>6752534+772339</f>
        <v>7524873</v>
      </c>
      <c r="L478" s="26"/>
      <c r="M478" s="26">
        <v>0</v>
      </c>
      <c r="N478" s="26"/>
      <c r="O478" s="26">
        <v>300809</v>
      </c>
      <c r="P478" s="26"/>
      <c r="Q478" s="26">
        <v>43231</v>
      </c>
      <c r="R478" s="26"/>
      <c r="S478" s="26">
        <v>0</v>
      </c>
      <c r="T478" s="26"/>
      <c r="U478" s="26">
        <v>0</v>
      </c>
      <c r="V478" s="26"/>
      <c r="W478" s="26">
        <f>115539+77799+135007</f>
        <v>328345</v>
      </c>
      <c r="X478" s="26"/>
      <c r="Y478" s="54">
        <f>SUM(G478:W478)</f>
        <v>10041011</v>
      </c>
      <c r="Z478" s="26"/>
      <c r="AA478" s="26">
        <v>175000</v>
      </c>
      <c r="AB478" s="26"/>
      <c r="AC478" s="26"/>
      <c r="AD478" s="26"/>
      <c r="AE478" s="26">
        <v>0</v>
      </c>
      <c r="AF478" s="26"/>
      <c r="AG478" s="26"/>
      <c r="AH478" s="26"/>
      <c r="AI478" s="26"/>
      <c r="AJ478" s="26"/>
      <c r="AK478" s="26">
        <f>2464998+186639</f>
        <v>2651637</v>
      </c>
      <c r="AL478" s="26"/>
      <c r="AM478" s="26">
        <v>0</v>
      </c>
      <c r="AN478" s="26"/>
      <c r="AO478" s="26">
        <v>0</v>
      </c>
      <c r="AP478" s="26"/>
      <c r="AQ478" s="26">
        <v>0</v>
      </c>
      <c r="AR478" s="26"/>
      <c r="AS478" s="54">
        <f>AK478+AE478+AA478</f>
        <v>2826637</v>
      </c>
      <c r="AT478" s="26"/>
      <c r="AU478" s="54">
        <f>Y478+AS478</f>
        <v>12867648</v>
      </c>
    </row>
    <row r="479" spans="1:57">
      <c r="A479" s="13" t="s">
        <v>288</v>
      </c>
      <c r="B479" s="13"/>
      <c r="C479" s="13" t="s">
        <v>537</v>
      </c>
      <c r="D479" s="13"/>
      <c r="E479" s="32">
        <v>46441</v>
      </c>
      <c r="F479" s="26"/>
      <c r="G479" s="26">
        <v>1334178</v>
      </c>
      <c r="H479" s="26"/>
      <c r="I479" s="26">
        <v>0</v>
      </c>
      <c r="J479" s="26"/>
      <c r="K479" s="26">
        <v>5992360</v>
      </c>
      <c r="L479" s="26"/>
      <c r="M479" s="26">
        <v>32215</v>
      </c>
      <c r="N479" s="26"/>
      <c r="O479" s="26">
        <f>109957+256184</f>
        <v>366141</v>
      </c>
      <c r="P479" s="26"/>
      <c r="Q479" s="26">
        <v>46320</v>
      </c>
      <c r="R479" s="26"/>
      <c r="S479" s="26">
        <v>0</v>
      </c>
      <c r="T479" s="26"/>
      <c r="U479" s="26">
        <v>14398</v>
      </c>
      <c r="V479" s="26"/>
      <c r="W479" s="26">
        <v>32067</v>
      </c>
      <c r="X479" s="26"/>
      <c r="Y479" s="54">
        <f t="shared" si="24"/>
        <v>7817679</v>
      </c>
      <c r="Z479" s="26"/>
      <c r="AA479" s="26">
        <v>54303</v>
      </c>
      <c r="AB479" s="26"/>
      <c r="AC479" s="26"/>
      <c r="AD479" s="26"/>
      <c r="AE479" s="26">
        <v>0</v>
      </c>
      <c r="AF479" s="26"/>
      <c r="AG479" s="26"/>
      <c r="AH479" s="26"/>
      <c r="AI479" s="26"/>
      <c r="AJ479" s="26"/>
      <c r="AK479" s="26">
        <v>32144</v>
      </c>
      <c r="AL479" s="26"/>
      <c r="AM479" s="26">
        <v>0</v>
      </c>
      <c r="AN479" s="26"/>
      <c r="AO479" s="26">
        <v>0</v>
      </c>
      <c r="AP479" s="26"/>
      <c r="AQ479" s="26">
        <v>0</v>
      </c>
      <c r="AR479" s="26"/>
      <c r="AS479" s="54">
        <f t="shared" si="25"/>
        <v>86447</v>
      </c>
      <c r="AT479" s="26"/>
      <c r="AU479" s="54">
        <f t="shared" si="26"/>
        <v>7904126</v>
      </c>
    </row>
    <row r="480" spans="1:57">
      <c r="A480" s="13" t="s">
        <v>696</v>
      </c>
      <c r="B480" s="13"/>
      <c r="C480" s="13" t="s">
        <v>64</v>
      </c>
      <c r="D480" s="13"/>
      <c r="E480" s="32">
        <v>50237</v>
      </c>
      <c r="F480" s="26"/>
      <c r="G480" s="26">
        <v>1888294</v>
      </c>
      <c r="H480" s="26"/>
      <c r="I480" s="26">
        <v>0</v>
      </c>
      <c r="J480" s="26"/>
      <c r="K480" s="26">
        <v>4190154</v>
      </c>
      <c r="L480" s="26"/>
      <c r="M480" s="26">
        <v>382940</v>
      </c>
      <c r="N480" s="26"/>
      <c r="O480" s="26">
        <f>415356+121261</f>
        <v>536617</v>
      </c>
      <c r="P480" s="26"/>
      <c r="Q480" s="26">
        <v>66304</v>
      </c>
      <c r="R480" s="26"/>
      <c r="S480" s="26">
        <v>0</v>
      </c>
      <c r="T480" s="26"/>
      <c r="U480" s="26">
        <v>6706</v>
      </c>
      <c r="V480" s="26"/>
      <c r="W480" s="26">
        <v>94487</v>
      </c>
      <c r="X480" s="26"/>
      <c r="Y480" s="54">
        <f t="shared" si="24"/>
        <v>7165502</v>
      </c>
      <c r="Z480" s="26"/>
      <c r="AA480" s="26">
        <v>12000</v>
      </c>
      <c r="AB480" s="26"/>
      <c r="AC480" s="26"/>
      <c r="AD480" s="26"/>
      <c r="AE480" s="26">
        <f>8000000+200073</f>
        <v>8200073</v>
      </c>
      <c r="AF480" s="26"/>
      <c r="AG480" s="26"/>
      <c r="AH480" s="26"/>
      <c r="AI480" s="26"/>
      <c r="AJ480" s="26"/>
      <c r="AK480" s="26">
        <v>70242</v>
      </c>
      <c r="AL480" s="26"/>
      <c r="AM480" s="26">
        <v>0</v>
      </c>
      <c r="AN480" s="26"/>
      <c r="AO480" s="26">
        <v>0</v>
      </c>
      <c r="AP480" s="26"/>
      <c r="AQ480" s="26">
        <v>0</v>
      </c>
      <c r="AR480" s="26"/>
      <c r="AS480" s="54">
        <f t="shared" si="25"/>
        <v>8282315</v>
      </c>
      <c r="AT480" s="26"/>
      <c r="AU480" s="54">
        <f t="shared" si="26"/>
        <v>15447817</v>
      </c>
    </row>
    <row r="481" spans="1:47">
      <c r="A481" s="13" t="s">
        <v>487</v>
      </c>
      <c r="B481" s="13"/>
      <c r="C481" s="13" t="s">
        <v>42</v>
      </c>
      <c r="D481" s="13"/>
      <c r="E481" s="32">
        <v>48041</v>
      </c>
      <c r="F481" s="26"/>
      <c r="G481" s="26">
        <v>16195981</v>
      </c>
      <c r="H481" s="26"/>
      <c r="I481" s="26">
        <v>4354626</v>
      </c>
      <c r="J481" s="26"/>
      <c r="K481" s="26">
        <v>15714034</v>
      </c>
      <c r="L481" s="26"/>
      <c r="M481" s="26">
        <v>564842</v>
      </c>
      <c r="N481" s="26"/>
      <c r="O481" s="26">
        <f>1010543+462839</f>
        <v>1473382</v>
      </c>
      <c r="P481" s="26"/>
      <c r="Q481" s="26">
        <v>391106</v>
      </c>
      <c r="R481" s="26"/>
      <c r="S481" s="26">
        <v>0</v>
      </c>
      <c r="T481" s="26"/>
      <c r="U481" s="26">
        <v>0</v>
      </c>
      <c r="V481" s="26"/>
      <c r="W481" s="26">
        <v>211520</v>
      </c>
      <c r="X481" s="26"/>
      <c r="Y481" s="54">
        <f t="shared" si="24"/>
        <v>38905491</v>
      </c>
      <c r="Z481" s="26"/>
      <c r="AA481" s="26">
        <v>80073</v>
      </c>
      <c r="AB481" s="26"/>
      <c r="AC481" s="26"/>
      <c r="AD481" s="26"/>
      <c r="AE481" s="26">
        <v>0</v>
      </c>
      <c r="AF481" s="26"/>
      <c r="AG481" s="26"/>
      <c r="AH481" s="26"/>
      <c r="AI481" s="26"/>
      <c r="AJ481" s="26"/>
      <c r="AK481" s="26">
        <f>119926+189067</f>
        <v>308993</v>
      </c>
      <c r="AL481" s="26"/>
      <c r="AM481" s="26">
        <v>0</v>
      </c>
      <c r="AN481" s="26"/>
      <c r="AO481" s="26">
        <v>0</v>
      </c>
      <c r="AP481" s="26"/>
      <c r="AQ481" s="26">
        <v>0</v>
      </c>
      <c r="AR481" s="26"/>
      <c r="AS481" s="54">
        <f t="shared" si="25"/>
        <v>389066</v>
      </c>
      <c r="AT481" s="26"/>
      <c r="AU481" s="54">
        <f t="shared" si="26"/>
        <v>39294557</v>
      </c>
    </row>
    <row r="482" spans="1:47">
      <c r="A482" s="13" t="s">
        <v>412</v>
      </c>
      <c r="B482" s="13"/>
      <c r="C482" s="13" t="s">
        <v>32</v>
      </c>
      <c r="D482" s="13"/>
      <c r="E482" s="32">
        <v>47381</v>
      </c>
      <c r="F482" s="26"/>
      <c r="G482" s="26">
        <v>15989074</v>
      </c>
      <c r="H482" s="26"/>
      <c r="I482" s="26">
        <v>0</v>
      </c>
      <c r="J482" s="26"/>
      <c r="K482" s="26">
        <v>18456402</v>
      </c>
      <c r="L482" s="26"/>
      <c r="M482" s="26">
        <v>265588</v>
      </c>
      <c r="N482" s="26"/>
      <c r="O482" s="26">
        <f>101201+1401885</f>
        <v>1503086</v>
      </c>
      <c r="P482" s="26"/>
      <c r="Q482" s="26">
        <v>221446</v>
      </c>
      <c r="R482" s="26"/>
      <c r="S482" s="26">
        <v>0</v>
      </c>
      <c r="T482" s="26"/>
      <c r="U482" s="26">
        <v>0</v>
      </c>
      <c r="V482" s="26"/>
      <c r="W482" s="26">
        <v>249280</v>
      </c>
      <c r="X482" s="26"/>
      <c r="Y482" s="54">
        <f t="shared" si="24"/>
        <v>36684876</v>
      </c>
      <c r="Z482" s="26"/>
      <c r="AA482" s="26">
        <v>0</v>
      </c>
      <c r="AB482" s="26"/>
      <c r="AC482" s="26"/>
      <c r="AD482" s="26"/>
      <c r="AE482" s="26">
        <v>9310000</v>
      </c>
      <c r="AF482" s="26"/>
      <c r="AG482" s="26"/>
      <c r="AH482" s="26"/>
      <c r="AI482" s="26"/>
      <c r="AJ482" s="26"/>
      <c r="AK482" s="26">
        <f>6104+475136</f>
        <v>481240</v>
      </c>
      <c r="AL482" s="26"/>
      <c r="AM482" s="26">
        <v>0</v>
      </c>
      <c r="AN482" s="26"/>
      <c r="AO482" s="26">
        <v>0</v>
      </c>
      <c r="AP482" s="26"/>
      <c r="AQ482" s="26">
        <v>0</v>
      </c>
      <c r="AR482" s="26"/>
      <c r="AS482" s="54">
        <f t="shared" si="25"/>
        <v>9791240</v>
      </c>
      <c r="AT482" s="26"/>
      <c r="AU482" s="54">
        <f t="shared" si="26"/>
        <v>46476116</v>
      </c>
    </row>
    <row r="483" spans="1:47">
      <c r="A483" s="13" t="s">
        <v>367</v>
      </c>
      <c r="B483" s="13"/>
      <c r="C483" s="13" t="s">
        <v>27</v>
      </c>
      <c r="D483" s="13"/>
      <c r="E483" s="32">
        <v>44800</v>
      </c>
      <c r="F483" s="26"/>
      <c r="G483" s="26">
        <v>0</v>
      </c>
      <c r="H483" s="26"/>
      <c r="I483" s="26">
        <v>0</v>
      </c>
      <c r="J483" s="26"/>
      <c r="K483" s="26">
        <f>6506708+16927954</f>
        <v>23434662</v>
      </c>
      <c r="L483" s="26"/>
      <c r="M483" s="26">
        <v>20347</v>
      </c>
      <c r="N483" s="26"/>
      <c r="O483" s="26">
        <v>40149</v>
      </c>
      <c r="P483" s="26"/>
      <c r="Q483" s="26">
        <v>0</v>
      </c>
      <c r="R483" s="26"/>
      <c r="S483" s="26">
        <v>0</v>
      </c>
      <c r="T483" s="26"/>
      <c r="U483" s="26">
        <v>0</v>
      </c>
      <c r="V483" s="26"/>
      <c r="W483" s="26">
        <v>6423099</v>
      </c>
      <c r="X483" s="26"/>
      <c r="Y483" s="54">
        <f t="shared" si="24"/>
        <v>29918257</v>
      </c>
      <c r="Z483" s="26"/>
      <c r="AA483" s="26">
        <v>385604</v>
      </c>
      <c r="AB483" s="26"/>
      <c r="AC483" s="26"/>
      <c r="AD483" s="26"/>
      <c r="AE483" s="26">
        <v>0</v>
      </c>
      <c r="AF483" s="26"/>
      <c r="AG483" s="26"/>
      <c r="AH483" s="26"/>
      <c r="AI483" s="26"/>
      <c r="AJ483" s="26"/>
      <c r="AK483" s="26">
        <v>0</v>
      </c>
      <c r="AL483" s="26"/>
      <c r="AM483" s="26">
        <v>0</v>
      </c>
      <c r="AN483" s="26"/>
      <c r="AO483" s="26">
        <v>0</v>
      </c>
      <c r="AP483" s="26"/>
      <c r="AQ483" s="26">
        <v>0</v>
      </c>
      <c r="AR483" s="26"/>
      <c r="AS483" s="54">
        <f t="shared" si="25"/>
        <v>385604</v>
      </c>
      <c r="AT483" s="26"/>
      <c r="AU483" s="54">
        <f t="shared" si="26"/>
        <v>30303861</v>
      </c>
    </row>
    <row r="484" spans="1:47" hidden="1">
      <c r="A484" s="13" t="s">
        <v>214</v>
      </c>
      <c r="B484" s="13"/>
      <c r="C484" s="13" t="s">
        <v>10</v>
      </c>
      <c r="D484" s="13"/>
      <c r="E484" s="32">
        <v>45807</v>
      </c>
      <c r="F484" s="29"/>
      <c r="G484" s="26">
        <v>0</v>
      </c>
      <c r="H484" s="26"/>
      <c r="I484" s="26">
        <v>0</v>
      </c>
      <c r="J484" s="26"/>
      <c r="K484" s="26">
        <v>0</v>
      </c>
      <c r="L484" s="26"/>
      <c r="M484" s="26">
        <v>0</v>
      </c>
      <c r="N484" s="26"/>
      <c r="O484" s="26">
        <v>0</v>
      </c>
      <c r="P484" s="26"/>
      <c r="Q484" s="26">
        <v>0</v>
      </c>
      <c r="R484" s="26"/>
      <c r="S484" s="26">
        <v>0</v>
      </c>
      <c r="T484" s="26"/>
      <c r="U484" s="26">
        <v>0</v>
      </c>
      <c r="V484" s="26"/>
      <c r="W484" s="26">
        <v>0</v>
      </c>
      <c r="X484" s="26"/>
      <c r="Y484" s="54">
        <f t="shared" si="24"/>
        <v>0</v>
      </c>
      <c r="Z484" s="26"/>
      <c r="AA484" s="26">
        <v>0</v>
      </c>
      <c r="AB484" s="26"/>
      <c r="AC484" s="26"/>
      <c r="AD484" s="26"/>
      <c r="AE484" s="26">
        <v>0</v>
      </c>
      <c r="AF484" s="26"/>
      <c r="AG484" s="26"/>
      <c r="AH484" s="26"/>
      <c r="AI484" s="26"/>
      <c r="AJ484" s="26"/>
      <c r="AK484" s="26">
        <v>0</v>
      </c>
      <c r="AL484" s="26"/>
      <c r="AM484" s="26">
        <v>0</v>
      </c>
      <c r="AN484" s="26"/>
      <c r="AO484" s="26">
        <v>0</v>
      </c>
      <c r="AP484" s="26"/>
      <c r="AQ484" s="26">
        <v>0</v>
      </c>
      <c r="AR484" s="26"/>
      <c r="AS484" s="54">
        <f t="shared" si="25"/>
        <v>0</v>
      </c>
      <c r="AT484" s="26"/>
      <c r="AU484" s="54">
        <f t="shared" si="26"/>
        <v>0</v>
      </c>
    </row>
    <row r="485" spans="1:47">
      <c r="A485" s="13" t="s">
        <v>719</v>
      </c>
      <c r="B485" s="13"/>
      <c r="C485" s="13" t="s">
        <v>69</v>
      </c>
      <c r="D485" s="13"/>
      <c r="E485" s="32">
        <v>50427</v>
      </c>
      <c r="F485" s="26"/>
      <c r="G485" s="26">
        <v>32185387</v>
      </c>
      <c r="H485" s="26"/>
      <c r="I485" s="26">
        <v>0</v>
      </c>
      <c r="J485" s="26"/>
      <c r="K485" s="26">
        <v>17063848</v>
      </c>
      <c r="L485" s="26"/>
      <c r="M485" s="26">
        <v>888839</v>
      </c>
      <c r="N485" s="26"/>
      <c r="O485" s="26">
        <v>546538</v>
      </c>
      <c r="P485" s="26"/>
      <c r="Q485" s="26">
        <v>446503</v>
      </c>
      <c r="R485" s="26"/>
      <c r="S485" s="26">
        <v>0</v>
      </c>
      <c r="T485" s="26"/>
      <c r="U485" s="26">
        <v>111553</v>
      </c>
      <c r="V485" s="26"/>
      <c r="W485" s="26">
        <f>449931+5366+1025304</f>
        <v>1480601</v>
      </c>
      <c r="X485" s="26"/>
      <c r="Y485" s="54">
        <f t="shared" si="24"/>
        <v>52723269</v>
      </c>
      <c r="Z485" s="26"/>
      <c r="AA485" s="26">
        <v>176324</v>
      </c>
      <c r="AB485" s="26"/>
      <c r="AC485" s="26"/>
      <c r="AD485" s="26"/>
      <c r="AE485" s="26">
        <v>0</v>
      </c>
      <c r="AF485" s="26"/>
      <c r="AG485" s="26"/>
      <c r="AH485" s="26"/>
      <c r="AI485" s="26"/>
      <c r="AJ485" s="26"/>
      <c r="AK485" s="26">
        <v>11763000</v>
      </c>
      <c r="AL485" s="26"/>
      <c r="AM485" s="26">
        <v>0</v>
      </c>
      <c r="AN485" s="26"/>
      <c r="AO485" s="26">
        <v>0</v>
      </c>
      <c r="AP485" s="26"/>
      <c r="AQ485" s="26">
        <v>0</v>
      </c>
      <c r="AR485" s="26"/>
      <c r="AS485" s="54">
        <f t="shared" si="25"/>
        <v>11939324</v>
      </c>
      <c r="AT485" s="26"/>
      <c r="AU485" s="54">
        <f t="shared" si="26"/>
        <v>64662593</v>
      </c>
    </row>
    <row r="486" spans="1:47">
      <c r="A486" s="13" t="s">
        <v>899</v>
      </c>
      <c r="B486" s="13"/>
      <c r="C486" s="13" t="s">
        <v>17</v>
      </c>
      <c r="D486" s="13"/>
      <c r="E486" s="32"/>
      <c r="F486" s="26"/>
      <c r="G486" s="26">
        <v>26037975</v>
      </c>
      <c r="H486" s="26"/>
      <c r="I486" s="26">
        <v>0</v>
      </c>
      <c r="J486" s="26"/>
      <c r="K486" s="26">
        <v>91072774</v>
      </c>
      <c r="L486" s="26"/>
      <c r="M486" s="26">
        <f>1798633-84598</f>
        <v>1714035</v>
      </c>
      <c r="N486" s="26"/>
      <c r="O486" s="26">
        <f>1853954+16898+918251</f>
        <v>2789103</v>
      </c>
      <c r="P486" s="26"/>
      <c r="Q486" s="26">
        <v>358925</v>
      </c>
      <c r="R486" s="26"/>
      <c r="S486" s="26">
        <v>0</v>
      </c>
      <c r="T486" s="26"/>
      <c r="U486" s="26">
        <v>54459</v>
      </c>
      <c r="V486" s="26"/>
      <c r="W486" s="26">
        <v>445563</v>
      </c>
      <c r="X486" s="26"/>
      <c r="Y486" s="54">
        <f t="shared" si="24"/>
        <v>122472834</v>
      </c>
      <c r="Z486" s="26"/>
      <c r="AA486" s="26">
        <v>0</v>
      </c>
      <c r="AB486" s="26"/>
      <c r="AC486" s="26"/>
      <c r="AD486" s="26"/>
      <c r="AE486" s="26">
        <v>0</v>
      </c>
      <c r="AF486" s="26"/>
      <c r="AG486" s="26"/>
      <c r="AH486" s="26"/>
      <c r="AI486" s="26"/>
      <c r="AJ486" s="26"/>
      <c r="AK486" s="26">
        <f>951302+335000</f>
        <v>1286302</v>
      </c>
      <c r="AL486" s="26"/>
      <c r="AM486" s="26">
        <v>0</v>
      </c>
      <c r="AN486" s="26"/>
      <c r="AO486" s="26">
        <v>0</v>
      </c>
      <c r="AP486" s="26"/>
      <c r="AQ486" s="26">
        <v>0</v>
      </c>
      <c r="AR486" s="26"/>
      <c r="AS486" s="54">
        <f t="shared" si="25"/>
        <v>1286302</v>
      </c>
      <c r="AT486" s="26"/>
      <c r="AU486" s="54">
        <f t="shared" si="26"/>
        <v>123759136</v>
      </c>
    </row>
    <row r="487" spans="1:47">
      <c r="A487" s="13" t="s">
        <v>506</v>
      </c>
      <c r="B487" s="13"/>
      <c r="C487" s="13" t="s">
        <v>118</v>
      </c>
      <c r="D487" s="13"/>
      <c r="E487" s="32">
        <v>48223</v>
      </c>
      <c r="F487" s="26"/>
      <c r="G487" s="26">
        <v>25727982</v>
      </c>
      <c r="H487" s="26"/>
      <c r="I487" s="26">
        <v>0</v>
      </c>
      <c r="J487" s="26"/>
      <c r="K487" s="26">
        <v>12427430</v>
      </c>
      <c r="L487" s="26"/>
      <c r="M487" s="26">
        <v>596543</v>
      </c>
      <c r="N487" s="26"/>
      <c r="O487" s="26">
        <f>1641321+67213+758415</f>
        <v>2466949</v>
      </c>
      <c r="P487" s="26"/>
      <c r="Q487" s="26">
        <v>408165</v>
      </c>
      <c r="R487" s="26"/>
      <c r="S487" s="26">
        <v>0</v>
      </c>
      <c r="T487" s="26"/>
      <c r="U487" s="26">
        <v>15703</v>
      </c>
      <c r="V487" s="26"/>
      <c r="W487" s="26">
        <v>390562</v>
      </c>
      <c r="X487" s="26"/>
      <c r="Y487" s="54">
        <f t="shared" si="24"/>
        <v>42033334</v>
      </c>
      <c r="Z487" s="26"/>
      <c r="AA487" s="26">
        <v>184074</v>
      </c>
      <c r="AB487" s="26"/>
      <c r="AC487" s="26"/>
      <c r="AD487" s="26"/>
      <c r="AE487" s="26">
        <v>0</v>
      </c>
      <c r="AF487" s="26"/>
      <c r="AG487" s="26"/>
      <c r="AH487" s="26"/>
      <c r="AI487" s="26"/>
      <c r="AJ487" s="26"/>
      <c r="AK487" s="26">
        <v>200</v>
      </c>
      <c r="AL487" s="26"/>
      <c r="AM487" s="26">
        <v>0</v>
      </c>
      <c r="AN487" s="26"/>
      <c r="AO487" s="26">
        <v>0</v>
      </c>
      <c r="AP487" s="26"/>
      <c r="AQ487" s="26">
        <v>0</v>
      </c>
      <c r="AR487" s="26"/>
      <c r="AS487" s="54">
        <f t="shared" si="25"/>
        <v>184274</v>
      </c>
      <c r="AT487" s="26"/>
      <c r="AU487" s="54">
        <f t="shared" si="26"/>
        <v>42217608</v>
      </c>
    </row>
    <row r="488" spans="1:47">
      <c r="A488" s="13" t="s">
        <v>506</v>
      </c>
      <c r="B488" s="13"/>
      <c r="C488" s="13" t="s">
        <v>45</v>
      </c>
      <c r="D488" s="13"/>
      <c r="E488" s="32">
        <v>48371</v>
      </c>
      <c r="F488" s="26"/>
      <c r="G488" s="26">
        <v>3216849</v>
      </c>
      <c r="H488" s="26"/>
      <c r="I488" s="26">
        <v>1671575</v>
      </c>
      <c r="J488" s="26"/>
      <c r="K488" s="26">
        <f>5465348+589460</f>
        <v>6054808</v>
      </c>
      <c r="L488" s="26"/>
      <c r="M488" s="26">
        <v>146893</v>
      </c>
      <c r="N488" s="26"/>
      <c r="O488" s="26">
        <f>17822+31178+97070</f>
        <v>146070</v>
      </c>
      <c r="P488" s="26"/>
      <c r="Q488" s="26">
        <v>181362</v>
      </c>
      <c r="R488" s="26"/>
      <c r="S488" s="26">
        <v>0</v>
      </c>
      <c r="T488" s="26"/>
      <c r="U488" s="26">
        <v>0</v>
      </c>
      <c r="V488" s="26"/>
      <c r="W488" s="26">
        <v>286073</v>
      </c>
      <c r="X488" s="26"/>
      <c r="Y488" s="54">
        <f t="shared" si="24"/>
        <v>11703630</v>
      </c>
      <c r="Z488" s="26"/>
      <c r="AA488" s="26">
        <v>40000</v>
      </c>
      <c r="AB488" s="26"/>
      <c r="AC488" s="26"/>
      <c r="AD488" s="26"/>
      <c r="AE488" s="26">
        <v>0</v>
      </c>
      <c r="AF488" s="26"/>
      <c r="AG488" s="26"/>
      <c r="AH488" s="26"/>
      <c r="AI488" s="26"/>
      <c r="AJ488" s="26"/>
      <c r="AK488" s="26">
        <v>0</v>
      </c>
      <c r="AL488" s="26"/>
      <c r="AM488" s="26">
        <v>0</v>
      </c>
      <c r="AN488" s="26"/>
      <c r="AO488" s="26">
        <v>0</v>
      </c>
      <c r="AP488" s="26"/>
      <c r="AQ488" s="26">
        <v>0</v>
      </c>
      <c r="AR488" s="26"/>
      <c r="AS488" s="54">
        <f t="shared" si="25"/>
        <v>40000</v>
      </c>
      <c r="AT488" s="26"/>
      <c r="AU488" s="54">
        <f t="shared" si="26"/>
        <v>11743630</v>
      </c>
    </row>
    <row r="489" spans="1:47">
      <c r="A489" s="13" t="s">
        <v>506</v>
      </c>
      <c r="B489" s="13"/>
      <c r="C489" s="13" t="s">
        <v>63</v>
      </c>
      <c r="D489" s="13"/>
      <c r="E489" s="32">
        <v>50062</v>
      </c>
      <c r="F489" s="26"/>
      <c r="G489" s="26">
        <v>12142603</v>
      </c>
      <c r="H489" s="26"/>
      <c r="I489" s="26">
        <v>0</v>
      </c>
      <c r="J489" s="26"/>
      <c r="K489" s="26">
        <v>13841955</v>
      </c>
      <c r="L489" s="26"/>
      <c r="M489" s="26">
        <v>154508</v>
      </c>
      <c r="N489" s="26"/>
      <c r="O489" s="26">
        <f>1874449+34351+324340</f>
        <v>2233140</v>
      </c>
      <c r="P489" s="26"/>
      <c r="Q489" s="26">
        <v>299237</v>
      </c>
      <c r="R489" s="26"/>
      <c r="S489" s="26">
        <v>0</v>
      </c>
      <c r="T489" s="26"/>
      <c r="U489" s="26">
        <v>20871</v>
      </c>
      <c r="V489" s="26"/>
      <c r="W489" s="26">
        <v>57394</v>
      </c>
      <c r="X489" s="26"/>
      <c r="Y489" s="54">
        <f t="shared" si="24"/>
        <v>28749708</v>
      </c>
      <c r="Z489" s="26"/>
      <c r="AA489" s="26">
        <v>2000000</v>
      </c>
      <c r="AB489" s="26"/>
      <c r="AC489" s="26"/>
      <c r="AD489" s="26"/>
      <c r="AE489" s="26">
        <v>0</v>
      </c>
      <c r="AF489" s="26"/>
      <c r="AG489" s="26"/>
      <c r="AH489" s="26"/>
      <c r="AI489" s="26"/>
      <c r="AJ489" s="26"/>
      <c r="AK489" s="26">
        <v>107723</v>
      </c>
      <c r="AL489" s="26"/>
      <c r="AM489" s="26">
        <v>0</v>
      </c>
      <c r="AN489" s="26"/>
      <c r="AO489" s="26">
        <v>0</v>
      </c>
      <c r="AP489" s="26"/>
      <c r="AQ489" s="26">
        <v>0</v>
      </c>
      <c r="AR489" s="26"/>
      <c r="AS489" s="54">
        <f t="shared" si="25"/>
        <v>2107723</v>
      </c>
      <c r="AT489" s="26"/>
      <c r="AU489" s="54">
        <f t="shared" si="26"/>
        <v>30857431</v>
      </c>
    </row>
    <row r="490" spans="1:47">
      <c r="A490" s="13" t="s">
        <v>909</v>
      </c>
      <c r="B490" s="13"/>
      <c r="C490" s="13" t="s">
        <v>32</v>
      </c>
      <c r="D490" s="13"/>
      <c r="E490" s="32">
        <v>44719</v>
      </c>
      <c r="F490" s="26"/>
      <c r="G490" s="26">
        <v>6093537</v>
      </c>
      <c r="H490" s="26"/>
      <c r="I490" s="26">
        <v>0</v>
      </c>
      <c r="J490" s="26"/>
      <c r="K490" s="26">
        <v>7443533</v>
      </c>
      <c r="L490" s="26"/>
      <c r="M490" s="26">
        <v>192282</v>
      </c>
      <c r="N490" s="26"/>
      <c r="O490" s="26">
        <f>17144+160185</f>
        <v>177329</v>
      </c>
      <c r="P490" s="26"/>
      <c r="Q490" s="26">
        <v>53470</v>
      </c>
      <c r="R490" s="26"/>
      <c r="S490" s="26">
        <v>0</v>
      </c>
      <c r="T490" s="26"/>
      <c r="U490" s="26">
        <v>0</v>
      </c>
      <c r="V490" s="26"/>
      <c r="W490" s="26">
        <v>365504</v>
      </c>
      <c r="X490" s="26"/>
      <c r="Y490" s="54">
        <f t="shared" si="24"/>
        <v>14325655</v>
      </c>
      <c r="Z490" s="26"/>
      <c r="AA490" s="26">
        <v>960582</v>
      </c>
      <c r="AB490" s="26"/>
      <c r="AC490" s="26"/>
      <c r="AD490" s="26"/>
      <c r="AE490" s="26">
        <v>0</v>
      </c>
      <c r="AF490" s="26"/>
      <c r="AG490" s="26"/>
      <c r="AH490" s="26"/>
      <c r="AI490" s="26"/>
      <c r="AJ490" s="26"/>
      <c r="AK490" s="26">
        <v>0</v>
      </c>
      <c r="AL490" s="26"/>
      <c r="AM490" s="26">
        <v>0</v>
      </c>
      <c r="AN490" s="26"/>
      <c r="AO490" s="26">
        <v>0</v>
      </c>
      <c r="AP490" s="26"/>
      <c r="AQ490" s="26">
        <v>0</v>
      </c>
      <c r="AR490" s="26"/>
      <c r="AS490" s="54">
        <f t="shared" si="25"/>
        <v>960582</v>
      </c>
      <c r="AT490" s="26"/>
      <c r="AU490" s="54">
        <f t="shared" si="26"/>
        <v>15286237</v>
      </c>
    </row>
    <row r="491" spans="1:47">
      <c r="A491" s="13" t="s">
        <v>908</v>
      </c>
      <c r="B491" s="13"/>
      <c r="C491" s="13" t="s">
        <v>15</v>
      </c>
      <c r="D491" s="13"/>
      <c r="E491" s="32">
        <v>45997</v>
      </c>
      <c r="F491" s="26"/>
      <c r="G491" s="26">
        <v>7586196</v>
      </c>
      <c r="H491" s="26"/>
      <c r="I491" s="26">
        <v>0</v>
      </c>
      <c r="J491" s="26"/>
      <c r="K491" s="26">
        <v>6075211</v>
      </c>
      <c r="L491" s="26"/>
      <c r="M491" s="26">
        <v>193391</v>
      </c>
      <c r="N491" s="26"/>
      <c r="O491" s="26">
        <f>987140+1200+298726</f>
        <v>1287066</v>
      </c>
      <c r="P491" s="26"/>
      <c r="Q491" s="26">
        <v>248197</v>
      </c>
      <c r="R491" s="26"/>
      <c r="S491" s="26">
        <v>0</v>
      </c>
      <c r="T491" s="26"/>
      <c r="U491" s="26">
        <v>62255</v>
      </c>
      <c r="V491" s="26"/>
      <c r="W491" s="26">
        <v>164364</v>
      </c>
      <c r="X491" s="26"/>
      <c r="Y491" s="54">
        <f t="shared" si="24"/>
        <v>15616680</v>
      </c>
      <c r="Z491" s="26"/>
      <c r="AA491" s="26">
        <v>410000</v>
      </c>
      <c r="AB491" s="26"/>
      <c r="AC491" s="26"/>
      <c r="AD491" s="26"/>
      <c r="AE491" s="26">
        <v>0</v>
      </c>
      <c r="AF491" s="26"/>
      <c r="AG491" s="26"/>
      <c r="AH491" s="26"/>
      <c r="AI491" s="26"/>
      <c r="AJ491" s="26"/>
      <c r="AK491" s="26">
        <v>325950</v>
      </c>
      <c r="AL491" s="26"/>
      <c r="AM491" s="26">
        <v>0</v>
      </c>
      <c r="AN491" s="26"/>
      <c r="AO491" s="26">
        <v>0</v>
      </c>
      <c r="AP491" s="26"/>
      <c r="AQ491" s="26">
        <v>0</v>
      </c>
      <c r="AR491" s="26"/>
      <c r="AS491" s="54">
        <f t="shared" si="25"/>
        <v>735950</v>
      </c>
      <c r="AT491" s="26"/>
      <c r="AU491" s="54">
        <f t="shared" si="26"/>
        <v>16352630</v>
      </c>
    </row>
    <row r="492" spans="1:47" hidden="1">
      <c r="A492" s="13" t="s">
        <v>542</v>
      </c>
      <c r="B492" s="13"/>
      <c r="C492" s="13" t="s">
        <v>540</v>
      </c>
      <c r="D492" s="13"/>
      <c r="E492" s="32">
        <v>48587</v>
      </c>
      <c r="F492" s="26"/>
      <c r="G492" s="26">
        <v>0</v>
      </c>
      <c r="H492" s="26"/>
      <c r="I492" s="26">
        <v>0</v>
      </c>
      <c r="J492" s="26"/>
      <c r="K492" s="26">
        <v>0</v>
      </c>
      <c r="L492" s="26"/>
      <c r="M492" s="26">
        <v>0</v>
      </c>
      <c r="N492" s="26"/>
      <c r="O492" s="26">
        <v>0</v>
      </c>
      <c r="P492" s="26"/>
      <c r="Q492" s="26">
        <v>0</v>
      </c>
      <c r="R492" s="26"/>
      <c r="S492" s="26">
        <v>0</v>
      </c>
      <c r="T492" s="26"/>
      <c r="U492" s="26">
        <v>0</v>
      </c>
      <c r="V492" s="26"/>
      <c r="W492" s="26">
        <v>0</v>
      </c>
      <c r="X492" s="26"/>
      <c r="Y492" s="54">
        <f t="shared" si="24"/>
        <v>0</v>
      </c>
      <c r="Z492" s="26"/>
      <c r="AA492" s="26">
        <v>0</v>
      </c>
      <c r="AB492" s="26"/>
      <c r="AC492" s="26"/>
      <c r="AD492" s="26"/>
      <c r="AE492" s="26">
        <v>0</v>
      </c>
      <c r="AF492" s="26"/>
      <c r="AG492" s="26"/>
      <c r="AH492" s="26"/>
      <c r="AI492" s="26"/>
      <c r="AJ492" s="26"/>
      <c r="AK492" s="26">
        <v>0</v>
      </c>
      <c r="AL492" s="26"/>
      <c r="AM492" s="26">
        <v>0</v>
      </c>
      <c r="AN492" s="26"/>
      <c r="AO492" s="26">
        <v>0</v>
      </c>
      <c r="AP492" s="26"/>
      <c r="AQ492" s="26">
        <v>0</v>
      </c>
      <c r="AR492" s="26"/>
      <c r="AS492" s="54">
        <f t="shared" si="25"/>
        <v>0</v>
      </c>
      <c r="AT492" s="26"/>
      <c r="AU492" s="54">
        <f t="shared" si="26"/>
        <v>0</v>
      </c>
    </row>
    <row r="493" spans="1:47" hidden="1">
      <c r="A493" s="13" t="s">
        <v>232</v>
      </c>
      <c r="B493" s="13"/>
      <c r="C493" s="13" t="s">
        <v>14</v>
      </c>
      <c r="D493" s="13"/>
      <c r="E493" s="32">
        <v>44727</v>
      </c>
      <c r="F493" s="26"/>
      <c r="G493" s="26">
        <v>0</v>
      </c>
      <c r="H493" s="26"/>
      <c r="I493" s="26">
        <v>0</v>
      </c>
      <c r="J493" s="26"/>
      <c r="K493" s="26">
        <v>0</v>
      </c>
      <c r="L493" s="26"/>
      <c r="M493" s="26">
        <v>0</v>
      </c>
      <c r="N493" s="26"/>
      <c r="O493" s="26">
        <v>0</v>
      </c>
      <c r="P493" s="26"/>
      <c r="Q493" s="26">
        <v>0</v>
      </c>
      <c r="R493" s="26"/>
      <c r="S493" s="26">
        <v>0</v>
      </c>
      <c r="T493" s="26"/>
      <c r="U493" s="26">
        <v>0</v>
      </c>
      <c r="V493" s="26"/>
      <c r="W493" s="26">
        <v>0</v>
      </c>
      <c r="X493" s="26"/>
      <c r="Y493" s="54">
        <f t="shared" si="24"/>
        <v>0</v>
      </c>
      <c r="Z493" s="26"/>
      <c r="AA493" s="26">
        <v>0</v>
      </c>
      <c r="AB493" s="26"/>
      <c r="AC493" s="26"/>
      <c r="AD493" s="26"/>
      <c r="AE493" s="26">
        <v>0</v>
      </c>
      <c r="AF493" s="26"/>
      <c r="AG493" s="26"/>
      <c r="AH493" s="26"/>
      <c r="AI493" s="26"/>
      <c r="AJ493" s="26"/>
      <c r="AK493" s="26">
        <v>0</v>
      </c>
      <c r="AL493" s="26"/>
      <c r="AM493" s="26">
        <v>0</v>
      </c>
      <c r="AN493" s="26"/>
      <c r="AO493" s="26">
        <v>0</v>
      </c>
      <c r="AP493" s="26"/>
      <c r="AQ493" s="26">
        <v>0</v>
      </c>
      <c r="AR493" s="26"/>
      <c r="AS493" s="54">
        <f t="shared" si="25"/>
        <v>0</v>
      </c>
      <c r="AT493" s="26"/>
      <c r="AU493" s="54">
        <f t="shared" si="26"/>
        <v>0</v>
      </c>
    </row>
    <row r="494" spans="1:47">
      <c r="A494" s="13" t="s">
        <v>457</v>
      </c>
      <c r="B494" s="13"/>
      <c r="C494" s="13" t="s">
        <v>39</v>
      </c>
      <c r="D494" s="13"/>
      <c r="E494" s="32">
        <v>44826</v>
      </c>
      <c r="F494" s="26"/>
      <c r="G494" s="26">
        <v>4773111</v>
      </c>
      <c r="H494" s="26"/>
      <c r="I494" s="26">
        <v>0</v>
      </c>
      <c r="J494" s="26"/>
      <c r="K494" s="26">
        <v>17163483</v>
      </c>
      <c r="L494" s="26"/>
      <c r="M494" s="26">
        <v>832758</v>
      </c>
      <c r="N494" s="26"/>
      <c r="O494" s="26">
        <f>2407079+18566+154899</f>
        <v>2580544</v>
      </c>
      <c r="P494" s="26"/>
      <c r="Q494" s="26">
        <v>289961</v>
      </c>
      <c r="R494" s="26"/>
      <c r="S494" s="26">
        <v>0</v>
      </c>
      <c r="T494" s="26"/>
      <c r="U494" s="26">
        <v>315585</v>
      </c>
      <c r="V494" s="26"/>
      <c r="W494" s="26">
        <v>138577</v>
      </c>
      <c r="X494" s="26"/>
      <c r="Y494" s="54">
        <f t="shared" si="24"/>
        <v>26094019</v>
      </c>
      <c r="Z494" s="26"/>
      <c r="AA494" s="26">
        <v>946932</v>
      </c>
      <c r="AB494" s="26"/>
      <c r="AC494" s="26"/>
      <c r="AD494" s="26"/>
      <c r="AE494" s="26">
        <v>700000</v>
      </c>
      <c r="AF494" s="26"/>
      <c r="AG494" s="26"/>
      <c r="AH494" s="26"/>
      <c r="AI494" s="26"/>
      <c r="AJ494" s="26"/>
      <c r="AK494" s="26">
        <v>657</v>
      </c>
      <c r="AL494" s="26"/>
      <c r="AM494" s="26">
        <v>0</v>
      </c>
      <c r="AN494" s="26"/>
      <c r="AO494" s="26">
        <v>0</v>
      </c>
      <c r="AP494" s="26"/>
      <c r="AQ494" s="26">
        <v>0</v>
      </c>
      <c r="AR494" s="26"/>
      <c r="AS494" s="54">
        <f t="shared" si="25"/>
        <v>1647589</v>
      </c>
      <c r="AT494" s="26"/>
      <c r="AU494" s="54">
        <f t="shared" si="26"/>
        <v>27741608</v>
      </c>
    </row>
    <row r="495" spans="1:47">
      <c r="A495" s="13" t="s">
        <v>676</v>
      </c>
      <c r="B495" s="13"/>
      <c r="C495" s="13" t="s">
        <v>63</v>
      </c>
      <c r="D495" s="13"/>
      <c r="E495" s="32">
        <v>44834</v>
      </c>
      <c r="F495" s="26"/>
      <c r="G495" s="26">
        <v>29317400</v>
      </c>
      <c r="H495" s="26"/>
      <c r="I495" s="26">
        <v>0</v>
      </c>
      <c r="J495" s="26"/>
      <c r="K495" s="26">
        <f>1866287+20654799+28578</f>
        <v>22549664</v>
      </c>
      <c r="L495" s="26"/>
      <c r="M495" s="26">
        <v>651284</v>
      </c>
      <c r="N495" s="26"/>
      <c r="O495" s="26">
        <f>1249518+901262+183795</f>
        <v>2334575</v>
      </c>
      <c r="P495" s="26"/>
      <c r="Q495" s="26">
        <v>406752</v>
      </c>
      <c r="R495" s="26"/>
      <c r="S495" s="26">
        <v>0</v>
      </c>
      <c r="T495" s="26"/>
      <c r="U495" s="26">
        <v>0</v>
      </c>
      <c r="V495" s="26"/>
      <c r="W495" s="26">
        <v>331768</v>
      </c>
      <c r="X495" s="26"/>
      <c r="Y495" s="54">
        <f t="shared" si="24"/>
        <v>55591443</v>
      </c>
      <c r="Z495" s="26"/>
      <c r="AA495" s="26">
        <v>52265</v>
      </c>
      <c r="AB495" s="26"/>
      <c r="AC495" s="26"/>
      <c r="AD495" s="26"/>
      <c r="AE495" s="26">
        <v>0</v>
      </c>
      <c r="AF495" s="26"/>
      <c r="AG495" s="26"/>
      <c r="AH495" s="26"/>
      <c r="AI495" s="26"/>
      <c r="AJ495" s="26"/>
      <c r="AK495" s="26">
        <v>10351</v>
      </c>
      <c r="AL495" s="26"/>
      <c r="AM495" s="26">
        <v>0</v>
      </c>
      <c r="AN495" s="26"/>
      <c r="AO495" s="26">
        <v>0</v>
      </c>
      <c r="AP495" s="26"/>
      <c r="AQ495" s="26">
        <v>0</v>
      </c>
      <c r="AR495" s="26"/>
      <c r="AS495" s="54">
        <f t="shared" si="25"/>
        <v>62616</v>
      </c>
      <c r="AT495" s="26"/>
      <c r="AU495" s="54">
        <f t="shared" si="26"/>
        <v>55654059</v>
      </c>
    </row>
    <row r="496" spans="1:47" hidden="1">
      <c r="A496" s="13" t="s">
        <v>705</v>
      </c>
      <c r="B496" s="13"/>
      <c r="C496" s="13" t="s">
        <v>65</v>
      </c>
      <c r="D496" s="13"/>
      <c r="E496" s="32">
        <v>50294</v>
      </c>
      <c r="F496" s="26"/>
      <c r="G496" s="26">
        <v>0</v>
      </c>
      <c r="H496" s="26"/>
      <c r="I496" s="26">
        <v>0</v>
      </c>
      <c r="J496" s="26"/>
      <c r="K496" s="26">
        <v>0</v>
      </c>
      <c r="L496" s="26"/>
      <c r="M496" s="26">
        <v>0</v>
      </c>
      <c r="N496" s="26"/>
      <c r="O496" s="26">
        <v>0</v>
      </c>
      <c r="P496" s="26"/>
      <c r="Q496" s="26">
        <v>0</v>
      </c>
      <c r="R496" s="26"/>
      <c r="S496" s="26">
        <v>0</v>
      </c>
      <c r="T496" s="26"/>
      <c r="U496" s="26">
        <v>0</v>
      </c>
      <c r="V496" s="26"/>
      <c r="W496" s="26">
        <v>0</v>
      </c>
      <c r="X496" s="26"/>
      <c r="Y496" s="54">
        <f t="shared" si="24"/>
        <v>0</v>
      </c>
      <c r="Z496" s="26"/>
      <c r="AA496" s="26">
        <v>0</v>
      </c>
      <c r="AB496" s="26"/>
      <c r="AC496" s="26"/>
      <c r="AD496" s="26"/>
      <c r="AE496" s="26">
        <v>0</v>
      </c>
      <c r="AF496" s="26"/>
      <c r="AG496" s="26"/>
      <c r="AH496" s="26"/>
      <c r="AI496" s="26"/>
      <c r="AJ496" s="26"/>
      <c r="AK496" s="26">
        <v>0</v>
      </c>
      <c r="AL496" s="26"/>
      <c r="AM496" s="26">
        <v>0</v>
      </c>
      <c r="AN496" s="26"/>
      <c r="AO496" s="26">
        <v>0</v>
      </c>
      <c r="AP496" s="26"/>
      <c r="AQ496" s="26">
        <v>0</v>
      </c>
      <c r="AR496" s="26"/>
      <c r="AS496" s="54">
        <f t="shared" si="25"/>
        <v>0</v>
      </c>
      <c r="AT496" s="26"/>
      <c r="AU496" s="54">
        <f t="shared" si="26"/>
        <v>0</v>
      </c>
    </row>
    <row r="497" spans="1:47">
      <c r="A497" s="13" t="s">
        <v>602</v>
      </c>
      <c r="B497" s="13"/>
      <c r="C497" s="13" t="s">
        <v>56</v>
      </c>
      <c r="D497" s="13"/>
      <c r="E497" s="32">
        <v>49239</v>
      </c>
      <c r="F497" s="26"/>
      <c r="G497" s="26">
        <v>14155001</v>
      </c>
      <c r="H497" s="26"/>
      <c r="I497" s="26">
        <v>0</v>
      </c>
      <c r="J497" s="26"/>
      <c r="K497" s="26">
        <v>8197056</v>
      </c>
      <c r="L497" s="26"/>
      <c r="M497" s="26">
        <v>145172</v>
      </c>
      <c r="N497" s="26"/>
      <c r="O497" s="26">
        <f>147242+5221+591203</f>
        <v>743666</v>
      </c>
      <c r="P497" s="26"/>
      <c r="Q497" s="26">
        <v>309855</v>
      </c>
      <c r="R497" s="26"/>
      <c r="S497" s="26">
        <v>292062</v>
      </c>
      <c r="T497" s="26"/>
      <c r="U497" s="26">
        <v>62160</v>
      </c>
      <c r="V497" s="26"/>
      <c r="W497" s="26">
        <v>659180</v>
      </c>
      <c r="X497" s="26"/>
      <c r="Y497" s="54">
        <f t="shared" si="24"/>
        <v>24564152</v>
      </c>
      <c r="Z497" s="26"/>
      <c r="AA497" s="26">
        <v>0</v>
      </c>
      <c r="AB497" s="26"/>
      <c r="AC497" s="26"/>
      <c r="AD497" s="26"/>
      <c r="AE497" s="26">
        <v>0</v>
      </c>
      <c r="AF497" s="26"/>
      <c r="AG497" s="26"/>
      <c r="AH497" s="26"/>
      <c r="AI497" s="26"/>
      <c r="AJ497" s="26"/>
      <c r="AK497" s="26">
        <v>0</v>
      </c>
      <c r="AL497" s="26"/>
      <c r="AM497" s="26">
        <v>0</v>
      </c>
      <c r="AN497" s="26"/>
      <c r="AO497" s="26">
        <v>0</v>
      </c>
      <c r="AP497" s="26"/>
      <c r="AQ497" s="26">
        <v>0</v>
      </c>
      <c r="AR497" s="26"/>
      <c r="AS497" s="54">
        <f t="shared" si="25"/>
        <v>0</v>
      </c>
      <c r="AT497" s="26"/>
      <c r="AU497" s="54">
        <f t="shared" si="26"/>
        <v>24564152</v>
      </c>
    </row>
    <row r="498" spans="1:47">
      <c r="A498" s="13" t="s">
        <v>327</v>
      </c>
      <c r="B498" s="13"/>
      <c r="C498" s="13" t="s">
        <v>20</v>
      </c>
      <c r="D498" s="13"/>
      <c r="E498" s="32">
        <v>44842</v>
      </c>
      <c r="F498" s="26"/>
      <c r="G498" s="26">
        <v>55822852</v>
      </c>
      <c r="H498" s="26"/>
      <c r="I498" s="26">
        <v>0</v>
      </c>
      <c r="J498" s="26"/>
      <c r="K498" s="26">
        <v>22254130</v>
      </c>
      <c r="L498" s="26"/>
      <c r="M498" s="26">
        <v>613943</v>
      </c>
      <c r="N498" s="26"/>
      <c r="O498" s="26">
        <f>667738+1539433</f>
        <v>2207171</v>
      </c>
      <c r="P498" s="26"/>
      <c r="Q498" s="26">
        <v>344414</v>
      </c>
      <c r="R498" s="26"/>
      <c r="S498" s="26">
        <v>0</v>
      </c>
      <c r="T498" s="26"/>
      <c r="U498" s="26">
        <v>0</v>
      </c>
      <c r="V498" s="26"/>
      <c r="W498" s="26">
        <v>1190825</v>
      </c>
      <c r="X498" s="26"/>
      <c r="Y498" s="54">
        <f t="shared" si="24"/>
        <v>82433335</v>
      </c>
      <c r="Z498" s="26"/>
      <c r="AA498" s="26">
        <v>1466772</v>
      </c>
      <c r="AB498" s="26"/>
      <c r="AC498" s="26"/>
      <c r="AD498" s="26"/>
      <c r="AE498" s="26">
        <v>0</v>
      </c>
      <c r="AF498" s="26"/>
      <c r="AG498" s="26"/>
      <c r="AH498" s="26"/>
      <c r="AI498" s="26"/>
      <c r="AJ498" s="26"/>
      <c r="AK498" s="26">
        <v>34412</v>
      </c>
      <c r="AL498" s="26"/>
      <c r="AM498" s="26">
        <v>0</v>
      </c>
      <c r="AN498" s="26"/>
      <c r="AO498" s="26">
        <v>0</v>
      </c>
      <c r="AP498" s="26"/>
      <c r="AQ498" s="26">
        <v>0</v>
      </c>
      <c r="AR498" s="26"/>
      <c r="AS498" s="54">
        <f t="shared" si="25"/>
        <v>1501184</v>
      </c>
      <c r="AT498" s="26"/>
      <c r="AU498" s="54">
        <f t="shared" si="26"/>
        <v>83934519</v>
      </c>
    </row>
    <row r="499" spans="1:47">
      <c r="A499" s="13" t="s">
        <v>523</v>
      </c>
      <c r="B499" s="13"/>
      <c r="C499" s="13" t="s">
        <v>45</v>
      </c>
      <c r="D499" s="13"/>
      <c r="E499" s="32">
        <v>44859</v>
      </c>
      <c r="F499" s="26"/>
      <c r="G499" s="26">
        <v>5245579</v>
      </c>
      <c r="H499" s="26"/>
      <c r="I499" s="26">
        <v>0</v>
      </c>
      <c r="J499" s="26"/>
      <c r="K499" s="26">
        <v>12848733</v>
      </c>
      <c r="L499" s="26"/>
      <c r="M499" s="26">
        <v>75610</v>
      </c>
      <c r="N499" s="26"/>
      <c r="O499" s="26">
        <f>916111</f>
        <v>916111</v>
      </c>
      <c r="P499" s="26"/>
      <c r="Q499" s="26">
        <v>247191</v>
      </c>
      <c r="R499" s="26"/>
      <c r="S499" s="26">
        <v>0</v>
      </c>
      <c r="T499" s="26"/>
      <c r="U499" s="26">
        <v>55194</v>
      </c>
      <c r="V499" s="26"/>
      <c r="W499" s="26">
        <f>194616+11776+246373</f>
        <v>452765</v>
      </c>
      <c r="X499" s="26"/>
      <c r="Y499" s="54">
        <f t="shared" si="24"/>
        <v>19841183</v>
      </c>
      <c r="Z499" s="26"/>
      <c r="AA499" s="26">
        <v>0</v>
      </c>
      <c r="AB499" s="26"/>
      <c r="AC499" s="26"/>
      <c r="AD499" s="26"/>
      <c r="AE499" s="26">
        <v>0</v>
      </c>
      <c r="AF499" s="26"/>
      <c r="AG499" s="26"/>
      <c r="AH499" s="26"/>
      <c r="AI499" s="26"/>
      <c r="AJ499" s="26"/>
      <c r="AK499" s="26">
        <v>0</v>
      </c>
      <c r="AL499" s="26"/>
      <c r="AM499" s="26">
        <v>0</v>
      </c>
      <c r="AN499" s="26"/>
      <c r="AO499" s="26">
        <v>0</v>
      </c>
      <c r="AP499" s="26"/>
      <c r="AQ499" s="26">
        <v>0</v>
      </c>
      <c r="AR499" s="26"/>
      <c r="AS499" s="54">
        <f t="shared" si="25"/>
        <v>0</v>
      </c>
      <c r="AT499" s="26"/>
      <c r="AU499" s="54">
        <f t="shared" si="26"/>
        <v>19841183</v>
      </c>
    </row>
    <row r="500" spans="1:47">
      <c r="A500" s="13" t="s">
        <v>738</v>
      </c>
      <c r="B500" s="13"/>
      <c r="C500" s="13" t="s">
        <v>733</v>
      </c>
      <c r="D500" s="13"/>
      <c r="E500" s="32">
        <v>50658</v>
      </c>
      <c r="F500" s="26"/>
      <c r="G500" s="26">
        <v>1372280</v>
      </c>
      <c r="H500" s="26"/>
      <c r="I500" s="26">
        <v>599961</v>
      </c>
      <c r="J500" s="26"/>
      <c r="K500" s="26">
        <v>6180359</v>
      </c>
      <c r="L500" s="26"/>
      <c r="M500" s="26">
        <v>290443</v>
      </c>
      <c r="N500" s="26"/>
      <c r="O500" s="26">
        <f>118219+4663+95476</f>
        <v>218358</v>
      </c>
      <c r="P500" s="26"/>
      <c r="Q500" s="26">
        <v>95615</v>
      </c>
      <c r="R500" s="26"/>
      <c r="S500" s="26">
        <v>0</v>
      </c>
      <c r="T500" s="26"/>
      <c r="U500" s="26">
        <v>7022</v>
      </c>
      <c r="V500" s="26"/>
      <c r="W500" s="26">
        <v>51961</v>
      </c>
      <c r="X500" s="26"/>
      <c r="Y500" s="54">
        <f t="shared" si="24"/>
        <v>8815999</v>
      </c>
      <c r="Z500" s="26"/>
      <c r="AA500" s="26">
        <v>0</v>
      </c>
      <c r="AB500" s="26"/>
      <c r="AC500" s="26"/>
      <c r="AD500" s="26"/>
      <c r="AE500" s="26">
        <v>11105496</v>
      </c>
      <c r="AF500" s="26"/>
      <c r="AG500" s="26"/>
      <c r="AH500" s="26"/>
      <c r="AI500" s="26"/>
      <c r="AJ500" s="26"/>
      <c r="AK500" s="26">
        <v>54764</v>
      </c>
      <c r="AL500" s="26"/>
      <c r="AM500" s="26">
        <v>0</v>
      </c>
      <c r="AN500" s="26"/>
      <c r="AO500" s="26">
        <v>0</v>
      </c>
      <c r="AP500" s="26"/>
      <c r="AQ500" s="26">
        <v>0</v>
      </c>
      <c r="AR500" s="26"/>
      <c r="AS500" s="54">
        <f t="shared" si="25"/>
        <v>11160260</v>
      </c>
      <c r="AT500" s="26"/>
      <c r="AU500" s="54">
        <f t="shared" si="26"/>
        <v>19976259</v>
      </c>
    </row>
    <row r="501" spans="1:47">
      <c r="A501" s="13" t="s">
        <v>391</v>
      </c>
      <c r="B501" s="13"/>
      <c r="C501" s="13" t="s">
        <v>117</v>
      </c>
      <c r="D501" s="13"/>
      <c r="E501" s="32">
        <v>47274</v>
      </c>
      <c r="F501" s="26"/>
      <c r="G501" s="26">
        <v>16750503</v>
      </c>
      <c r="H501" s="26"/>
      <c r="I501" s="26">
        <v>0</v>
      </c>
      <c r="J501" s="26"/>
      <c r="K501" s="26">
        <v>9611962</v>
      </c>
      <c r="L501" s="26"/>
      <c r="M501" s="26">
        <v>190099</v>
      </c>
      <c r="N501" s="26"/>
      <c r="O501" s="26">
        <f>544891+480638</f>
        <v>1025529</v>
      </c>
      <c r="P501" s="26"/>
      <c r="Q501" s="26">
        <v>470794</v>
      </c>
      <c r="R501" s="26"/>
      <c r="S501" s="26">
        <v>0</v>
      </c>
      <c r="T501" s="26"/>
      <c r="U501" s="26">
        <v>0</v>
      </c>
      <c r="V501" s="26"/>
      <c r="W501" s="26">
        <v>562201</v>
      </c>
      <c r="X501" s="26"/>
      <c r="Y501" s="54">
        <f t="shared" si="24"/>
        <v>28611088</v>
      </c>
      <c r="Z501" s="26"/>
      <c r="AA501" s="26">
        <v>2301705</v>
      </c>
      <c r="AB501" s="26"/>
      <c r="AC501" s="26"/>
      <c r="AD501" s="26"/>
      <c r="AE501" s="26">
        <v>0</v>
      </c>
      <c r="AF501" s="26"/>
      <c r="AG501" s="26"/>
      <c r="AH501" s="26"/>
      <c r="AI501" s="26"/>
      <c r="AJ501" s="26"/>
      <c r="AK501" s="26">
        <f>5168546+19000</f>
        <v>5187546</v>
      </c>
      <c r="AL501" s="26"/>
      <c r="AM501" s="26">
        <v>0</v>
      </c>
      <c r="AN501" s="26"/>
      <c r="AO501" s="26">
        <v>0</v>
      </c>
      <c r="AP501" s="26"/>
      <c r="AQ501" s="26">
        <v>0</v>
      </c>
      <c r="AR501" s="26"/>
      <c r="AS501" s="54">
        <f t="shared" si="25"/>
        <v>7489251</v>
      </c>
      <c r="AT501" s="26"/>
      <c r="AU501" s="54">
        <f t="shared" si="26"/>
        <v>36100339</v>
      </c>
    </row>
    <row r="502" spans="1:47">
      <c r="A502" s="13" t="s">
        <v>377</v>
      </c>
      <c r="B502" s="13"/>
      <c r="C502" s="13" t="s">
        <v>28</v>
      </c>
      <c r="D502" s="13"/>
      <c r="E502" s="32">
        <v>47092</v>
      </c>
      <c r="F502" s="26"/>
      <c r="G502" s="26">
        <v>7270998</v>
      </c>
      <c r="H502" s="26"/>
      <c r="I502" s="26">
        <v>2452327</v>
      </c>
      <c r="J502" s="26"/>
      <c r="K502" s="26">
        <v>6718501</v>
      </c>
      <c r="L502" s="26"/>
      <c r="M502" s="26">
        <v>419644</v>
      </c>
      <c r="N502" s="26"/>
      <c r="O502" s="26">
        <v>833143</v>
      </c>
      <c r="P502" s="26"/>
      <c r="Q502" s="26">
        <v>132798</v>
      </c>
      <c r="R502" s="26"/>
      <c r="S502" s="26">
        <v>0</v>
      </c>
      <c r="T502" s="26"/>
      <c r="U502" s="26">
        <v>37302</v>
      </c>
      <c r="V502" s="26"/>
      <c r="W502" s="26">
        <f>196754+240471</f>
        <v>437225</v>
      </c>
      <c r="X502" s="26"/>
      <c r="Y502" s="54">
        <f t="shared" si="24"/>
        <v>18301938</v>
      </c>
      <c r="Z502" s="26"/>
      <c r="AA502" s="26">
        <v>413786</v>
      </c>
      <c r="AB502" s="26"/>
      <c r="AC502" s="26"/>
      <c r="AD502" s="26"/>
      <c r="AE502" s="26">
        <v>0</v>
      </c>
      <c r="AF502" s="26"/>
      <c r="AG502" s="26"/>
      <c r="AH502" s="26"/>
      <c r="AI502" s="26"/>
      <c r="AJ502" s="26"/>
      <c r="AK502" s="26">
        <v>0</v>
      </c>
      <c r="AL502" s="26"/>
      <c r="AM502" s="26">
        <v>0</v>
      </c>
      <c r="AN502" s="26"/>
      <c r="AO502" s="26">
        <v>0</v>
      </c>
      <c r="AP502" s="26"/>
      <c r="AQ502" s="26">
        <v>0</v>
      </c>
      <c r="AR502" s="26"/>
      <c r="AS502" s="54">
        <f t="shared" si="25"/>
        <v>413786</v>
      </c>
      <c r="AT502" s="26"/>
      <c r="AU502" s="54">
        <f t="shared" si="26"/>
        <v>18715724</v>
      </c>
    </row>
    <row r="503" spans="1:47">
      <c r="A503" s="13" t="s">
        <v>897</v>
      </c>
      <c r="B503" s="13"/>
      <c r="C503" s="13" t="s">
        <v>49</v>
      </c>
      <c r="D503" s="13"/>
      <c r="E503" s="32">
        <v>48652</v>
      </c>
      <c r="F503" s="26"/>
      <c r="G503" s="26">
        <v>7039799</v>
      </c>
      <c r="H503" s="26"/>
      <c r="I503" s="26">
        <v>0</v>
      </c>
      <c r="J503" s="26"/>
      <c r="K503" s="26">
        <v>17874369</v>
      </c>
      <c r="L503" s="26"/>
      <c r="M503" s="26">
        <v>113050</v>
      </c>
      <c r="N503" s="26"/>
      <c r="O503" s="26">
        <f>243525+987+339428</f>
        <v>583940</v>
      </c>
      <c r="P503" s="26"/>
      <c r="Q503" s="26">
        <v>219641</v>
      </c>
      <c r="R503" s="26"/>
      <c r="S503" s="26">
        <v>0</v>
      </c>
      <c r="T503" s="26"/>
      <c r="U503" s="26">
        <v>33838</v>
      </c>
      <c r="V503" s="26"/>
      <c r="W503" s="26">
        <v>161899</v>
      </c>
      <c r="X503" s="26"/>
      <c r="Y503" s="54">
        <f t="shared" si="24"/>
        <v>26026536</v>
      </c>
      <c r="Z503" s="26"/>
      <c r="AA503" s="26">
        <v>74685</v>
      </c>
      <c r="AB503" s="26"/>
      <c r="AC503" s="26"/>
      <c r="AD503" s="26"/>
      <c r="AE503" s="26">
        <v>0</v>
      </c>
      <c r="AF503" s="26"/>
      <c r="AG503" s="26"/>
      <c r="AH503" s="26"/>
      <c r="AI503" s="26"/>
      <c r="AJ503" s="26"/>
      <c r="AK503" s="26">
        <v>19867</v>
      </c>
      <c r="AL503" s="26"/>
      <c r="AM503" s="26">
        <v>0</v>
      </c>
      <c r="AN503" s="26"/>
      <c r="AO503" s="26">
        <v>0</v>
      </c>
      <c r="AP503" s="26"/>
      <c r="AQ503" s="26">
        <v>0</v>
      </c>
      <c r="AR503" s="26"/>
      <c r="AS503" s="54">
        <f t="shared" si="25"/>
        <v>94552</v>
      </c>
      <c r="AT503" s="26"/>
      <c r="AU503" s="54">
        <f t="shared" si="26"/>
        <v>26121088</v>
      </c>
    </row>
    <row r="504" spans="1:47">
      <c r="A504" s="13" t="s">
        <v>414</v>
      </c>
      <c r="B504" s="13"/>
      <c r="C504" s="13" t="s">
        <v>32</v>
      </c>
      <c r="D504" s="13"/>
      <c r="E504" s="32">
        <v>44867</v>
      </c>
      <c r="F504" s="26"/>
      <c r="G504" s="26">
        <v>58916880</v>
      </c>
      <c r="H504" s="26"/>
      <c r="I504" s="26">
        <v>0</v>
      </c>
      <c r="J504" s="26"/>
      <c r="K504" s="26">
        <v>2425608</v>
      </c>
      <c r="L504" s="26"/>
      <c r="M504" s="26">
        <v>18769020</v>
      </c>
      <c r="N504" s="26"/>
      <c r="O504" s="26">
        <v>1069572</v>
      </c>
      <c r="P504" s="26"/>
      <c r="Q504" s="26">
        <v>462525</v>
      </c>
      <c r="R504" s="26"/>
      <c r="S504" s="26">
        <v>0</v>
      </c>
      <c r="T504" s="26"/>
      <c r="U504" s="26">
        <v>0</v>
      </c>
      <c r="V504" s="26"/>
      <c r="W504" s="26">
        <f>1707201+636399</f>
        <v>2343600</v>
      </c>
      <c r="X504" s="26"/>
      <c r="Y504" s="54">
        <f t="shared" si="24"/>
        <v>83987205</v>
      </c>
      <c r="Z504" s="26"/>
      <c r="AA504" s="26">
        <v>1444350</v>
      </c>
      <c r="AB504" s="26"/>
      <c r="AC504" s="26"/>
      <c r="AD504" s="26"/>
      <c r="AE504" s="26">
        <v>6090000</v>
      </c>
      <c r="AF504" s="26"/>
      <c r="AG504" s="26"/>
      <c r="AH504" s="26"/>
      <c r="AI504" s="26"/>
      <c r="AJ504" s="26"/>
      <c r="AK504" s="26">
        <v>3645</v>
      </c>
      <c r="AL504" s="26"/>
      <c r="AM504" s="26">
        <v>0</v>
      </c>
      <c r="AN504" s="26"/>
      <c r="AO504" s="26">
        <v>0</v>
      </c>
      <c r="AP504" s="26"/>
      <c r="AQ504" s="26">
        <v>0</v>
      </c>
      <c r="AR504" s="26"/>
      <c r="AS504" s="54">
        <f t="shared" si="25"/>
        <v>7537995</v>
      </c>
      <c r="AT504" s="26"/>
      <c r="AU504" s="54">
        <f t="shared" si="26"/>
        <v>91525200</v>
      </c>
    </row>
    <row r="505" spans="1:47">
      <c r="A505" s="13" t="s">
        <v>507</v>
      </c>
      <c r="B505" s="13"/>
      <c r="C505" s="13" t="s">
        <v>118</v>
      </c>
      <c r="D505" s="13"/>
      <c r="E505" s="13">
        <v>44875</v>
      </c>
      <c r="F505" s="26"/>
      <c r="G505" s="26">
        <v>55899784</v>
      </c>
      <c r="H505" s="26"/>
      <c r="I505" s="26">
        <v>0</v>
      </c>
      <c r="J505" s="26"/>
      <c r="K505" s="26">
        <f>24907713+3167482</f>
        <v>28075195</v>
      </c>
      <c r="L505" s="26"/>
      <c r="M505" s="26">
        <v>1164331</v>
      </c>
      <c r="N505" s="26"/>
      <c r="O505" s="26">
        <f>666793+48533+1157940+461484</f>
        <v>2334750</v>
      </c>
      <c r="P505" s="26"/>
      <c r="Q505" s="26">
        <v>641550</v>
      </c>
      <c r="R505" s="26"/>
      <c r="S505" s="26">
        <v>0</v>
      </c>
      <c r="T505" s="26"/>
      <c r="U505" s="26">
        <v>0</v>
      </c>
      <c r="V505" s="26"/>
      <c r="W505" s="26">
        <v>564136</v>
      </c>
      <c r="X505" s="26"/>
      <c r="Y505" s="54">
        <f t="shared" si="24"/>
        <v>88679746</v>
      </c>
      <c r="Z505" s="26"/>
      <c r="AA505" s="26">
        <v>274136</v>
      </c>
      <c r="AB505" s="26"/>
      <c r="AC505" s="26"/>
      <c r="AD505" s="26"/>
      <c r="AE505" s="26">
        <v>1000000</v>
      </c>
      <c r="AF505" s="26"/>
      <c r="AG505" s="26"/>
      <c r="AH505" s="26"/>
      <c r="AI505" s="26"/>
      <c r="AJ505" s="26"/>
      <c r="AK505" s="26">
        <f>618564+14032</f>
        <v>632596</v>
      </c>
      <c r="AL505" s="26"/>
      <c r="AM505" s="26">
        <v>0</v>
      </c>
      <c r="AN505" s="26"/>
      <c r="AO505" s="26">
        <v>0</v>
      </c>
      <c r="AP505" s="26"/>
      <c r="AQ505" s="26">
        <v>0</v>
      </c>
      <c r="AR505" s="26"/>
      <c r="AS505" s="54">
        <f t="shared" si="25"/>
        <v>1906732</v>
      </c>
      <c r="AT505" s="26"/>
      <c r="AU505" s="54">
        <f t="shared" si="26"/>
        <v>90586478</v>
      </c>
    </row>
    <row r="506" spans="1:47">
      <c r="A506" s="13" t="s">
        <v>477</v>
      </c>
      <c r="B506" s="13"/>
      <c r="C506" s="13" t="s">
        <v>471</v>
      </c>
      <c r="D506" s="13"/>
      <c r="E506" s="32">
        <v>47969</v>
      </c>
      <c r="F506" s="26"/>
      <c r="G506" s="26">
        <v>1136190</v>
      </c>
      <c r="H506" s="26"/>
      <c r="I506" s="26">
        <v>0</v>
      </c>
      <c r="J506" s="26"/>
      <c r="K506" s="26">
        <v>7007001</v>
      </c>
      <c r="L506" s="26"/>
      <c r="M506" s="26">
        <v>277733</v>
      </c>
      <c r="N506" s="26"/>
      <c r="O506" s="26">
        <f>426367+87937</f>
        <v>514304</v>
      </c>
      <c r="P506" s="26"/>
      <c r="Q506" s="26">
        <v>60241</v>
      </c>
      <c r="R506" s="26"/>
      <c r="S506" s="26">
        <v>0</v>
      </c>
      <c r="T506" s="26"/>
      <c r="U506" s="26">
        <v>4671</v>
      </c>
      <c r="V506" s="26"/>
      <c r="W506" s="26">
        <v>21630</v>
      </c>
      <c r="X506" s="26"/>
      <c r="Y506" s="54">
        <f t="shared" si="24"/>
        <v>9021770</v>
      </c>
      <c r="Z506" s="26"/>
      <c r="AA506" s="26">
        <v>543933</v>
      </c>
      <c r="AB506" s="26"/>
      <c r="AC506" s="26"/>
      <c r="AD506" s="26"/>
      <c r="AE506" s="26">
        <v>0</v>
      </c>
      <c r="AF506" s="26"/>
      <c r="AG506" s="26"/>
      <c r="AH506" s="26"/>
      <c r="AI506" s="26"/>
      <c r="AJ506" s="26"/>
      <c r="AK506" s="26">
        <v>8200</v>
      </c>
      <c r="AL506" s="26"/>
      <c r="AM506" s="26">
        <v>0</v>
      </c>
      <c r="AN506" s="26"/>
      <c r="AO506" s="26">
        <v>0</v>
      </c>
      <c r="AP506" s="26"/>
      <c r="AQ506" s="26">
        <v>0</v>
      </c>
      <c r="AR506" s="26"/>
      <c r="AS506" s="54">
        <f t="shared" si="25"/>
        <v>552133</v>
      </c>
      <c r="AT506" s="26"/>
      <c r="AU506" s="54">
        <f t="shared" si="26"/>
        <v>9573903</v>
      </c>
    </row>
    <row r="507" spans="1:47">
      <c r="A507" s="13" t="s">
        <v>255</v>
      </c>
      <c r="B507" s="13"/>
      <c r="C507" s="13" t="s">
        <v>246</v>
      </c>
      <c r="D507" s="13"/>
      <c r="E507" s="32">
        <v>46151</v>
      </c>
      <c r="F507" s="26"/>
      <c r="G507" s="26">
        <v>19998357</v>
      </c>
      <c r="H507" s="26"/>
      <c r="I507" s="26">
        <v>0</v>
      </c>
      <c r="J507" s="26"/>
      <c r="K507" s="26">
        <v>12491761</v>
      </c>
      <c r="L507" s="26"/>
      <c r="M507" s="26">
        <v>673718</v>
      </c>
      <c r="N507" s="26"/>
      <c r="O507" s="26">
        <v>684434</v>
      </c>
      <c r="P507" s="26"/>
      <c r="Q507" s="26">
        <v>0</v>
      </c>
      <c r="R507" s="26"/>
      <c r="S507" s="26">
        <v>0</v>
      </c>
      <c r="T507" s="26"/>
      <c r="U507" s="26">
        <v>0</v>
      </c>
      <c r="V507" s="26"/>
      <c r="W507" s="26">
        <v>1601941</v>
      </c>
      <c r="X507" s="26"/>
      <c r="Y507" s="54">
        <f t="shared" ref="Y507:Y531" si="27">SUM(G507:W507)</f>
        <v>35450211</v>
      </c>
      <c r="Z507" s="26"/>
      <c r="AA507" s="26">
        <v>0</v>
      </c>
      <c r="AB507" s="26"/>
      <c r="AC507" s="26"/>
      <c r="AD507" s="26"/>
      <c r="AE507" s="26">
        <v>0</v>
      </c>
      <c r="AF507" s="26"/>
      <c r="AG507" s="26"/>
      <c r="AH507" s="26"/>
      <c r="AI507" s="26"/>
      <c r="AJ507" s="26"/>
      <c r="AK507" s="26">
        <v>0</v>
      </c>
      <c r="AL507" s="26"/>
      <c r="AM507" s="26">
        <v>0</v>
      </c>
      <c r="AN507" s="26"/>
      <c r="AO507" s="26">
        <v>0</v>
      </c>
      <c r="AP507" s="26"/>
      <c r="AQ507" s="26">
        <v>0</v>
      </c>
      <c r="AR507" s="26"/>
      <c r="AS507" s="54">
        <f t="shared" ref="AS507:AS531" si="28">AK507+AE507+AA507</f>
        <v>0</v>
      </c>
      <c r="AT507" s="26"/>
      <c r="AU507" s="54">
        <f t="shared" ref="AU507:AU531" si="29">Y507+AS507</f>
        <v>35450211</v>
      </c>
    </row>
    <row r="508" spans="1:47">
      <c r="A508" s="13" t="s">
        <v>677</v>
      </c>
      <c r="B508" s="13"/>
      <c r="C508" s="13" t="s">
        <v>63</v>
      </c>
      <c r="D508" s="13"/>
      <c r="E508" s="32">
        <v>44883</v>
      </c>
      <c r="F508" s="26"/>
      <c r="G508" s="26">
        <v>14360717</v>
      </c>
      <c r="H508" s="26"/>
      <c r="I508" s="26">
        <v>0</v>
      </c>
      <c r="J508" s="26"/>
      <c r="K508" s="26">
        <v>11457393</v>
      </c>
      <c r="L508" s="26"/>
      <c r="M508" s="26">
        <v>1297920</v>
      </c>
      <c r="N508" s="26"/>
      <c r="O508" s="26">
        <v>497882</v>
      </c>
      <c r="P508" s="26"/>
      <c r="Q508" s="26">
        <v>378592</v>
      </c>
      <c r="R508" s="26"/>
      <c r="S508" s="26">
        <v>0</v>
      </c>
      <c r="T508" s="26"/>
      <c r="U508" s="26">
        <v>75133</v>
      </c>
      <c r="V508" s="26"/>
      <c r="W508" s="26">
        <v>492864</v>
      </c>
      <c r="X508" s="26"/>
      <c r="Y508" s="54">
        <f t="shared" si="27"/>
        <v>28560501</v>
      </c>
      <c r="Z508" s="26"/>
      <c r="AA508" s="26">
        <v>16410</v>
      </c>
      <c r="AB508" s="26"/>
      <c r="AC508" s="26"/>
      <c r="AD508" s="26"/>
      <c r="AE508" s="26">
        <v>0</v>
      </c>
      <c r="AF508" s="26"/>
      <c r="AG508" s="26"/>
      <c r="AH508" s="26"/>
      <c r="AI508" s="26"/>
      <c r="AJ508" s="26"/>
      <c r="AK508" s="26">
        <v>0</v>
      </c>
      <c r="AL508" s="26"/>
      <c r="AM508" s="26">
        <v>0</v>
      </c>
      <c r="AN508" s="26"/>
      <c r="AO508" s="26">
        <v>0</v>
      </c>
      <c r="AP508" s="26"/>
      <c r="AQ508" s="26">
        <v>0</v>
      </c>
      <c r="AR508" s="26"/>
      <c r="AS508" s="54">
        <f t="shared" si="28"/>
        <v>16410</v>
      </c>
      <c r="AT508" s="26"/>
      <c r="AU508" s="54">
        <f t="shared" si="29"/>
        <v>28576911</v>
      </c>
    </row>
    <row r="509" spans="1:47">
      <c r="A509" s="13" t="s">
        <v>590</v>
      </c>
      <c r="B509" s="13"/>
      <c r="C509" s="13" t="s">
        <v>54</v>
      </c>
      <c r="D509" s="13"/>
      <c r="E509" s="32">
        <v>49098</v>
      </c>
      <c r="F509" s="26"/>
      <c r="G509" s="26">
        <v>9618933</v>
      </c>
      <c r="H509" s="26"/>
      <c r="I509" s="26">
        <v>2894773</v>
      </c>
      <c r="J509" s="26"/>
      <c r="K509" s="26">
        <v>36465276</v>
      </c>
      <c r="L509" s="26"/>
      <c r="M509" s="26">
        <v>1341765</v>
      </c>
      <c r="N509" s="26"/>
      <c r="O509" s="26">
        <v>204712</v>
      </c>
      <c r="P509" s="26"/>
      <c r="Q509" s="26">
        <v>325624</v>
      </c>
      <c r="R509" s="26"/>
      <c r="S509" s="26">
        <v>0</v>
      </c>
      <c r="T509" s="26"/>
      <c r="U509" s="26">
        <v>0</v>
      </c>
      <c r="V509" s="26"/>
      <c r="W509" s="26">
        <v>811987</v>
      </c>
      <c r="X509" s="26"/>
      <c r="Y509" s="54">
        <f t="shared" si="27"/>
        <v>51663070</v>
      </c>
      <c r="Z509" s="26"/>
      <c r="AA509" s="26">
        <v>82306</v>
      </c>
      <c r="AB509" s="26"/>
      <c r="AC509" s="26"/>
      <c r="AD509" s="26"/>
      <c r="AE509" s="26">
        <v>0</v>
      </c>
      <c r="AF509" s="26"/>
      <c r="AG509" s="26"/>
      <c r="AH509" s="26"/>
      <c r="AI509" s="26"/>
      <c r="AJ509" s="26"/>
      <c r="AK509" s="26">
        <v>0</v>
      </c>
      <c r="AL509" s="26"/>
      <c r="AM509" s="26">
        <v>0</v>
      </c>
      <c r="AN509" s="26"/>
      <c r="AO509" s="26">
        <v>0</v>
      </c>
      <c r="AP509" s="26"/>
      <c r="AQ509" s="26">
        <v>0</v>
      </c>
      <c r="AR509" s="26"/>
      <c r="AS509" s="54">
        <f t="shared" si="28"/>
        <v>82306</v>
      </c>
      <c r="AT509" s="26"/>
      <c r="AU509" s="54">
        <f t="shared" si="29"/>
        <v>51745376</v>
      </c>
    </row>
    <row r="510" spans="1:47">
      <c r="A510" s="13" t="s">
        <v>269</v>
      </c>
      <c r="B510" s="13"/>
      <c r="C510" s="13" t="s">
        <v>17</v>
      </c>
      <c r="D510" s="13"/>
      <c r="E510" s="32">
        <v>46243</v>
      </c>
      <c r="F510" s="26"/>
      <c r="G510" s="26">
        <v>9093515</v>
      </c>
      <c r="H510" s="26"/>
      <c r="I510" s="26">
        <v>0</v>
      </c>
      <c r="J510" s="26"/>
      <c r="K510" s="26">
        <v>21587039</v>
      </c>
      <c r="L510" s="26"/>
      <c r="M510" s="26">
        <v>640621</v>
      </c>
      <c r="N510" s="26"/>
      <c r="O510" s="26">
        <v>1242018</v>
      </c>
      <c r="P510" s="26"/>
      <c r="Q510" s="26">
        <v>244151</v>
      </c>
      <c r="R510" s="26"/>
      <c r="S510" s="26">
        <v>0</v>
      </c>
      <c r="T510" s="26"/>
      <c r="U510" s="26">
        <v>31063</v>
      </c>
      <c r="V510" s="26"/>
      <c r="W510" s="26">
        <v>928898</v>
      </c>
      <c r="X510" s="26"/>
      <c r="Y510" s="54">
        <f t="shared" si="27"/>
        <v>33767305</v>
      </c>
      <c r="Z510" s="26"/>
      <c r="AA510" s="26">
        <v>0</v>
      </c>
      <c r="AB510" s="26"/>
      <c r="AC510" s="26"/>
      <c r="AD510" s="26"/>
      <c r="AE510" s="26">
        <v>0</v>
      </c>
      <c r="AF510" s="26"/>
      <c r="AG510" s="26"/>
      <c r="AH510" s="26"/>
      <c r="AI510" s="26"/>
      <c r="AJ510" s="26"/>
      <c r="AK510" s="26">
        <v>28605</v>
      </c>
      <c r="AL510" s="26"/>
      <c r="AM510" s="26">
        <v>0</v>
      </c>
      <c r="AN510" s="26"/>
      <c r="AO510" s="26">
        <v>0</v>
      </c>
      <c r="AP510" s="26"/>
      <c r="AQ510" s="26">
        <v>0</v>
      </c>
      <c r="AR510" s="26"/>
      <c r="AS510" s="54">
        <f t="shared" si="28"/>
        <v>28605</v>
      </c>
      <c r="AT510" s="26"/>
      <c r="AU510" s="54">
        <f t="shared" si="29"/>
        <v>33795910</v>
      </c>
    </row>
    <row r="511" spans="1:47">
      <c r="A511" s="13"/>
      <c r="B511" s="13"/>
      <c r="C511" s="13"/>
      <c r="D511" s="13"/>
      <c r="E511" s="32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54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54"/>
      <c r="AT511" s="26"/>
      <c r="AU511" s="54"/>
    </row>
    <row r="512" spans="1:47">
      <c r="A512" s="13"/>
      <c r="B512" s="13"/>
      <c r="C512" s="13"/>
      <c r="D512" s="13"/>
      <c r="E512" s="32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54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54"/>
      <c r="AT512" s="26"/>
      <c r="AU512" s="92" t="s">
        <v>819</v>
      </c>
    </row>
    <row r="513" spans="1:47" s="35" customFormat="1">
      <c r="A513" s="34" t="s">
        <v>415</v>
      </c>
      <c r="B513" s="34"/>
      <c r="C513" s="34" t="s">
        <v>32</v>
      </c>
      <c r="D513" s="34"/>
      <c r="E513" s="34">
        <v>47399</v>
      </c>
      <c r="F513" s="43"/>
      <c r="G513" s="43">
        <v>11667109</v>
      </c>
      <c r="H513" s="43"/>
      <c r="I513" s="43">
        <v>0</v>
      </c>
      <c r="J513" s="43"/>
      <c r="K513" s="43">
        <v>7522365</v>
      </c>
      <c r="L513" s="43"/>
      <c r="M513" s="43">
        <v>574930</v>
      </c>
      <c r="N513" s="43"/>
      <c r="O513" s="43">
        <v>165026</v>
      </c>
      <c r="P513" s="43"/>
      <c r="Q513" s="43">
        <v>161477</v>
      </c>
      <c r="R513" s="43"/>
      <c r="S513" s="43">
        <v>0</v>
      </c>
      <c r="T513" s="43"/>
      <c r="U513" s="43">
        <v>0</v>
      </c>
      <c r="V513" s="43"/>
      <c r="W513" s="43">
        <v>739889</v>
      </c>
      <c r="X513" s="43"/>
      <c r="Y513" s="66">
        <f t="shared" si="27"/>
        <v>20830796</v>
      </c>
      <c r="Z513" s="43"/>
      <c r="AA513" s="43">
        <v>117170</v>
      </c>
      <c r="AB513" s="43"/>
      <c r="AC513" s="43"/>
      <c r="AD513" s="43"/>
      <c r="AE513" s="43">
        <v>0</v>
      </c>
      <c r="AF513" s="43"/>
      <c r="AG513" s="43"/>
      <c r="AH513" s="43"/>
      <c r="AI513" s="43"/>
      <c r="AJ513" s="43"/>
      <c r="AK513" s="43">
        <v>219</v>
      </c>
      <c r="AL513" s="43"/>
      <c r="AM513" s="43">
        <v>0</v>
      </c>
      <c r="AN513" s="43"/>
      <c r="AO513" s="43">
        <v>0</v>
      </c>
      <c r="AP513" s="43"/>
      <c r="AQ513" s="43">
        <v>0</v>
      </c>
      <c r="AR513" s="43"/>
      <c r="AS513" s="66">
        <f t="shared" si="28"/>
        <v>117389</v>
      </c>
      <c r="AT513" s="43"/>
      <c r="AU513" s="66">
        <f t="shared" si="29"/>
        <v>20948185</v>
      </c>
    </row>
    <row r="514" spans="1:47" hidden="1">
      <c r="A514" s="13" t="s">
        <v>645</v>
      </c>
      <c r="B514" s="13"/>
      <c r="C514" s="13" t="s">
        <v>60</v>
      </c>
      <c r="D514" s="13"/>
      <c r="E514" s="32">
        <v>44891</v>
      </c>
      <c r="F514" s="26"/>
      <c r="G514" s="26">
        <v>0</v>
      </c>
      <c r="H514" s="26"/>
      <c r="I514" s="26">
        <v>0</v>
      </c>
      <c r="J514" s="26"/>
      <c r="K514" s="26">
        <v>0</v>
      </c>
      <c r="L514" s="26"/>
      <c r="M514" s="26">
        <v>0</v>
      </c>
      <c r="N514" s="26"/>
      <c r="O514" s="26">
        <v>0</v>
      </c>
      <c r="P514" s="26"/>
      <c r="Q514" s="26">
        <v>0</v>
      </c>
      <c r="R514" s="26"/>
      <c r="S514" s="26">
        <v>0</v>
      </c>
      <c r="T514" s="26"/>
      <c r="U514" s="26">
        <v>0</v>
      </c>
      <c r="V514" s="26"/>
      <c r="W514" s="26">
        <v>0</v>
      </c>
      <c r="X514" s="26"/>
      <c r="Y514" s="54">
        <f t="shared" si="27"/>
        <v>0</v>
      </c>
      <c r="Z514" s="26"/>
      <c r="AA514" s="26">
        <v>0</v>
      </c>
      <c r="AB514" s="26"/>
      <c r="AC514" s="26"/>
      <c r="AD514" s="26"/>
      <c r="AE514" s="26">
        <v>0</v>
      </c>
      <c r="AF514" s="26"/>
      <c r="AG514" s="26"/>
      <c r="AH514" s="26"/>
      <c r="AI514" s="26"/>
      <c r="AJ514" s="26"/>
      <c r="AK514" s="26">
        <v>0</v>
      </c>
      <c r="AL514" s="26"/>
      <c r="AM514" s="26">
        <v>0</v>
      </c>
      <c r="AN514" s="26"/>
      <c r="AO514" s="26">
        <v>0</v>
      </c>
      <c r="AP514" s="26"/>
      <c r="AQ514" s="26">
        <v>0</v>
      </c>
      <c r="AR514" s="26"/>
      <c r="AS514" s="54">
        <f t="shared" si="28"/>
        <v>0</v>
      </c>
      <c r="AT514" s="26"/>
      <c r="AU514" s="54">
        <f t="shared" si="29"/>
        <v>0</v>
      </c>
    </row>
    <row r="515" spans="1:47">
      <c r="A515" s="13" t="s">
        <v>645</v>
      </c>
      <c r="B515" s="13"/>
      <c r="C515" s="13" t="s">
        <v>60</v>
      </c>
      <c r="D515" s="13"/>
      <c r="E515" s="32">
        <v>45617</v>
      </c>
      <c r="F515" s="26"/>
      <c r="G515" s="26">
        <v>12354369</v>
      </c>
      <c r="H515" s="26"/>
      <c r="I515" s="26">
        <v>0</v>
      </c>
      <c r="J515" s="26"/>
      <c r="K515" s="26">
        <f>36133+11634064+1991855</f>
        <v>13662052</v>
      </c>
      <c r="L515" s="26"/>
      <c r="M515" s="26">
        <v>153051</v>
      </c>
      <c r="N515" s="26"/>
      <c r="O515" s="26">
        <v>1076812</v>
      </c>
      <c r="P515" s="26"/>
      <c r="Q515" s="26">
        <v>346781</v>
      </c>
      <c r="R515" s="26"/>
      <c r="S515" s="26">
        <v>212592</v>
      </c>
      <c r="T515" s="26"/>
      <c r="U515" s="26">
        <v>0</v>
      </c>
      <c r="V515" s="26"/>
      <c r="W515" s="26">
        <f>40109+345812+73327+345420</f>
        <v>804668</v>
      </c>
      <c r="X515" s="26"/>
      <c r="Y515" s="54">
        <f>SUM(G515:W515)</f>
        <v>28610325</v>
      </c>
      <c r="Z515" s="26"/>
      <c r="AA515" s="26">
        <v>31964</v>
      </c>
      <c r="AB515" s="26"/>
      <c r="AC515" s="26"/>
      <c r="AD515" s="26"/>
      <c r="AE515" s="26">
        <v>0</v>
      </c>
      <c r="AF515" s="26"/>
      <c r="AG515" s="26"/>
      <c r="AH515" s="26"/>
      <c r="AI515" s="26"/>
      <c r="AJ515" s="26"/>
      <c r="AK515" s="26">
        <v>2319</v>
      </c>
      <c r="AL515" s="26"/>
      <c r="AM515" s="26">
        <v>0</v>
      </c>
      <c r="AN515" s="26"/>
      <c r="AO515" s="26">
        <v>0</v>
      </c>
      <c r="AP515" s="26"/>
      <c r="AQ515" s="26">
        <v>0</v>
      </c>
      <c r="AR515" s="26"/>
      <c r="AS515" s="54">
        <f>AK515+AE515+AA515</f>
        <v>34283</v>
      </c>
      <c r="AT515" s="26"/>
      <c r="AU515" s="54">
        <f>Y515+AS515</f>
        <v>28644608</v>
      </c>
    </row>
    <row r="516" spans="1:47">
      <c r="A516" s="13" t="s">
        <v>549</v>
      </c>
      <c r="B516" s="13"/>
      <c r="C516" s="13" t="s">
        <v>48</v>
      </c>
      <c r="D516" s="13"/>
      <c r="E516" s="32">
        <v>45617</v>
      </c>
      <c r="F516" s="26"/>
      <c r="G516" s="26">
        <v>12115586</v>
      </c>
      <c r="H516" s="26"/>
      <c r="I516" s="26">
        <v>0</v>
      </c>
      <c r="J516" s="26"/>
      <c r="K516" s="26">
        <v>10948243</v>
      </c>
      <c r="L516" s="26"/>
      <c r="M516" s="26">
        <v>164320</v>
      </c>
      <c r="N516" s="26"/>
      <c r="O516" s="26">
        <v>187477</v>
      </c>
      <c r="P516" s="26"/>
      <c r="Q516" s="26">
        <v>737845</v>
      </c>
      <c r="R516" s="26"/>
      <c r="S516" s="26">
        <v>0</v>
      </c>
      <c r="T516" s="26"/>
      <c r="U516" s="26">
        <v>0</v>
      </c>
      <c r="V516" s="26"/>
      <c r="W516" s="26">
        <v>778073</v>
      </c>
      <c r="X516" s="26"/>
      <c r="Y516" s="54">
        <f t="shared" si="27"/>
        <v>24931544</v>
      </c>
      <c r="Z516" s="26"/>
      <c r="AA516" s="26">
        <v>0</v>
      </c>
      <c r="AB516" s="26"/>
      <c r="AC516" s="26"/>
      <c r="AD516" s="26"/>
      <c r="AE516" s="26">
        <v>0</v>
      </c>
      <c r="AF516" s="26"/>
      <c r="AG516" s="26"/>
      <c r="AH516" s="26"/>
      <c r="AI516" s="26"/>
      <c r="AJ516" s="26"/>
      <c r="AK516" s="26">
        <v>512984</v>
      </c>
      <c r="AL516" s="26"/>
      <c r="AM516" s="26">
        <v>0</v>
      </c>
      <c r="AN516" s="26"/>
      <c r="AO516" s="26">
        <v>0</v>
      </c>
      <c r="AP516" s="26"/>
      <c r="AQ516" s="26">
        <v>0</v>
      </c>
      <c r="AR516" s="26"/>
      <c r="AS516" s="54">
        <f t="shared" si="28"/>
        <v>512984</v>
      </c>
      <c r="AT516" s="26"/>
      <c r="AU516" s="54">
        <f t="shared" si="29"/>
        <v>25444528</v>
      </c>
    </row>
    <row r="517" spans="1:47">
      <c r="A517" s="13" t="s">
        <v>508</v>
      </c>
      <c r="B517" s="13"/>
      <c r="C517" s="13" t="s">
        <v>118</v>
      </c>
      <c r="D517" s="13"/>
      <c r="E517" s="32">
        <v>44909</v>
      </c>
      <c r="F517" s="26"/>
      <c r="G517" s="26">
        <v>115765450</v>
      </c>
      <c r="H517" s="26"/>
      <c r="I517" s="26">
        <v>0</v>
      </c>
      <c r="J517" s="26"/>
      <c r="K517" s="26">
        <v>334606667</v>
      </c>
      <c r="L517" s="26"/>
      <c r="M517" s="26">
        <v>9851583</v>
      </c>
      <c r="N517" s="26"/>
      <c r="O517" s="26">
        <v>5226228</v>
      </c>
      <c r="P517" s="26"/>
      <c r="Q517" s="26">
        <v>1236132</v>
      </c>
      <c r="R517" s="26"/>
      <c r="S517" s="26">
        <v>0</v>
      </c>
      <c r="T517" s="26"/>
      <c r="U517" s="26">
        <v>0</v>
      </c>
      <c r="V517" s="26"/>
      <c r="W517" s="26">
        <v>15800122</v>
      </c>
      <c r="X517" s="26"/>
      <c r="Y517" s="54">
        <f t="shared" si="27"/>
        <v>482486182</v>
      </c>
      <c r="Z517" s="26"/>
      <c r="AA517" s="26">
        <v>8221037</v>
      </c>
      <c r="AB517" s="26"/>
      <c r="AC517" s="26"/>
      <c r="AD517" s="26"/>
      <c r="AE517" s="26">
        <v>0</v>
      </c>
      <c r="AF517" s="26"/>
      <c r="AG517" s="26"/>
      <c r="AH517" s="26"/>
      <c r="AI517" s="26"/>
      <c r="AJ517" s="26"/>
      <c r="AK517" s="26">
        <v>46765</v>
      </c>
      <c r="AL517" s="26"/>
      <c r="AM517" s="26">
        <v>0</v>
      </c>
      <c r="AN517" s="26"/>
      <c r="AO517" s="26">
        <v>0</v>
      </c>
      <c r="AP517" s="26"/>
      <c r="AQ517" s="26">
        <v>0</v>
      </c>
      <c r="AR517" s="26"/>
      <c r="AS517" s="54">
        <f t="shared" si="28"/>
        <v>8267802</v>
      </c>
      <c r="AT517" s="26"/>
      <c r="AU517" s="54">
        <f t="shared" si="29"/>
        <v>490753984</v>
      </c>
    </row>
    <row r="518" spans="1:47">
      <c r="A518" s="13" t="s">
        <v>458</v>
      </c>
      <c r="B518" s="13"/>
      <c r="C518" s="13" t="s">
        <v>39</v>
      </c>
      <c r="D518" s="13"/>
      <c r="E518" s="32">
        <v>44917</v>
      </c>
      <c r="F518" s="26"/>
      <c r="G518" s="26">
        <v>1871619</v>
      </c>
      <c r="H518" s="26"/>
      <c r="I518" s="26">
        <v>0</v>
      </c>
      <c r="J518" s="26"/>
      <c r="K518" s="26">
        <v>5579557</v>
      </c>
      <c r="L518" s="26"/>
      <c r="M518" s="26">
        <v>166506</v>
      </c>
      <c r="N518" s="26"/>
      <c r="O518" s="26">
        <v>22675</v>
      </c>
      <c r="P518" s="26"/>
      <c r="Q518" s="26">
        <v>147721</v>
      </c>
      <c r="R518" s="26"/>
      <c r="S518" s="26">
        <v>0</v>
      </c>
      <c r="T518" s="26"/>
      <c r="U518" s="26">
        <v>5950</v>
      </c>
      <c r="V518" s="26"/>
      <c r="W518" s="26">
        <f>66736+77025+615</f>
        <v>144376</v>
      </c>
      <c r="X518" s="26"/>
      <c r="Y518" s="54">
        <f t="shared" si="27"/>
        <v>7938404</v>
      </c>
      <c r="Z518" s="26"/>
      <c r="AA518" s="26">
        <v>67190</v>
      </c>
      <c r="AB518" s="26"/>
      <c r="AC518" s="26"/>
      <c r="AD518" s="26"/>
      <c r="AE518" s="26">
        <v>0</v>
      </c>
      <c r="AF518" s="26"/>
      <c r="AG518" s="26"/>
      <c r="AH518" s="26"/>
      <c r="AI518" s="26"/>
      <c r="AJ518" s="26"/>
      <c r="AK518" s="26">
        <v>100</v>
      </c>
      <c r="AL518" s="26"/>
      <c r="AM518" s="26">
        <v>0</v>
      </c>
      <c r="AN518" s="26"/>
      <c r="AO518" s="26">
        <v>0</v>
      </c>
      <c r="AP518" s="26"/>
      <c r="AQ518" s="26">
        <v>0</v>
      </c>
      <c r="AR518" s="26"/>
      <c r="AS518" s="54">
        <f t="shared" si="28"/>
        <v>67290</v>
      </c>
      <c r="AT518" s="26"/>
      <c r="AU518" s="54">
        <f t="shared" si="29"/>
        <v>8005694</v>
      </c>
    </row>
    <row r="519" spans="1:47">
      <c r="A519" s="13" t="s">
        <v>261</v>
      </c>
      <c r="B519" s="13"/>
      <c r="C519" s="13" t="s">
        <v>259</v>
      </c>
      <c r="D519" s="13"/>
      <c r="E519" s="32">
        <v>46201</v>
      </c>
      <c r="F519" s="26"/>
      <c r="G519" s="26">
        <v>4041922</v>
      </c>
      <c r="H519" s="26"/>
      <c r="I519" s="26">
        <v>0</v>
      </c>
      <c r="J519" s="26"/>
      <c r="K519" s="26">
        <v>6041908</v>
      </c>
      <c r="L519" s="26"/>
      <c r="M519" s="26">
        <v>87821</v>
      </c>
      <c r="N519" s="26"/>
      <c r="O519" s="26">
        <v>347559</v>
      </c>
      <c r="P519" s="26"/>
      <c r="Q519" s="26">
        <v>196005</v>
      </c>
      <c r="R519" s="26"/>
      <c r="S519" s="26">
        <v>0</v>
      </c>
      <c r="T519" s="26"/>
      <c r="U519" s="26">
        <v>0</v>
      </c>
      <c r="V519" s="26"/>
      <c r="W519" s="26">
        <v>285746</v>
      </c>
      <c r="X519" s="26"/>
      <c r="Y519" s="54">
        <f t="shared" si="27"/>
        <v>11000961</v>
      </c>
      <c r="Z519" s="26"/>
      <c r="AA519" s="26">
        <v>164638</v>
      </c>
      <c r="AB519" s="26"/>
      <c r="AC519" s="26"/>
      <c r="AD519" s="26"/>
      <c r="AE519" s="26">
        <v>0</v>
      </c>
      <c r="AF519" s="26"/>
      <c r="AG519" s="26"/>
      <c r="AH519" s="26"/>
      <c r="AI519" s="26"/>
      <c r="AJ519" s="26"/>
      <c r="AK519" s="26">
        <v>0</v>
      </c>
      <c r="AL519" s="26"/>
      <c r="AM519" s="26">
        <v>0</v>
      </c>
      <c r="AN519" s="26"/>
      <c r="AO519" s="26">
        <v>0</v>
      </c>
      <c r="AP519" s="26"/>
      <c r="AQ519" s="26">
        <v>0</v>
      </c>
      <c r="AR519" s="26"/>
      <c r="AS519" s="54">
        <f t="shared" si="28"/>
        <v>164638</v>
      </c>
      <c r="AT519" s="26"/>
      <c r="AU519" s="54">
        <f t="shared" si="29"/>
        <v>11165599</v>
      </c>
    </row>
    <row r="520" spans="1:47">
      <c r="A520" s="13" t="s">
        <v>606</v>
      </c>
      <c r="B520" s="13"/>
      <c r="C520" s="13" t="s">
        <v>57</v>
      </c>
      <c r="D520" s="13"/>
      <c r="E520" s="32">
        <v>91397</v>
      </c>
      <c r="F520" s="26"/>
      <c r="G520" s="26">
        <v>4100968</v>
      </c>
      <c r="H520" s="26"/>
      <c r="I520" s="26">
        <v>0</v>
      </c>
      <c r="J520" s="26"/>
      <c r="K520" s="26">
        <v>5359291</v>
      </c>
      <c r="L520" s="26"/>
      <c r="M520" s="26">
        <v>240123</v>
      </c>
      <c r="N520" s="26"/>
      <c r="O520" s="26">
        <v>101628</v>
      </c>
      <c r="P520" s="26"/>
      <c r="Q520" s="26">
        <v>163858</v>
      </c>
      <c r="R520" s="26"/>
      <c r="S520" s="26">
        <v>0</v>
      </c>
      <c r="T520" s="26"/>
      <c r="U520" s="26">
        <v>8027</v>
      </c>
      <c r="V520" s="26"/>
      <c r="W520" s="26">
        <v>331430</v>
      </c>
      <c r="X520" s="26"/>
      <c r="Y520" s="54">
        <f t="shared" si="27"/>
        <v>10305325</v>
      </c>
      <c r="Z520" s="26"/>
      <c r="AA520" s="26">
        <v>0</v>
      </c>
      <c r="AB520" s="26"/>
      <c r="AC520" s="26"/>
      <c r="AD520" s="26"/>
      <c r="AE520" s="26">
        <v>0</v>
      </c>
      <c r="AF520" s="26"/>
      <c r="AG520" s="26"/>
      <c r="AH520" s="26"/>
      <c r="AI520" s="26"/>
      <c r="AJ520" s="26"/>
      <c r="AK520" s="26">
        <v>0</v>
      </c>
      <c r="AL520" s="26"/>
      <c r="AM520" s="26">
        <v>0</v>
      </c>
      <c r="AN520" s="26"/>
      <c r="AO520" s="26">
        <v>0</v>
      </c>
      <c r="AP520" s="26"/>
      <c r="AQ520" s="26">
        <v>0</v>
      </c>
      <c r="AR520" s="26"/>
      <c r="AS520" s="54">
        <f t="shared" si="28"/>
        <v>0</v>
      </c>
      <c r="AT520" s="26"/>
      <c r="AU520" s="54">
        <f t="shared" si="29"/>
        <v>10305325</v>
      </c>
    </row>
    <row r="521" spans="1:47">
      <c r="A521" s="13" t="s">
        <v>228</v>
      </c>
      <c r="B521" s="13"/>
      <c r="C521" s="13" t="s">
        <v>13</v>
      </c>
      <c r="D521" s="13"/>
      <c r="E521" s="32">
        <v>45922</v>
      </c>
      <c r="F521" s="26"/>
      <c r="G521" s="26">
        <v>907312</v>
      </c>
      <c r="H521" s="26"/>
      <c r="I521" s="26">
        <v>96</v>
      </c>
      <c r="J521" s="26"/>
      <c r="K521" s="26">
        <v>8545087</v>
      </c>
      <c r="L521" s="26"/>
      <c r="M521" s="26">
        <v>11829</v>
      </c>
      <c r="N521" s="26"/>
      <c r="O521" s="26">
        <v>573593</v>
      </c>
      <c r="P521" s="26"/>
      <c r="Q521" s="26">
        <v>62123</v>
      </c>
      <c r="R521" s="26"/>
      <c r="S521" s="26">
        <v>0</v>
      </c>
      <c r="T521" s="26"/>
      <c r="U521" s="26">
        <v>2798</v>
      </c>
      <c r="V521" s="26"/>
      <c r="W521" s="26">
        <v>142264</v>
      </c>
      <c r="X521" s="26"/>
      <c r="Y521" s="54">
        <f t="shared" si="27"/>
        <v>10245102</v>
      </c>
      <c r="Z521" s="26"/>
      <c r="AA521" s="26">
        <v>14300</v>
      </c>
      <c r="AB521" s="26"/>
      <c r="AC521" s="26"/>
      <c r="AD521" s="26"/>
      <c r="AE521" s="26">
        <v>0</v>
      </c>
      <c r="AF521" s="26"/>
      <c r="AG521" s="26"/>
      <c r="AH521" s="26"/>
      <c r="AI521" s="26"/>
      <c r="AJ521" s="26"/>
      <c r="AK521" s="26">
        <v>6820</v>
      </c>
      <c r="AL521" s="26"/>
      <c r="AM521" s="26">
        <v>0</v>
      </c>
      <c r="AN521" s="26"/>
      <c r="AO521" s="26">
        <v>0</v>
      </c>
      <c r="AP521" s="26"/>
      <c r="AQ521" s="26">
        <v>0</v>
      </c>
      <c r="AR521" s="26"/>
      <c r="AS521" s="54">
        <f t="shared" si="28"/>
        <v>21120</v>
      </c>
      <c r="AT521" s="26"/>
      <c r="AU521" s="54">
        <f t="shared" si="29"/>
        <v>10266222</v>
      </c>
    </row>
    <row r="522" spans="1:47">
      <c r="A522" s="13" t="s">
        <v>574</v>
      </c>
      <c r="B522" s="13"/>
      <c r="C522" s="13" t="s">
        <v>51</v>
      </c>
      <c r="D522" s="13"/>
      <c r="E522" s="32">
        <v>48876</v>
      </c>
      <c r="F522" s="26"/>
      <c r="G522" s="26">
        <v>4925803</v>
      </c>
      <c r="H522" s="26"/>
      <c r="I522" s="26">
        <v>0</v>
      </c>
      <c r="J522" s="26"/>
      <c r="K522" s="26">
        <v>32349527</v>
      </c>
      <c r="L522" s="26"/>
      <c r="M522" s="26">
        <v>939475</v>
      </c>
      <c r="N522" s="26"/>
      <c r="O522" s="26">
        <v>613643</v>
      </c>
      <c r="P522" s="26"/>
      <c r="Q522" s="26">
        <v>340807</v>
      </c>
      <c r="R522" s="26"/>
      <c r="S522" s="26">
        <v>161210</v>
      </c>
      <c r="T522" s="26"/>
      <c r="U522" s="26">
        <v>125468</v>
      </c>
      <c r="V522" s="26"/>
      <c r="W522" s="26">
        <v>756561</v>
      </c>
      <c r="X522" s="26"/>
      <c r="Y522" s="54">
        <f t="shared" si="27"/>
        <v>40212494</v>
      </c>
      <c r="Z522" s="26"/>
      <c r="AA522" s="26">
        <v>0</v>
      </c>
      <c r="AB522" s="26"/>
      <c r="AC522" s="26"/>
      <c r="AD522" s="26"/>
      <c r="AE522" s="26">
        <v>0</v>
      </c>
      <c r="AF522" s="26"/>
      <c r="AG522" s="26"/>
      <c r="AH522" s="26"/>
      <c r="AI522" s="26"/>
      <c r="AJ522" s="26"/>
      <c r="AK522" s="26">
        <v>226491</v>
      </c>
      <c r="AL522" s="26"/>
      <c r="AM522" s="26">
        <v>0</v>
      </c>
      <c r="AN522" s="26"/>
      <c r="AO522" s="26">
        <v>0</v>
      </c>
      <c r="AP522" s="26"/>
      <c r="AQ522" s="26">
        <v>0</v>
      </c>
      <c r="AR522" s="26"/>
      <c r="AS522" s="54">
        <f t="shared" si="28"/>
        <v>226491</v>
      </c>
      <c r="AT522" s="26"/>
      <c r="AU522" s="54">
        <f t="shared" si="29"/>
        <v>40438985</v>
      </c>
    </row>
    <row r="523" spans="1:47" hidden="1">
      <c r="A523" s="13" t="s">
        <v>333</v>
      </c>
      <c r="B523" s="13"/>
      <c r="C523" s="13" t="s">
        <v>21</v>
      </c>
      <c r="D523" s="13"/>
      <c r="E523" s="32">
        <v>46680</v>
      </c>
      <c r="F523" s="26"/>
      <c r="G523" s="26">
        <v>0</v>
      </c>
      <c r="H523" s="26"/>
      <c r="I523" s="26">
        <v>0</v>
      </c>
      <c r="J523" s="26"/>
      <c r="K523" s="26">
        <v>0</v>
      </c>
      <c r="L523" s="26"/>
      <c r="M523" s="26">
        <v>0</v>
      </c>
      <c r="N523" s="26"/>
      <c r="O523" s="26">
        <v>0</v>
      </c>
      <c r="P523" s="26"/>
      <c r="Q523" s="26">
        <v>0</v>
      </c>
      <c r="R523" s="26"/>
      <c r="S523" s="26">
        <v>0</v>
      </c>
      <c r="T523" s="26"/>
      <c r="U523" s="26">
        <v>0</v>
      </c>
      <c r="V523" s="26"/>
      <c r="W523" s="26">
        <v>0</v>
      </c>
      <c r="X523" s="26"/>
      <c r="Y523" s="54">
        <f t="shared" si="27"/>
        <v>0</v>
      </c>
      <c r="Z523" s="26"/>
      <c r="AA523" s="26">
        <v>0</v>
      </c>
      <c r="AB523" s="26"/>
      <c r="AC523" s="26"/>
      <c r="AD523" s="26"/>
      <c r="AE523" s="26">
        <v>0</v>
      </c>
      <c r="AF523" s="26"/>
      <c r="AG523" s="26"/>
      <c r="AH523" s="26"/>
      <c r="AI523" s="26"/>
      <c r="AJ523" s="26"/>
      <c r="AK523" s="26">
        <v>0</v>
      </c>
      <c r="AL523" s="26"/>
      <c r="AM523" s="26">
        <v>0</v>
      </c>
      <c r="AN523" s="26"/>
      <c r="AO523" s="26">
        <v>0</v>
      </c>
      <c r="AP523" s="26"/>
      <c r="AQ523" s="26">
        <v>0</v>
      </c>
      <c r="AR523" s="26"/>
      <c r="AS523" s="54">
        <f t="shared" si="28"/>
        <v>0</v>
      </c>
      <c r="AT523" s="26"/>
      <c r="AU523" s="54">
        <f t="shared" si="29"/>
        <v>0</v>
      </c>
    </row>
    <row r="524" spans="1:47">
      <c r="A524" s="13" t="s">
        <v>731</v>
      </c>
      <c r="B524" s="13"/>
      <c r="C524" s="13" t="s">
        <v>71</v>
      </c>
      <c r="D524" s="13"/>
      <c r="E524" s="32">
        <v>50591</v>
      </c>
      <c r="F524" s="26"/>
      <c r="G524" s="26">
        <v>6857568</v>
      </c>
      <c r="H524" s="26"/>
      <c r="I524" s="26">
        <v>0</v>
      </c>
      <c r="J524" s="26"/>
      <c r="K524" s="26">
        <v>10593721</v>
      </c>
      <c r="L524" s="26"/>
      <c r="M524" s="26">
        <v>148843</v>
      </c>
      <c r="N524" s="26"/>
      <c r="O524" s="26">
        <v>787270</v>
      </c>
      <c r="P524" s="26"/>
      <c r="Q524" s="26">
        <v>256563</v>
      </c>
      <c r="R524" s="26"/>
      <c r="S524" s="26">
        <v>0</v>
      </c>
      <c r="T524" s="26"/>
      <c r="U524" s="26">
        <v>0</v>
      </c>
      <c r="V524" s="26"/>
      <c r="W524" s="26">
        <v>522045</v>
      </c>
      <c r="X524" s="26"/>
      <c r="Y524" s="54">
        <f t="shared" si="27"/>
        <v>19166010</v>
      </c>
      <c r="Z524" s="26"/>
      <c r="AA524" s="26">
        <v>377541</v>
      </c>
      <c r="AB524" s="26"/>
      <c r="AC524" s="26"/>
      <c r="AD524" s="26"/>
      <c r="AE524" s="26">
        <v>0</v>
      </c>
      <c r="AF524" s="26"/>
      <c r="AG524" s="26"/>
      <c r="AH524" s="26"/>
      <c r="AI524" s="26"/>
      <c r="AJ524" s="26"/>
      <c r="AK524" s="26">
        <v>0</v>
      </c>
      <c r="AL524" s="26"/>
      <c r="AM524" s="26">
        <v>0</v>
      </c>
      <c r="AN524" s="26"/>
      <c r="AO524" s="26">
        <v>0</v>
      </c>
      <c r="AP524" s="26"/>
      <c r="AQ524" s="26">
        <v>0</v>
      </c>
      <c r="AR524" s="26"/>
      <c r="AS524" s="54">
        <f t="shared" si="28"/>
        <v>377541</v>
      </c>
      <c r="AT524" s="26"/>
      <c r="AU524" s="54">
        <f t="shared" si="29"/>
        <v>19543551</v>
      </c>
    </row>
    <row r="525" spans="1:47">
      <c r="A525" s="13" t="s">
        <v>563</v>
      </c>
      <c r="B525" s="13"/>
      <c r="C525" s="13" t="s">
        <v>50</v>
      </c>
      <c r="D525" s="13"/>
      <c r="E525" s="32">
        <v>48694</v>
      </c>
      <c r="F525" s="26"/>
      <c r="G525" s="26">
        <v>13135821</v>
      </c>
      <c r="H525" s="26"/>
      <c r="I525" s="26">
        <v>0</v>
      </c>
      <c r="J525" s="26"/>
      <c r="K525" s="26">
        <v>52963037</v>
      </c>
      <c r="L525" s="26"/>
      <c r="M525" s="26">
        <v>1434501</v>
      </c>
      <c r="N525" s="26"/>
      <c r="O525" s="26">
        <v>317954</v>
      </c>
      <c r="P525" s="26"/>
      <c r="Q525" s="26">
        <v>390997</v>
      </c>
      <c r="R525" s="26"/>
      <c r="S525" s="26">
        <v>0</v>
      </c>
      <c r="T525" s="26"/>
      <c r="U525" s="26">
        <v>0</v>
      </c>
      <c r="V525" s="26"/>
      <c r="W525" s="26">
        <v>873695</v>
      </c>
      <c r="X525" s="26"/>
      <c r="Y525" s="54">
        <f t="shared" si="27"/>
        <v>69116005</v>
      </c>
      <c r="Z525" s="26"/>
      <c r="AA525" s="26">
        <v>561051</v>
      </c>
      <c r="AB525" s="26"/>
      <c r="AC525" s="26"/>
      <c r="AD525" s="26"/>
      <c r="AE525" s="26">
        <v>0</v>
      </c>
      <c r="AF525" s="26"/>
      <c r="AG525" s="26"/>
      <c r="AH525" s="26"/>
      <c r="AI525" s="26"/>
      <c r="AJ525" s="26"/>
      <c r="AK525" s="26">
        <v>0</v>
      </c>
      <c r="AL525" s="26"/>
      <c r="AM525" s="26">
        <v>0</v>
      </c>
      <c r="AN525" s="26"/>
      <c r="AO525" s="26">
        <v>0</v>
      </c>
      <c r="AP525" s="26"/>
      <c r="AQ525" s="26">
        <v>0</v>
      </c>
      <c r="AR525" s="26"/>
      <c r="AS525" s="54">
        <f t="shared" si="28"/>
        <v>561051</v>
      </c>
      <c r="AT525" s="26"/>
      <c r="AU525" s="54">
        <f t="shared" si="29"/>
        <v>69677056</v>
      </c>
    </row>
    <row r="526" spans="1:47">
      <c r="A526" s="13" t="s">
        <v>550</v>
      </c>
      <c r="B526" s="13"/>
      <c r="C526" s="13" t="s">
        <v>48</v>
      </c>
      <c r="D526" s="13"/>
      <c r="E526" s="13">
        <v>44925</v>
      </c>
      <c r="F526" s="26"/>
      <c r="G526" s="26">
        <v>29005609</v>
      </c>
      <c r="H526" s="26"/>
      <c r="I526" s="26">
        <v>0</v>
      </c>
      <c r="J526" s="26"/>
      <c r="K526" s="26">
        <v>18895257</v>
      </c>
      <c r="L526" s="26"/>
      <c r="M526" s="26">
        <v>763542</v>
      </c>
      <c r="N526" s="26"/>
      <c r="O526" s="26">
        <v>874141</v>
      </c>
      <c r="P526" s="26"/>
      <c r="Q526" s="26">
        <v>808186</v>
      </c>
      <c r="R526" s="26"/>
      <c r="S526" s="26">
        <v>0</v>
      </c>
      <c r="T526" s="26"/>
      <c r="U526" s="26">
        <v>0</v>
      </c>
      <c r="V526" s="26"/>
      <c r="W526" s="26">
        <v>1495501</v>
      </c>
      <c r="X526" s="26"/>
      <c r="Y526" s="54">
        <f t="shared" si="27"/>
        <v>51842236</v>
      </c>
      <c r="Z526" s="26"/>
      <c r="AA526" s="26">
        <v>1590015</v>
      </c>
      <c r="AB526" s="26"/>
      <c r="AC526" s="26"/>
      <c r="AD526" s="26"/>
      <c r="AE526" s="26">
        <v>0</v>
      </c>
      <c r="AF526" s="26"/>
      <c r="AG526" s="26"/>
      <c r="AH526" s="26"/>
      <c r="AI526" s="26"/>
      <c r="AJ526" s="26"/>
      <c r="AK526" s="26">
        <v>1491</v>
      </c>
      <c r="AL526" s="26"/>
      <c r="AM526" s="26">
        <v>0</v>
      </c>
      <c r="AN526" s="26"/>
      <c r="AO526" s="26">
        <v>0</v>
      </c>
      <c r="AP526" s="26"/>
      <c r="AQ526" s="26">
        <v>0</v>
      </c>
      <c r="AR526" s="26"/>
      <c r="AS526" s="54">
        <f t="shared" si="28"/>
        <v>1591506</v>
      </c>
      <c r="AT526" s="26"/>
      <c r="AU526" s="54">
        <f t="shared" si="29"/>
        <v>53433742</v>
      </c>
    </row>
    <row r="527" spans="1:47">
      <c r="A527" s="13" t="s">
        <v>706</v>
      </c>
      <c r="B527" s="13"/>
      <c r="C527" s="13" t="s">
        <v>65</v>
      </c>
      <c r="D527" s="13"/>
      <c r="E527" s="32">
        <v>50302</v>
      </c>
      <c r="F527" s="26"/>
      <c r="G527" s="26">
        <v>4782261</v>
      </c>
      <c r="H527" s="26"/>
      <c r="I527" s="26">
        <v>0</v>
      </c>
      <c r="J527" s="26"/>
      <c r="K527" s="26">
        <v>7446499</v>
      </c>
      <c r="L527" s="26"/>
      <c r="M527" s="26">
        <v>122446</v>
      </c>
      <c r="N527" s="26"/>
      <c r="O527" s="26">
        <v>408790</v>
      </c>
      <c r="P527" s="26"/>
      <c r="Q527" s="26">
        <v>136627</v>
      </c>
      <c r="R527" s="26"/>
      <c r="S527" s="26">
        <v>0</v>
      </c>
      <c r="T527" s="26"/>
      <c r="U527" s="26">
        <v>0</v>
      </c>
      <c r="V527" s="26"/>
      <c r="W527" s="26">
        <v>373428</v>
      </c>
      <c r="X527" s="26"/>
      <c r="Y527" s="54">
        <f t="shared" si="27"/>
        <v>13270051</v>
      </c>
      <c r="Z527" s="26"/>
      <c r="AA527" s="26">
        <v>17156</v>
      </c>
      <c r="AB527" s="26"/>
      <c r="AC527" s="26"/>
      <c r="AD527" s="26"/>
      <c r="AE527" s="26">
        <v>0</v>
      </c>
      <c r="AF527" s="26"/>
      <c r="AG527" s="26"/>
      <c r="AH527" s="26"/>
      <c r="AI527" s="26"/>
      <c r="AJ527" s="26"/>
      <c r="AK527" s="26">
        <v>21340</v>
      </c>
      <c r="AL527" s="26"/>
      <c r="AM527" s="26">
        <v>0</v>
      </c>
      <c r="AN527" s="26"/>
      <c r="AO527" s="26">
        <v>0</v>
      </c>
      <c r="AP527" s="26"/>
      <c r="AQ527" s="26">
        <v>0</v>
      </c>
      <c r="AR527" s="26"/>
      <c r="AS527" s="54">
        <f t="shared" si="28"/>
        <v>38496</v>
      </c>
      <c r="AT527" s="26"/>
      <c r="AU527" s="54">
        <f t="shared" si="29"/>
        <v>13308547</v>
      </c>
    </row>
    <row r="528" spans="1:47">
      <c r="A528" s="13" t="s">
        <v>666</v>
      </c>
      <c r="B528" s="13"/>
      <c r="C528" s="13" t="s">
        <v>62</v>
      </c>
      <c r="D528" s="13"/>
      <c r="E528" s="32">
        <v>49957</v>
      </c>
      <c r="F528" s="26"/>
      <c r="G528" s="26">
        <v>4914451</v>
      </c>
      <c r="H528" s="26"/>
      <c r="I528" s="26">
        <v>0</v>
      </c>
      <c r="J528" s="26"/>
      <c r="K528" s="26">
        <v>6939161</v>
      </c>
      <c r="L528" s="26"/>
      <c r="M528" s="26">
        <v>162893</v>
      </c>
      <c r="N528" s="26"/>
      <c r="O528" s="26">
        <v>675907</v>
      </c>
      <c r="P528" s="26"/>
      <c r="Q528" s="26">
        <v>316043</v>
      </c>
      <c r="R528" s="26"/>
      <c r="S528" s="26">
        <v>0</v>
      </c>
      <c r="T528" s="26"/>
      <c r="U528" s="26">
        <v>11751</v>
      </c>
      <c r="V528" s="26"/>
      <c r="W528" s="26">
        <v>381601</v>
      </c>
      <c r="X528" s="26"/>
      <c r="Y528" s="54">
        <f t="shared" si="27"/>
        <v>13401807</v>
      </c>
      <c r="Z528" s="26"/>
      <c r="AA528" s="26">
        <v>0</v>
      </c>
      <c r="AB528" s="26"/>
      <c r="AC528" s="26"/>
      <c r="AD528" s="26"/>
      <c r="AE528" s="26">
        <v>0</v>
      </c>
      <c r="AF528" s="26"/>
      <c r="AG528" s="26"/>
      <c r="AH528" s="26"/>
      <c r="AI528" s="26"/>
      <c r="AJ528" s="26"/>
      <c r="AK528" s="26">
        <v>0</v>
      </c>
      <c r="AL528" s="26"/>
      <c r="AM528" s="26">
        <v>0</v>
      </c>
      <c r="AN528" s="26"/>
      <c r="AO528" s="26">
        <v>0</v>
      </c>
      <c r="AP528" s="26"/>
      <c r="AQ528" s="26">
        <v>0</v>
      </c>
      <c r="AR528" s="26"/>
      <c r="AS528" s="54">
        <f t="shared" si="28"/>
        <v>0</v>
      </c>
      <c r="AT528" s="26"/>
      <c r="AU528" s="54">
        <f t="shared" si="29"/>
        <v>13401807</v>
      </c>
    </row>
    <row r="529" spans="1:47" hidden="1">
      <c r="A529" s="13" t="s">
        <v>607</v>
      </c>
      <c r="B529" s="13"/>
      <c r="C529" s="13" t="s">
        <v>57</v>
      </c>
      <c r="D529" s="13"/>
      <c r="E529" s="32">
        <v>49296</v>
      </c>
      <c r="F529" s="26"/>
      <c r="G529" s="26">
        <v>0</v>
      </c>
      <c r="H529" s="26"/>
      <c r="I529" s="26">
        <v>0</v>
      </c>
      <c r="J529" s="26"/>
      <c r="K529" s="26">
        <v>0</v>
      </c>
      <c r="L529" s="26"/>
      <c r="M529" s="26">
        <v>0</v>
      </c>
      <c r="N529" s="26"/>
      <c r="O529" s="26">
        <v>0</v>
      </c>
      <c r="P529" s="26"/>
      <c r="Q529" s="26">
        <v>0</v>
      </c>
      <c r="R529" s="26"/>
      <c r="S529" s="26">
        <v>0</v>
      </c>
      <c r="T529" s="26"/>
      <c r="U529" s="26">
        <v>0</v>
      </c>
      <c r="V529" s="26"/>
      <c r="W529" s="26">
        <v>0</v>
      </c>
      <c r="X529" s="26"/>
      <c r="Y529" s="54">
        <f t="shared" si="27"/>
        <v>0</v>
      </c>
      <c r="Z529" s="26"/>
      <c r="AA529" s="26">
        <v>0</v>
      </c>
      <c r="AB529" s="26"/>
      <c r="AC529" s="26"/>
      <c r="AD529" s="26"/>
      <c r="AE529" s="26">
        <v>0</v>
      </c>
      <c r="AF529" s="26"/>
      <c r="AG529" s="26"/>
      <c r="AH529" s="26"/>
      <c r="AI529" s="26"/>
      <c r="AJ529" s="26"/>
      <c r="AK529" s="26">
        <v>0</v>
      </c>
      <c r="AL529" s="26"/>
      <c r="AM529" s="26">
        <v>0</v>
      </c>
      <c r="AN529" s="26"/>
      <c r="AO529" s="26">
        <v>0</v>
      </c>
      <c r="AP529" s="26"/>
      <c r="AQ529" s="26">
        <v>0</v>
      </c>
      <c r="AR529" s="26"/>
      <c r="AS529" s="54">
        <f t="shared" si="28"/>
        <v>0</v>
      </c>
      <c r="AT529" s="26"/>
      <c r="AU529" s="54">
        <f t="shared" si="29"/>
        <v>0</v>
      </c>
    </row>
    <row r="530" spans="1:47">
      <c r="A530" s="13" t="s">
        <v>678</v>
      </c>
      <c r="B530" s="13"/>
      <c r="C530" s="13" t="s">
        <v>63</v>
      </c>
      <c r="D530" s="13"/>
      <c r="E530" s="32">
        <v>50070</v>
      </c>
      <c r="F530" s="26"/>
      <c r="G530" s="26">
        <v>32112894</v>
      </c>
      <c r="H530" s="26"/>
      <c r="I530" s="26">
        <v>0</v>
      </c>
      <c r="J530" s="26"/>
      <c r="K530" s="26">
        <v>13484609</v>
      </c>
      <c r="L530" s="26"/>
      <c r="M530" s="26">
        <v>1166797</v>
      </c>
      <c r="N530" s="26"/>
      <c r="O530" s="26">
        <v>384273</v>
      </c>
      <c r="P530" s="26"/>
      <c r="Q530" s="26">
        <v>340407</v>
      </c>
      <c r="R530" s="26"/>
      <c r="S530" s="26">
        <v>97402</v>
      </c>
      <c r="T530" s="26"/>
      <c r="U530" s="26">
        <v>33542</v>
      </c>
      <c r="V530" s="26"/>
      <c r="W530" s="26">
        <f>133095+76148+977951</f>
        <v>1187194</v>
      </c>
      <c r="X530" s="26"/>
      <c r="Y530" s="54">
        <f t="shared" si="27"/>
        <v>48807118</v>
      </c>
      <c r="Z530" s="26"/>
      <c r="AA530" s="26">
        <v>1007</v>
      </c>
      <c r="AB530" s="26"/>
      <c r="AC530" s="26"/>
      <c r="AD530" s="26"/>
      <c r="AE530" s="26">
        <v>0</v>
      </c>
      <c r="AF530" s="26"/>
      <c r="AG530" s="26"/>
      <c r="AH530" s="26"/>
      <c r="AI530" s="26"/>
      <c r="AJ530" s="26"/>
      <c r="AK530" s="26">
        <v>0</v>
      </c>
      <c r="AL530" s="26"/>
      <c r="AM530" s="26">
        <v>0</v>
      </c>
      <c r="AN530" s="26"/>
      <c r="AO530" s="26">
        <v>0</v>
      </c>
      <c r="AP530" s="26"/>
      <c r="AQ530" s="26">
        <v>0</v>
      </c>
      <c r="AR530" s="26"/>
      <c r="AS530" s="54">
        <f t="shared" si="28"/>
        <v>1007</v>
      </c>
      <c r="AT530" s="26"/>
      <c r="AU530" s="54">
        <f t="shared" si="29"/>
        <v>48808125</v>
      </c>
    </row>
    <row r="531" spans="1:47">
      <c r="A531" s="13" t="s">
        <v>239</v>
      </c>
      <c r="B531" s="13"/>
      <c r="C531" s="13" t="s">
        <v>15</v>
      </c>
      <c r="D531" s="13"/>
      <c r="E531" s="32">
        <v>46011</v>
      </c>
      <c r="F531" s="26"/>
      <c r="G531" s="26">
        <v>2838894</v>
      </c>
      <c r="H531" s="26"/>
      <c r="I531" s="26">
        <v>0</v>
      </c>
      <c r="J531" s="26"/>
      <c r="K531" s="26">
        <v>9782816</v>
      </c>
      <c r="L531" s="26"/>
      <c r="M531" s="26">
        <v>70428</v>
      </c>
      <c r="N531" s="26"/>
      <c r="O531" s="26">
        <v>600411</v>
      </c>
      <c r="P531" s="26"/>
      <c r="Q531" s="26">
        <v>123103</v>
      </c>
      <c r="R531" s="26"/>
      <c r="S531" s="26">
        <v>0</v>
      </c>
      <c r="T531" s="26"/>
      <c r="U531" s="26">
        <v>41511</v>
      </c>
      <c r="V531" s="26"/>
      <c r="W531" s="26">
        <v>224942</v>
      </c>
      <c r="X531" s="26"/>
      <c r="Y531" s="54">
        <f t="shared" si="27"/>
        <v>13682105</v>
      </c>
      <c r="Z531" s="26"/>
      <c r="AA531" s="26">
        <v>74800</v>
      </c>
      <c r="AB531" s="26"/>
      <c r="AC531" s="26"/>
      <c r="AD531" s="26"/>
      <c r="AE531" s="26">
        <v>0</v>
      </c>
      <c r="AF531" s="26"/>
      <c r="AG531" s="26"/>
      <c r="AH531" s="26"/>
      <c r="AI531" s="26"/>
      <c r="AJ531" s="26"/>
      <c r="AK531" s="26">
        <v>0</v>
      </c>
      <c r="AL531" s="26"/>
      <c r="AM531" s="26">
        <v>0</v>
      </c>
      <c r="AN531" s="26"/>
      <c r="AO531" s="26">
        <v>0</v>
      </c>
      <c r="AP531" s="26"/>
      <c r="AQ531" s="26">
        <v>0</v>
      </c>
      <c r="AR531" s="26"/>
      <c r="AS531" s="54">
        <f t="shared" si="28"/>
        <v>74800</v>
      </c>
      <c r="AT531" s="26"/>
      <c r="AU531" s="54">
        <f t="shared" si="29"/>
        <v>13756905</v>
      </c>
    </row>
    <row r="532" spans="1:47">
      <c r="A532" s="13" t="s">
        <v>625</v>
      </c>
      <c r="B532" s="13"/>
      <c r="C532" s="13" t="s">
        <v>58</v>
      </c>
      <c r="D532" s="13"/>
      <c r="E532" s="32">
        <v>49536</v>
      </c>
      <c r="F532" s="26"/>
      <c r="G532" s="26">
        <v>3430312</v>
      </c>
      <c r="H532" s="26"/>
      <c r="I532" s="26">
        <v>1108640</v>
      </c>
      <c r="J532" s="26"/>
      <c r="K532" s="26">
        <v>11437691</v>
      </c>
      <c r="L532" s="26"/>
      <c r="M532" s="26">
        <v>291765</v>
      </c>
      <c r="N532" s="26"/>
      <c r="O532" s="26">
        <v>1545082</v>
      </c>
      <c r="P532" s="26"/>
      <c r="Q532" s="26">
        <v>104135</v>
      </c>
      <c r="R532" s="26"/>
      <c r="S532" s="26">
        <v>0</v>
      </c>
      <c r="T532" s="26"/>
      <c r="U532" s="26">
        <v>30450</v>
      </c>
      <c r="V532" s="26"/>
      <c r="W532" s="26">
        <v>467673</v>
      </c>
      <c r="X532" s="26"/>
      <c r="Y532" s="54">
        <f t="shared" ref="Y532:Y594" si="30">SUM(G532:W532)</f>
        <v>18415748</v>
      </c>
      <c r="Z532" s="26"/>
      <c r="AA532" s="26">
        <v>36407</v>
      </c>
      <c r="AB532" s="26"/>
      <c r="AC532" s="26"/>
      <c r="AD532" s="26"/>
      <c r="AE532" s="26">
        <v>0</v>
      </c>
      <c r="AF532" s="26"/>
      <c r="AG532" s="26"/>
      <c r="AH532" s="26"/>
      <c r="AI532" s="26"/>
      <c r="AJ532" s="26"/>
      <c r="AK532" s="26">
        <v>0</v>
      </c>
      <c r="AL532" s="26"/>
      <c r="AM532" s="26">
        <v>0</v>
      </c>
      <c r="AN532" s="26"/>
      <c r="AO532" s="26">
        <v>0</v>
      </c>
      <c r="AP532" s="26"/>
      <c r="AQ532" s="26">
        <v>0</v>
      </c>
      <c r="AR532" s="26"/>
      <c r="AS532" s="54">
        <f t="shared" ref="AS532:AS594" si="31">AK532+AE532+AA532</f>
        <v>36407</v>
      </c>
      <c r="AT532" s="26"/>
      <c r="AU532" s="54">
        <f t="shared" ref="AU532:AU594" si="32">Y532+AS532</f>
        <v>18452155</v>
      </c>
    </row>
    <row r="533" spans="1:47" hidden="1">
      <c r="A533" s="13" t="s">
        <v>289</v>
      </c>
      <c r="B533" s="13"/>
      <c r="C533" s="13" t="s">
        <v>115</v>
      </c>
      <c r="D533" s="13"/>
      <c r="E533" s="32">
        <v>46458</v>
      </c>
      <c r="F533" s="26"/>
      <c r="G533" s="26">
        <v>0</v>
      </c>
      <c r="H533" s="26"/>
      <c r="I533" s="26">
        <v>0</v>
      </c>
      <c r="J533" s="26"/>
      <c r="K533" s="26">
        <v>0</v>
      </c>
      <c r="L533" s="26"/>
      <c r="M533" s="26">
        <v>0</v>
      </c>
      <c r="N533" s="26"/>
      <c r="O533" s="26">
        <v>0</v>
      </c>
      <c r="P533" s="26"/>
      <c r="Q533" s="26">
        <v>0</v>
      </c>
      <c r="R533" s="26"/>
      <c r="S533" s="26">
        <v>0</v>
      </c>
      <c r="T533" s="26"/>
      <c r="U533" s="26">
        <v>0</v>
      </c>
      <c r="V533" s="26"/>
      <c r="W533" s="26">
        <v>0</v>
      </c>
      <c r="X533" s="26"/>
      <c r="Y533" s="54">
        <f t="shared" si="30"/>
        <v>0</v>
      </c>
      <c r="Z533" s="26"/>
      <c r="AA533" s="26">
        <v>0</v>
      </c>
      <c r="AB533" s="26"/>
      <c r="AC533" s="26"/>
      <c r="AD533" s="26"/>
      <c r="AE533" s="26">
        <v>0</v>
      </c>
      <c r="AF533" s="26"/>
      <c r="AG533" s="26"/>
      <c r="AH533" s="26"/>
      <c r="AI533" s="26"/>
      <c r="AJ533" s="26"/>
      <c r="AK533" s="26">
        <v>0</v>
      </c>
      <c r="AL533" s="26"/>
      <c r="AM533" s="26">
        <v>0</v>
      </c>
      <c r="AN533" s="26"/>
      <c r="AO533" s="26">
        <v>0</v>
      </c>
      <c r="AP533" s="26"/>
      <c r="AQ533" s="26">
        <v>0</v>
      </c>
      <c r="AR533" s="26"/>
      <c r="AS533" s="54">
        <f t="shared" si="31"/>
        <v>0</v>
      </c>
      <c r="AT533" s="26"/>
      <c r="AU533" s="54">
        <f t="shared" si="32"/>
        <v>0</v>
      </c>
    </row>
    <row r="534" spans="1:47">
      <c r="A534" s="13" t="s">
        <v>368</v>
      </c>
      <c r="B534" s="13"/>
      <c r="C534" s="13" t="s">
        <v>27</v>
      </c>
      <c r="D534" s="13"/>
      <c r="E534" s="32">
        <v>44933</v>
      </c>
      <c r="F534" s="26"/>
      <c r="G534" s="26">
        <v>63419151</v>
      </c>
      <c r="H534" s="26"/>
      <c r="I534" s="26">
        <v>0</v>
      </c>
      <c r="J534" s="26"/>
      <c r="K534" s="26">
        <v>16429840</v>
      </c>
      <c r="L534" s="26"/>
      <c r="M534" s="26">
        <v>1752252</v>
      </c>
      <c r="N534" s="26"/>
      <c r="O534" s="26">
        <v>68155</v>
      </c>
      <c r="P534" s="26"/>
      <c r="Q534" s="26">
        <v>1449052</v>
      </c>
      <c r="R534" s="26"/>
      <c r="S534" s="26">
        <v>0</v>
      </c>
      <c r="T534" s="26"/>
      <c r="U534" s="26">
        <v>0</v>
      </c>
      <c r="V534" s="26"/>
      <c r="W534" s="26">
        <v>4803300</v>
      </c>
      <c r="X534" s="26"/>
      <c r="Y534" s="54">
        <f t="shared" si="30"/>
        <v>87921750</v>
      </c>
      <c r="Z534" s="26"/>
      <c r="AA534" s="26">
        <v>859403</v>
      </c>
      <c r="AB534" s="26"/>
      <c r="AC534" s="26"/>
      <c r="AD534" s="26"/>
      <c r="AE534" s="26">
        <v>0</v>
      </c>
      <c r="AF534" s="26"/>
      <c r="AG534" s="26"/>
      <c r="AH534" s="26"/>
      <c r="AI534" s="26"/>
      <c r="AJ534" s="26"/>
      <c r="AK534" s="26">
        <v>2075</v>
      </c>
      <c r="AL534" s="26"/>
      <c r="AM534" s="26">
        <v>0</v>
      </c>
      <c r="AN534" s="26"/>
      <c r="AO534" s="26">
        <v>0</v>
      </c>
      <c r="AP534" s="26"/>
      <c r="AQ534" s="26">
        <v>0</v>
      </c>
      <c r="AR534" s="26"/>
      <c r="AS534" s="54">
        <f t="shared" si="31"/>
        <v>861478</v>
      </c>
      <c r="AT534" s="26"/>
      <c r="AU534" s="54">
        <f t="shared" si="32"/>
        <v>88783228</v>
      </c>
    </row>
    <row r="535" spans="1:47" hidden="1">
      <c r="A535" s="13" t="s">
        <v>749</v>
      </c>
      <c r="B535" s="13"/>
      <c r="C535" s="13" t="s">
        <v>747</v>
      </c>
      <c r="D535" s="13"/>
      <c r="E535" s="32">
        <v>45625</v>
      </c>
      <c r="F535" s="26"/>
      <c r="G535" s="26">
        <v>0</v>
      </c>
      <c r="H535" s="26"/>
      <c r="I535" s="26">
        <v>0</v>
      </c>
      <c r="J535" s="26"/>
      <c r="K535" s="26">
        <v>0</v>
      </c>
      <c r="L535" s="26"/>
      <c r="M535" s="26">
        <v>0</v>
      </c>
      <c r="N535" s="26"/>
      <c r="O535" s="26">
        <v>0</v>
      </c>
      <c r="P535" s="26"/>
      <c r="Q535" s="26">
        <v>0</v>
      </c>
      <c r="R535" s="26"/>
      <c r="S535" s="26">
        <v>0</v>
      </c>
      <c r="T535" s="26"/>
      <c r="U535" s="26">
        <v>0</v>
      </c>
      <c r="V535" s="26"/>
      <c r="W535" s="26">
        <v>0</v>
      </c>
      <c r="X535" s="26"/>
      <c r="Y535" s="54">
        <f t="shared" si="30"/>
        <v>0</v>
      </c>
      <c r="Z535" s="26"/>
      <c r="AA535" s="26">
        <v>0</v>
      </c>
      <c r="AB535" s="26"/>
      <c r="AC535" s="26"/>
      <c r="AD535" s="26"/>
      <c r="AE535" s="26">
        <v>0</v>
      </c>
      <c r="AF535" s="26"/>
      <c r="AG535" s="26"/>
      <c r="AH535" s="26"/>
      <c r="AI535" s="26"/>
      <c r="AJ535" s="26"/>
      <c r="AK535" s="26">
        <v>0</v>
      </c>
      <c r="AL535" s="26"/>
      <c r="AM535" s="26">
        <v>0</v>
      </c>
      <c r="AN535" s="26"/>
      <c r="AO535" s="26">
        <v>0</v>
      </c>
      <c r="AP535" s="26"/>
      <c r="AQ535" s="26">
        <v>0</v>
      </c>
      <c r="AR535" s="26"/>
      <c r="AS535" s="54">
        <f t="shared" si="31"/>
        <v>0</v>
      </c>
      <c r="AT535" s="26"/>
      <c r="AU535" s="54">
        <f t="shared" si="32"/>
        <v>0</v>
      </c>
    </row>
    <row r="536" spans="1:47" hidden="1">
      <c r="A536" s="13" t="s">
        <v>431</v>
      </c>
      <c r="B536" s="13"/>
      <c r="C536" s="13" t="s">
        <v>426</v>
      </c>
      <c r="D536" s="13"/>
      <c r="E536" s="32">
        <v>47522</v>
      </c>
      <c r="F536" s="26"/>
      <c r="G536" s="26">
        <v>0</v>
      </c>
      <c r="H536" s="26"/>
      <c r="I536" s="26">
        <v>0</v>
      </c>
      <c r="J536" s="26"/>
      <c r="K536" s="26">
        <v>0</v>
      </c>
      <c r="L536" s="26"/>
      <c r="M536" s="26">
        <v>0</v>
      </c>
      <c r="N536" s="26"/>
      <c r="O536" s="26">
        <v>0</v>
      </c>
      <c r="P536" s="26"/>
      <c r="Q536" s="26">
        <v>0</v>
      </c>
      <c r="R536" s="26"/>
      <c r="S536" s="26">
        <v>0</v>
      </c>
      <c r="T536" s="26"/>
      <c r="U536" s="26">
        <v>0</v>
      </c>
      <c r="V536" s="26"/>
      <c r="W536" s="26">
        <v>0</v>
      </c>
      <c r="X536" s="26"/>
      <c r="Y536" s="54">
        <f t="shared" si="30"/>
        <v>0</v>
      </c>
      <c r="Z536" s="26"/>
      <c r="AA536" s="26">
        <v>0</v>
      </c>
      <c r="AB536" s="26"/>
      <c r="AC536" s="26"/>
      <c r="AD536" s="26"/>
      <c r="AE536" s="26">
        <v>0</v>
      </c>
      <c r="AF536" s="26"/>
      <c r="AG536" s="26"/>
      <c r="AH536" s="26"/>
      <c r="AI536" s="26"/>
      <c r="AJ536" s="26"/>
      <c r="AK536" s="26">
        <v>0</v>
      </c>
      <c r="AL536" s="26"/>
      <c r="AM536" s="26">
        <v>0</v>
      </c>
      <c r="AN536" s="26"/>
      <c r="AO536" s="26">
        <v>0</v>
      </c>
      <c r="AP536" s="26"/>
      <c r="AQ536" s="26">
        <v>0</v>
      </c>
      <c r="AR536" s="26"/>
      <c r="AS536" s="54">
        <f t="shared" si="31"/>
        <v>0</v>
      </c>
      <c r="AT536" s="26"/>
      <c r="AU536" s="54">
        <f t="shared" si="32"/>
        <v>0</v>
      </c>
    </row>
    <row r="537" spans="1:47">
      <c r="A537" s="13" t="s">
        <v>262</v>
      </c>
      <c r="B537" s="13"/>
      <c r="C537" s="13" t="s">
        <v>259</v>
      </c>
      <c r="D537" s="13"/>
      <c r="E537" s="32">
        <v>44941</v>
      </c>
      <c r="F537" s="26"/>
      <c r="G537" s="26">
        <v>8144182</v>
      </c>
      <c r="H537" s="26"/>
      <c r="I537" s="26">
        <v>0</v>
      </c>
      <c r="J537" s="26"/>
      <c r="K537" s="26">
        <v>13136549</v>
      </c>
      <c r="L537" s="26"/>
      <c r="M537" s="26">
        <v>264178</v>
      </c>
      <c r="N537" s="26"/>
      <c r="O537" s="26">
        <v>668350</v>
      </c>
      <c r="P537" s="26"/>
      <c r="Q537" s="26">
        <v>333396</v>
      </c>
      <c r="R537" s="26"/>
      <c r="S537" s="26">
        <v>0</v>
      </c>
      <c r="T537" s="26"/>
      <c r="U537" s="26">
        <v>0</v>
      </c>
      <c r="V537" s="26"/>
      <c r="W537" s="26">
        <v>630272</v>
      </c>
      <c r="X537" s="26"/>
      <c r="Y537" s="54">
        <f t="shared" si="30"/>
        <v>23176927</v>
      </c>
      <c r="Z537" s="26"/>
      <c r="AA537" s="26">
        <v>81000</v>
      </c>
      <c r="AB537" s="26"/>
      <c r="AC537" s="26"/>
      <c r="AD537" s="26"/>
      <c r="AE537" s="26">
        <v>0</v>
      </c>
      <c r="AF537" s="26"/>
      <c r="AG537" s="26"/>
      <c r="AH537" s="26"/>
      <c r="AI537" s="26"/>
      <c r="AJ537" s="26"/>
      <c r="AK537" s="26">
        <v>4574</v>
      </c>
      <c r="AL537" s="26"/>
      <c r="AM537" s="26">
        <v>0</v>
      </c>
      <c r="AN537" s="26"/>
      <c r="AO537" s="26">
        <v>0</v>
      </c>
      <c r="AP537" s="26"/>
      <c r="AQ537" s="26">
        <v>0</v>
      </c>
      <c r="AR537" s="26"/>
      <c r="AS537" s="54">
        <f t="shared" si="31"/>
        <v>85574</v>
      </c>
      <c r="AT537" s="26"/>
      <c r="AU537" s="54">
        <f t="shared" si="32"/>
        <v>23262501</v>
      </c>
    </row>
    <row r="538" spans="1:47" hidden="1">
      <c r="A538" s="13" t="s">
        <v>637</v>
      </c>
      <c r="B538" s="13"/>
      <c r="C538" s="13" t="s">
        <v>59</v>
      </c>
      <c r="D538" s="13"/>
      <c r="E538" s="32">
        <v>49643</v>
      </c>
      <c r="F538" s="26"/>
      <c r="G538" s="26">
        <v>0</v>
      </c>
      <c r="H538" s="26"/>
      <c r="I538" s="26">
        <v>0</v>
      </c>
      <c r="J538" s="26"/>
      <c r="K538" s="26">
        <v>0</v>
      </c>
      <c r="L538" s="26"/>
      <c r="M538" s="26">
        <v>0</v>
      </c>
      <c r="N538" s="26"/>
      <c r="O538" s="26">
        <v>0</v>
      </c>
      <c r="P538" s="26"/>
      <c r="Q538" s="26">
        <v>0</v>
      </c>
      <c r="R538" s="26"/>
      <c r="S538" s="26">
        <v>0</v>
      </c>
      <c r="T538" s="26"/>
      <c r="U538" s="26">
        <v>0</v>
      </c>
      <c r="V538" s="26"/>
      <c r="W538" s="26">
        <v>0</v>
      </c>
      <c r="X538" s="26"/>
      <c r="Y538" s="54">
        <f t="shared" si="30"/>
        <v>0</v>
      </c>
      <c r="Z538" s="26"/>
      <c r="AA538" s="26">
        <v>0</v>
      </c>
      <c r="AB538" s="26"/>
      <c r="AC538" s="26"/>
      <c r="AD538" s="26"/>
      <c r="AE538" s="26">
        <v>0</v>
      </c>
      <c r="AF538" s="26"/>
      <c r="AG538" s="26"/>
      <c r="AH538" s="26"/>
      <c r="AI538" s="26"/>
      <c r="AJ538" s="26"/>
      <c r="AK538" s="26">
        <v>0</v>
      </c>
      <c r="AL538" s="26"/>
      <c r="AM538" s="26">
        <v>0</v>
      </c>
      <c r="AN538" s="26"/>
      <c r="AO538" s="26">
        <v>0</v>
      </c>
      <c r="AP538" s="26"/>
      <c r="AQ538" s="26">
        <v>0</v>
      </c>
      <c r="AR538" s="26"/>
      <c r="AS538" s="54">
        <f t="shared" si="31"/>
        <v>0</v>
      </c>
      <c r="AT538" s="26"/>
      <c r="AU538" s="54">
        <f t="shared" si="32"/>
        <v>0</v>
      </c>
    </row>
    <row r="539" spans="1:47">
      <c r="A539" s="13" t="s">
        <v>564</v>
      </c>
      <c r="B539" s="13"/>
      <c r="C539" s="13" t="s">
        <v>50</v>
      </c>
      <c r="D539" s="13"/>
      <c r="E539" s="32">
        <v>48744</v>
      </c>
      <c r="F539" s="26"/>
      <c r="G539" s="26">
        <v>8261270</v>
      </c>
      <c r="H539" s="26"/>
      <c r="I539" s="26">
        <v>0</v>
      </c>
      <c r="J539" s="26"/>
      <c r="K539" s="26">
        <v>9688622</v>
      </c>
      <c r="L539" s="26"/>
      <c r="M539" s="26">
        <v>361439</v>
      </c>
      <c r="N539" s="26"/>
      <c r="O539" s="26">
        <v>265372</v>
      </c>
      <c r="P539" s="26"/>
      <c r="Q539" s="26">
        <v>298959</v>
      </c>
      <c r="R539" s="26"/>
      <c r="S539" s="26">
        <v>0</v>
      </c>
      <c r="T539" s="26"/>
      <c r="U539" s="26">
        <v>0</v>
      </c>
      <c r="V539" s="26"/>
      <c r="W539" s="26">
        <v>705180</v>
      </c>
      <c r="X539" s="26"/>
      <c r="Y539" s="54">
        <f t="shared" si="30"/>
        <v>19580842</v>
      </c>
      <c r="Z539" s="26"/>
      <c r="AA539" s="26">
        <v>45000</v>
      </c>
      <c r="AB539" s="26"/>
      <c r="AC539" s="26"/>
      <c r="AD539" s="26"/>
      <c r="AE539" s="26">
        <v>0</v>
      </c>
      <c r="AF539" s="26"/>
      <c r="AG539" s="26"/>
      <c r="AH539" s="26"/>
      <c r="AI539" s="26"/>
      <c r="AJ539" s="26"/>
      <c r="AK539" s="26">
        <v>325758</v>
      </c>
      <c r="AL539" s="26"/>
      <c r="AM539" s="26">
        <v>0</v>
      </c>
      <c r="AN539" s="26"/>
      <c r="AO539" s="26">
        <v>0</v>
      </c>
      <c r="AP539" s="26"/>
      <c r="AQ539" s="26">
        <v>0</v>
      </c>
      <c r="AR539" s="26"/>
      <c r="AS539" s="54">
        <f t="shared" si="31"/>
        <v>370758</v>
      </c>
      <c r="AT539" s="26"/>
      <c r="AU539" s="54">
        <f t="shared" si="32"/>
        <v>19951600</v>
      </c>
    </row>
    <row r="540" spans="1:47">
      <c r="A540" s="13" t="s">
        <v>424</v>
      </c>
      <c r="B540" s="13"/>
      <c r="C540" s="13" t="s">
        <v>33</v>
      </c>
      <c r="D540" s="13"/>
      <c r="E540" s="32">
        <v>47464</v>
      </c>
      <c r="F540" s="26"/>
      <c r="G540" s="26">
        <v>7156554</v>
      </c>
      <c r="H540" s="26"/>
      <c r="I540" s="26">
        <v>0</v>
      </c>
      <c r="J540" s="26"/>
      <c r="K540" s="26">
        <v>3490288</v>
      </c>
      <c r="L540" s="26"/>
      <c r="M540" s="26">
        <v>284093</v>
      </c>
      <c r="N540" s="26"/>
      <c r="O540" s="26">
        <v>462427</v>
      </c>
      <c r="P540" s="26"/>
      <c r="Q540" s="26">
        <v>134861</v>
      </c>
      <c r="R540" s="26"/>
      <c r="S540" s="26">
        <v>151222</v>
      </c>
      <c r="T540" s="26"/>
      <c r="U540" s="26">
        <v>51124</v>
      </c>
      <c r="V540" s="26"/>
      <c r="W540" s="26">
        <v>277272</v>
      </c>
      <c r="X540" s="26"/>
      <c r="Y540" s="54">
        <f t="shared" si="30"/>
        <v>12007841</v>
      </c>
      <c r="Z540" s="26"/>
      <c r="AA540" s="26">
        <v>60658</v>
      </c>
      <c r="AB540" s="26"/>
      <c r="AC540" s="26"/>
      <c r="AD540" s="26"/>
      <c r="AE540" s="26">
        <v>0</v>
      </c>
      <c r="AF540" s="26"/>
      <c r="AG540" s="26"/>
      <c r="AH540" s="26"/>
      <c r="AI540" s="26"/>
      <c r="AJ540" s="26"/>
      <c r="AK540" s="26">
        <v>2000</v>
      </c>
      <c r="AL540" s="26"/>
      <c r="AM540" s="26">
        <v>0</v>
      </c>
      <c r="AN540" s="26"/>
      <c r="AO540" s="26">
        <v>0</v>
      </c>
      <c r="AP540" s="26"/>
      <c r="AQ540" s="26">
        <v>0</v>
      </c>
      <c r="AR540" s="26"/>
      <c r="AS540" s="54">
        <f t="shared" si="31"/>
        <v>62658</v>
      </c>
      <c r="AT540" s="26"/>
      <c r="AU540" s="54">
        <f t="shared" si="32"/>
        <v>12070499</v>
      </c>
    </row>
    <row r="541" spans="1:47">
      <c r="A541" s="13" t="s">
        <v>711</v>
      </c>
      <c r="B541" s="13"/>
      <c r="C541" s="13" t="s">
        <v>67</v>
      </c>
      <c r="D541" s="13"/>
      <c r="E541" s="32">
        <v>44966</v>
      </c>
      <c r="F541" s="26"/>
      <c r="G541" s="26">
        <v>7322374</v>
      </c>
      <c r="H541" s="26"/>
      <c r="I541" s="26">
        <v>2412276</v>
      </c>
      <c r="J541" s="26"/>
      <c r="K541" s="26">
        <v>11693918</v>
      </c>
      <c r="L541" s="26"/>
      <c r="M541" s="26">
        <v>336668</v>
      </c>
      <c r="N541" s="26"/>
      <c r="O541" s="26">
        <v>717926</v>
      </c>
      <c r="P541" s="26"/>
      <c r="Q541" s="26">
        <v>127566</v>
      </c>
      <c r="R541" s="26"/>
      <c r="S541" s="26">
        <v>128984</v>
      </c>
      <c r="T541" s="26"/>
      <c r="U541" s="26">
        <v>118186</v>
      </c>
      <c r="V541" s="26"/>
      <c r="W541" s="26">
        <v>655712</v>
      </c>
      <c r="X541" s="26"/>
      <c r="Y541" s="54">
        <f t="shared" si="30"/>
        <v>23513610</v>
      </c>
      <c r="Z541" s="26"/>
      <c r="AA541" s="26">
        <v>0</v>
      </c>
      <c r="AB541" s="26"/>
      <c r="AC541" s="26"/>
      <c r="AD541" s="26"/>
      <c r="AE541" s="26">
        <v>0</v>
      </c>
      <c r="AF541" s="26"/>
      <c r="AG541" s="26"/>
      <c r="AH541" s="26"/>
      <c r="AI541" s="26"/>
      <c r="AJ541" s="26"/>
      <c r="AK541" s="26">
        <v>177206</v>
      </c>
      <c r="AL541" s="26"/>
      <c r="AM541" s="26">
        <v>0</v>
      </c>
      <c r="AN541" s="26"/>
      <c r="AO541" s="26">
        <v>0</v>
      </c>
      <c r="AP541" s="26"/>
      <c r="AQ541" s="26">
        <v>0</v>
      </c>
      <c r="AR541" s="26"/>
      <c r="AS541" s="54">
        <f t="shared" si="31"/>
        <v>177206</v>
      </c>
      <c r="AT541" s="26"/>
      <c r="AU541" s="54">
        <f t="shared" si="32"/>
        <v>23690816</v>
      </c>
    </row>
    <row r="542" spans="1:47">
      <c r="A542" s="13" t="s">
        <v>565</v>
      </c>
      <c r="B542" s="13"/>
      <c r="C542" s="13" t="s">
        <v>50</v>
      </c>
      <c r="D542" s="13"/>
      <c r="E542" s="32">
        <v>44958</v>
      </c>
      <c r="F542" s="26"/>
      <c r="G542" s="26">
        <v>23059926</v>
      </c>
      <c r="H542" s="26"/>
      <c r="I542" s="26">
        <v>0</v>
      </c>
      <c r="J542" s="26"/>
      <c r="K542" s="26">
        <v>12357720</v>
      </c>
      <c r="L542" s="26"/>
      <c r="M542" s="26">
        <v>955637</v>
      </c>
      <c r="N542" s="26"/>
      <c r="O542" s="26">
        <v>829998</v>
      </c>
      <c r="P542" s="26"/>
      <c r="Q542" s="26">
        <v>552173</v>
      </c>
      <c r="R542" s="26"/>
      <c r="S542" s="26">
        <v>0</v>
      </c>
      <c r="T542" s="26"/>
      <c r="U542" s="26">
        <v>52242</v>
      </c>
      <c r="V542" s="26"/>
      <c r="W542" s="26">
        <v>1237313</v>
      </c>
      <c r="X542" s="26"/>
      <c r="Y542" s="54">
        <f t="shared" si="30"/>
        <v>39045009</v>
      </c>
      <c r="Z542" s="26"/>
      <c r="AA542" s="26">
        <v>153630</v>
      </c>
      <c r="AB542" s="26"/>
      <c r="AC542" s="26"/>
      <c r="AD542" s="26"/>
      <c r="AE542" s="26">
        <v>0</v>
      </c>
      <c r="AF542" s="26"/>
      <c r="AG542" s="26"/>
      <c r="AH542" s="26"/>
      <c r="AI542" s="26"/>
      <c r="AJ542" s="26"/>
      <c r="AK542" s="26">
        <v>0</v>
      </c>
      <c r="AL542" s="26"/>
      <c r="AM542" s="26">
        <v>0</v>
      </c>
      <c r="AN542" s="26"/>
      <c r="AO542" s="26">
        <v>0</v>
      </c>
      <c r="AP542" s="26"/>
      <c r="AQ542" s="26">
        <v>0</v>
      </c>
      <c r="AR542" s="26"/>
      <c r="AS542" s="54">
        <f t="shared" si="31"/>
        <v>153630</v>
      </c>
      <c r="AT542" s="26"/>
      <c r="AU542" s="54">
        <f t="shared" si="32"/>
        <v>39198639</v>
      </c>
    </row>
    <row r="543" spans="1:47" hidden="1">
      <c r="A543" s="13" t="s">
        <v>425</v>
      </c>
      <c r="B543" s="13"/>
      <c r="C543" s="13" t="s">
        <v>33</v>
      </c>
      <c r="D543" s="13"/>
      <c r="E543" s="32">
        <v>47472</v>
      </c>
      <c r="F543" s="26"/>
      <c r="G543" s="26">
        <v>0</v>
      </c>
      <c r="H543" s="26"/>
      <c r="I543" s="26">
        <v>0</v>
      </c>
      <c r="J543" s="26"/>
      <c r="K543" s="26">
        <v>0</v>
      </c>
      <c r="L543" s="26"/>
      <c r="M543" s="26">
        <v>0</v>
      </c>
      <c r="N543" s="26"/>
      <c r="O543" s="26">
        <v>0</v>
      </c>
      <c r="P543" s="26"/>
      <c r="Q543" s="26">
        <v>0</v>
      </c>
      <c r="R543" s="26"/>
      <c r="S543" s="26">
        <v>0</v>
      </c>
      <c r="T543" s="26"/>
      <c r="U543" s="26">
        <v>0</v>
      </c>
      <c r="V543" s="26"/>
      <c r="W543" s="26">
        <v>0</v>
      </c>
      <c r="X543" s="26"/>
      <c r="Y543" s="54">
        <f t="shared" si="30"/>
        <v>0</v>
      </c>
      <c r="Z543" s="26"/>
      <c r="AA543" s="26">
        <v>0</v>
      </c>
      <c r="AB543" s="26"/>
      <c r="AC543" s="26"/>
      <c r="AD543" s="26"/>
      <c r="AE543" s="26">
        <v>0</v>
      </c>
      <c r="AF543" s="26"/>
      <c r="AG543" s="26"/>
      <c r="AH543" s="26"/>
      <c r="AI543" s="26"/>
      <c r="AJ543" s="26"/>
      <c r="AK543" s="26">
        <v>0</v>
      </c>
      <c r="AL543" s="26"/>
      <c r="AM543" s="26">
        <v>0</v>
      </c>
      <c r="AN543" s="26"/>
      <c r="AO543" s="26">
        <v>0</v>
      </c>
      <c r="AP543" s="26"/>
      <c r="AQ543" s="26">
        <v>0</v>
      </c>
      <c r="AR543" s="26"/>
      <c r="AS543" s="54">
        <f t="shared" si="31"/>
        <v>0</v>
      </c>
      <c r="AT543" s="26"/>
      <c r="AU543" s="54">
        <f t="shared" si="32"/>
        <v>0</v>
      </c>
    </row>
    <row r="544" spans="1:47">
      <c r="A544" s="13" t="s">
        <v>346</v>
      </c>
      <c r="B544" s="13"/>
      <c r="C544" s="13" t="s">
        <v>24</v>
      </c>
      <c r="D544" s="13"/>
      <c r="E544" s="32">
        <v>46821</v>
      </c>
      <c r="F544" s="26"/>
      <c r="G544" s="26">
        <v>22034688</v>
      </c>
      <c r="H544" s="26"/>
      <c r="I544" s="26">
        <v>0</v>
      </c>
      <c r="J544" s="26"/>
      <c r="K544" s="26">
        <v>9324077</v>
      </c>
      <c r="L544" s="26"/>
      <c r="M544" s="26">
        <v>560762</v>
      </c>
      <c r="N544" s="26"/>
      <c r="O544" s="26">
        <v>426849</v>
      </c>
      <c r="P544" s="26"/>
      <c r="Q544" s="26">
        <v>196220</v>
      </c>
      <c r="R544" s="26"/>
      <c r="S544" s="26">
        <v>0</v>
      </c>
      <c r="T544" s="26"/>
      <c r="U544" s="26">
        <v>0</v>
      </c>
      <c r="V544" s="26"/>
      <c r="W544" s="26">
        <v>679315</v>
      </c>
      <c r="X544" s="26"/>
      <c r="Y544" s="54">
        <f t="shared" si="30"/>
        <v>33221911</v>
      </c>
      <c r="Z544" s="26"/>
      <c r="AA544" s="26">
        <v>0</v>
      </c>
      <c r="AB544" s="26"/>
      <c r="AC544" s="26"/>
      <c r="AD544" s="26"/>
      <c r="AE544" s="26">
        <v>0</v>
      </c>
      <c r="AF544" s="26"/>
      <c r="AG544" s="26"/>
      <c r="AH544" s="26"/>
      <c r="AI544" s="26"/>
      <c r="AJ544" s="26"/>
      <c r="AK544" s="26">
        <v>5900000</v>
      </c>
      <c r="AL544" s="26"/>
      <c r="AM544" s="26">
        <v>0</v>
      </c>
      <c r="AN544" s="26"/>
      <c r="AO544" s="26">
        <v>0</v>
      </c>
      <c r="AP544" s="26"/>
      <c r="AQ544" s="26">
        <v>0</v>
      </c>
      <c r="AR544" s="26"/>
      <c r="AS544" s="54">
        <f t="shared" si="31"/>
        <v>5900000</v>
      </c>
      <c r="AT544" s="26"/>
      <c r="AU544" s="54">
        <f t="shared" si="32"/>
        <v>39121911</v>
      </c>
    </row>
    <row r="545" spans="1:47">
      <c r="A545" s="13" t="s">
        <v>712</v>
      </c>
      <c r="B545" s="13"/>
      <c r="C545" s="13" t="s">
        <v>68</v>
      </c>
      <c r="D545" s="13"/>
      <c r="E545" s="32">
        <v>50393</v>
      </c>
      <c r="F545" s="26"/>
      <c r="G545" s="26">
        <v>3891742</v>
      </c>
      <c r="H545" s="26"/>
      <c r="I545" s="26">
        <v>0</v>
      </c>
      <c r="J545" s="26"/>
      <c r="K545" s="26">
        <v>26911153</v>
      </c>
      <c r="L545" s="26"/>
      <c r="M545" s="26">
        <v>880621</v>
      </c>
      <c r="N545" s="26"/>
      <c r="O545" s="26">
        <v>376824</v>
      </c>
      <c r="P545" s="26"/>
      <c r="Q545" s="26">
        <v>140651</v>
      </c>
      <c r="R545" s="26"/>
      <c r="S545" s="26">
        <v>0</v>
      </c>
      <c r="T545" s="26"/>
      <c r="U545" s="26">
        <v>34277</v>
      </c>
      <c r="V545" s="26"/>
      <c r="W545" s="26">
        <v>1142493</v>
      </c>
      <c r="X545" s="26"/>
      <c r="Y545" s="54">
        <f t="shared" si="30"/>
        <v>33377761</v>
      </c>
      <c r="Z545" s="26"/>
      <c r="AA545" s="26">
        <v>0</v>
      </c>
      <c r="AB545" s="26"/>
      <c r="AC545" s="26"/>
      <c r="AD545" s="26"/>
      <c r="AE545" s="26">
        <v>0</v>
      </c>
      <c r="AF545" s="26"/>
      <c r="AG545" s="26"/>
      <c r="AH545" s="26"/>
      <c r="AI545" s="26"/>
      <c r="AJ545" s="26"/>
      <c r="AK545" s="26">
        <v>562738</v>
      </c>
      <c r="AL545" s="26"/>
      <c r="AM545" s="26">
        <v>0</v>
      </c>
      <c r="AN545" s="26"/>
      <c r="AO545" s="26">
        <v>0</v>
      </c>
      <c r="AP545" s="26"/>
      <c r="AQ545" s="26">
        <v>0</v>
      </c>
      <c r="AR545" s="26"/>
      <c r="AS545" s="54">
        <f t="shared" si="31"/>
        <v>562738</v>
      </c>
      <c r="AT545" s="26"/>
      <c r="AU545" s="54">
        <f t="shared" si="32"/>
        <v>33940499</v>
      </c>
    </row>
    <row r="546" spans="1:47">
      <c r="A546" s="13" t="s">
        <v>536</v>
      </c>
      <c r="B546" s="13"/>
      <c r="C546" s="13" t="s">
        <v>47</v>
      </c>
      <c r="D546" s="13"/>
      <c r="E546" s="32">
        <v>44974</v>
      </c>
      <c r="F546" s="26"/>
      <c r="G546" s="26">
        <v>18567920</v>
      </c>
      <c r="H546" s="26"/>
      <c r="I546" s="26">
        <v>0</v>
      </c>
      <c r="J546" s="26"/>
      <c r="K546" s="26">
        <v>20712963</v>
      </c>
      <c r="L546" s="26"/>
      <c r="M546" s="26">
        <v>706791</v>
      </c>
      <c r="N546" s="26"/>
      <c r="O546" s="26">
        <v>614386</v>
      </c>
      <c r="P546" s="26"/>
      <c r="Q546" s="26">
        <v>633973</v>
      </c>
      <c r="R546" s="26"/>
      <c r="S546" s="26">
        <v>0</v>
      </c>
      <c r="T546" s="26"/>
      <c r="U546" s="26">
        <v>0</v>
      </c>
      <c r="V546" s="26"/>
      <c r="W546" s="26">
        <f>1125836+505495</f>
        <v>1631331</v>
      </c>
      <c r="X546" s="26"/>
      <c r="Y546" s="54">
        <f t="shared" si="30"/>
        <v>42867364</v>
      </c>
      <c r="Z546" s="26"/>
      <c r="AA546" s="26">
        <v>32625</v>
      </c>
      <c r="AB546" s="26"/>
      <c r="AC546" s="26"/>
      <c r="AD546" s="26"/>
      <c r="AE546" s="26">
        <v>25985</v>
      </c>
      <c r="AF546" s="26"/>
      <c r="AG546" s="26"/>
      <c r="AH546" s="26"/>
      <c r="AI546" s="26"/>
      <c r="AJ546" s="26"/>
      <c r="AK546" s="26">
        <v>0</v>
      </c>
      <c r="AL546" s="26"/>
      <c r="AM546" s="26">
        <v>0</v>
      </c>
      <c r="AN546" s="26"/>
      <c r="AO546" s="26">
        <v>0</v>
      </c>
      <c r="AP546" s="26"/>
      <c r="AQ546" s="26">
        <v>0</v>
      </c>
      <c r="AR546" s="26"/>
      <c r="AS546" s="54">
        <f t="shared" si="31"/>
        <v>58610</v>
      </c>
      <c r="AT546" s="26"/>
      <c r="AU546" s="54">
        <f t="shared" si="32"/>
        <v>42925974</v>
      </c>
    </row>
    <row r="547" spans="1:47">
      <c r="A547" s="13" t="s">
        <v>697</v>
      </c>
      <c r="B547" s="13"/>
      <c r="C547" s="13" t="s">
        <v>64</v>
      </c>
      <c r="D547" s="13"/>
      <c r="E547" s="32">
        <v>44990</v>
      </c>
      <c r="F547" s="26"/>
      <c r="G547" s="26">
        <v>18144285</v>
      </c>
      <c r="H547" s="26"/>
      <c r="I547" s="26">
        <v>0</v>
      </c>
      <c r="J547" s="26"/>
      <c r="K547" s="26">
        <f>79689393+7058779</f>
        <v>86748172</v>
      </c>
      <c r="L547" s="26"/>
      <c r="M547" s="26">
        <v>2994149</v>
      </c>
      <c r="N547" s="26"/>
      <c r="O547" s="26">
        <f>1145928+62178+33039</f>
        <v>1241145</v>
      </c>
      <c r="P547" s="26"/>
      <c r="Q547" s="26">
        <v>254692</v>
      </c>
      <c r="R547" s="26"/>
      <c r="S547" s="26">
        <v>0</v>
      </c>
      <c r="T547" s="26"/>
      <c r="U547" s="26">
        <v>0</v>
      </c>
      <c r="V547" s="26"/>
      <c r="W547" s="26">
        <f>412706+579628</f>
        <v>992334</v>
      </c>
      <c r="X547" s="26"/>
      <c r="Y547" s="54">
        <f t="shared" si="30"/>
        <v>110374777</v>
      </c>
      <c r="Z547" s="26"/>
      <c r="AA547" s="26">
        <v>3762408</v>
      </c>
      <c r="AB547" s="26"/>
      <c r="AC547" s="26"/>
      <c r="AD547" s="26"/>
      <c r="AE547" s="26">
        <v>62631</v>
      </c>
      <c r="AF547" s="26"/>
      <c r="AG547" s="26"/>
      <c r="AH547" s="26"/>
      <c r="AI547" s="26"/>
      <c r="AJ547" s="26"/>
      <c r="AK547" s="26">
        <v>0</v>
      </c>
      <c r="AL547" s="26"/>
      <c r="AM547" s="26">
        <v>0</v>
      </c>
      <c r="AN547" s="26"/>
      <c r="AO547" s="26">
        <v>0</v>
      </c>
      <c r="AP547" s="26"/>
      <c r="AQ547" s="26">
        <v>0</v>
      </c>
      <c r="AR547" s="26"/>
      <c r="AS547" s="54">
        <f t="shared" si="31"/>
        <v>3825039</v>
      </c>
      <c r="AT547" s="26"/>
      <c r="AU547" s="54">
        <f t="shared" si="32"/>
        <v>114199816</v>
      </c>
    </row>
    <row r="548" spans="1:47">
      <c r="A548" s="13" t="s">
        <v>725</v>
      </c>
      <c r="B548" s="13"/>
      <c r="C548" s="13" t="s">
        <v>70</v>
      </c>
      <c r="D548" s="13"/>
      <c r="E548" s="32">
        <v>50500</v>
      </c>
      <c r="F548" s="26"/>
      <c r="G548" s="26">
        <v>6899703</v>
      </c>
      <c r="H548" s="26"/>
      <c r="I548" s="26">
        <v>0</v>
      </c>
      <c r="J548" s="26"/>
      <c r="K548" s="26">
        <v>13874705</v>
      </c>
      <c r="L548" s="26"/>
      <c r="M548" s="26">
        <v>147763</v>
      </c>
      <c r="N548" s="26"/>
      <c r="O548" s="26">
        <v>1320043</v>
      </c>
      <c r="P548" s="26"/>
      <c r="Q548" s="26">
        <v>161415</v>
      </c>
      <c r="R548" s="26"/>
      <c r="S548" s="26">
        <v>0</v>
      </c>
      <c r="T548" s="26"/>
      <c r="U548" s="26">
        <v>52175</v>
      </c>
      <c r="V548" s="26"/>
      <c r="W548" s="26">
        <v>111937</v>
      </c>
      <c r="X548" s="26"/>
      <c r="Y548" s="54">
        <f t="shared" si="30"/>
        <v>22567741</v>
      </c>
      <c r="Z548" s="26"/>
      <c r="AA548" s="26">
        <v>9495</v>
      </c>
      <c r="AB548" s="26"/>
      <c r="AC548" s="26"/>
      <c r="AD548" s="26"/>
      <c r="AE548" s="26">
        <v>0</v>
      </c>
      <c r="AF548" s="26"/>
      <c r="AG548" s="26"/>
      <c r="AH548" s="26"/>
      <c r="AI548" s="26"/>
      <c r="AJ548" s="26"/>
      <c r="AK548" s="26">
        <v>0</v>
      </c>
      <c r="AL548" s="26"/>
      <c r="AM548" s="26">
        <v>0</v>
      </c>
      <c r="AN548" s="26"/>
      <c r="AO548" s="26">
        <v>0</v>
      </c>
      <c r="AP548" s="26"/>
      <c r="AQ548" s="26">
        <v>0</v>
      </c>
      <c r="AR548" s="26"/>
      <c r="AS548" s="54">
        <f t="shared" si="31"/>
        <v>9495</v>
      </c>
      <c r="AT548" s="26"/>
      <c r="AU548" s="54">
        <f t="shared" si="32"/>
        <v>22577236</v>
      </c>
    </row>
    <row r="549" spans="1:47">
      <c r="A549" s="13" t="s">
        <v>328</v>
      </c>
      <c r="B549" s="13"/>
      <c r="C549" s="13" t="s">
        <v>20</v>
      </c>
      <c r="D549" s="13"/>
      <c r="E549" s="13">
        <v>45005</v>
      </c>
      <c r="F549" s="26"/>
      <c r="G549" s="26">
        <v>22685405</v>
      </c>
      <c r="H549" s="26"/>
      <c r="I549" s="26">
        <v>0</v>
      </c>
      <c r="J549" s="26"/>
      <c r="K549" s="26">
        <v>16914544</v>
      </c>
      <c r="L549" s="26"/>
      <c r="M549" s="26">
        <v>331395</v>
      </c>
      <c r="N549" s="26"/>
      <c r="O549" s="26">
        <v>48423</v>
      </c>
      <c r="P549" s="26"/>
      <c r="Q549" s="26">
        <v>116555</v>
      </c>
      <c r="R549" s="26"/>
      <c r="S549" s="26">
        <v>0</v>
      </c>
      <c r="T549" s="26"/>
      <c r="U549" s="26">
        <v>7907</v>
      </c>
      <c r="V549" s="26"/>
      <c r="W549" s="26">
        <f>141632+1287+131247</f>
        <v>274166</v>
      </c>
      <c r="X549" s="26"/>
      <c r="Y549" s="54">
        <f t="shared" si="30"/>
        <v>40378395</v>
      </c>
      <c r="Z549" s="26"/>
      <c r="AA549" s="26">
        <v>1087975</v>
      </c>
      <c r="AB549" s="26"/>
      <c r="AC549" s="26"/>
      <c r="AD549" s="26"/>
      <c r="AE549" s="26">
        <v>275000</v>
      </c>
      <c r="AF549" s="26"/>
      <c r="AG549" s="26"/>
      <c r="AH549" s="26"/>
      <c r="AI549" s="26"/>
      <c r="AJ549" s="26"/>
      <c r="AK549" s="26">
        <v>0</v>
      </c>
      <c r="AL549" s="26"/>
      <c r="AM549" s="26">
        <v>0</v>
      </c>
      <c r="AN549" s="26"/>
      <c r="AO549" s="26">
        <v>0</v>
      </c>
      <c r="AP549" s="26"/>
      <c r="AQ549" s="26">
        <v>0</v>
      </c>
      <c r="AR549" s="26"/>
      <c r="AS549" s="54">
        <f t="shared" si="31"/>
        <v>1362975</v>
      </c>
      <c r="AT549" s="26"/>
      <c r="AU549" s="54">
        <f t="shared" si="32"/>
        <v>41741370</v>
      </c>
    </row>
    <row r="550" spans="1:47" ht="12" customHeight="1">
      <c r="A550" s="13" t="s">
        <v>355</v>
      </c>
      <c r="B550" s="13"/>
      <c r="C550" s="13" t="s">
        <v>26</v>
      </c>
      <c r="D550" s="13"/>
      <c r="E550" s="32">
        <v>45013</v>
      </c>
      <c r="F550" s="26"/>
      <c r="G550" s="26">
        <v>6175499</v>
      </c>
      <c r="H550" s="26"/>
      <c r="I550" s="26">
        <v>0</v>
      </c>
      <c r="J550" s="26"/>
      <c r="K550" s="26">
        <v>34275071</v>
      </c>
      <c r="L550" s="26"/>
      <c r="M550" s="26">
        <v>1384653</v>
      </c>
      <c r="N550" s="26"/>
      <c r="O550" s="26">
        <v>502909</v>
      </c>
      <c r="P550" s="26"/>
      <c r="Q550" s="26">
        <v>271231</v>
      </c>
      <c r="R550" s="26"/>
      <c r="S550" s="26">
        <v>70913</v>
      </c>
      <c r="T550" s="26"/>
      <c r="U550" s="26">
        <v>80393</v>
      </c>
      <c r="V550" s="26"/>
      <c r="W550" s="26">
        <f>77978+46296+359027+4772</f>
        <v>488073</v>
      </c>
      <c r="X550" s="26"/>
      <c r="Y550" s="54">
        <f t="shared" si="30"/>
        <v>43248742</v>
      </c>
      <c r="Z550" s="26"/>
      <c r="AA550" s="26">
        <f>2666000+11836</f>
        <v>2677836</v>
      </c>
      <c r="AB550" s="26"/>
      <c r="AC550" s="26"/>
      <c r="AD550" s="26"/>
      <c r="AE550" s="26"/>
      <c r="AF550" s="26"/>
      <c r="AG550" s="26"/>
      <c r="AH550" s="26"/>
      <c r="AI550" s="26"/>
      <c r="AJ550" s="26"/>
      <c r="AK550" s="26">
        <v>0</v>
      </c>
      <c r="AL550" s="26"/>
      <c r="AM550" s="26">
        <v>0</v>
      </c>
      <c r="AN550" s="26"/>
      <c r="AO550" s="26">
        <v>0</v>
      </c>
      <c r="AP550" s="26"/>
      <c r="AQ550" s="26">
        <v>0</v>
      </c>
      <c r="AR550" s="26"/>
      <c r="AS550" s="54">
        <f t="shared" si="31"/>
        <v>2677836</v>
      </c>
      <c r="AT550" s="26"/>
      <c r="AU550" s="54">
        <f t="shared" si="32"/>
        <v>45926578</v>
      </c>
    </row>
    <row r="551" spans="1:47">
      <c r="A551" s="13" t="s">
        <v>509</v>
      </c>
      <c r="B551" s="13"/>
      <c r="C551" s="13" t="s">
        <v>118</v>
      </c>
      <c r="D551" s="13"/>
      <c r="E551" s="32">
        <v>48231</v>
      </c>
      <c r="F551" s="26"/>
      <c r="G551" s="26">
        <v>34885288</v>
      </c>
      <c r="H551" s="26"/>
      <c r="I551" s="26">
        <v>0</v>
      </c>
      <c r="J551" s="26"/>
      <c r="K551" s="26">
        <f>16733+30117441+4372076</f>
        <v>34506250</v>
      </c>
      <c r="L551" s="26"/>
      <c r="M551" s="26">
        <v>2354967</v>
      </c>
      <c r="N551" s="26"/>
      <c r="O551" s="26">
        <f>930634+124502+175741</f>
        <v>1230877</v>
      </c>
      <c r="P551" s="26"/>
      <c r="Q551" s="26">
        <v>377158</v>
      </c>
      <c r="R551" s="26"/>
      <c r="S551" s="26">
        <v>5843744</v>
      </c>
      <c r="T551" s="26"/>
      <c r="U551" s="26">
        <v>485459</v>
      </c>
      <c r="V551" s="26"/>
      <c r="W551" s="26">
        <f>1054910+237649</f>
        <v>1292559</v>
      </c>
      <c r="X551" s="26"/>
      <c r="Y551" s="54">
        <f t="shared" si="30"/>
        <v>80976302</v>
      </c>
      <c r="Z551" s="26"/>
      <c r="AA551" s="26">
        <v>848571</v>
      </c>
      <c r="AB551" s="26"/>
      <c r="AC551" s="26"/>
      <c r="AD551" s="26"/>
      <c r="AE551" s="26">
        <v>15508</v>
      </c>
      <c r="AF551" s="26"/>
      <c r="AG551" s="26"/>
      <c r="AH551" s="26"/>
      <c r="AI551" s="26"/>
      <c r="AJ551" s="26"/>
      <c r="AK551" s="26">
        <v>0</v>
      </c>
      <c r="AL551" s="26"/>
      <c r="AM551" s="26">
        <v>0</v>
      </c>
      <c r="AN551" s="26"/>
      <c r="AO551" s="26">
        <v>0</v>
      </c>
      <c r="AP551" s="26"/>
      <c r="AQ551" s="26">
        <v>0</v>
      </c>
      <c r="AR551" s="26"/>
      <c r="AS551" s="54">
        <f t="shared" si="31"/>
        <v>864079</v>
      </c>
      <c r="AT551" s="26"/>
      <c r="AU551" s="54">
        <f t="shared" si="32"/>
        <v>81840381</v>
      </c>
    </row>
    <row r="552" spans="1:47">
      <c r="A552" s="13" t="s">
        <v>638</v>
      </c>
      <c r="B552" s="13"/>
      <c r="C552" s="13" t="s">
        <v>59</v>
      </c>
      <c r="D552" s="13"/>
      <c r="E552" s="32">
        <v>49650</v>
      </c>
      <c r="F552" s="26"/>
      <c r="G552" s="26">
        <v>1469126</v>
      </c>
      <c r="H552" s="26"/>
      <c r="I552" s="26">
        <v>0</v>
      </c>
      <c r="J552" s="26"/>
      <c r="K552" s="26">
        <v>12202593</v>
      </c>
      <c r="L552" s="26"/>
      <c r="M552" s="26">
        <f>200853+18323</f>
        <v>219176</v>
      </c>
      <c r="N552" s="26"/>
      <c r="O552" s="26">
        <v>1185791</v>
      </c>
      <c r="P552" s="26"/>
      <c r="Q552" s="26">
        <v>173265</v>
      </c>
      <c r="R552" s="26"/>
      <c r="S552" s="26">
        <v>0</v>
      </c>
      <c r="T552" s="26"/>
      <c r="U552" s="26">
        <v>500</v>
      </c>
      <c r="V552" s="26"/>
      <c r="W552" s="26">
        <f>378803+94376</f>
        <v>473179</v>
      </c>
      <c r="X552" s="26"/>
      <c r="Y552" s="54">
        <f t="shared" si="30"/>
        <v>15723630</v>
      </c>
      <c r="Z552" s="26"/>
      <c r="AA552" s="26">
        <v>230677</v>
      </c>
      <c r="AB552" s="26"/>
      <c r="AC552" s="26"/>
      <c r="AD552" s="26"/>
      <c r="AE552" s="26">
        <v>3351</v>
      </c>
      <c r="AF552" s="26"/>
      <c r="AG552" s="26"/>
      <c r="AH552" s="26"/>
      <c r="AI552" s="26"/>
      <c r="AJ552" s="26"/>
      <c r="AK552" s="26">
        <v>0</v>
      </c>
      <c r="AL552" s="26"/>
      <c r="AM552" s="26">
        <v>0</v>
      </c>
      <c r="AN552" s="26"/>
      <c r="AO552" s="26">
        <v>0</v>
      </c>
      <c r="AP552" s="26"/>
      <c r="AQ552" s="26">
        <v>0</v>
      </c>
      <c r="AR552" s="26"/>
      <c r="AS552" s="54">
        <f t="shared" si="31"/>
        <v>234028</v>
      </c>
      <c r="AT552" s="26"/>
      <c r="AU552" s="54">
        <f t="shared" si="32"/>
        <v>15957658</v>
      </c>
    </row>
    <row r="553" spans="1:47">
      <c r="A553" s="13" t="s">
        <v>603</v>
      </c>
      <c r="B553" s="13"/>
      <c r="C553" s="13" t="s">
        <v>56</v>
      </c>
      <c r="D553" s="13"/>
      <c r="E553" s="32">
        <v>49247</v>
      </c>
      <c r="F553" s="26"/>
      <c r="G553" s="26">
        <v>4098332</v>
      </c>
      <c r="H553" s="26"/>
      <c r="I553" s="26">
        <v>0</v>
      </c>
      <c r="J553" s="26"/>
      <c r="K553" s="26">
        <f>6984507+705523</f>
        <v>7690030</v>
      </c>
      <c r="L553" s="26"/>
      <c r="M553" s="26">
        <v>199330</v>
      </c>
      <c r="N553" s="26"/>
      <c r="O553" s="26">
        <f>199754+47546</f>
        <v>247300</v>
      </c>
      <c r="P553" s="26"/>
      <c r="Q553" s="26">
        <v>155945</v>
      </c>
      <c r="R553" s="26"/>
      <c r="S553" s="26">
        <v>0</v>
      </c>
      <c r="T553" s="26"/>
      <c r="U553" s="26">
        <v>0</v>
      </c>
      <c r="V553" s="26"/>
      <c r="W553" s="26">
        <f>217393+48053</f>
        <v>265446</v>
      </c>
      <c r="X553" s="26"/>
      <c r="Y553" s="54">
        <f t="shared" si="30"/>
        <v>12656383</v>
      </c>
      <c r="Z553" s="26"/>
      <c r="AA553" s="26">
        <v>0</v>
      </c>
      <c r="AB553" s="26"/>
      <c r="AC553" s="26"/>
      <c r="AD553" s="26"/>
      <c r="AE553" s="26">
        <v>0</v>
      </c>
      <c r="AF553" s="26"/>
      <c r="AG553" s="26"/>
      <c r="AH553" s="26"/>
      <c r="AI553" s="26"/>
      <c r="AJ553" s="26"/>
      <c r="AK553" s="26">
        <v>0</v>
      </c>
      <c r="AL553" s="26"/>
      <c r="AM553" s="26">
        <v>0</v>
      </c>
      <c r="AN553" s="26"/>
      <c r="AO553" s="26">
        <v>0</v>
      </c>
      <c r="AP553" s="26"/>
      <c r="AQ553" s="26">
        <v>0</v>
      </c>
      <c r="AR553" s="26"/>
      <c r="AS553" s="54">
        <f t="shared" si="31"/>
        <v>0</v>
      </c>
      <c r="AT553" s="26"/>
      <c r="AU553" s="54">
        <f t="shared" si="32"/>
        <v>12656383</v>
      </c>
    </row>
    <row r="554" spans="1:47">
      <c r="A554" s="13" t="s">
        <v>378</v>
      </c>
      <c r="B554" s="13"/>
      <c r="C554" s="13" t="s">
        <v>28</v>
      </c>
      <c r="D554" s="13"/>
      <c r="E554" s="32">
        <v>45641</v>
      </c>
      <c r="F554" s="26"/>
      <c r="G554" s="26">
        <v>6752235</v>
      </c>
      <c r="H554" s="26"/>
      <c r="I554" s="26">
        <v>0</v>
      </c>
      <c r="J554" s="26"/>
      <c r="K554" s="26">
        <f>247746+23821695+964378</f>
        <v>25033819</v>
      </c>
      <c r="L554" s="26"/>
      <c r="M554" s="26">
        <v>1236628</v>
      </c>
      <c r="N554" s="26"/>
      <c r="O554" s="26">
        <f>747321+30330+83921</f>
        <v>861572</v>
      </c>
      <c r="P554" s="26"/>
      <c r="Q554" s="26">
        <v>99409</v>
      </c>
      <c r="R554" s="26"/>
      <c r="S554" s="26">
        <v>0</v>
      </c>
      <c r="T554" s="26"/>
      <c r="U554" s="26">
        <v>0</v>
      </c>
      <c r="V554" s="26"/>
      <c r="W554" s="26">
        <f>514306+192288</f>
        <v>706594</v>
      </c>
      <c r="X554" s="26"/>
      <c r="Y554" s="54">
        <f t="shared" si="30"/>
        <v>34690257</v>
      </c>
      <c r="Z554" s="26"/>
      <c r="AA554" s="26">
        <v>24419</v>
      </c>
      <c r="AB554" s="26"/>
      <c r="AC554" s="26"/>
      <c r="AD554" s="26"/>
      <c r="AE554" s="26">
        <v>1575</v>
      </c>
      <c r="AF554" s="26"/>
      <c r="AG554" s="26"/>
      <c r="AH554" s="26"/>
      <c r="AI554" s="26"/>
      <c r="AJ554" s="26"/>
      <c r="AK554" s="26">
        <v>0</v>
      </c>
      <c r="AL554" s="26"/>
      <c r="AM554" s="26">
        <v>0</v>
      </c>
      <c r="AN554" s="26"/>
      <c r="AO554" s="26">
        <v>0</v>
      </c>
      <c r="AP554" s="26"/>
      <c r="AQ554" s="26">
        <v>0</v>
      </c>
      <c r="AR554" s="26"/>
      <c r="AS554" s="54">
        <f t="shared" si="31"/>
        <v>25994</v>
      </c>
      <c r="AT554" s="26"/>
      <c r="AU554" s="54">
        <f t="shared" si="32"/>
        <v>34716251</v>
      </c>
    </row>
    <row r="555" spans="1:47">
      <c r="A555" s="13" t="s">
        <v>593</v>
      </c>
      <c r="B555" s="13"/>
      <c r="C555" s="13" t="s">
        <v>55</v>
      </c>
      <c r="D555" s="13"/>
      <c r="E555" s="32">
        <v>49148</v>
      </c>
      <c r="F555" s="26"/>
      <c r="G555" s="26">
        <v>3602797</v>
      </c>
      <c r="H555" s="26"/>
      <c r="I555" s="26">
        <v>0</v>
      </c>
      <c r="J555" s="26"/>
      <c r="K555" s="26">
        <v>13488297</v>
      </c>
      <c r="L555" s="26"/>
      <c r="M555" s="26">
        <v>177591</v>
      </c>
      <c r="N555" s="26"/>
      <c r="O555" s="26">
        <v>719158</v>
      </c>
      <c r="P555" s="26"/>
      <c r="Q555" s="26">
        <v>193393</v>
      </c>
      <c r="R555" s="26"/>
      <c r="S555" s="26">
        <v>63215</v>
      </c>
      <c r="T555" s="26"/>
      <c r="U555" s="26">
        <v>19477</v>
      </c>
      <c r="V555" s="26"/>
      <c r="W555" s="26">
        <f>303078+2498+86842</f>
        <v>392418</v>
      </c>
      <c r="X555" s="26"/>
      <c r="Y555" s="54">
        <f t="shared" si="30"/>
        <v>18656346</v>
      </c>
      <c r="Z555" s="26"/>
      <c r="AA555" s="26">
        <v>131996</v>
      </c>
      <c r="AB555" s="26"/>
      <c r="AC555" s="26"/>
      <c r="AD555" s="26"/>
      <c r="AE555" s="26">
        <v>247800</v>
      </c>
      <c r="AF555" s="26"/>
      <c r="AG555" s="26"/>
      <c r="AH555" s="26"/>
      <c r="AI555" s="26"/>
      <c r="AJ555" s="26"/>
      <c r="AK555" s="26">
        <v>0</v>
      </c>
      <c r="AL555" s="26"/>
      <c r="AM555" s="26">
        <v>0</v>
      </c>
      <c r="AN555" s="26"/>
      <c r="AO555" s="26">
        <v>0</v>
      </c>
      <c r="AP555" s="26"/>
      <c r="AQ555" s="26">
        <v>0</v>
      </c>
      <c r="AR555" s="26"/>
      <c r="AS555" s="54">
        <f t="shared" si="31"/>
        <v>379796</v>
      </c>
      <c r="AT555" s="26"/>
      <c r="AU555" s="54">
        <f t="shared" si="32"/>
        <v>19036142</v>
      </c>
    </row>
    <row r="556" spans="1:47" hidden="1">
      <c r="A556" s="13" t="s">
        <v>720</v>
      </c>
      <c r="B556" s="13"/>
      <c r="C556" s="13" t="s">
        <v>69</v>
      </c>
      <c r="D556" s="13"/>
      <c r="E556" s="32">
        <v>50468</v>
      </c>
      <c r="F556" s="26"/>
      <c r="G556" s="26">
        <v>0</v>
      </c>
      <c r="H556" s="26"/>
      <c r="I556" s="26">
        <v>0</v>
      </c>
      <c r="J556" s="26"/>
      <c r="K556" s="26">
        <v>0</v>
      </c>
      <c r="L556" s="26"/>
      <c r="M556" s="26">
        <v>0</v>
      </c>
      <c r="N556" s="26"/>
      <c r="O556" s="26">
        <v>0</v>
      </c>
      <c r="P556" s="26"/>
      <c r="Q556" s="26">
        <v>0</v>
      </c>
      <c r="R556" s="26"/>
      <c r="S556" s="26">
        <v>0</v>
      </c>
      <c r="T556" s="26"/>
      <c r="U556" s="26">
        <v>0</v>
      </c>
      <c r="V556" s="26"/>
      <c r="W556" s="26">
        <v>0</v>
      </c>
      <c r="X556" s="26"/>
      <c r="Y556" s="54">
        <f t="shared" si="30"/>
        <v>0</v>
      </c>
      <c r="Z556" s="26"/>
      <c r="AA556" s="26">
        <v>0</v>
      </c>
      <c r="AB556" s="26"/>
      <c r="AC556" s="26"/>
      <c r="AD556" s="26"/>
      <c r="AE556" s="26">
        <v>0</v>
      </c>
      <c r="AF556" s="26"/>
      <c r="AG556" s="26"/>
      <c r="AH556" s="26"/>
      <c r="AI556" s="26"/>
      <c r="AJ556" s="26"/>
      <c r="AK556" s="26">
        <v>0</v>
      </c>
      <c r="AL556" s="26"/>
      <c r="AM556" s="26">
        <v>0</v>
      </c>
      <c r="AN556" s="26"/>
      <c r="AO556" s="26">
        <v>0</v>
      </c>
      <c r="AP556" s="26"/>
      <c r="AQ556" s="26">
        <v>0</v>
      </c>
      <c r="AR556" s="26"/>
      <c r="AS556" s="54">
        <f t="shared" si="31"/>
        <v>0</v>
      </c>
      <c r="AT556" s="26"/>
      <c r="AU556" s="54">
        <f t="shared" si="32"/>
        <v>0</v>
      </c>
    </row>
    <row r="557" spans="1:47" hidden="1">
      <c r="A557" s="13" t="s">
        <v>585</v>
      </c>
      <c r="B557" s="13"/>
      <c r="C557" s="13" t="s">
        <v>583</v>
      </c>
      <c r="D557" s="13"/>
      <c r="E557" s="32">
        <v>49031</v>
      </c>
      <c r="F557" s="26"/>
      <c r="G557" s="26">
        <v>0</v>
      </c>
      <c r="H557" s="26"/>
      <c r="I557" s="26">
        <v>0</v>
      </c>
      <c r="J557" s="26"/>
      <c r="K557" s="26">
        <v>0</v>
      </c>
      <c r="L557" s="26"/>
      <c r="M557" s="26">
        <v>0</v>
      </c>
      <c r="N557" s="26"/>
      <c r="O557" s="26">
        <v>0</v>
      </c>
      <c r="P557" s="26"/>
      <c r="Q557" s="26">
        <v>0</v>
      </c>
      <c r="R557" s="26"/>
      <c r="S557" s="26">
        <v>0</v>
      </c>
      <c r="T557" s="26"/>
      <c r="U557" s="26">
        <v>0</v>
      </c>
      <c r="V557" s="26"/>
      <c r="W557" s="26">
        <v>0</v>
      </c>
      <c r="X557" s="26"/>
      <c r="Y557" s="54">
        <f t="shared" si="30"/>
        <v>0</v>
      </c>
      <c r="Z557" s="26"/>
      <c r="AA557" s="26">
        <v>0</v>
      </c>
      <c r="AB557" s="26"/>
      <c r="AC557" s="26"/>
      <c r="AD557" s="26"/>
      <c r="AE557" s="26">
        <v>0</v>
      </c>
      <c r="AF557" s="26"/>
      <c r="AG557" s="26"/>
      <c r="AH557" s="26"/>
      <c r="AI557" s="26"/>
      <c r="AJ557" s="26"/>
      <c r="AK557" s="26">
        <v>0</v>
      </c>
      <c r="AL557" s="26"/>
      <c r="AM557" s="26">
        <v>0</v>
      </c>
      <c r="AN557" s="26"/>
      <c r="AO557" s="26">
        <v>0</v>
      </c>
      <c r="AP557" s="26"/>
      <c r="AQ557" s="26">
        <v>0</v>
      </c>
      <c r="AR557" s="26"/>
      <c r="AS557" s="54">
        <f t="shared" si="31"/>
        <v>0</v>
      </c>
      <c r="AT557" s="26"/>
      <c r="AU557" s="54">
        <f t="shared" si="32"/>
        <v>0</v>
      </c>
    </row>
    <row r="558" spans="1:47" hidden="1">
      <c r="A558" s="13" t="s">
        <v>233</v>
      </c>
      <c r="B558" s="13"/>
      <c r="C558" s="13" t="s">
        <v>14</v>
      </c>
      <c r="D558" s="13"/>
      <c r="E558" s="32">
        <v>45971</v>
      </c>
      <c r="F558" s="26"/>
      <c r="G558" s="26">
        <v>0</v>
      </c>
      <c r="H558" s="26"/>
      <c r="I558" s="26">
        <v>0</v>
      </c>
      <c r="J558" s="26"/>
      <c r="K558" s="26">
        <v>0</v>
      </c>
      <c r="L558" s="26"/>
      <c r="M558" s="26">
        <v>0</v>
      </c>
      <c r="N558" s="26"/>
      <c r="O558" s="26">
        <v>0</v>
      </c>
      <c r="P558" s="26"/>
      <c r="Q558" s="26">
        <v>0</v>
      </c>
      <c r="R558" s="26"/>
      <c r="S558" s="26">
        <v>0</v>
      </c>
      <c r="T558" s="26"/>
      <c r="U558" s="26">
        <v>0</v>
      </c>
      <c r="V558" s="26"/>
      <c r="W558" s="26">
        <v>0</v>
      </c>
      <c r="X558" s="26"/>
      <c r="Y558" s="54">
        <f t="shared" si="30"/>
        <v>0</v>
      </c>
      <c r="Z558" s="26"/>
      <c r="AA558" s="26">
        <v>0</v>
      </c>
      <c r="AB558" s="26"/>
      <c r="AC558" s="26"/>
      <c r="AD558" s="26"/>
      <c r="AE558" s="26">
        <v>0</v>
      </c>
      <c r="AF558" s="26"/>
      <c r="AG558" s="26"/>
      <c r="AH558" s="26"/>
      <c r="AI558" s="26"/>
      <c r="AJ558" s="26"/>
      <c r="AK558" s="26">
        <v>0</v>
      </c>
      <c r="AL558" s="26"/>
      <c r="AM558" s="26">
        <v>0</v>
      </c>
      <c r="AN558" s="26"/>
      <c r="AO558" s="26">
        <v>0</v>
      </c>
      <c r="AP558" s="26"/>
      <c r="AQ558" s="26">
        <v>0</v>
      </c>
      <c r="AR558" s="26"/>
      <c r="AS558" s="54">
        <f t="shared" si="31"/>
        <v>0</v>
      </c>
      <c r="AT558" s="26"/>
      <c r="AU558" s="54">
        <f t="shared" si="32"/>
        <v>0</v>
      </c>
    </row>
    <row r="559" spans="1:47">
      <c r="A559" s="13" t="s">
        <v>698</v>
      </c>
      <c r="B559" s="13"/>
      <c r="C559" s="13" t="s">
        <v>64</v>
      </c>
      <c r="D559" s="13"/>
      <c r="E559" s="32">
        <v>50252</v>
      </c>
      <c r="F559" s="26"/>
      <c r="G559" s="26">
        <v>3373340</v>
      </c>
      <c r="H559" s="26"/>
      <c r="I559" s="26">
        <v>0</v>
      </c>
      <c r="J559" s="26"/>
      <c r="K559" s="26">
        <f>4259337+642770</f>
        <v>4902107</v>
      </c>
      <c r="L559" s="26"/>
      <c r="M559" s="26">
        <v>107789</v>
      </c>
      <c r="N559" s="26"/>
      <c r="O559" s="26">
        <f>1150204+31864</f>
        <v>1182068</v>
      </c>
      <c r="P559" s="26"/>
      <c r="Q559" s="26">
        <v>152614</v>
      </c>
      <c r="R559" s="26"/>
      <c r="S559" s="26">
        <v>0</v>
      </c>
      <c r="T559" s="26"/>
      <c r="U559" s="26">
        <v>0</v>
      </c>
      <c r="V559" s="26"/>
      <c r="W559" s="26">
        <f>170832+98484</f>
        <v>269316</v>
      </c>
      <c r="X559" s="26"/>
      <c r="Y559" s="54">
        <f t="shared" si="30"/>
        <v>9987234</v>
      </c>
      <c r="Z559" s="26"/>
      <c r="AA559" s="26">
        <v>65090</v>
      </c>
      <c r="AB559" s="26"/>
      <c r="AC559" s="26"/>
      <c r="AD559" s="26"/>
      <c r="AE559" s="26">
        <v>0</v>
      </c>
      <c r="AF559" s="26"/>
      <c r="AG559" s="26"/>
      <c r="AH559" s="26"/>
      <c r="AI559" s="26"/>
      <c r="AJ559" s="26"/>
      <c r="AK559" s="26">
        <v>0</v>
      </c>
      <c r="AL559" s="26"/>
      <c r="AM559" s="26">
        <v>0</v>
      </c>
      <c r="AN559" s="26"/>
      <c r="AO559" s="26">
        <v>0</v>
      </c>
      <c r="AP559" s="26"/>
      <c r="AQ559" s="26">
        <v>0</v>
      </c>
      <c r="AR559" s="26"/>
      <c r="AS559" s="54">
        <f t="shared" si="31"/>
        <v>65090</v>
      </c>
      <c r="AT559" s="26"/>
      <c r="AU559" s="54">
        <f t="shared" si="32"/>
        <v>10052324</v>
      </c>
    </row>
    <row r="560" spans="1:47">
      <c r="A560" s="13" t="s">
        <v>501</v>
      </c>
      <c r="B560" s="13"/>
      <c r="C560" s="13" t="s">
        <v>44</v>
      </c>
      <c r="D560" s="13"/>
      <c r="E560" s="32">
        <v>45658</v>
      </c>
      <c r="F560" s="26"/>
      <c r="G560" s="26">
        <v>3952245</v>
      </c>
      <c r="H560" s="26"/>
      <c r="I560" s="26">
        <v>1758446</v>
      </c>
      <c r="J560" s="26"/>
      <c r="K560" s="26">
        <v>7285818</v>
      </c>
      <c r="L560" s="26"/>
      <c r="M560" s="26">
        <v>171425</v>
      </c>
      <c r="N560" s="26"/>
      <c r="O560" s="26">
        <v>357410</v>
      </c>
      <c r="P560" s="26"/>
      <c r="Q560" s="26">
        <v>308293</v>
      </c>
      <c r="R560" s="26"/>
      <c r="S560" s="26">
        <v>0</v>
      </c>
      <c r="T560" s="26"/>
      <c r="U560" s="26">
        <v>70538</v>
      </c>
      <c r="V560" s="26"/>
      <c r="W560" s="26">
        <f>307077+48811</f>
        <v>355888</v>
      </c>
      <c r="X560" s="26"/>
      <c r="Y560" s="54">
        <f t="shared" si="30"/>
        <v>14260063</v>
      </c>
      <c r="Z560" s="26"/>
      <c r="AA560" s="26">
        <v>567886</v>
      </c>
      <c r="AB560" s="26"/>
      <c r="AC560" s="26"/>
      <c r="AD560" s="26"/>
      <c r="AE560" s="26">
        <v>2750</v>
      </c>
      <c r="AF560" s="26"/>
      <c r="AG560" s="26"/>
      <c r="AH560" s="26"/>
      <c r="AI560" s="26"/>
      <c r="AJ560" s="26"/>
      <c r="AK560" s="26">
        <v>0</v>
      </c>
      <c r="AL560" s="26"/>
      <c r="AM560" s="26">
        <v>0</v>
      </c>
      <c r="AN560" s="26"/>
      <c r="AO560" s="26">
        <v>0</v>
      </c>
      <c r="AP560" s="26"/>
      <c r="AQ560" s="26">
        <v>0</v>
      </c>
      <c r="AR560" s="26"/>
      <c r="AS560" s="54">
        <f t="shared" si="31"/>
        <v>570636</v>
      </c>
      <c r="AT560" s="26"/>
      <c r="AU560" s="54">
        <f t="shared" si="32"/>
        <v>14830699</v>
      </c>
    </row>
    <row r="561" spans="1:47">
      <c r="A561" s="13" t="s">
        <v>454</v>
      </c>
      <c r="B561" s="13"/>
      <c r="C561" s="13" t="s">
        <v>38</v>
      </c>
      <c r="D561" s="13"/>
      <c r="E561" s="32">
        <v>45021</v>
      </c>
      <c r="F561" s="26"/>
      <c r="G561" s="26">
        <v>2636257</v>
      </c>
      <c r="H561" s="26"/>
      <c r="I561" s="26">
        <v>0</v>
      </c>
      <c r="J561" s="26"/>
      <c r="K561" s="26">
        <v>13225102</v>
      </c>
      <c r="L561" s="26"/>
      <c r="M561" s="26">
        <v>304043</v>
      </c>
      <c r="N561" s="26"/>
      <c r="O561" s="26">
        <v>350268</v>
      </c>
      <c r="P561" s="26"/>
      <c r="Q561" s="26">
        <v>95520</v>
      </c>
      <c r="R561" s="26"/>
      <c r="S561" s="26">
        <v>0</v>
      </c>
      <c r="T561" s="26"/>
      <c r="U561" s="26">
        <v>70123</v>
      </c>
      <c r="V561" s="26"/>
      <c r="W561" s="26">
        <f>3900+291490+13281</f>
        <v>308671</v>
      </c>
      <c r="X561" s="26"/>
      <c r="Y561" s="54">
        <f t="shared" si="30"/>
        <v>16989984</v>
      </c>
      <c r="Z561" s="26"/>
      <c r="AA561" s="26">
        <v>0</v>
      </c>
      <c r="AB561" s="26"/>
      <c r="AC561" s="26"/>
      <c r="AD561" s="26"/>
      <c r="AE561" s="26">
        <v>0</v>
      </c>
      <c r="AF561" s="26"/>
      <c r="AG561" s="26"/>
      <c r="AH561" s="26"/>
      <c r="AI561" s="26"/>
      <c r="AJ561" s="26"/>
      <c r="AK561" s="26">
        <v>11000</v>
      </c>
      <c r="AL561" s="26"/>
      <c r="AM561" s="26">
        <v>0</v>
      </c>
      <c r="AN561" s="26"/>
      <c r="AO561" s="26">
        <v>0</v>
      </c>
      <c r="AP561" s="26"/>
      <c r="AQ561" s="26">
        <v>0</v>
      </c>
      <c r="AR561" s="26"/>
      <c r="AS561" s="54">
        <f t="shared" si="31"/>
        <v>11000</v>
      </c>
      <c r="AT561" s="26"/>
      <c r="AU561" s="54">
        <f t="shared" si="32"/>
        <v>17000984</v>
      </c>
    </row>
    <row r="562" spans="1:47">
      <c r="A562" s="13" t="s">
        <v>290</v>
      </c>
      <c r="B562" s="13"/>
      <c r="C562" s="13" t="s">
        <v>115</v>
      </c>
      <c r="D562" s="13"/>
      <c r="E562" s="32">
        <v>45039</v>
      </c>
      <c r="F562" s="26"/>
      <c r="G562" s="26">
        <v>1328161</v>
      </c>
      <c r="H562" s="26"/>
      <c r="I562" s="26">
        <v>0</v>
      </c>
      <c r="J562" s="26"/>
      <c r="K562" s="26">
        <v>6804098</v>
      </c>
      <c r="L562" s="26"/>
      <c r="M562" s="26">
        <v>92955</v>
      </c>
      <c r="N562" s="26"/>
      <c r="O562" s="26">
        <v>546386</v>
      </c>
      <c r="P562" s="26"/>
      <c r="Q562" s="26">
        <v>80313</v>
      </c>
      <c r="R562" s="26"/>
      <c r="S562" s="26">
        <v>0</v>
      </c>
      <c r="T562" s="26"/>
      <c r="U562" s="26">
        <v>21537</v>
      </c>
      <c r="V562" s="26"/>
      <c r="W562" s="26">
        <f>85602+95909</f>
        <v>181511</v>
      </c>
      <c r="X562" s="26"/>
      <c r="Y562" s="54">
        <f t="shared" si="30"/>
        <v>9054961</v>
      </c>
      <c r="Z562" s="26"/>
      <c r="AA562" s="26">
        <v>0</v>
      </c>
      <c r="AB562" s="26"/>
      <c r="AC562" s="26"/>
      <c r="AD562" s="26"/>
      <c r="AE562" s="26">
        <v>0</v>
      </c>
      <c r="AF562" s="26"/>
      <c r="AG562" s="26"/>
      <c r="AH562" s="26"/>
      <c r="AI562" s="26"/>
      <c r="AJ562" s="26"/>
      <c r="AK562" s="26">
        <v>0</v>
      </c>
      <c r="AL562" s="26"/>
      <c r="AM562" s="26">
        <v>0</v>
      </c>
      <c r="AN562" s="26"/>
      <c r="AO562" s="26">
        <v>0</v>
      </c>
      <c r="AP562" s="26"/>
      <c r="AQ562" s="26">
        <v>0</v>
      </c>
      <c r="AR562" s="26"/>
      <c r="AS562" s="54">
        <f t="shared" si="31"/>
        <v>0</v>
      </c>
      <c r="AT562" s="26"/>
      <c r="AU562" s="54">
        <f t="shared" si="32"/>
        <v>9054961</v>
      </c>
    </row>
    <row r="563" spans="1:47">
      <c r="A563" s="13" t="s">
        <v>524</v>
      </c>
      <c r="B563" s="13"/>
      <c r="C563" s="13" t="s">
        <v>45</v>
      </c>
      <c r="D563" s="13"/>
      <c r="E563" s="32">
        <v>48389</v>
      </c>
      <c r="F563" s="26"/>
      <c r="G563" s="26">
        <v>4873098</v>
      </c>
      <c r="H563" s="26"/>
      <c r="I563" s="26">
        <v>0</v>
      </c>
      <c r="J563" s="26"/>
      <c r="K563" s="26">
        <f>5461+12544739+1186065</f>
        <v>13736265</v>
      </c>
      <c r="L563" s="26"/>
      <c r="M563" s="26">
        <v>219070</v>
      </c>
      <c r="N563" s="26"/>
      <c r="O563" s="26">
        <f>1198219+32995</f>
        <v>1231214</v>
      </c>
      <c r="P563" s="26"/>
      <c r="Q563" s="26">
        <v>344084</v>
      </c>
      <c r="R563" s="26"/>
      <c r="S563" s="26">
        <v>0</v>
      </c>
      <c r="T563" s="26"/>
      <c r="U563" s="26">
        <v>0</v>
      </c>
      <c r="V563" s="26"/>
      <c r="W563" s="26">
        <f>551109+357285</f>
        <v>908394</v>
      </c>
      <c r="X563" s="26"/>
      <c r="Y563" s="54">
        <f t="shared" si="30"/>
        <v>21312125</v>
      </c>
      <c r="Z563" s="26"/>
      <c r="AA563" s="26">
        <v>42100</v>
      </c>
      <c r="AB563" s="26"/>
      <c r="AC563" s="26"/>
      <c r="AD563" s="26"/>
      <c r="AE563" s="26">
        <v>38899</v>
      </c>
      <c r="AF563" s="26"/>
      <c r="AG563" s="26"/>
      <c r="AH563" s="26"/>
      <c r="AI563" s="26"/>
      <c r="AJ563" s="26"/>
      <c r="AK563" s="26">
        <v>83202</v>
      </c>
      <c r="AL563" s="26"/>
      <c r="AM563" s="26">
        <v>0</v>
      </c>
      <c r="AN563" s="26"/>
      <c r="AO563" s="26">
        <v>0</v>
      </c>
      <c r="AP563" s="26"/>
      <c r="AQ563" s="26">
        <v>0</v>
      </c>
      <c r="AR563" s="26"/>
      <c r="AS563" s="54">
        <f t="shared" si="31"/>
        <v>164201</v>
      </c>
      <c r="AT563" s="26"/>
      <c r="AU563" s="54">
        <f t="shared" si="32"/>
        <v>21476326</v>
      </c>
    </row>
    <row r="564" spans="1:47">
      <c r="A564" s="13" t="s">
        <v>276</v>
      </c>
      <c r="B564" s="13"/>
      <c r="C564" s="13" t="s">
        <v>116</v>
      </c>
      <c r="D564" s="13"/>
      <c r="E564" s="32">
        <v>46359</v>
      </c>
      <c r="F564" s="26"/>
      <c r="G564" s="26">
        <v>41098054</v>
      </c>
      <c r="H564" s="26"/>
      <c r="I564" s="26">
        <v>0</v>
      </c>
      <c r="J564" s="26"/>
      <c r="K564" s="26">
        <v>36687425</v>
      </c>
      <c r="L564" s="26"/>
      <c r="M564" s="26">
        <v>736939</v>
      </c>
      <c r="N564" s="26"/>
      <c r="O564" s="26">
        <v>1165775</v>
      </c>
      <c r="P564" s="26"/>
      <c r="Q564" s="26">
        <v>545251</v>
      </c>
      <c r="R564" s="26"/>
      <c r="S564" s="26">
        <v>0</v>
      </c>
      <c r="T564" s="26"/>
      <c r="U564" s="26">
        <v>0</v>
      </c>
      <c r="V564" s="26"/>
      <c r="W564" s="26">
        <f>1551510+500634</f>
        <v>2052144</v>
      </c>
      <c r="X564" s="26"/>
      <c r="Y564" s="54">
        <f t="shared" si="30"/>
        <v>82285588</v>
      </c>
      <c r="Z564" s="26"/>
      <c r="AA564" s="26">
        <v>0</v>
      </c>
      <c r="AB564" s="26"/>
      <c r="AC564" s="26"/>
      <c r="AD564" s="26"/>
      <c r="AE564" s="26">
        <v>0</v>
      </c>
      <c r="AF564" s="26"/>
      <c r="AG564" s="26"/>
      <c r="AH564" s="26"/>
      <c r="AI564" s="26"/>
      <c r="AJ564" s="26"/>
      <c r="AK564" s="26">
        <v>33248998</v>
      </c>
      <c r="AL564" s="26"/>
      <c r="AM564" s="26">
        <v>0</v>
      </c>
      <c r="AN564" s="26"/>
      <c r="AO564" s="26">
        <v>0</v>
      </c>
      <c r="AP564" s="26"/>
      <c r="AQ564" s="26">
        <v>0</v>
      </c>
      <c r="AR564" s="26"/>
      <c r="AS564" s="54">
        <f t="shared" si="31"/>
        <v>33248998</v>
      </c>
      <c r="AT564" s="26"/>
      <c r="AU564" s="54">
        <f t="shared" si="32"/>
        <v>115534586</v>
      </c>
    </row>
    <row r="565" spans="1:47">
      <c r="A565" s="13" t="s">
        <v>387</v>
      </c>
      <c r="B565" s="13"/>
      <c r="C565" s="13" t="s">
        <v>30</v>
      </c>
      <c r="D565" s="13"/>
      <c r="E565" s="32">
        <v>47225</v>
      </c>
      <c r="F565" s="26"/>
      <c r="G565" s="26">
        <v>18622281</v>
      </c>
      <c r="H565" s="26"/>
      <c r="I565" s="26">
        <v>0</v>
      </c>
      <c r="J565" s="26"/>
      <c r="K565" s="26">
        <v>8163764</v>
      </c>
      <c r="L565" s="26"/>
      <c r="M565" s="26">
        <v>513410</v>
      </c>
      <c r="N565" s="26"/>
      <c r="O565" s="26">
        <v>296717</v>
      </c>
      <c r="P565" s="26"/>
      <c r="Q565" s="26">
        <v>433306</v>
      </c>
      <c r="R565" s="26"/>
      <c r="S565" s="26">
        <v>0</v>
      </c>
      <c r="T565" s="26"/>
      <c r="U565" s="26">
        <v>181553</v>
      </c>
      <c r="V565" s="26"/>
      <c r="W565" s="26">
        <f>17438+8533+26352</f>
        <v>52323</v>
      </c>
      <c r="X565" s="26"/>
      <c r="Y565" s="54">
        <f t="shared" si="30"/>
        <v>28263354</v>
      </c>
      <c r="Z565" s="26"/>
      <c r="AA565" s="26">
        <v>207459</v>
      </c>
      <c r="AB565" s="26"/>
      <c r="AC565" s="26"/>
      <c r="AD565" s="26"/>
      <c r="AE565" s="26">
        <v>0</v>
      </c>
      <c r="AF565" s="26"/>
      <c r="AG565" s="26"/>
      <c r="AH565" s="26"/>
      <c r="AI565" s="26"/>
      <c r="AJ565" s="26"/>
      <c r="AK565" s="26">
        <v>0</v>
      </c>
      <c r="AL565" s="26"/>
      <c r="AM565" s="26">
        <v>0</v>
      </c>
      <c r="AN565" s="26"/>
      <c r="AO565" s="26">
        <v>0</v>
      </c>
      <c r="AP565" s="26"/>
      <c r="AQ565" s="26">
        <v>0</v>
      </c>
      <c r="AR565" s="26"/>
      <c r="AS565" s="54">
        <f t="shared" si="31"/>
        <v>207459</v>
      </c>
      <c r="AT565" s="26"/>
      <c r="AU565" s="54">
        <f t="shared" si="32"/>
        <v>28470813</v>
      </c>
    </row>
    <row r="566" spans="1:47">
      <c r="A566" s="13" t="s">
        <v>447</v>
      </c>
      <c r="B566" s="13"/>
      <c r="C566" s="13" t="s">
        <v>36</v>
      </c>
      <c r="D566" s="13"/>
      <c r="E566" s="32">
        <v>47696</v>
      </c>
      <c r="F566" s="26"/>
      <c r="G566" s="26">
        <v>7771007</v>
      </c>
      <c r="H566" s="26"/>
      <c r="I566" s="26">
        <v>0</v>
      </c>
      <c r="J566" s="26"/>
      <c r="K566" s="26">
        <v>14453629</v>
      </c>
      <c r="L566" s="26"/>
      <c r="M566" s="26">
        <v>500163</v>
      </c>
      <c r="N566" s="26"/>
      <c r="O566" s="26">
        <v>461061</v>
      </c>
      <c r="P566" s="26"/>
      <c r="Q566" s="26">
        <v>305101</v>
      </c>
      <c r="R566" s="26"/>
      <c r="S566" s="26">
        <v>0</v>
      </c>
      <c r="T566" s="26"/>
      <c r="U566" s="26">
        <v>23361</v>
      </c>
      <c r="V566" s="26"/>
      <c r="W566" s="26">
        <f>82202+510795+13634</f>
        <v>606631</v>
      </c>
      <c r="X566" s="26"/>
      <c r="Y566" s="54">
        <f t="shared" si="30"/>
        <v>24120953</v>
      </c>
      <c r="Z566" s="26"/>
      <c r="AA566" s="26">
        <v>25000</v>
      </c>
      <c r="AB566" s="26"/>
      <c r="AC566" s="26"/>
      <c r="AD566" s="26"/>
      <c r="AE566" s="26">
        <v>0</v>
      </c>
      <c r="AF566" s="26"/>
      <c r="AG566" s="26"/>
      <c r="AH566" s="26"/>
      <c r="AI566" s="26"/>
      <c r="AJ566" s="26"/>
      <c r="AK566" s="26">
        <v>0</v>
      </c>
      <c r="AL566" s="26"/>
      <c r="AM566" s="26">
        <v>0</v>
      </c>
      <c r="AN566" s="26"/>
      <c r="AO566" s="26">
        <v>0</v>
      </c>
      <c r="AP566" s="26"/>
      <c r="AQ566" s="26">
        <v>0</v>
      </c>
      <c r="AR566" s="26"/>
      <c r="AS566" s="54">
        <f t="shared" si="31"/>
        <v>25000</v>
      </c>
      <c r="AT566" s="26"/>
      <c r="AU566" s="54">
        <f t="shared" si="32"/>
        <v>24145953</v>
      </c>
    </row>
    <row r="567" spans="1:47">
      <c r="A567" s="13" t="s">
        <v>263</v>
      </c>
      <c r="B567" s="13"/>
      <c r="C567" s="13" t="s">
        <v>259</v>
      </c>
      <c r="D567" s="13"/>
      <c r="E567" s="32">
        <v>46219</v>
      </c>
      <c r="F567" s="26"/>
      <c r="G567" s="26">
        <v>2580970</v>
      </c>
      <c r="H567" s="26"/>
      <c r="I567" s="26">
        <v>1783303</v>
      </c>
      <c r="J567" s="26"/>
      <c r="K567" s="26">
        <f>566486+6272166</f>
        <v>6838652</v>
      </c>
      <c r="L567" s="26"/>
      <c r="M567" s="26">
        <v>186746</v>
      </c>
      <c r="N567" s="26"/>
      <c r="O567" s="26">
        <v>712270</v>
      </c>
      <c r="P567" s="26"/>
      <c r="Q567" s="26">
        <v>228929</v>
      </c>
      <c r="R567" s="26"/>
      <c r="S567" s="26">
        <v>0</v>
      </c>
      <c r="T567" s="26"/>
      <c r="U567" s="26">
        <v>0</v>
      </c>
      <c r="V567" s="26"/>
      <c r="W567" s="26">
        <f>120292+1335+355925</f>
        <v>477552</v>
      </c>
      <c r="X567" s="26"/>
      <c r="Y567" s="54">
        <f t="shared" si="30"/>
        <v>12808422</v>
      </c>
      <c r="Z567" s="26"/>
      <c r="AA567" s="26">
        <v>16000</v>
      </c>
      <c r="AB567" s="26"/>
      <c r="AC567" s="26"/>
      <c r="AD567" s="26"/>
      <c r="AE567" s="26">
        <v>0</v>
      </c>
      <c r="AF567" s="26"/>
      <c r="AG567" s="26"/>
      <c r="AH567" s="26"/>
      <c r="AI567" s="26"/>
      <c r="AJ567" s="26"/>
      <c r="AK567" s="26">
        <v>92676</v>
      </c>
      <c r="AL567" s="26"/>
      <c r="AM567" s="26">
        <v>0</v>
      </c>
      <c r="AN567" s="26"/>
      <c r="AO567" s="26">
        <v>0</v>
      </c>
      <c r="AP567" s="26"/>
      <c r="AQ567" s="26">
        <v>0</v>
      </c>
      <c r="AR567" s="26"/>
      <c r="AS567" s="54">
        <f t="shared" si="31"/>
        <v>108676</v>
      </c>
      <c r="AT567" s="26"/>
      <c r="AU567" s="54">
        <f t="shared" si="32"/>
        <v>12917098</v>
      </c>
    </row>
    <row r="568" spans="1:47">
      <c r="A568" s="13" t="s">
        <v>575</v>
      </c>
      <c r="B568" s="13"/>
      <c r="C568" s="13" t="s">
        <v>51</v>
      </c>
      <c r="D568" s="13"/>
      <c r="E568" s="32">
        <v>48884</v>
      </c>
      <c r="F568" s="26"/>
      <c r="G568" s="26">
        <v>4641036</v>
      </c>
      <c r="H568" s="26"/>
      <c r="I568" s="26">
        <v>0</v>
      </c>
      <c r="J568" s="26"/>
      <c r="K568" s="26">
        <v>8922506</v>
      </c>
      <c r="L568" s="26"/>
      <c r="M568" s="26">
        <v>186907</v>
      </c>
      <c r="N568" s="26"/>
      <c r="O568" s="26">
        <v>959467</v>
      </c>
      <c r="P568" s="26"/>
      <c r="Q568" s="26">
        <v>153716</v>
      </c>
      <c r="R568" s="26"/>
      <c r="S568" s="26">
        <v>182374</v>
      </c>
      <c r="T568" s="26"/>
      <c r="U568" s="26">
        <v>6716</v>
      </c>
      <c r="V568" s="26"/>
      <c r="W568" s="26">
        <f>151965+332798+22023</f>
        <v>506786</v>
      </c>
      <c r="X568" s="26"/>
      <c r="Y568" s="54">
        <f t="shared" si="30"/>
        <v>15559508</v>
      </c>
      <c r="Z568" s="26"/>
      <c r="AA568" s="26">
        <v>72568</v>
      </c>
      <c r="AB568" s="26"/>
      <c r="AC568" s="26"/>
      <c r="AD568" s="26"/>
      <c r="AE568" s="26">
        <v>0</v>
      </c>
      <c r="AF568" s="26"/>
      <c r="AG568" s="26"/>
      <c r="AH568" s="26"/>
      <c r="AI568" s="26"/>
      <c r="AJ568" s="26"/>
      <c r="AK568" s="26">
        <v>9691</v>
      </c>
      <c r="AL568" s="26"/>
      <c r="AM568" s="26">
        <v>0</v>
      </c>
      <c r="AN568" s="26"/>
      <c r="AO568" s="26">
        <v>0</v>
      </c>
      <c r="AP568" s="26"/>
      <c r="AQ568" s="26">
        <v>0</v>
      </c>
      <c r="AR568" s="26"/>
      <c r="AS568" s="54">
        <f t="shared" si="31"/>
        <v>82259</v>
      </c>
      <c r="AT568" s="26"/>
      <c r="AU568" s="54">
        <f t="shared" si="32"/>
        <v>15641767</v>
      </c>
    </row>
    <row r="569" spans="1:47">
      <c r="A569" s="13" t="s">
        <v>244</v>
      </c>
      <c r="B569" s="13"/>
      <c r="C569" s="13" t="s">
        <v>77</v>
      </c>
      <c r="D569" s="13"/>
      <c r="E569" s="32">
        <v>46060</v>
      </c>
      <c r="F569" s="26"/>
      <c r="G569" s="26">
        <v>4661669</v>
      </c>
      <c r="H569" s="26"/>
      <c r="I569" s="26">
        <v>0</v>
      </c>
      <c r="J569" s="26"/>
      <c r="K569" s="26">
        <v>21335869</v>
      </c>
      <c r="L569" s="26"/>
      <c r="M569" s="26">
        <v>234172</v>
      </c>
      <c r="N569" s="26"/>
      <c r="O569" s="26">
        <v>1273371</v>
      </c>
      <c r="P569" s="26"/>
      <c r="Q569" s="26">
        <v>147101</v>
      </c>
      <c r="R569" s="26"/>
      <c r="S569" s="26">
        <v>0</v>
      </c>
      <c r="T569" s="26"/>
      <c r="U569" s="26">
        <v>14614</v>
      </c>
      <c r="V569" s="26"/>
      <c r="W569" s="26">
        <f>162666+14444</f>
        <v>177110</v>
      </c>
      <c r="X569" s="26"/>
      <c r="Y569" s="54">
        <f t="shared" si="30"/>
        <v>27843906</v>
      </c>
      <c r="Z569" s="26"/>
      <c r="AA569" s="26">
        <v>78</v>
      </c>
      <c r="AB569" s="26"/>
      <c r="AC569" s="26"/>
      <c r="AD569" s="26"/>
      <c r="AE569" s="26">
        <v>0</v>
      </c>
      <c r="AF569" s="26"/>
      <c r="AG569" s="26"/>
      <c r="AH569" s="26"/>
      <c r="AI569" s="26"/>
      <c r="AJ569" s="26"/>
      <c r="AK569" s="26">
        <v>0</v>
      </c>
      <c r="AL569" s="26"/>
      <c r="AM569" s="26">
        <v>0</v>
      </c>
      <c r="AN569" s="26"/>
      <c r="AO569" s="26">
        <v>0</v>
      </c>
      <c r="AP569" s="26"/>
      <c r="AQ569" s="26">
        <v>0</v>
      </c>
      <c r="AR569" s="26"/>
      <c r="AS569" s="54">
        <f t="shared" si="31"/>
        <v>78</v>
      </c>
      <c r="AT569" s="26"/>
      <c r="AU569" s="54">
        <f t="shared" si="32"/>
        <v>27843984</v>
      </c>
    </row>
    <row r="570" spans="1:47">
      <c r="A570" s="13" t="s">
        <v>594</v>
      </c>
      <c r="B570" s="13"/>
      <c r="C570" s="13" t="s">
        <v>55</v>
      </c>
      <c r="D570" s="13"/>
      <c r="E570" s="32">
        <v>49155</v>
      </c>
      <c r="F570" s="26"/>
      <c r="G570" s="26">
        <v>783191</v>
      </c>
      <c r="H570" s="26"/>
      <c r="I570" s="26">
        <v>0</v>
      </c>
      <c r="J570" s="26"/>
      <c r="K570" s="26">
        <v>7442520</v>
      </c>
      <c r="L570" s="26"/>
      <c r="M570" s="26">
        <v>282023</v>
      </c>
      <c r="N570" s="26"/>
      <c r="O570" s="26">
        <v>264682</v>
      </c>
      <c r="P570" s="26"/>
      <c r="Q570" s="26">
        <v>36416</v>
      </c>
      <c r="R570" s="26"/>
      <c r="S570" s="26">
        <v>0</v>
      </c>
      <c r="T570" s="26"/>
      <c r="U570" s="26">
        <v>6821</v>
      </c>
      <c r="V570" s="26"/>
      <c r="W570" s="26">
        <f>16338+64181+390</f>
        <v>80909</v>
      </c>
      <c r="X570" s="26"/>
      <c r="Y570" s="54">
        <f t="shared" si="30"/>
        <v>8896562</v>
      </c>
      <c r="Z570" s="26"/>
      <c r="AA570" s="26">
        <v>88000</v>
      </c>
      <c r="AB570" s="26"/>
      <c r="AC570" s="26"/>
      <c r="AD570" s="26"/>
      <c r="AE570" s="26">
        <v>0</v>
      </c>
      <c r="AF570" s="26"/>
      <c r="AG570" s="26"/>
      <c r="AH570" s="26"/>
      <c r="AI570" s="26"/>
      <c r="AJ570" s="26"/>
      <c r="AK570" s="26">
        <v>4285</v>
      </c>
      <c r="AL570" s="26"/>
      <c r="AM570" s="26">
        <v>0</v>
      </c>
      <c r="AN570" s="26"/>
      <c r="AO570" s="26">
        <v>0</v>
      </c>
      <c r="AP570" s="26"/>
      <c r="AQ570" s="26">
        <v>0</v>
      </c>
      <c r="AR570" s="26"/>
      <c r="AS570" s="54">
        <f t="shared" si="31"/>
        <v>92285</v>
      </c>
      <c r="AT570" s="26"/>
      <c r="AU570" s="54">
        <f t="shared" si="32"/>
        <v>8988847</v>
      </c>
    </row>
    <row r="571" spans="1:47">
      <c r="A571" s="13" t="s">
        <v>452</v>
      </c>
      <c r="B571" s="13"/>
      <c r="C571" s="13" t="s">
        <v>37</v>
      </c>
      <c r="D571" s="13"/>
      <c r="E571" s="32">
        <v>47746</v>
      </c>
      <c r="F571" s="26"/>
      <c r="G571" s="26">
        <v>4248336</v>
      </c>
      <c r="H571" s="26"/>
      <c r="I571" s="26">
        <v>0</v>
      </c>
      <c r="J571" s="26"/>
      <c r="K571" s="26">
        <f>70948+6726380+676911</f>
        <v>7474239</v>
      </c>
      <c r="L571" s="26"/>
      <c r="M571" s="26">
        <v>55733</v>
      </c>
      <c r="N571" s="26"/>
      <c r="O571" s="26">
        <v>478206</v>
      </c>
      <c r="P571" s="26"/>
      <c r="Q571" s="26">
        <v>201976</v>
      </c>
      <c r="R571" s="26"/>
      <c r="S571" s="26">
        <v>0</v>
      </c>
      <c r="T571" s="26"/>
      <c r="U571" s="26">
        <v>0</v>
      </c>
      <c r="V571" s="26"/>
      <c r="W571" s="26">
        <f>46769+41981+227060</f>
        <v>315810</v>
      </c>
      <c r="X571" s="26"/>
      <c r="Y571" s="54">
        <f t="shared" si="30"/>
        <v>12774300</v>
      </c>
      <c r="Z571" s="26"/>
      <c r="AA571" s="26">
        <v>0</v>
      </c>
      <c r="AB571" s="26"/>
      <c r="AC571" s="26"/>
      <c r="AD571" s="26"/>
      <c r="AE571" s="26">
        <v>0</v>
      </c>
      <c r="AF571" s="26"/>
      <c r="AG571" s="26"/>
      <c r="AH571" s="26"/>
      <c r="AI571" s="26"/>
      <c r="AJ571" s="26"/>
      <c r="AK571" s="26">
        <v>0</v>
      </c>
      <c r="AL571" s="26"/>
      <c r="AM571" s="26">
        <v>0</v>
      </c>
      <c r="AN571" s="26"/>
      <c r="AO571" s="26">
        <v>0</v>
      </c>
      <c r="AP571" s="26"/>
      <c r="AQ571" s="26">
        <v>0</v>
      </c>
      <c r="AR571" s="26"/>
      <c r="AS571" s="54">
        <f t="shared" si="31"/>
        <v>0</v>
      </c>
      <c r="AT571" s="26"/>
      <c r="AU571" s="54">
        <f t="shared" si="32"/>
        <v>12774300</v>
      </c>
    </row>
    <row r="572" spans="1:47">
      <c r="A572" s="34" t="s">
        <v>452</v>
      </c>
      <c r="B572" s="34"/>
      <c r="C572" s="34" t="s">
        <v>45</v>
      </c>
      <c r="D572" s="34"/>
      <c r="E572" s="34">
        <v>48397</v>
      </c>
      <c r="F572" s="43"/>
      <c r="G572" s="26">
        <v>2843437</v>
      </c>
      <c r="H572" s="26"/>
      <c r="I572" s="26">
        <v>0</v>
      </c>
      <c r="J572" s="26"/>
      <c r="K572" s="26">
        <v>3304400</v>
      </c>
      <c r="L572" s="26"/>
      <c r="M572" s="26">
        <v>61688</v>
      </c>
      <c r="N572" s="26"/>
      <c r="O572" s="26">
        <v>614619</v>
      </c>
      <c r="P572" s="26"/>
      <c r="Q572" s="26">
        <v>125060</v>
      </c>
      <c r="R572" s="26"/>
      <c r="S572" s="26">
        <v>0</v>
      </c>
      <c r="T572" s="26"/>
      <c r="U572" s="26">
        <v>82577</v>
      </c>
      <c r="V572" s="26"/>
      <c r="W572" s="26">
        <f>33632+1271+132041</f>
        <v>166944</v>
      </c>
      <c r="X572" s="26"/>
      <c r="Y572" s="54">
        <f t="shared" si="30"/>
        <v>7198725</v>
      </c>
      <c r="Z572" s="26"/>
      <c r="AA572" s="26">
        <v>21433</v>
      </c>
      <c r="AB572" s="26"/>
      <c r="AC572" s="26"/>
      <c r="AD572" s="26"/>
      <c r="AE572" s="26">
        <v>0</v>
      </c>
      <c r="AF572" s="26"/>
      <c r="AG572" s="26"/>
      <c r="AH572" s="26"/>
      <c r="AI572" s="26"/>
      <c r="AJ572" s="26"/>
      <c r="AK572" s="26">
        <v>223</v>
      </c>
      <c r="AL572" s="26"/>
      <c r="AM572" s="26">
        <v>0</v>
      </c>
      <c r="AN572" s="26"/>
      <c r="AO572" s="26">
        <v>0</v>
      </c>
      <c r="AP572" s="26"/>
      <c r="AQ572" s="26">
        <v>0</v>
      </c>
      <c r="AR572" s="26"/>
      <c r="AS572" s="54">
        <f t="shared" si="31"/>
        <v>21656</v>
      </c>
      <c r="AT572" s="26"/>
      <c r="AU572" s="54">
        <f t="shared" si="32"/>
        <v>7220381</v>
      </c>
    </row>
    <row r="573" spans="1:47">
      <c r="A573" s="13" t="s">
        <v>369</v>
      </c>
      <c r="B573" s="13"/>
      <c r="C573" s="13" t="s">
        <v>27</v>
      </c>
      <c r="D573" s="13"/>
      <c r="E573" s="32">
        <v>45047</v>
      </c>
      <c r="F573" s="26"/>
      <c r="G573" s="26">
        <v>93041686</v>
      </c>
      <c r="H573" s="26"/>
      <c r="I573" s="26">
        <v>0</v>
      </c>
      <c r="J573" s="26"/>
      <c r="K573" s="26">
        <f>680171+48774564+4180663</f>
        <v>53635398</v>
      </c>
      <c r="L573" s="26"/>
      <c r="M573" s="26">
        <v>1364612</v>
      </c>
      <c r="N573" s="26"/>
      <c r="O573" s="26">
        <v>934914</v>
      </c>
      <c r="P573" s="26"/>
      <c r="Q573" s="26">
        <v>1331796</v>
      </c>
      <c r="R573" s="26"/>
      <c r="S573" s="26">
        <v>0</v>
      </c>
      <c r="T573" s="26"/>
      <c r="U573" s="26">
        <v>0</v>
      </c>
      <c r="V573" s="26"/>
      <c r="W573" s="26">
        <f>325475+789189</f>
        <v>1114664</v>
      </c>
      <c r="X573" s="26"/>
      <c r="Y573" s="54">
        <f t="shared" si="30"/>
        <v>151423070</v>
      </c>
      <c r="Z573" s="26"/>
      <c r="AA573" s="26">
        <v>0</v>
      </c>
      <c r="AB573" s="26"/>
      <c r="AC573" s="26"/>
      <c r="AD573" s="26"/>
      <c r="AE573" s="26">
        <v>0</v>
      </c>
      <c r="AF573" s="26"/>
      <c r="AG573" s="26"/>
      <c r="AH573" s="26"/>
      <c r="AI573" s="26"/>
      <c r="AJ573" s="26"/>
      <c r="AK573" s="26">
        <v>3438753</v>
      </c>
      <c r="AL573" s="26"/>
      <c r="AM573" s="26">
        <v>0</v>
      </c>
      <c r="AN573" s="26"/>
      <c r="AO573" s="26">
        <v>0</v>
      </c>
      <c r="AP573" s="26"/>
      <c r="AQ573" s="26">
        <v>0</v>
      </c>
      <c r="AR573" s="26"/>
      <c r="AS573" s="54">
        <f t="shared" si="31"/>
        <v>3438753</v>
      </c>
      <c r="AT573" s="26"/>
      <c r="AU573" s="54">
        <f t="shared" si="32"/>
        <v>154861823</v>
      </c>
    </row>
    <row r="574" spans="1:47">
      <c r="A574" s="13" t="s">
        <v>591</v>
      </c>
      <c r="B574" s="13"/>
      <c r="C574" s="13" t="s">
        <v>54</v>
      </c>
      <c r="D574" s="13"/>
      <c r="E574" s="32">
        <v>49106</v>
      </c>
      <c r="F574" s="26"/>
      <c r="G574" s="26">
        <v>3907038</v>
      </c>
      <c r="H574" s="26"/>
      <c r="I574" s="26">
        <v>0</v>
      </c>
      <c r="J574" s="26"/>
      <c r="K574" s="26">
        <v>9786271</v>
      </c>
      <c r="L574" s="26"/>
      <c r="M574" s="26">
        <v>107072</v>
      </c>
      <c r="N574" s="26"/>
      <c r="O574" s="26">
        <v>510564</v>
      </c>
      <c r="P574" s="26"/>
      <c r="Q574" s="26">
        <v>277171</v>
      </c>
      <c r="R574" s="26"/>
      <c r="S574" s="26">
        <v>510657</v>
      </c>
      <c r="T574" s="26"/>
      <c r="U574" s="26">
        <v>114873</v>
      </c>
      <c r="V574" s="26"/>
      <c r="W574" s="26">
        <f>371149+219775</f>
        <v>590924</v>
      </c>
      <c r="X574" s="26"/>
      <c r="Y574" s="54">
        <f t="shared" si="30"/>
        <v>15804570</v>
      </c>
      <c r="Z574" s="26"/>
      <c r="AA574" s="26">
        <v>109250</v>
      </c>
      <c r="AB574" s="26"/>
      <c r="AC574" s="26"/>
      <c r="AD574" s="26"/>
      <c r="AE574" s="26">
        <v>0</v>
      </c>
      <c r="AF574" s="26"/>
      <c r="AG574" s="26"/>
      <c r="AH574" s="26"/>
      <c r="AI574" s="26"/>
      <c r="AJ574" s="26"/>
      <c r="AK574" s="26">
        <v>743</v>
      </c>
      <c r="AL574" s="26"/>
      <c r="AM574" s="26">
        <v>0</v>
      </c>
      <c r="AN574" s="26"/>
      <c r="AO574" s="26">
        <v>0</v>
      </c>
      <c r="AP574" s="26"/>
      <c r="AQ574" s="26">
        <v>0</v>
      </c>
      <c r="AR574" s="26"/>
      <c r="AS574" s="54">
        <f t="shared" si="31"/>
        <v>109993</v>
      </c>
      <c r="AT574" s="26"/>
      <c r="AU574" s="54">
        <f t="shared" si="32"/>
        <v>15914563</v>
      </c>
    </row>
    <row r="575" spans="1:47">
      <c r="A575" s="13" t="s">
        <v>329</v>
      </c>
      <c r="B575" s="13"/>
      <c r="C575" s="13" t="s">
        <v>20</v>
      </c>
      <c r="D575" s="13"/>
      <c r="E575" s="32">
        <v>45062</v>
      </c>
      <c r="F575" s="26"/>
      <c r="G575" s="26">
        <v>44919560</v>
      </c>
      <c r="H575" s="26"/>
      <c r="I575" s="26">
        <v>0</v>
      </c>
      <c r="J575" s="26"/>
      <c r="K575" s="26">
        <f>10007791+1129105</f>
        <v>11136896</v>
      </c>
      <c r="L575" s="26"/>
      <c r="M575" s="26">
        <v>990006</v>
      </c>
      <c r="N575" s="26"/>
      <c r="O575" s="26">
        <v>461172</v>
      </c>
      <c r="P575" s="26"/>
      <c r="Q575" s="26">
        <v>386484</v>
      </c>
      <c r="R575" s="26"/>
      <c r="S575" s="26">
        <v>0</v>
      </c>
      <c r="T575" s="26"/>
      <c r="U575" s="26">
        <v>110446</v>
      </c>
      <c r="V575" s="26"/>
      <c r="W575" s="26">
        <f>134559+91900+15676+948821+237183</f>
        <v>1428139</v>
      </c>
      <c r="X575" s="26"/>
      <c r="Y575" s="54">
        <f t="shared" si="30"/>
        <v>59432703</v>
      </c>
      <c r="Z575" s="26"/>
      <c r="AA575" s="26">
        <v>12089</v>
      </c>
      <c r="AB575" s="26"/>
      <c r="AC575" s="26"/>
      <c r="AD575" s="26"/>
      <c r="AE575" s="26">
        <v>0</v>
      </c>
      <c r="AF575" s="26"/>
      <c r="AG575" s="26"/>
      <c r="AH575" s="26"/>
      <c r="AI575" s="26"/>
      <c r="AJ575" s="26"/>
      <c r="AK575" s="26">
        <v>6501</v>
      </c>
      <c r="AL575" s="26"/>
      <c r="AM575" s="26">
        <v>0</v>
      </c>
      <c r="AN575" s="26"/>
      <c r="AO575" s="26">
        <v>0</v>
      </c>
      <c r="AP575" s="26"/>
      <c r="AQ575" s="26">
        <v>0</v>
      </c>
      <c r="AR575" s="26"/>
      <c r="AS575" s="54">
        <f t="shared" si="31"/>
        <v>18590</v>
      </c>
      <c r="AT575" s="26"/>
      <c r="AU575" s="54">
        <f t="shared" si="32"/>
        <v>59451293</v>
      </c>
    </row>
    <row r="576" spans="1:47">
      <c r="A576" s="13" t="s">
        <v>639</v>
      </c>
      <c r="B576" s="13"/>
      <c r="C576" s="13" t="s">
        <v>59</v>
      </c>
      <c r="D576" s="13"/>
      <c r="E576" s="32">
        <v>49668</v>
      </c>
      <c r="F576" s="26"/>
      <c r="G576" s="26">
        <v>3285675</v>
      </c>
      <c r="H576" s="26"/>
      <c r="I576" s="26">
        <v>0</v>
      </c>
      <c r="J576" s="26"/>
      <c r="K576" s="26">
        <v>11689712</v>
      </c>
      <c r="L576" s="26"/>
      <c r="M576" s="26">
        <f>759219-18879</f>
        <v>740340</v>
      </c>
      <c r="N576" s="26"/>
      <c r="O576" s="26">
        <v>1260079</v>
      </c>
      <c r="P576" s="26"/>
      <c r="Q576" s="26">
        <v>298113</v>
      </c>
      <c r="R576" s="26"/>
      <c r="S576" s="26">
        <v>0</v>
      </c>
      <c r="T576" s="26"/>
      <c r="U576" s="26">
        <v>107702</v>
      </c>
      <c r="V576" s="26"/>
      <c r="W576" s="26">
        <f>57509+285111</f>
        <v>342620</v>
      </c>
      <c r="X576" s="26"/>
      <c r="Y576" s="54">
        <f t="shared" si="30"/>
        <v>17724241</v>
      </c>
      <c r="Z576" s="26"/>
      <c r="AA576" s="26">
        <v>10779</v>
      </c>
      <c r="AB576" s="26"/>
      <c r="AC576" s="26"/>
      <c r="AD576" s="26"/>
      <c r="AE576" s="26">
        <v>0</v>
      </c>
      <c r="AF576" s="26"/>
      <c r="AG576" s="26"/>
      <c r="AH576" s="26"/>
      <c r="AI576" s="26"/>
      <c r="AJ576" s="26"/>
      <c r="AK576" s="26">
        <v>582000</v>
      </c>
      <c r="AL576" s="26"/>
      <c r="AM576" s="26">
        <v>0</v>
      </c>
      <c r="AN576" s="26"/>
      <c r="AO576" s="26">
        <v>0</v>
      </c>
      <c r="AP576" s="26"/>
      <c r="AQ576" s="26">
        <v>0</v>
      </c>
      <c r="AR576" s="26"/>
      <c r="AS576" s="54">
        <f t="shared" si="31"/>
        <v>592779</v>
      </c>
      <c r="AT576" s="26"/>
      <c r="AU576" s="54">
        <f t="shared" si="32"/>
        <v>18317020</v>
      </c>
    </row>
    <row r="577" spans="1:47">
      <c r="A577" s="13" t="s">
        <v>370</v>
      </c>
      <c r="B577" s="13"/>
      <c r="C577" s="13" t="s">
        <v>27</v>
      </c>
      <c r="D577" s="13"/>
      <c r="E577" s="32">
        <v>45070</v>
      </c>
      <c r="F577" s="26"/>
      <c r="G577" s="26">
        <v>8118164</v>
      </c>
      <c r="H577" s="26"/>
      <c r="I577" s="26">
        <v>0</v>
      </c>
      <c r="J577" s="26"/>
      <c r="K577" s="26">
        <f>3203624+15089869+2959362</f>
        <v>21252855</v>
      </c>
      <c r="L577" s="26"/>
      <c r="M577" s="26">
        <v>789750</v>
      </c>
      <c r="N577" s="26"/>
      <c r="O577" s="26">
        <v>550668</v>
      </c>
      <c r="P577" s="26"/>
      <c r="Q577" s="26">
        <v>92342</v>
      </c>
      <c r="R577" s="26"/>
      <c r="S577" s="26">
        <v>0</v>
      </c>
      <c r="T577" s="26"/>
      <c r="U577" s="26">
        <v>0</v>
      </c>
      <c r="V577" s="26"/>
      <c r="W577" s="26">
        <v>320648</v>
      </c>
      <c r="X577" s="26"/>
      <c r="Y577" s="54">
        <f t="shared" si="30"/>
        <v>31124427</v>
      </c>
      <c r="Z577" s="26"/>
      <c r="AA577" s="26">
        <v>8401</v>
      </c>
      <c r="AB577" s="26"/>
      <c r="AC577" s="26"/>
      <c r="AD577" s="26"/>
      <c r="AE577" s="26">
        <v>0</v>
      </c>
      <c r="AF577" s="26"/>
      <c r="AG577" s="26"/>
      <c r="AH577" s="26"/>
      <c r="AI577" s="26"/>
      <c r="AJ577" s="26"/>
      <c r="AK577" s="26">
        <v>0</v>
      </c>
      <c r="AL577" s="26"/>
      <c r="AM577" s="26">
        <v>0</v>
      </c>
      <c r="AN577" s="26"/>
      <c r="AO577" s="26">
        <v>0</v>
      </c>
      <c r="AP577" s="26"/>
      <c r="AQ577" s="26">
        <v>0</v>
      </c>
      <c r="AR577" s="26"/>
      <c r="AS577" s="54">
        <f t="shared" si="31"/>
        <v>8401</v>
      </c>
      <c r="AT577" s="26"/>
      <c r="AU577" s="54">
        <f t="shared" si="32"/>
        <v>31132828</v>
      </c>
    </row>
    <row r="578" spans="1:47" hidden="1">
      <c r="A578" s="13" t="s">
        <v>873</v>
      </c>
      <c r="B578" s="13"/>
      <c r="C578" s="13" t="s">
        <v>41</v>
      </c>
      <c r="D578" s="13"/>
      <c r="E578" s="32">
        <v>45088</v>
      </c>
      <c r="F578" s="26"/>
      <c r="G578" s="26">
        <v>0</v>
      </c>
      <c r="H578" s="26"/>
      <c r="I578" s="26">
        <v>0</v>
      </c>
      <c r="J578" s="26"/>
      <c r="K578" s="26">
        <v>0</v>
      </c>
      <c r="L578" s="26"/>
      <c r="M578" s="26">
        <v>0</v>
      </c>
      <c r="N578" s="26"/>
      <c r="O578" s="26">
        <v>0</v>
      </c>
      <c r="P578" s="26"/>
      <c r="Q578" s="26">
        <v>0</v>
      </c>
      <c r="R578" s="26"/>
      <c r="S578" s="26">
        <v>0</v>
      </c>
      <c r="T578" s="26"/>
      <c r="U578" s="26">
        <v>0</v>
      </c>
      <c r="V578" s="26"/>
      <c r="W578" s="26">
        <v>0</v>
      </c>
      <c r="X578" s="26"/>
      <c r="Y578" s="54">
        <f t="shared" si="30"/>
        <v>0</v>
      </c>
      <c r="Z578" s="26"/>
      <c r="AA578" s="26">
        <v>0</v>
      </c>
      <c r="AB578" s="26"/>
      <c r="AC578" s="26"/>
      <c r="AD578" s="26"/>
      <c r="AE578" s="26">
        <v>0</v>
      </c>
      <c r="AF578" s="26"/>
      <c r="AG578" s="26"/>
      <c r="AH578" s="26"/>
      <c r="AI578" s="26"/>
      <c r="AJ578" s="26"/>
      <c r="AK578" s="26">
        <v>0</v>
      </c>
      <c r="AL578" s="26"/>
      <c r="AM578" s="26">
        <v>0</v>
      </c>
      <c r="AN578" s="26"/>
      <c r="AO578" s="26">
        <v>0</v>
      </c>
      <c r="AP578" s="26"/>
      <c r="AQ578" s="26">
        <v>0</v>
      </c>
      <c r="AR578" s="26"/>
      <c r="AS578" s="54">
        <f t="shared" si="31"/>
        <v>0</v>
      </c>
      <c r="AT578" s="26"/>
      <c r="AU578" s="54">
        <f t="shared" si="32"/>
        <v>0</v>
      </c>
    </row>
    <row r="579" spans="1:47">
      <c r="A579" s="13" t="s">
        <v>453</v>
      </c>
      <c r="B579" s="13"/>
      <c r="C579" s="13" t="s">
        <v>37</v>
      </c>
      <c r="D579" s="13"/>
      <c r="E579" s="32">
        <v>45096</v>
      </c>
      <c r="F579" s="26"/>
      <c r="G579" s="26">
        <v>6645250</v>
      </c>
      <c r="H579" s="26"/>
      <c r="I579" s="26">
        <v>0</v>
      </c>
      <c r="J579" s="26"/>
      <c r="K579" s="26">
        <f>8044+10780732+1959780</f>
        <v>12748556</v>
      </c>
      <c r="L579" s="26"/>
      <c r="M579" s="26">
        <v>238394</v>
      </c>
      <c r="N579" s="26"/>
      <c r="O579" s="26">
        <v>219278</v>
      </c>
      <c r="P579" s="26"/>
      <c r="Q579" s="26">
        <v>439835</v>
      </c>
      <c r="R579" s="26"/>
      <c r="S579" s="26">
        <v>0</v>
      </c>
      <c r="T579" s="26"/>
      <c r="U579" s="26">
        <v>0</v>
      </c>
      <c r="V579" s="26"/>
      <c r="W579" s="26">
        <f>148716+374357+54593+12690</f>
        <v>590356</v>
      </c>
      <c r="X579" s="26"/>
      <c r="Y579" s="54">
        <f t="shared" si="30"/>
        <v>20881669</v>
      </c>
      <c r="Z579" s="26"/>
      <c r="AA579" s="26">
        <v>149219</v>
      </c>
      <c r="AB579" s="26"/>
      <c r="AC579" s="26"/>
      <c r="AD579" s="26"/>
      <c r="AE579" s="26">
        <v>0</v>
      </c>
      <c r="AF579" s="26"/>
      <c r="AG579" s="26"/>
      <c r="AH579" s="26"/>
      <c r="AI579" s="26"/>
      <c r="AJ579" s="26"/>
      <c r="AK579" s="26">
        <v>234471</v>
      </c>
      <c r="AL579" s="26"/>
      <c r="AM579" s="26">
        <v>0</v>
      </c>
      <c r="AN579" s="26"/>
      <c r="AO579" s="26">
        <v>0</v>
      </c>
      <c r="AP579" s="26"/>
      <c r="AQ579" s="26">
        <v>0</v>
      </c>
      <c r="AR579" s="26"/>
      <c r="AS579" s="54">
        <f t="shared" si="31"/>
        <v>383690</v>
      </c>
      <c r="AT579" s="26"/>
      <c r="AU579" s="54">
        <f t="shared" si="32"/>
        <v>21265359</v>
      </c>
    </row>
    <row r="580" spans="1:47">
      <c r="A580" s="13" t="s">
        <v>277</v>
      </c>
      <c r="B580" s="13"/>
      <c r="C580" s="13" t="s">
        <v>116</v>
      </c>
      <c r="D580" s="13"/>
      <c r="E580" s="32">
        <v>46367</v>
      </c>
      <c r="F580" s="26"/>
      <c r="G580" s="26">
        <v>3304460</v>
      </c>
      <c r="H580" s="26"/>
      <c r="I580" s="26">
        <v>0</v>
      </c>
      <c r="J580" s="26"/>
      <c r="K580" s="26">
        <v>5326168</v>
      </c>
      <c r="L580" s="26"/>
      <c r="M580" s="26">
        <v>221695</v>
      </c>
      <c r="N580" s="26"/>
      <c r="O580" s="26">
        <v>290774</v>
      </c>
      <c r="P580" s="26"/>
      <c r="Q580" s="26">
        <v>70579</v>
      </c>
      <c r="R580" s="26"/>
      <c r="S580" s="26">
        <v>311063</v>
      </c>
      <c r="T580" s="26"/>
      <c r="U580" s="26">
        <v>39683</v>
      </c>
      <c r="V580" s="26"/>
      <c r="W580" s="26">
        <f>150050+263004+225091</f>
        <v>638145</v>
      </c>
      <c r="X580" s="26"/>
      <c r="Y580" s="54">
        <f t="shared" si="30"/>
        <v>10202567</v>
      </c>
      <c r="Z580" s="26"/>
      <c r="AA580" s="26">
        <v>0</v>
      </c>
      <c r="AB580" s="26"/>
      <c r="AC580" s="26"/>
      <c r="AD580" s="26"/>
      <c r="AE580" s="26">
        <v>2780000</v>
      </c>
      <c r="AF580" s="26"/>
      <c r="AG580" s="26"/>
      <c r="AH580" s="26"/>
      <c r="AI580" s="26"/>
      <c r="AJ580" s="26"/>
      <c r="AK580" s="26">
        <v>44082</v>
      </c>
      <c r="AL580" s="26"/>
      <c r="AM580" s="26">
        <v>0</v>
      </c>
      <c r="AN580" s="26"/>
      <c r="AO580" s="26">
        <v>0</v>
      </c>
      <c r="AP580" s="26"/>
      <c r="AQ580" s="26">
        <v>0</v>
      </c>
      <c r="AR580" s="26"/>
      <c r="AS580" s="54">
        <f t="shared" si="31"/>
        <v>2824082</v>
      </c>
      <c r="AT580" s="26"/>
      <c r="AU580" s="54">
        <f t="shared" si="32"/>
        <v>13026649</v>
      </c>
    </row>
    <row r="581" spans="1:47">
      <c r="A581" s="13" t="s">
        <v>469</v>
      </c>
      <c r="B581" s="13"/>
      <c r="C581" s="13" t="s">
        <v>41</v>
      </c>
      <c r="D581" s="13"/>
      <c r="E581" s="32">
        <v>45104</v>
      </c>
      <c r="F581" s="26"/>
      <c r="G581" s="26">
        <v>52141550</v>
      </c>
      <c r="H581" s="26"/>
      <c r="I581" s="26">
        <v>0</v>
      </c>
      <c r="J581" s="26"/>
      <c r="K581" s="26">
        <v>31233184</v>
      </c>
      <c r="L581" s="26"/>
      <c r="M581" s="26">
        <v>1389131</v>
      </c>
      <c r="N581" s="26"/>
      <c r="O581" s="26">
        <v>2151503</v>
      </c>
      <c r="P581" s="26"/>
      <c r="Q581" s="26">
        <v>726448</v>
      </c>
      <c r="R581" s="26"/>
      <c r="S581" s="26">
        <v>0</v>
      </c>
      <c r="T581" s="26"/>
      <c r="U581" s="26">
        <v>260363</v>
      </c>
      <c r="V581" s="26"/>
      <c r="W581" s="26">
        <f>1437891+2084559+225379</f>
        <v>3747829</v>
      </c>
      <c r="X581" s="26"/>
      <c r="Y581" s="54">
        <f t="shared" si="30"/>
        <v>91650008</v>
      </c>
      <c r="Z581" s="26"/>
      <c r="AA581" s="26">
        <f>3499571</f>
        <v>3499571</v>
      </c>
      <c r="AB581" s="26"/>
      <c r="AC581" s="26"/>
      <c r="AD581" s="26"/>
      <c r="AE581" s="26">
        <v>0</v>
      </c>
      <c r="AF581" s="26"/>
      <c r="AG581" s="26"/>
      <c r="AH581" s="26"/>
      <c r="AI581" s="26"/>
      <c r="AJ581" s="26"/>
      <c r="AK581" s="26">
        <v>719980</v>
      </c>
      <c r="AL581" s="26"/>
      <c r="AM581" s="26">
        <v>0</v>
      </c>
      <c r="AN581" s="26"/>
      <c r="AO581" s="26">
        <v>0</v>
      </c>
      <c r="AP581" s="26"/>
      <c r="AQ581" s="26">
        <v>0</v>
      </c>
      <c r="AR581" s="26"/>
      <c r="AS581" s="54">
        <f t="shared" si="31"/>
        <v>4219551</v>
      </c>
      <c r="AT581" s="26"/>
      <c r="AU581" s="54">
        <f t="shared" si="32"/>
        <v>95869559</v>
      </c>
    </row>
    <row r="582" spans="1:47" ht="13.5" customHeight="1">
      <c r="A582" s="13" t="s">
        <v>281</v>
      </c>
      <c r="B582" s="13"/>
      <c r="C582" s="13" t="s">
        <v>18</v>
      </c>
      <c r="D582" s="13"/>
      <c r="E582" s="32">
        <v>45112</v>
      </c>
      <c r="F582" s="26"/>
      <c r="G582" s="26">
        <v>14651282</v>
      </c>
      <c r="H582" s="26"/>
      <c r="I582" s="26">
        <v>0</v>
      </c>
      <c r="J582" s="26"/>
      <c r="K582" s="26">
        <v>12357086</v>
      </c>
      <c r="L582" s="26"/>
      <c r="M582" s="26">
        <v>423320</v>
      </c>
      <c r="N582" s="26"/>
      <c r="O582" s="26">
        <v>937865</v>
      </c>
      <c r="P582" s="26"/>
      <c r="Q582" s="26">
        <v>117167</v>
      </c>
      <c r="R582" s="26"/>
      <c r="S582" s="26">
        <v>0</v>
      </c>
      <c r="T582" s="26"/>
      <c r="U582" s="26">
        <v>0</v>
      </c>
      <c r="V582" s="26"/>
      <c r="W582" s="26">
        <f>139193+595410</f>
        <v>734603</v>
      </c>
      <c r="X582" s="26"/>
      <c r="Y582" s="54">
        <f t="shared" si="30"/>
        <v>29221323</v>
      </c>
      <c r="Z582" s="26"/>
      <c r="AA582" s="26">
        <v>1840</v>
      </c>
      <c r="AB582" s="26"/>
      <c r="AC582" s="26"/>
      <c r="AD582" s="26"/>
      <c r="AE582" s="26">
        <v>0</v>
      </c>
      <c r="AF582" s="26"/>
      <c r="AG582" s="26"/>
      <c r="AH582" s="26"/>
      <c r="AI582" s="26"/>
      <c r="AJ582" s="26"/>
      <c r="AK582" s="26">
        <f>5844+1356000</f>
        <v>1361844</v>
      </c>
      <c r="AL582" s="26"/>
      <c r="AM582" s="26">
        <v>0</v>
      </c>
      <c r="AN582" s="26"/>
      <c r="AO582" s="26">
        <v>0</v>
      </c>
      <c r="AP582" s="26"/>
      <c r="AQ582" s="26">
        <v>0</v>
      </c>
      <c r="AR582" s="26"/>
      <c r="AS582" s="54">
        <f t="shared" si="31"/>
        <v>1363684</v>
      </c>
      <c r="AT582" s="26"/>
      <c r="AU582" s="54">
        <f t="shared" si="32"/>
        <v>30585007</v>
      </c>
    </row>
    <row r="583" spans="1:47">
      <c r="A583" s="13" t="s">
        <v>604</v>
      </c>
      <c r="B583" s="13"/>
      <c r="C583" s="13" t="s">
        <v>56</v>
      </c>
      <c r="D583" s="13"/>
      <c r="E583" s="32">
        <v>45666</v>
      </c>
      <c r="F583" s="26"/>
      <c r="G583" s="26">
        <v>1633367</v>
      </c>
      <c r="H583" s="26"/>
      <c r="I583" s="26">
        <v>0</v>
      </c>
      <c r="J583" s="26"/>
      <c r="K583" s="26">
        <f>717+6662633+945706</f>
        <v>7609056</v>
      </c>
      <c r="L583" s="26"/>
      <c r="M583" s="26">
        <v>42109</v>
      </c>
      <c r="N583" s="26"/>
      <c r="O583" s="26">
        <v>269604</v>
      </c>
      <c r="P583" s="26"/>
      <c r="Q583" s="26">
        <v>94409</v>
      </c>
      <c r="R583" s="26"/>
      <c r="S583" s="26">
        <v>0</v>
      </c>
      <c r="T583" s="26"/>
      <c r="U583" s="26">
        <v>0</v>
      </c>
      <c r="V583" s="26"/>
      <c r="W583" s="26">
        <f>47059+4297+92386</f>
        <v>143742</v>
      </c>
      <c r="X583" s="26"/>
      <c r="Y583" s="54">
        <f t="shared" si="30"/>
        <v>9792287</v>
      </c>
      <c r="Z583" s="26"/>
      <c r="AA583" s="26">
        <v>0</v>
      </c>
      <c r="AB583" s="26"/>
      <c r="AC583" s="26"/>
      <c r="AD583" s="26"/>
      <c r="AE583" s="26">
        <v>0</v>
      </c>
      <c r="AF583" s="26"/>
      <c r="AG583" s="26"/>
      <c r="AH583" s="26"/>
      <c r="AI583" s="26"/>
      <c r="AJ583" s="26"/>
      <c r="AK583" s="26">
        <v>0</v>
      </c>
      <c r="AL583" s="26"/>
      <c r="AM583" s="26">
        <v>0</v>
      </c>
      <c r="AN583" s="26"/>
      <c r="AO583" s="26">
        <v>0</v>
      </c>
      <c r="AP583" s="26"/>
      <c r="AQ583" s="26">
        <v>0</v>
      </c>
      <c r="AR583" s="26"/>
      <c r="AS583" s="54">
        <f t="shared" si="31"/>
        <v>0</v>
      </c>
      <c r="AT583" s="26"/>
      <c r="AU583" s="54">
        <f t="shared" si="32"/>
        <v>9792287</v>
      </c>
    </row>
    <row r="584" spans="1:47">
      <c r="A584" s="13" t="s">
        <v>416</v>
      </c>
      <c r="B584" s="13"/>
      <c r="C584" s="13" t="s">
        <v>32</v>
      </c>
      <c r="D584" s="13"/>
      <c r="E584" s="32">
        <v>44081</v>
      </c>
      <c r="F584" s="26"/>
      <c r="G584" s="26">
        <v>21498036</v>
      </c>
      <c r="H584" s="26"/>
      <c r="I584" s="26">
        <v>0</v>
      </c>
      <c r="J584" s="26"/>
      <c r="K584" s="26">
        <v>21309456</v>
      </c>
      <c r="L584" s="26"/>
      <c r="M584" s="26">
        <v>419125</v>
      </c>
      <c r="N584" s="26"/>
      <c r="O584" s="26">
        <v>713045</v>
      </c>
      <c r="P584" s="26"/>
      <c r="Q584" s="26">
        <v>239772</v>
      </c>
      <c r="R584" s="26"/>
      <c r="S584" s="26">
        <v>0</v>
      </c>
      <c r="T584" s="26"/>
      <c r="U584" s="26">
        <v>0</v>
      </c>
      <c r="V584" s="26"/>
      <c r="W584" s="26">
        <f>664955+556122</f>
        <v>1221077</v>
      </c>
      <c r="X584" s="26"/>
      <c r="Y584" s="54">
        <f t="shared" si="30"/>
        <v>45400511</v>
      </c>
      <c r="Z584" s="26"/>
      <c r="AA584" s="26">
        <v>18902</v>
      </c>
      <c r="AB584" s="26"/>
      <c r="AC584" s="26"/>
      <c r="AD584" s="26"/>
      <c r="AE584" s="26">
        <v>0</v>
      </c>
      <c r="AF584" s="26"/>
      <c r="AG584" s="26"/>
      <c r="AH584" s="26"/>
      <c r="AI584" s="26"/>
      <c r="AJ584" s="26"/>
      <c r="AK584" s="26">
        <v>0</v>
      </c>
      <c r="AL584" s="26"/>
      <c r="AM584" s="26">
        <v>0</v>
      </c>
      <c r="AN584" s="26"/>
      <c r="AO584" s="26">
        <v>0</v>
      </c>
      <c r="AP584" s="26"/>
      <c r="AQ584" s="26">
        <v>0</v>
      </c>
      <c r="AR584" s="26"/>
      <c r="AS584" s="54">
        <f t="shared" si="31"/>
        <v>18902</v>
      </c>
      <c r="AT584" s="26"/>
      <c r="AU584" s="54">
        <f t="shared" si="32"/>
        <v>45419413</v>
      </c>
    </row>
    <row r="585" spans="1:47">
      <c r="A585" s="13" t="s">
        <v>726</v>
      </c>
      <c r="B585" s="13"/>
      <c r="C585" s="13" t="s">
        <v>70</v>
      </c>
      <c r="D585" s="13"/>
      <c r="E585" s="32">
        <v>50518</v>
      </c>
      <c r="F585" s="26"/>
      <c r="G585" s="26">
        <v>4546203</v>
      </c>
      <c r="H585" s="26"/>
      <c r="I585" s="26">
        <v>0</v>
      </c>
      <c r="J585" s="26"/>
      <c r="K585" s="26">
        <v>2875087</v>
      </c>
      <c r="L585" s="26"/>
      <c r="M585" s="26">
        <v>169130</v>
      </c>
      <c r="N585" s="26"/>
      <c r="O585" s="26">
        <v>318702</v>
      </c>
      <c r="P585" s="26"/>
      <c r="Q585" s="26">
        <v>110962</v>
      </c>
      <c r="R585" s="26"/>
      <c r="S585" s="26">
        <v>0</v>
      </c>
      <c r="T585" s="26"/>
      <c r="U585" s="26">
        <v>107620</v>
      </c>
      <c r="V585" s="26"/>
      <c r="W585" s="26">
        <f>11716+92576</f>
        <v>104292</v>
      </c>
      <c r="X585" s="26"/>
      <c r="Y585" s="54">
        <f t="shared" si="30"/>
        <v>8231996</v>
      </c>
      <c r="Z585" s="26"/>
      <c r="AA585" s="26">
        <v>0</v>
      </c>
      <c r="AB585" s="26"/>
      <c r="AC585" s="26"/>
      <c r="AD585" s="26"/>
      <c r="AE585" s="26">
        <v>0</v>
      </c>
      <c r="AF585" s="26"/>
      <c r="AG585" s="26"/>
      <c r="AH585" s="26"/>
      <c r="AI585" s="26"/>
      <c r="AJ585" s="26"/>
      <c r="AK585" s="26">
        <v>0</v>
      </c>
      <c r="AL585" s="26"/>
      <c r="AM585" s="26">
        <v>0</v>
      </c>
      <c r="AN585" s="26"/>
      <c r="AO585" s="26">
        <v>0</v>
      </c>
      <c r="AP585" s="26"/>
      <c r="AQ585" s="26">
        <v>0</v>
      </c>
      <c r="AR585" s="26"/>
      <c r="AS585" s="54">
        <f t="shared" si="31"/>
        <v>0</v>
      </c>
      <c r="AT585" s="26"/>
      <c r="AU585" s="54">
        <f t="shared" si="32"/>
        <v>8231996</v>
      </c>
    </row>
    <row r="586" spans="1:47">
      <c r="A586" s="13" t="s">
        <v>630</v>
      </c>
      <c r="B586" s="13"/>
      <c r="C586" s="13" t="s">
        <v>79</v>
      </c>
      <c r="D586" s="13"/>
      <c r="E586" s="32">
        <v>49577</v>
      </c>
      <c r="F586" s="26"/>
      <c r="G586" s="26">
        <v>4171869</v>
      </c>
      <c r="H586" s="26"/>
      <c r="I586" s="26">
        <v>0</v>
      </c>
      <c r="J586" s="26"/>
      <c r="K586" s="26">
        <f>577152+4477651</f>
        <v>5054803</v>
      </c>
      <c r="L586" s="26"/>
      <c r="M586" s="26">
        <v>68173</v>
      </c>
      <c r="N586" s="26"/>
      <c r="O586" s="26">
        <v>202905</v>
      </c>
      <c r="P586" s="26"/>
      <c r="Q586" s="26">
        <v>157345</v>
      </c>
      <c r="R586" s="26"/>
      <c r="S586" s="26">
        <v>87712</v>
      </c>
      <c r="T586" s="26"/>
      <c r="U586" s="26">
        <v>0</v>
      </c>
      <c r="V586" s="26"/>
      <c r="W586" s="26">
        <f>24316+82458+275827</f>
        <v>382601</v>
      </c>
      <c r="X586" s="26"/>
      <c r="Y586" s="54">
        <f t="shared" si="30"/>
        <v>10125408</v>
      </c>
      <c r="Z586" s="26"/>
      <c r="AA586" s="26">
        <v>10</v>
      </c>
      <c r="AB586" s="26"/>
      <c r="AC586" s="26"/>
      <c r="AD586" s="26"/>
      <c r="AE586" s="26">
        <v>0</v>
      </c>
      <c r="AF586" s="26"/>
      <c r="AG586" s="26"/>
      <c r="AH586" s="26"/>
      <c r="AI586" s="26"/>
      <c r="AJ586" s="26"/>
      <c r="AK586" s="26">
        <v>71033</v>
      </c>
      <c r="AL586" s="26"/>
      <c r="AM586" s="26">
        <v>0</v>
      </c>
      <c r="AN586" s="26"/>
      <c r="AO586" s="26">
        <v>0</v>
      </c>
      <c r="AP586" s="26"/>
      <c r="AQ586" s="26">
        <v>0</v>
      </c>
      <c r="AR586" s="26"/>
      <c r="AS586" s="54">
        <f t="shared" si="31"/>
        <v>71043</v>
      </c>
      <c r="AT586" s="26"/>
      <c r="AU586" s="54">
        <f t="shared" si="32"/>
        <v>10196451</v>
      </c>
    </row>
    <row r="587" spans="1:47">
      <c r="A587" s="13" t="s">
        <v>679</v>
      </c>
      <c r="B587" s="13"/>
      <c r="C587" s="13" t="s">
        <v>63</v>
      </c>
      <c r="D587" s="13"/>
      <c r="E587" s="32">
        <v>49973</v>
      </c>
      <c r="F587" s="26"/>
      <c r="G587" s="26">
        <v>16775908</v>
      </c>
      <c r="H587" s="26"/>
      <c r="I587" s="26">
        <v>0</v>
      </c>
      <c r="J587" s="26"/>
      <c r="K587" s="26">
        <v>6115472</v>
      </c>
      <c r="L587" s="26"/>
      <c r="M587" s="26">
        <v>520307</v>
      </c>
      <c r="N587" s="26"/>
      <c r="O587" s="26">
        <v>1261493</v>
      </c>
      <c r="P587" s="26"/>
      <c r="Q587" s="26">
        <v>243570</v>
      </c>
      <c r="R587" s="26"/>
      <c r="S587" s="26">
        <v>0</v>
      </c>
      <c r="T587" s="26"/>
      <c r="U587" s="26">
        <v>30723</v>
      </c>
      <c r="V587" s="26"/>
      <c r="W587" s="26">
        <f>363570+124+218899</f>
        <v>582593</v>
      </c>
      <c r="X587" s="26"/>
      <c r="Y587" s="54">
        <f t="shared" si="30"/>
        <v>25530066</v>
      </c>
      <c r="Z587" s="26"/>
      <c r="AA587" s="26">
        <v>75108</v>
      </c>
      <c r="AB587" s="26"/>
      <c r="AC587" s="26"/>
      <c r="AD587" s="26"/>
      <c r="AE587" s="26">
        <v>0</v>
      </c>
      <c r="AF587" s="26"/>
      <c r="AG587" s="26"/>
      <c r="AH587" s="26"/>
      <c r="AI587" s="26"/>
      <c r="AJ587" s="26"/>
      <c r="AK587" s="26">
        <v>0</v>
      </c>
      <c r="AL587" s="26"/>
      <c r="AM587" s="26">
        <v>0</v>
      </c>
      <c r="AN587" s="26"/>
      <c r="AO587" s="26">
        <v>0</v>
      </c>
      <c r="AP587" s="26"/>
      <c r="AQ587" s="26">
        <v>0</v>
      </c>
      <c r="AR587" s="26"/>
      <c r="AS587" s="54">
        <f t="shared" si="31"/>
        <v>75108</v>
      </c>
      <c r="AT587" s="26"/>
      <c r="AU587" s="54">
        <f t="shared" si="32"/>
        <v>25605174</v>
      </c>
    </row>
    <row r="588" spans="1:47">
      <c r="A588" s="13" t="s">
        <v>874</v>
      </c>
      <c r="B588" s="13"/>
      <c r="C588" s="13" t="s">
        <v>71</v>
      </c>
      <c r="D588" s="13"/>
      <c r="E588" s="32">
        <v>45138</v>
      </c>
      <c r="F588" s="26"/>
      <c r="G588" s="26">
        <v>28670553</v>
      </c>
      <c r="H588" s="26"/>
      <c r="I588" s="26">
        <v>0</v>
      </c>
      <c r="J588" s="26"/>
      <c r="K588" s="26">
        <v>18031442</v>
      </c>
      <c r="L588" s="26"/>
      <c r="M588" s="26">
        <v>975392</v>
      </c>
      <c r="N588" s="26"/>
      <c r="O588" s="26">
        <v>716049</v>
      </c>
      <c r="P588" s="26"/>
      <c r="Q588" s="26">
        <v>331362</v>
      </c>
      <c r="R588" s="26"/>
      <c r="S588" s="26">
        <v>0</v>
      </c>
      <c r="T588" s="26"/>
      <c r="U588" s="26">
        <v>33444</v>
      </c>
      <c r="V588" s="26"/>
      <c r="W588" s="26">
        <f>64193+79214</f>
        <v>143407</v>
      </c>
      <c r="X588" s="26"/>
      <c r="Y588" s="54">
        <f t="shared" si="30"/>
        <v>48901649</v>
      </c>
      <c r="Z588" s="26"/>
      <c r="AA588" s="26">
        <v>82500</v>
      </c>
      <c r="AB588" s="26"/>
      <c r="AC588" s="26"/>
      <c r="AD588" s="26"/>
      <c r="AE588" s="26">
        <f>240619+9755000</f>
        <v>9995619</v>
      </c>
      <c r="AF588" s="26"/>
      <c r="AG588" s="26"/>
      <c r="AH588" s="26"/>
      <c r="AI588" s="26"/>
      <c r="AJ588" s="26"/>
      <c r="AK588" s="26">
        <v>2151</v>
      </c>
      <c r="AL588" s="26"/>
      <c r="AM588" s="26">
        <v>0</v>
      </c>
      <c r="AN588" s="26"/>
      <c r="AO588" s="26">
        <v>0</v>
      </c>
      <c r="AP588" s="26"/>
      <c r="AQ588" s="26">
        <v>0</v>
      </c>
      <c r="AR588" s="26"/>
      <c r="AS588" s="54">
        <f t="shared" si="31"/>
        <v>10080270</v>
      </c>
      <c r="AT588" s="26"/>
      <c r="AU588" s="54">
        <f t="shared" si="32"/>
        <v>58981919</v>
      </c>
    </row>
    <row r="589" spans="1:47">
      <c r="A589" s="13" t="s">
        <v>371</v>
      </c>
      <c r="B589" s="13"/>
      <c r="C589" s="13" t="s">
        <v>27</v>
      </c>
      <c r="D589" s="13"/>
      <c r="E589" s="32">
        <v>46524</v>
      </c>
      <c r="F589" s="26"/>
      <c r="G589" s="26">
        <v>78487732</v>
      </c>
      <c r="H589" s="26"/>
      <c r="I589" s="26">
        <v>0</v>
      </c>
      <c r="J589" s="26"/>
      <c r="K589" s="26">
        <v>36635890</v>
      </c>
      <c r="L589" s="26"/>
      <c r="M589" s="26">
        <v>3135482</v>
      </c>
      <c r="N589" s="26"/>
      <c r="O589" s="26">
        <v>1824288</v>
      </c>
      <c r="P589" s="26"/>
      <c r="Q589" s="26">
        <v>735661</v>
      </c>
      <c r="R589" s="26"/>
      <c r="S589" s="26">
        <v>0</v>
      </c>
      <c r="T589" s="26"/>
      <c r="U589" s="26">
        <v>0</v>
      </c>
      <c r="V589" s="26"/>
      <c r="W589" s="26">
        <f>1203391+2386864</f>
        <v>3590255</v>
      </c>
      <c r="X589" s="26"/>
      <c r="Y589" s="54">
        <f t="shared" si="30"/>
        <v>124409308</v>
      </c>
      <c r="Z589" s="26"/>
      <c r="AA589" s="26">
        <v>749500</v>
      </c>
      <c r="AB589" s="26"/>
      <c r="AC589" s="26"/>
      <c r="AD589" s="26"/>
      <c r="AE589" s="26">
        <f>4495000+84573</f>
        <v>4579573</v>
      </c>
      <c r="AF589" s="26"/>
      <c r="AG589" s="26"/>
      <c r="AH589" s="26"/>
      <c r="AI589" s="26"/>
      <c r="AJ589" s="26"/>
      <c r="AK589" s="26">
        <v>71429</v>
      </c>
      <c r="AL589" s="26"/>
      <c r="AM589" s="26">
        <v>0</v>
      </c>
      <c r="AN589" s="26"/>
      <c r="AO589" s="26">
        <v>0</v>
      </c>
      <c r="AP589" s="26"/>
      <c r="AQ589" s="26">
        <v>0</v>
      </c>
      <c r="AR589" s="26"/>
      <c r="AS589" s="54">
        <f t="shared" si="31"/>
        <v>5400502</v>
      </c>
      <c r="AT589" s="26"/>
      <c r="AU589" s="54">
        <f t="shared" si="32"/>
        <v>129809810</v>
      </c>
    </row>
    <row r="590" spans="1:47">
      <c r="A590" s="13" t="s">
        <v>299</v>
      </c>
      <c r="B590" s="13"/>
      <c r="C590" s="13" t="s">
        <v>114</v>
      </c>
      <c r="D590" s="13"/>
      <c r="E590" s="32">
        <v>45146</v>
      </c>
      <c r="F590" s="26"/>
      <c r="G590" s="26">
        <v>3756925</v>
      </c>
      <c r="H590" s="26"/>
      <c r="I590" s="26">
        <v>0</v>
      </c>
      <c r="J590" s="26"/>
      <c r="K590" s="26">
        <f>5547278+573473</f>
        <v>6120751</v>
      </c>
      <c r="L590" s="26"/>
      <c r="M590" s="26">
        <v>114129</v>
      </c>
      <c r="N590" s="26"/>
      <c r="O590" s="26">
        <v>424301</v>
      </c>
      <c r="P590" s="26"/>
      <c r="Q590" s="26">
        <v>98603</v>
      </c>
      <c r="R590" s="26"/>
      <c r="S590" s="26">
        <v>0</v>
      </c>
      <c r="T590" s="26"/>
      <c r="U590" s="26">
        <v>0</v>
      </c>
      <c r="V590" s="26"/>
      <c r="W590" s="26">
        <f>62491+55151+22595+271261</f>
        <v>411498</v>
      </c>
      <c r="X590" s="26"/>
      <c r="Y590" s="54">
        <f t="shared" si="30"/>
        <v>10926207</v>
      </c>
      <c r="Z590" s="26"/>
      <c r="AA590" s="26">
        <v>46692</v>
      </c>
      <c r="AB590" s="26"/>
      <c r="AC590" s="26"/>
      <c r="AD590" s="26"/>
      <c r="AE590" s="26">
        <v>2799995</v>
      </c>
      <c r="AF590" s="26"/>
      <c r="AG590" s="26"/>
      <c r="AH590" s="26"/>
      <c r="AI590" s="26"/>
      <c r="AJ590" s="26"/>
      <c r="AK590" s="26">
        <v>275827</v>
      </c>
      <c r="AL590" s="26"/>
      <c r="AM590" s="26">
        <v>0</v>
      </c>
      <c r="AN590" s="26"/>
      <c r="AO590" s="26">
        <v>0</v>
      </c>
      <c r="AP590" s="26"/>
      <c r="AQ590" s="26">
        <v>0</v>
      </c>
      <c r="AR590" s="26"/>
      <c r="AS590" s="54">
        <f t="shared" si="31"/>
        <v>3122514</v>
      </c>
      <c r="AT590" s="26"/>
      <c r="AU590" s="54">
        <f t="shared" si="32"/>
        <v>14048721</v>
      </c>
    </row>
    <row r="591" spans="1:47">
      <c r="A591" s="13" t="s">
        <v>417</v>
      </c>
      <c r="B591" s="13"/>
      <c r="C591" s="13" t="s">
        <v>32</v>
      </c>
      <c r="D591" s="13"/>
      <c r="E591" s="32">
        <v>45153</v>
      </c>
      <c r="F591" s="26"/>
      <c r="G591" s="26">
        <v>16977376</v>
      </c>
      <c r="H591" s="26"/>
      <c r="I591" s="26">
        <v>0</v>
      </c>
      <c r="J591" s="26"/>
      <c r="K591" s="26">
        <v>7768148</v>
      </c>
      <c r="L591" s="26"/>
      <c r="M591" s="26">
        <v>452475</v>
      </c>
      <c r="N591" s="26"/>
      <c r="O591" s="26">
        <v>607708</v>
      </c>
      <c r="P591" s="26"/>
      <c r="Q591" s="26">
        <v>187528</v>
      </c>
      <c r="R591" s="26"/>
      <c r="S591" s="26">
        <v>0</v>
      </c>
      <c r="T591" s="26"/>
      <c r="U591" s="26">
        <v>0</v>
      </c>
      <c r="V591" s="26"/>
      <c r="W591" s="26">
        <f>428325+425596</f>
        <v>853921</v>
      </c>
      <c r="X591" s="26"/>
      <c r="Y591" s="54">
        <f t="shared" si="30"/>
        <v>26847156</v>
      </c>
      <c r="Z591" s="26"/>
      <c r="AA591" s="26">
        <v>0</v>
      </c>
      <c r="AB591" s="26"/>
      <c r="AC591" s="26"/>
      <c r="AD591" s="26"/>
      <c r="AE591" s="26">
        <v>0</v>
      </c>
      <c r="AF591" s="26"/>
      <c r="AG591" s="26"/>
      <c r="AH591" s="26"/>
      <c r="AI591" s="26"/>
      <c r="AJ591" s="26"/>
      <c r="AK591" s="26">
        <v>0</v>
      </c>
      <c r="AL591" s="26"/>
      <c r="AM591" s="26">
        <v>0</v>
      </c>
      <c r="AN591" s="26"/>
      <c r="AO591" s="26">
        <v>0</v>
      </c>
      <c r="AP591" s="26"/>
      <c r="AQ591" s="26">
        <v>0</v>
      </c>
      <c r="AR591" s="26"/>
      <c r="AS591" s="54">
        <f t="shared" si="31"/>
        <v>0</v>
      </c>
      <c r="AT591" s="26"/>
      <c r="AU591" s="54">
        <f t="shared" si="32"/>
        <v>26847156</v>
      </c>
    </row>
    <row r="592" spans="1:47">
      <c r="A592" s="13" t="s">
        <v>392</v>
      </c>
      <c r="B592" s="13"/>
      <c r="C592" s="13" t="s">
        <v>117</v>
      </c>
      <c r="D592" s="13"/>
      <c r="E592" s="32">
        <v>45674</v>
      </c>
      <c r="F592" s="26"/>
      <c r="G592" s="26">
        <v>3439567</v>
      </c>
      <c r="H592" s="26"/>
      <c r="I592" s="26">
        <v>1367364</v>
      </c>
      <c r="J592" s="26"/>
      <c r="K592" s="26">
        <v>2244255</v>
      </c>
      <c r="L592" s="26"/>
      <c r="M592" s="26">
        <v>179024</v>
      </c>
      <c r="N592" s="26"/>
      <c r="O592" s="26">
        <v>740611</v>
      </c>
      <c r="P592" s="26"/>
      <c r="Q592" s="26">
        <v>100434</v>
      </c>
      <c r="R592" s="26"/>
      <c r="S592" s="26">
        <v>0</v>
      </c>
      <c r="T592" s="26"/>
      <c r="U592" s="26">
        <v>17115</v>
      </c>
      <c r="V592" s="26"/>
      <c r="W592" s="26">
        <f>47748+80596+2600</f>
        <v>130944</v>
      </c>
      <c r="X592" s="26"/>
      <c r="Y592" s="54">
        <f t="shared" si="30"/>
        <v>8219314</v>
      </c>
      <c r="Z592" s="26"/>
      <c r="AA592" s="26">
        <v>35100</v>
      </c>
      <c r="AB592" s="26"/>
      <c r="AC592" s="26"/>
      <c r="AD592" s="26"/>
      <c r="AE592" s="26">
        <v>0</v>
      </c>
      <c r="AF592" s="26"/>
      <c r="AG592" s="26"/>
      <c r="AH592" s="26"/>
      <c r="AI592" s="26"/>
      <c r="AJ592" s="26"/>
      <c r="AK592" s="26">
        <v>4500</v>
      </c>
      <c r="AL592" s="26"/>
      <c r="AM592" s="26">
        <v>0</v>
      </c>
      <c r="AN592" s="26"/>
      <c r="AO592" s="26">
        <v>0</v>
      </c>
      <c r="AP592" s="26"/>
      <c r="AQ592" s="26">
        <v>0</v>
      </c>
      <c r="AR592" s="26"/>
      <c r="AS592" s="54">
        <f t="shared" si="31"/>
        <v>39600</v>
      </c>
      <c r="AT592" s="26"/>
      <c r="AU592" s="54">
        <f t="shared" si="32"/>
        <v>8258914</v>
      </c>
    </row>
    <row r="593" spans="1:47">
      <c r="A593" s="13" t="s">
        <v>525</v>
      </c>
      <c r="B593" s="13"/>
      <c r="C593" s="13" t="s">
        <v>45</v>
      </c>
      <c r="D593" s="13"/>
      <c r="E593" s="32">
        <v>45161</v>
      </c>
      <c r="F593" s="26"/>
      <c r="G593" s="26">
        <v>21782283</v>
      </c>
      <c r="H593" s="26"/>
      <c r="I593" s="26">
        <v>0</v>
      </c>
      <c r="J593" s="26"/>
      <c r="K593" s="26">
        <v>125587582</v>
      </c>
      <c r="L593" s="26"/>
      <c r="M593" s="26">
        <v>3414948</v>
      </c>
      <c r="N593" s="26"/>
      <c r="O593" s="26">
        <v>1577300</v>
      </c>
      <c r="P593" s="26"/>
      <c r="Q593" s="26">
        <v>227318</v>
      </c>
      <c r="R593" s="26"/>
      <c r="S593" s="26">
        <v>0</v>
      </c>
      <c r="T593" s="26"/>
      <c r="U593" s="26">
        <v>62907</v>
      </c>
      <c r="V593" s="26"/>
      <c r="W593" s="26">
        <f>278223+99818+315462</f>
        <v>693503</v>
      </c>
      <c r="X593" s="26"/>
      <c r="Y593" s="54">
        <f t="shared" si="30"/>
        <v>153345841</v>
      </c>
      <c r="Z593" s="26"/>
      <c r="AA593" s="26">
        <v>585992</v>
      </c>
      <c r="AB593" s="26"/>
      <c r="AC593" s="26"/>
      <c r="AD593" s="26"/>
      <c r="AE593" s="26">
        <v>0</v>
      </c>
      <c r="AF593" s="26"/>
      <c r="AG593" s="26"/>
      <c r="AH593" s="26"/>
      <c r="AI593" s="26"/>
      <c r="AJ593" s="26"/>
      <c r="AK593" s="26">
        <v>39067</v>
      </c>
      <c r="AL593" s="26"/>
      <c r="AM593" s="26">
        <v>0</v>
      </c>
      <c r="AN593" s="26"/>
      <c r="AO593" s="26">
        <v>0</v>
      </c>
      <c r="AP593" s="26"/>
      <c r="AQ593" s="26">
        <v>0</v>
      </c>
      <c r="AR593" s="26"/>
      <c r="AS593" s="54">
        <f t="shared" si="31"/>
        <v>625059</v>
      </c>
      <c r="AT593" s="26"/>
      <c r="AU593" s="54">
        <f t="shared" si="32"/>
        <v>153970900</v>
      </c>
    </row>
    <row r="594" spans="1:47">
      <c r="A594" s="13" t="s">
        <v>626</v>
      </c>
      <c r="B594" s="13"/>
      <c r="C594" s="13" t="s">
        <v>58</v>
      </c>
      <c r="D594" s="13"/>
      <c r="E594" s="32">
        <v>49544</v>
      </c>
      <c r="F594" s="26"/>
      <c r="G594" s="26">
        <v>4387769</v>
      </c>
      <c r="H594" s="26"/>
      <c r="I594" s="26">
        <v>29916</v>
      </c>
      <c r="J594" s="26"/>
      <c r="K594" s="26">
        <v>8265104</v>
      </c>
      <c r="L594" s="26"/>
      <c r="M594" s="26">
        <v>490806</v>
      </c>
      <c r="N594" s="26"/>
      <c r="O594" s="26">
        <v>244157</v>
      </c>
      <c r="P594" s="26"/>
      <c r="Q594" s="26">
        <v>232507</v>
      </c>
      <c r="R594" s="26"/>
      <c r="S594" s="26">
        <v>0</v>
      </c>
      <c r="T594" s="26"/>
      <c r="U594" s="26">
        <v>31448</v>
      </c>
      <c r="V594" s="26"/>
      <c r="W594" s="26">
        <f>117606+350510</f>
        <v>468116</v>
      </c>
      <c r="X594" s="26"/>
      <c r="Y594" s="54">
        <f t="shared" si="30"/>
        <v>14149823</v>
      </c>
      <c r="Z594" s="26"/>
      <c r="AA594" s="26">
        <v>0</v>
      </c>
      <c r="AB594" s="26"/>
      <c r="AC594" s="26"/>
      <c r="AD594" s="26"/>
      <c r="AE594" s="26">
        <v>0</v>
      </c>
      <c r="AF594" s="26"/>
      <c r="AG594" s="26"/>
      <c r="AH594" s="26"/>
      <c r="AI594" s="26"/>
      <c r="AJ594" s="26"/>
      <c r="AK594" s="26">
        <v>0</v>
      </c>
      <c r="AL594" s="26"/>
      <c r="AM594" s="26">
        <v>0</v>
      </c>
      <c r="AN594" s="26"/>
      <c r="AO594" s="26">
        <v>0</v>
      </c>
      <c r="AP594" s="26"/>
      <c r="AQ594" s="26">
        <v>0</v>
      </c>
      <c r="AR594" s="26"/>
      <c r="AS594" s="54">
        <f t="shared" si="31"/>
        <v>0</v>
      </c>
      <c r="AT594" s="26"/>
      <c r="AU594" s="54">
        <f t="shared" si="32"/>
        <v>14149823</v>
      </c>
    </row>
    <row r="595" spans="1:47">
      <c r="A595" s="13" t="s">
        <v>576</v>
      </c>
      <c r="B595" s="13"/>
      <c r="C595" s="13" t="s">
        <v>51</v>
      </c>
      <c r="D595" s="13"/>
      <c r="E595" s="32">
        <v>45179</v>
      </c>
      <c r="F595" s="26"/>
      <c r="G595" s="26">
        <v>7464594</v>
      </c>
      <c r="H595" s="26"/>
      <c r="I595" s="26">
        <v>0</v>
      </c>
      <c r="J595" s="26"/>
      <c r="K595" s="26">
        <v>38277397</v>
      </c>
      <c r="L595" s="26"/>
      <c r="M595" s="26">
        <v>260539</v>
      </c>
      <c r="N595" s="26"/>
      <c r="O595" s="26">
        <v>1438359</v>
      </c>
      <c r="P595" s="26"/>
      <c r="Q595" s="26">
        <v>278808</v>
      </c>
      <c r="R595" s="26"/>
      <c r="S595" s="26">
        <v>53636</v>
      </c>
      <c r="T595" s="26"/>
      <c r="U595" s="26">
        <v>185442</v>
      </c>
      <c r="V595" s="26"/>
      <c r="W595" s="26">
        <f>133768+847+442824</f>
        <v>577439</v>
      </c>
      <c r="X595" s="26"/>
      <c r="Y595" s="54">
        <f>SUM(G595:W595)</f>
        <v>48536214</v>
      </c>
      <c r="Z595" s="26"/>
      <c r="AA595" s="26">
        <v>588261</v>
      </c>
      <c r="AB595" s="26"/>
      <c r="AC595" s="26"/>
      <c r="AD595" s="26"/>
      <c r="AE595" s="26">
        <v>0</v>
      </c>
      <c r="AF595" s="26"/>
      <c r="AG595" s="26"/>
      <c r="AH595" s="26"/>
      <c r="AI595" s="26"/>
      <c r="AJ595" s="26"/>
      <c r="AK595" s="26">
        <v>155472</v>
      </c>
      <c r="AL595" s="26"/>
      <c r="AM595" s="26">
        <v>0</v>
      </c>
      <c r="AN595" s="26"/>
      <c r="AO595" s="26">
        <v>0</v>
      </c>
      <c r="AP595" s="26"/>
      <c r="AQ595" s="26">
        <v>0</v>
      </c>
      <c r="AR595" s="26"/>
      <c r="AS595" s="54">
        <f>AK595+AE595+AA595</f>
        <v>743733</v>
      </c>
      <c r="AT595" s="26"/>
      <c r="AU595" s="54">
        <f>Y595+AS595</f>
        <v>49279947</v>
      </c>
    </row>
    <row r="596" spans="1:47">
      <c r="A596" s="13"/>
      <c r="B596" s="13"/>
      <c r="C596" s="13"/>
      <c r="D596" s="13"/>
      <c r="AI596" s="37"/>
      <c r="AM596" s="9">
        <v>0</v>
      </c>
      <c r="AQ596" s="9">
        <v>0</v>
      </c>
    </row>
    <row r="597" spans="1:47">
      <c r="A597" s="94" t="s">
        <v>788</v>
      </c>
      <c r="B597" s="94"/>
      <c r="C597" s="94"/>
      <c r="D597" s="94"/>
      <c r="E597" s="94"/>
      <c r="F597" s="94"/>
      <c r="G597" s="94"/>
      <c r="H597" s="94"/>
      <c r="I597" s="94"/>
      <c r="AI597" s="37"/>
    </row>
    <row r="598" spans="1:47">
      <c r="A598" s="8" t="s">
        <v>827</v>
      </c>
      <c r="AI598" s="37"/>
    </row>
    <row r="599" spans="1:47">
      <c r="AI599" s="37"/>
    </row>
    <row r="600" spans="1:47">
      <c r="AI600" s="37"/>
    </row>
    <row r="601" spans="1:47">
      <c r="AI601" s="37"/>
    </row>
    <row r="602" spans="1:47">
      <c r="AI602" s="37"/>
    </row>
    <row r="603" spans="1:47">
      <c r="AI603" s="37"/>
    </row>
    <row r="604" spans="1:47">
      <c r="AI604" s="37"/>
    </row>
    <row r="605" spans="1:47">
      <c r="AI605" s="37"/>
    </row>
    <row r="606" spans="1:47">
      <c r="AI606" s="37"/>
    </row>
    <row r="607" spans="1:47">
      <c r="AI607" s="37"/>
    </row>
    <row r="608" spans="1:47">
      <c r="AI608" s="37"/>
    </row>
    <row r="609" spans="35:35">
      <c r="AI609" s="37"/>
    </row>
    <row r="610" spans="35:35">
      <c r="AI610" s="37"/>
    </row>
    <row r="611" spans="35:35">
      <c r="AI611" s="37"/>
    </row>
    <row r="612" spans="35:35">
      <c r="AI612" s="37"/>
    </row>
    <row r="613" spans="35:35">
      <c r="AI613" s="37"/>
    </row>
    <row r="614" spans="35:35">
      <c r="AI614" s="37"/>
    </row>
    <row r="615" spans="35:35">
      <c r="AI615" s="37"/>
    </row>
    <row r="616" spans="35:35">
      <c r="AI616" s="37"/>
    </row>
    <row r="617" spans="35:35">
      <c r="AI617" s="37"/>
    </row>
    <row r="618" spans="35:35">
      <c r="AI618" s="37"/>
    </row>
    <row r="619" spans="35:35">
      <c r="AI619" s="37"/>
    </row>
    <row r="620" spans="35:35">
      <c r="AI620" s="37"/>
    </row>
    <row r="621" spans="35:35">
      <c r="AI621" s="37"/>
    </row>
  </sheetData>
  <mergeCells count="2">
    <mergeCell ref="AA6:AK6"/>
    <mergeCell ref="A597:I597"/>
  </mergeCells>
  <pageMargins left="0.7" right="0.7" top="0.75" bottom="0.75" header="0.3" footer="0.3"/>
  <pageSetup scale="72" firstPageNumber="144" pageOrder="overThenDown" orientation="portrait" useFirstPageNumber="1" verticalDpi="1200" r:id="rId1"/>
  <headerFooter>
    <oddFooter>&amp;C&amp;"Times New Roman,Regular"&amp;12&amp;P</oddFooter>
  </headerFooter>
  <rowBreaks count="1" manualBreakCount="1">
    <brk id="512" max="46" man="1"/>
  </rowBreaks>
  <colBreaks count="1" manualBreakCount="1">
    <brk id="17" max="593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BX601"/>
  <sheetViews>
    <sheetView view="pageBreakPreview" zoomScale="140" zoomScaleNormal="70" zoomScaleSheetLayoutView="140" workbookViewId="0">
      <pane xSplit="6" ySplit="9" topLeftCell="BQ507" activePane="bottomRight" state="frozen"/>
      <selection sqref="A1:IV65536"/>
      <selection pane="topRight" sqref="A1:IV65536"/>
      <selection pane="bottomLeft" sqref="A1:IV65536"/>
      <selection pane="bottomRight" activeCell="BT516" sqref="BT516"/>
    </sheetView>
  </sheetViews>
  <sheetFormatPr defaultColWidth="9.109375" defaultRowHeight="12"/>
  <cols>
    <col min="1" max="1" width="28" style="8" customWidth="1"/>
    <col min="2" max="2" width="1.6640625" style="8" customWidth="1"/>
    <col min="3" max="3" width="11.6640625" style="8" customWidth="1"/>
    <col min="4" max="4" width="1.6640625" style="8" hidden="1" customWidth="1"/>
    <col min="5" max="5" width="11.6640625" style="30" hidden="1" customWidth="1"/>
    <col min="6" max="6" width="1.6640625" style="8" customWidth="1"/>
    <col min="7" max="7" width="11.6640625" style="8" customWidth="1"/>
    <col min="8" max="8" width="1.6640625" style="8" customWidth="1"/>
    <col min="9" max="9" width="11.6640625" style="8" customWidth="1"/>
    <col min="10" max="10" width="1.6640625" style="8" customWidth="1"/>
    <col min="11" max="11" width="11.6640625" style="8" customWidth="1"/>
    <col min="12" max="12" width="1.6640625" style="8" customWidth="1"/>
    <col min="13" max="13" width="11.6640625" style="8" customWidth="1"/>
    <col min="14" max="14" width="1.6640625" style="8" customWidth="1"/>
    <col min="15" max="15" width="11.6640625" style="8" customWidth="1"/>
    <col min="16" max="16" width="1.6640625" style="8" customWidth="1"/>
    <col min="17" max="17" width="11.6640625" style="8" customWidth="1"/>
    <col min="18" max="18" width="1.6640625" style="8" customWidth="1"/>
    <col min="19" max="19" width="11.6640625" style="8" customWidth="1"/>
    <col min="20" max="20" width="1.6640625" style="8" customWidth="1"/>
    <col min="21" max="21" width="11.6640625" style="8" customWidth="1"/>
    <col min="22" max="22" width="1.6640625" style="8" customWidth="1"/>
    <col min="23" max="23" width="11.6640625" style="8" customWidth="1"/>
    <col min="24" max="24" width="1.6640625" style="8" customWidth="1"/>
    <col min="25" max="25" width="11.6640625" style="8" customWidth="1"/>
    <col min="26" max="26" width="1.6640625" style="8" customWidth="1"/>
    <col min="27" max="27" width="11.6640625" style="8" customWidth="1"/>
    <col min="28" max="28" width="1.6640625" style="8" customWidth="1"/>
    <col min="29" max="29" width="11.6640625" style="8" customWidth="1"/>
    <col min="30" max="30" width="1.6640625" style="8" customWidth="1"/>
    <col min="31" max="31" width="11.6640625" style="8" customWidth="1"/>
    <col min="32" max="32" width="1.6640625" style="8" customWidth="1"/>
    <col min="33" max="33" width="11.6640625" style="8" customWidth="1"/>
    <col min="34" max="34" width="1.6640625" style="8" customWidth="1"/>
    <col min="35" max="35" width="11.6640625" style="8" customWidth="1"/>
    <col min="36" max="36" width="25.6640625" style="8" customWidth="1"/>
    <col min="37" max="37" width="1.6640625" style="8" customWidth="1"/>
    <col min="38" max="38" width="11.6640625" style="8" customWidth="1"/>
    <col min="39" max="39" width="1.6640625" style="8" customWidth="1"/>
    <col min="40" max="40" width="11.6640625" style="8" customWidth="1"/>
    <col min="41" max="41" width="1.6640625" style="8" customWidth="1"/>
    <col min="42" max="42" width="11.6640625" style="8" customWidth="1"/>
    <col min="43" max="43" width="1.6640625" style="8" customWidth="1"/>
    <col min="44" max="44" width="11.6640625" style="8" customWidth="1"/>
    <col min="45" max="45" width="1.6640625" style="8" customWidth="1"/>
    <col min="46" max="46" width="11.6640625" style="8" customWidth="1"/>
    <col min="47" max="47" width="1.6640625" style="8" customWidth="1"/>
    <col min="48" max="48" width="11.6640625" style="8" customWidth="1"/>
    <col min="49" max="49" width="1.6640625" style="8" customWidth="1"/>
    <col min="50" max="50" width="11.6640625" style="8" customWidth="1"/>
    <col min="51" max="51" width="1.6640625" style="8" customWidth="1"/>
    <col min="52" max="52" width="12.109375" style="8" customWidth="1"/>
    <col min="53" max="53" width="1.6640625" style="8" customWidth="1"/>
    <col min="54" max="54" width="11.6640625" style="8" customWidth="1"/>
    <col min="55" max="55" width="1.6640625" style="8" customWidth="1"/>
    <col min="56" max="56" width="11.6640625" style="8" hidden="1" customWidth="1"/>
    <col min="57" max="57" width="1.6640625" style="8" hidden="1" customWidth="1"/>
    <col min="58" max="58" width="11.6640625" style="8" hidden="1" customWidth="1"/>
    <col min="59" max="59" width="1.6640625" style="8" hidden="1" customWidth="1"/>
    <col min="60" max="60" width="11.6640625" style="8" customWidth="1"/>
    <col min="61" max="61" width="1.6640625" style="8" customWidth="1"/>
    <col min="62" max="62" width="12.5546875" style="8" customWidth="1"/>
    <col min="63" max="63" width="1.6640625" style="8" customWidth="1"/>
    <col min="64" max="64" width="11.6640625" style="8" customWidth="1"/>
    <col min="65" max="65" width="1.6640625" style="8" customWidth="1"/>
    <col min="66" max="66" width="11.6640625" style="8" customWidth="1"/>
    <col min="67" max="67" width="1.6640625" style="8" customWidth="1"/>
    <col min="68" max="68" width="13.109375" style="8" customWidth="1"/>
    <col min="69" max="69" width="1.6640625" style="8" customWidth="1"/>
    <col min="70" max="70" width="10.88671875" style="8" customWidth="1"/>
    <col min="71" max="71" width="1.6640625" style="8" customWidth="1"/>
    <col min="72" max="72" width="11.6640625" style="8" customWidth="1"/>
    <col min="73" max="73" width="1.6640625" style="8" customWidth="1"/>
    <col min="74" max="74" width="11.6640625" style="8" customWidth="1"/>
    <col min="75" max="75" width="1.6640625" style="8" customWidth="1"/>
    <col min="76" max="76" width="11.6640625" style="8" customWidth="1"/>
    <col min="77" max="16384" width="9.109375" style="8"/>
  </cols>
  <sheetData>
    <row r="1" spans="1:74" s="15" customFormat="1">
      <c r="A1" s="55" t="s">
        <v>820</v>
      </c>
      <c r="B1" s="55"/>
      <c r="C1" s="55"/>
      <c r="D1" s="55"/>
      <c r="E1" s="56"/>
      <c r="F1" s="55"/>
      <c r="G1" s="55"/>
      <c r="H1" s="55"/>
      <c r="I1" s="58"/>
      <c r="J1" s="58"/>
      <c r="K1" s="58"/>
      <c r="L1" s="58"/>
      <c r="M1" s="58"/>
      <c r="N1" s="58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55" t="s">
        <v>820</v>
      </c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7"/>
    </row>
    <row r="2" spans="1:74" s="15" customFormat="1">
      <c r="A2" s="55" t="s">
        <v>912</v>
      </c>
      <c r="B2" s="55"/>
      <c r="C2" s="55"/>
      <c r="D2" s="55"/>
      <c r="E2" s="56"/>
      <c r="F2" s="55"/>
      <c r="G2" s="55"/>
      <c r="H2" s="55"/>
      <c r="I2" s="58"/>
      <c r="J2" s="58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55" t="s">
        <v>881</v>
      </c>
      <c r="AK2" s="55"/>
      <c r="AL2" s="55"/>
      <c r="AM2" s="24"/>
      <c r="AN2" s="24"/>
      <c r="AO2" s="24"/>
      <c r="AP2" s="24"/>
      <c r="AQ2" s="24"/>
      <c r="AR2" s="24"/>
      <c r="AS2" s="24"/>
      <c r="AT2" s="24"/>
      <c r="AU2" s="27"/>
    </row>
    <row r="3" spans="1:74" s="15" customFormat="1">
      <c r="A3" s="55"/>
      <c r="B3" s="55"/>
      <c r="C3" s="55"/>
      <c r="D3" s="55"/>
      <c r="E3" s="56"/>
      <c r="F3" s="55"/>
      <c r="G3" s="55"/>
      <c r="H3" s="55"/>
      <c r="I3" s="58"/>
      <c r="J3" s="58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55"/>
      <c r="AK3" s="55"/>
      <c r="AL3" s="55"/>
      <c r="AM3" s="24"/>
      <c r="AN3" s="24"/>
      <c r="AO3" s="24"/>
      <c r="AP3" s="24"/>
      <c r="AQ3" s="24"/>
      <c r="AR3" s="38"/>
      <c r="AS3" s="24"/>
      <c r="AT3" s="24"/>
      <c r="AU3" s="27"/>
    </row>
    <row r="4" spans="1:74">
      <c r="A4" s="27" t="s">
        <v>177</v>
      </c>
      <c r="B4" s="27"/>
      <c r="C4" s="27"/>
      <c r="D4" s="27"/>
      <c r="E4" s="57"/>
      <c r="F4" s="27"/>
      <c r="G4" s="11"/>
      <c r="H4" s="11"/>
      <c r="I4" s="24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27" t="s">
        <v>119</v>
      </c>
      <c r="AK4" s="27"/>
      <c r="AL4" s="27"/>
      <c r="AM4" s="11"/>
      <c r="AN4" s="11"/>
      <c r="AO4" s="11"/>
      <c r="AP4" s="63"/>
      <c r="AQ4" s="11"/>
      <c r="AR4" s="11"/>
      <c r="AS4" s="11"/>
      <c r="AT4" s="11"/>
      <c r="AU4" s="11"/>
    </row>
    <row r="5" spans="1:74" s="15" customFormat="1">
      <c r="A5" s="27"/>
      <c r="B5" s="11"/>
      <c r="C5" s="11"/>
      <c r="D5" s="11"/>
      <c r="E5" s="31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AK5" s="11"/>
      <c r="AL5" s="11"/>
    </row>
    <row r="6" spans="1:74">
      <c r="A6" s="15" t="s">
        <v>819</v>
      </c>
      <c r="B6" s="15"/>
      <c r="C6" s="15"/>
      <c r="D6" s="15"/>
      <c r="E6" s="64"/>
      <c r="F6" s="15"/>
      <c r="G6" s="19" t="s">
        <v>151</v>
      </c>
      <c r="H6" s="19"/>
      <c r="I6" s="19"/>
      <c r="J6" s="19"/>
      <c r="K6" s="19"/>
      <c r="L6" s="19"/>
      <c r="M6" s="19"/>
      <c r="O6" s="19" t="s">
        <v>152</v>
      </c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G6" s="19" t="s">
        <v>164</v>
      </c>
      <c r="AH6" s="19"/>
      <c r="AI6" s="19"/>
      <c r="AJ6" s="27" t="s">
        <v>819</v>
      </c>
      <c r="AK6" s="15"/>
      <c r="AL6" s="15"/>
      <c r="AT6" s="96" t="s">
        <v>187</v>
      </c>
      <c r="AU6" s="96"/>
      <c r="AV6" s="96"/>
      <c r="AW6" s="11"/>
      <c r="AX6" s="11"/>
      <c r="BB6" s="19" t="s">
        <v>188</v>
      </c>
      <c r="BC6" s="19"/>
      <c r="BD6" s="19"/>
      <c r="BE6" s="19"/>
      <c r="BF6" s="19"/>
      <c r="BG6" s="19"/>
      <c r="BH6" s="19"/>
      <c r="BJ6" s="16" t="s">
        <v>3</v>
      </c>
      <c r="BK6" s="16"/>
      <c r="BL6" s="16" t="s">
        <v>192</v>
      </c>
      <c r="BM6" s="16"/>
      <c r="BN6" s="16" t="s">
        <v>92</v>
      </c>
      <c r="BO6" s="16"/>
      <c r="BP6" s="16" t="s">
        <v>790</v>
      </c>
      <c r="BQ6" s="16"/>
      <c r="BR6" s="16"/>
      <c r="BS6" s="16"/>
      <c r="BT6" s="16" t="s">
        <v>92</v>
      </c>
      <c r="BU6" s="16"/>
      <c r="BV6" s="16" t="s">
        <v>141</v>
      </c>
    </row>
    <row r="7" spans="1:74">
      <c r="M7" s="16"/>
      <c r="AA7" s="16" t="s">
        <v>159</v>
      </c>
      <c r="AR7" s="16" t="s">
        <v>1</v>
      </c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 t="s">
        <v>778</v>
      </c>
      <c r="BG7" s="16"/>
      <c r="BH7" s="16" t="s">
        <v>191</v>
      </c>
      <c r="BJ7" s="16" t="s">
        <v>74</v>
      </c>
      <c r="BK7" s="16"/>
      <c r="BL7" s="16" t="s">
        <v>123</v>
      </c>
      <c r="BM7" s="16"/>
      <c r="BN7" s="16" t="s">
        <v>193</v>
      </c>
      <c r="BO7" s="16"/>
      <c r="BP7" s="16" t="s">
        <v>791</v>
      </c>
      <c r="BQ7" s="16"/>
      <c r="BR7" s="16"/>
      <c r="BS7" s="16"/>
      <c r="BT7" s="16" t="s">
        <v>193</v>
      </c>
      <c r="BU7" s="16"/>
      <c r="BV7" s="16" t="s">
        <v>142</v>
      </c>
    </row>
    <row r="8" spans="1:74">
      <c r="A8" s="5"/>
      <c r="B8" s="5"/>
      <c r="C8" s="5"/>
      <c r="D8" s="5"/>
      <c r="E8" s="60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 t="s">
        <v>153</v>
      </c>
      <c r="R8" s="5"/>
      <c r="S8" s="5" t="s">
        <v>155</v>
      </c>
      <c r="T8" s="5"/>
      <c r="U8" s="5"/>
      <c r="V8" s="5"/>
      <c r="W8" s="5"/>
      <c r="X8" s="5"/>
      <c r="Y8" s="5"/>
      <c r="Z8" s="5"/>
      <c r="AA8" s="5" t="s">
        <v>160</v>
      </c>
      <c r="AB8" s="5"/>
      <c r="AC8" s="5" t="s">
        <v>162</v>
      </c>
      <c r="AD8" s="5"/>
      <c r="AE8" s="5"/>
      <c r="AF8" s="5"/>
      <c r="AG8" s="16" t="s">
        <v>165</v>
      </c>
      <c r="AH8" s="16"/>
      <c r="AI8" s="16"/>
      <c r="AJ8" s="5"/>
      <c r="AK8" s="5"/>
      <c r="AL8" s="5"/>
      <c r="AM8" s="16"/>
      <c r="AN8" s="16" t="s">
        <v>167</v>
      </c>
      <c r="AO8" s="16"/>
      <c r="AP8" s="16" t="s">
        <v>73</v>
      </c>
      <c r="AQ8" s="16"/>
      <c r="AR8" s="16" t="s">
        <v>7</v>
      </c>
      <c r="AS8" s="16"/>
      <c r="AT8" s="16" t="s">
        <v>76</v>
      </c>
      <c r="AU8" s="16"/>
      <c r="AV8" s="16"/>
      <c r="AW8" s="16"/>
      <c r="AX8" s="16" t="s">
        <v>134</v>
      </c>
      <c r="AY8" s="16"/>
      <c r="AZ8" s="16" t="s">
        <v>3</v>
      </c>
      <c r="BA8" s="16"/>
      <c r="BB8" s="16" t="s">
        <v>170</v>
      </c>
      <c r="BC8" s="16"/>
      <c r="BD8" s="16" t="s">
        <v>189</v>
      </c>
      <c r="BE8" s="16"/>
      <c r="BF8" s="16" t="s">
        <v>779</v>
      </c>
      <c r="BG8" s="16"/>
      <c r="BH8" s="16" t="s">
        <v>83</v>
      </c>
      <c r="BI8" s="16"/>
      <c r="BJ8" s="16" t="s">
        <v>185</v>
      </c>
      <c r="BK8" s="16"/>
      <c r="BL8" s="16" t="s">
        <v>92</v>
      </c>
      <c r="BM8" s="16"/>
      <c r="BN8" s="5" t="s">
        <v>171</v>
      </c>
      <c r="BO8" s="16"/>
      <c r="BP8" s="16" t="s">
        <v>775</v>
      </c>
      <c r="BQ8" s="16"/>
      <c r="BR8" s="16" t="s">
        <v>811</v>
      </c>
      <c r="BS8" s="16"/>
      <c r="BT8" s="5" t="s">
        <v>194</v>
      </c>
      <c r="BU8" s="16"/>
      <c r="BV8" s="16" t="s">
        <v>204</v>
      </c>
    </row>
    <row r="9" spans="1:74">
      <c r="A9" s="1" t="s">
        <v>208</v>
      </c>
      <c r="B9" s="16"/>
      <c r="C9" s="1" t="s">
        <v>4</v>
      </c>
      <c r="D9" s="16"/>
      <c r="E9" s="61" t="s">
        <v>207</v>
      </c>
      <c r="F9" s="5"/>
      <c r="G9" s="2" t="s">
        <v>789</v>
      </c>
      <c r="I9" s="2" t="s">
        <v>2</v>
      </c>
      <c r="K9" s="2" t="s">
        <v>150</v>
      </c>
      <c r="M9" s="2" t="s">
        <v>83</v>
      </c>
      <c r="O9" s="2" t="s">
        <v>797</v>
      </c>
      <c r="Q9" s="2" t="s">
        <v>154</v>
      </c>
      <c r="S9" s="2" t="s">
        <v>156</v>
      </c>
      <c r="U9" s="2" t="s">
        <v>157</v>
      </c>
      <c r="W9" s="2" t="s">
        <v>158</v>
      </c>
      <c r="X9" s="5"/>
      <c r="Y9" s="1" t="s">
        <v>750</v>
      </c>
      <c r="AA9" s="2" t="s">
        <v>161</v>
      </c>
      <c r="AB9" s="5"/>
      <c r="AC9" s="1" t="s">
        <v>163</v>
      </c>
      <c r="AD9" s="5"/>
      <c r="AE9" s="1" t="s">
        <v>751</v>
      </c>
      <c r="AG9" s="1" t="s">
        <v>166</v>
      </c>
      <c r="AI9" s="1" t="s">
        <v>83</v>
      </c>
      <c r="AJ9" s="1" t="s">
        <v>208</v>
      </c>
      <c r="AK9" s="16"/>
      <c r="AL9" s="1" t="s">
        <v>4</v>
      </c>
      <c r="AM9" s="5"/>
      <c r="AN9" s="1" t="s">
        <v>168</v>
      </c>
      <c r="AO9" s="5"/>
      <c r="AP9" s="1" t="s">
        <v>75</v>
      </c>
      <c r="AQ9" s="5"/>
      <c r="AR9" s="1" t="s">
        <v>776</v>
      </c>
      <c r="AS9" s="5"/>
      <c r="AT9" s="1" t="s">
        <v>802</v>
      </c>
      <c r="AU9" s="5"/>
      <c r="AV9" s="1" t="s">
        <v>169</v>
      </c>
      <c r="AW9" s="5"/>
      <c r="AX9" s="1" t="s">
        <v>74</v>
      </c>
      <c r="AY9" s="5"/>
      <c r="AZ9" s="1" t="s">
        <v>74</v>
      </c>
      <c r="BA9" s="5"/>
      <c r="BB9" s="1" t="s">
        <v>122</v>
      </c>
      <c r="BC9" s="5"/>
      <c r="BD9" s="1" t="s">
        <v>122</v>
      </c>
      <c r="BE9" s="5"/>
      <c r="BF9" s="5" t="s">
        <v>781</v>
      </c>
      <c r="BG9" s="5"/>
      <c r="BH9" s="1" t="s">
        <v>190</v>
      </c>
      <c r="BI9" s="5"/>
      <c r="BJ9" s="1" t="s">
        <v>195</v>
      </c>
      <c r="BK9" s="5"/>
      <c r="BL9" s="1" t="s">
        <v>193</v>
      </c>
      <c r="BM9" s="16"/>
      <c r="BN9" s="1" t="s">
        <v>172</v>
      </c>
      <c r="BO9" s="16"/>
      <c r="BP9" s="1" t="s">
        <v>773</v>
      </c>
      <c r="BQ9" s="16"/>
      <c r="BR9" s="1" t="s">
        <v>810</v>
      </c>
      <c r="BS9" s="16"/>
      <c r="BT9" s="1" t="s">
        <v>172</v>
      </c>
      <c r="BU9" s="16"/>
      <c r="BV9" s="1" t="s">
        <v>143</v>
      </c>
    </row>
    <row r="10" spans="1:74">
      <c r="A10" s="13"/>
      <c r="B10" s="13"/>
      <c r="C10" s="13"/>
      <c r="D10" s="13"/>
      <c r="E10" s="32"/>
      <c r="F10" s="11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3"/>
      <c r="AK10" s="13"/>
      <c r="AL10" s="13"/>
      <c r="AM10" s="14"/>
      <c r="AN10" s="14"/>
      <c r="AO10" s="14"/>
      <c r="AP10" s="14"/>
      <c r="AQ10" s="14"/>
      <c r="AR10" s="14"/>
      <c r="AS10" s="14"/>
      <c r="AT10" s="14"/>
      <c r="AU10" s="21"/>
    </row>
    <row r="11" spans="1:74">
      <c r="A11" s="13" t="s">
        <v>784</v>
      </c>
      <c r="B11" s="13"/>
      <c r="C11" s="13" t="s">
        <v>44</v>
      </c>
      <c r="D11" s="13"/>
      <c r="E11" s="32">
        <v>45195</v>
      </c>
      <c r="F11" s="48"/>
      <c r="G11" s="35">
        <v>17574649</v>
      </c>
      <c r="H11" s="35"/>
      <c r="I11" s="35">
        <v>4658518</v>
      </c>
      <c r="J11" s="35"/>
      <c r="K11" s="35">
        <v>360874</v>
      </c>
      <c r="L11" s="35"/>
      <c r="M11" s="35">
        <v>0</v>
      </c>
      <c r="N11" s="35"/>
      <c r="O11" s="35">
        <v>1431053</v>
      </c>
      <c r="P11" s="35"/>
      <c r="Q11" s="35">
        <v>1744175</v>
      </c>
      <c r="R11" s="35"/>
      <c r="S11" s="35">
        <v>16805</v>
      </c>
      <c r="T11" s="35"/>
      <c r="U11" s="35">
        <v>2906186</v>
      </c>
      <c r="V11" s="35"/>
      <c r="W11" s="35">
        <v>646649</v>
      </c>
      <c r="X11" s="35"/>
      <c r="Y11" s="35">
        <v>0</v>
      </c>
      <c r="Z11" s="35"/>
      <c r="AA11" s="35">
        <v>3797597</v>
      </c>
      <c r="AB11" s="35"/>
      <c r="AC11" s="35">
        <v>1423909</v>
      </c>
      <c r="AD11" s="35"/>
      <c r="AE11" s="35">
        <v>0</v>
      </c>
      <c r="AF11" s="35"/>
      <c r="AG11" s="35">
        <v>1485971</v>
      </c>
      <c r="AH11" s="35"/>
      <c r="AI11" s="35">
        <v>242364</v>
      </c>
      <c r="AJ11" s="34" t="s">
        <v>784</v>
      </c>
      <c r="AK11" s="34"/>
      <c r="AL11" s="34" t="s">
        <v>44</v>
      </c>
      <c r="AM11" s="35"/>
      <c r="AN11" s="35">
        <v>692738</v>
      </c>
      <c r="AO11" s="35"/>
      <c r="AP11" s="35">
        <v>0</v>
      </c>
      <c r="AQ11" s="35"/>
      <c r="AR11" s="35">
        <v>0</v>
      </c>
      <c r="AS11" s="35"/>
      <c r="AT11" s="35">
        <v>1205000</v>
      </c>
      <c r="AU11" s="35"/>
      <c r="AV11" s="35">
        <v>952899</v>
      </c>
      <c r="AW11" s="35"/>
      <c r="AX11" s="35">
        <v>0</v>
      </c>
      <c r="AY11" s="35"/>
      <c r="AZ11" s="9">
        <f>SUM(G11:AX11)</f>
        <v>39139387</v>
      </c>
      <c r="BA11" s="35"/>
      <c r="BB11" s="35">
        <v>22500</v>
      </c>
      <c r="BC11" s="35"/>
      <c r="BD11" s="35">
        <v>0</v>
      </c>
      <c r="BE11" s="35"/>
      <c r="BF11" s="35">
        <v>0</v>
      </c>
      <c r="BG11" s="35"/>
      <c r="BH11" s="35">
        <v>0</v>
      </c>
      <c r="BI11" s="35"/>
      <c r="BJ11" s="9">
        <f>AZ11+BB11+BH11</f>
        <v>39161887</v>
      </c>
      <c r="BK11" s="35"/>
      <c r="BL11" s="9">
        <f>'Gov Fd Rv'!AU11-'Gov Fnd Exp'!BJ11</f>
        <v>-3103729</v>
      </c>
      <c r="BM11" s="35"/>
      <c r="BN11" s="35">
        <v>7139991</v>
      </c>
      <c r="BO11" s="35"/>
      <c r="BP11" s="35">
        <v>0</v>
      </c>
      <c r="BQ11" s="35"/>
      <c r="BR11" s="35">
        <v>0</v>
      </c>
      <c r="BS11" s="35"/>
      <c r="BT11" s="44">
        <f>BL11+BN11+BP11+BR11</f>
        <v>4036262</v>
      </c>
      <c r="BU11" s="44"/>
      <c r="BV11" s="9">
        <f>BT11-'Gov Fd BS'!AA11</f>
        <v>0</v>
      </c>
    </row>
    <row r="12" spans="1:74" s="9" customFormat="1">
      <c r="A12" s="83" t="s">
        <v>209</v>
      </c>
      <c r="B12" s="84"/>
      <c r="C12" s="83" t="s">
        <v>210</v>
      </c>
      <c r="D12" s="84"/>
      <c r="E12" s="84">
        <v>61903</v>
      </c>
      <c r="F12" s="3"/>
      <c r="G12" s="8">
        <v>17288282</v>
      </c>
      <c r="H12" s="8"/>
      <c r="I12" s="8">
        <v>3718605</v>
      </c>
      <c r="J12" s="8"/>
      <c r="K12" s="8">
        <v>2765420</v>
      </c>
      <c r="L12" s="8"/>
      <c r="M12" s="8">
        <v>376187</v>
      </c>
      <c r="N12" s="8"/>
      <c r="O12" s="8">
        <v>1572790</v>
      </c>
      <c r="P12" s="8"/>
      <c r="Q12" s="8">
        <v>2786570</v>
      </c>
      <c r="R12" s="8"/>
      <c r="S12" s="8">
        <v>47068</v>
      </c>
      <c r="T12" s="8"/>
      <c r="U12" s="8">
        <v>2795211</v>
      </c>
      <c r="V12" s="8"/>
      <c r="W12" s="8">
        <v>676177</v>
      </c>
      <c r="X12" s="8"/>
      <c r="Y12" s="8">
        <v>512818</v>
      </c>
      <c r="Z12" s="8"/>
      <c r="AA12" s="8">
        <v>3054566</v>
      </c>
      <c r="AB12" s="8"/>
      <c r="AC12" s="8">
        <v>2375335</v>
      </c>
      <c r="AD12" s="8"/>
      <c r="AE12" s="8">
        <v>389289</v>
      </c>
      <c r="AF12" s="8"/>
      <c r="AG12" s="8">
        <v>0</v>
      </c>
      <c r="AH12" s="8"/>
      <c r="AI12" s="8">
        <v>2325865</v>
      </c>
      <c r="AJ12" s="83" t="s">
        <v>209</v>
      </c>
      <c r="AK12" s="84"/>
      <c r="AL12" s="83" t="s">
        <v>210</v>
      </c>
      <c r="AM12" s="8"/>
      <c r="AN12" s="8">
        <v>487137</v>
      </c>
      <c r="AO12" s="8"/>
      <c r="AP12" s="8">
        <v>7290827</v>
      </c>
      <c r="AQ12" s="8"/>
      <c r="AR12" s="8">
        <v>0</v>
      </c>
      <c r="AS12" s="8"/>
      <c r="AT12" s="8">
        <v>1038722</v>
      </c>
      <c r="AU12" s="8"/>
      <c r="AV12" s="8">
        <v>2145426</v>
      </c>
      <c r="AW12" s="8"/>
      <c r="AX12" s="8">
        <v>0</v>
      </c>
      <c r="AY12" s="8"/>
      <c r="AZ12" s="9">
        <f>SUM(G12:AX12)</f>
        <v>51646295</v>
      </c>
      <c r="BA12" s="8"/>
      <c r="BB12" s="8">
        <v>930629</v>
      </c>
      <c r="BC12" s="8"/>
      <c r="BD12" s="8"/>
      <c r="BE12" s="8"/>
      <c r="BF12" s="8"/>
      <c r="BG12" s="8"/>
      <c r="BH12" s="8">
        <v>0</v>
      </c>
      <c r="BI12" s="8"/>
      <c r="BJ12" s="9">
        <f>AZ12+BB12+BH12</f>
        <v>52576924</v>
      </c>
      <c r="BK12" s="8"/>
      <c r="BL12" s="9">
        <f>'Gov Fd Rv'!AU12-'Gov Fnd Exp'!BJ12</f>
        <v>16713626</v>
      </c>
      <c r="BM12" s="8"/>
      <c r="BN12" s="8">
        <v>35126893</v>
      </c>
      <c r="BO12" s="8"/>
      <c r="BP12" s="8">
        <v>0</v>
      </c>
      <c r="BQ12" s="8"/>
      <c r="BR12" s="8">
        <v>0</v>
      </c>
      <c r="BS12" s="8"/>
      <c r="BT12" s="9">
        <f>BL12+BN12+BP12+BR12</f>
        <v>51840519</v>
      </c>
      <c r="BV12" s="9">
        <f>BT12-'Gov Fd BS'!AA12</f>
        <v>0</v>
      </c>
    </row>
    <row r="13" spans="1:74">
      <c r="A13" s="13" t="s">
        <v>621</v>
      </c>
      <c r="B13" s="13"/>
      <c r="C13" s="13" t="s">
        <v>58</v>
      </c>
      <c r="D13" s="13"/>
      <c r="E13" s="32">
        <v>49494</v>
      </c>
      <c r="G13" s="8">
        <v>4831774</v>
      </c>
      <c r="I13" s="8">
        <v>1157375</v>
      </c>
      <c r="K13" s="8">
        <v>1955</v>
      </c>
      <c r="M13" s="8">
        <v>529121</v>
      </c>
      <c r="O13" s="8">
        <v>370501</v>
      </c>
      <c r="Q13" s="8">
        <v>580497</v>
      </c>
      <c r="S13" s="8">
        <v>46675</v>
      </c>
      <c r="U13" s="8">
        <v>856858</v>
      </c>
      <c r="W13" s="8">
        <v>293768</v>
      </c>
      <c r="Y13" s="8">
        <v>0</v>
      </c>
      <c r="AA13" s="8">
        <v>920796</v>
      </c>
      <c r="AC13" s="8">
        <v>1044748</v>
      </c>
      <c r="AE13" s="8">
        <v>111942</v>
      </c>
      <c r="AG13" s="8">
        <v>0</v>
      </c>
      <c r="AI13" s="8">
        <v>411602</v>
      </c>
      <c r="AJ13" s="13" t="s">
        <v>621</v>
      </c>
      <c r="AK13" s="13"/>
      <c r="AL13" s="13" t="s">
        <v>58</v>
      </c>
      <c r="AN13" s="8">
        <v>320894</v>
      </c>
      <c r="AP13" s="8">
        <v>58733</v>
      </c>
      <c r="AR13" s="8">
        <v>0</v>
      </c>
      <c r="AT13" s="8">
        <v>134676</v>
      </c>
      <c r="AV13" s="8">
        <v>129440</v>
      </c>
      <c r="AX13" s="8">
        <v>0</v>
      </c>
      <c r="AZ13" s="9">
        <f>SUM(G13:AX13)</f>
        <v>11801355</v>
      </c>
      <c r="BB13" s="8">
        <v>849</v>
      </c>
      <c r="BH13" s="8">
        <v>0</v>
      </c>
      <c r="BJ13" s="9">
        <f>AZ13+BB13+BH13</f>
        <v>11802204</v>
      </c>
      <c r="BL13" s="9">
        <f>'Gov Fd Rv'!AU13-'Gov Fnd Exp'!BJ13</f>
        <v>793892</v>
      </c>
      <c r="BN13" s="8">
        <v>1759863</v>
      </c>
      <c r="BP13" s="8">
        <v>0</v>
      </c>
      <c r="BR13" s="8">
        <v>0</v>
      </c>
      <c r="BT13" s="9">
        <f>BL13+BN13+BP13+BR13</f>
        <v>2553755</v>
      </c>
      <c r="BU13" s="9"/>
      <c r="BV13" s="9">
        <f>BT13-'Gov Fd BS'!AA13</f>
        <v>0</v>
      </c>
    </row>
    <row r="14" spans="1:74">
      <c r="A14" s="13" t="s">
        <v>667</v>
      </c>
      <c r="B14" s="13"/>
      <c r="C14" s="13" t="s">
        <v>63</v>
      </c>
      <c r="D14" s="13"/>
      <c r="E14" s="32">
        <v>43489</v>
      </c>
      <c r="G14" s="8">
        <v>147674391</v>
      </c>
      <c r="I14" s="8">
        <v>35166585</v>
      </c>
      <c r="K14" s="8">
        <v>12782556</v>
      </c>
      <c r="M14" s="8">
        <v>9832798</v>
      </c>
      <c r="O14" s="8">
        <v>17868751</v>
      </c>
      <c r="Q14" s="8">
        <v>23184720</v>
      </c>
      <c r="S14" s="8">
        <v>133031</v>
      </c>
      <c r="U14" s="8">
        <v>22105733</v>
      </c>
      <c r="W14" s="8">
        <v>4365643</v>
      </c>
      <c r="Y14" s="8">
        <v>2681686</v>
      </c>
      <c r="AA14" s="8">
        <v>32873290</v>
      </c>
      <c r="AC14" s="8">
        <v>11575539</v>
      </c>
      <c r="AE14" s="8">
        <v>7956970</v>
      </c>
      <c r="AG14" s="8">
        <v>10642512</v>
      </c>
      <c r="AI14" s="8">
        <v>3554215</v>
      </c>
      <c r="AJ14" s="13" t="s">
        <v>667</v>
      </c>
      <c r="AK14" s="13"/>
      <c r="AL14" s="13" t="s">
        <v>63</v>
      </c>
      <c r="AN14" s="8">
        <v>3645535</v>
      </c>
      <c r="AP14" s="8">
        <v>38160793</v>
      </c>
      <c r="AR14" s="8">
        <v>0</v>
      </c>
      <c r="AT14" s="8">
        <v>3931</v>
      </c>
      <c r="AV14" s="8">
        <v>0</v>
      </c>
      <c r="AX14" s="8">
        <v>0</v>
      </c>
      <c r="AZ14" s="9">
        <f t="shared" ref="AZ14:AZ31" si="0">SUM(G14:AX14)</f>
        <v>384208679</v>
      </c>
      <c r="BB14" s="8">
        <v>1596597</v>
      </c>
      <c r="BH14" s="8">
        <v>0</v>
      </c>
      <c r="BJ14" s="9">
        <f t="shared" ref="BJ14:BJ77" si="1">AZ14+BB14+BH14</f>
        <v>385805276</v>
      </c>
      <c r="BL14" s="9">
        <f>'Gov Fd Rv'!AU14-'Gov Fnd Exp'!BJ14</f>
        <v>7083005</v>
      </c>
      <c r="BN14" s="8">
        <v>97164910</v>
      </c>
      <c r="BP14" s="8">
        <v>0</v>
      </c>
      <c r="BR14" s="8">
        <v>0</v>
      </c>
      <c r="BT14" s="9">
        <f>BL14+BN14+BP14+BR14</f>
        <v>104247915</v>
      </c>
      <c r="BU14" s="9"/>
      <c r="BV14" s="9">
        <f>BT14-'Gov Fd BS'!AA14</f>
        <v>0</v>
      </c>
    </row>
    <row r="15" spans="1:74" hidden="1">
      <c r="A15" s="13" t="s">
        <v>225</v>
      </c>
      <c r="B15" s="13"/>
      <c r="C15" s="13" t="s">
        <v>13</v>
      </c>
      <c r="D15" s="13"/>
      <c r="E15" s="32">
        <v>45906</v>
      </c>
      <c r="G15" s="8">
        <v>0</v>
      </c>
      <c r="I15" s="8">
        <v>0</v>
      </c>
      <c r="K15" s="8">
        <v>0</v>
      </c>
      <c r="M15" s="8">
        <v>0</v>
      </c>
      <c r="O15" s="8">
        <v>0</v>
      </c>
      <c r="Q15" s="8">
        <v>0</v>
      </c>
      <c r="S15" s="8">
        <v>0</v>
      </c>
      <c r="U15" s="8">
        <v>0</v>
      </c>
      <c r="W15" s="8">
        <v>0</v>
      </c>
      <c r="Y15" s="8">
        <v>0</v>
      </c>
      <c r="AA15" s="8">
        <v>0</v>
      </c>
      <c r="AC15" s="8">
        <v>0</v>
      </c>
      <c r="AE15" s="8">
        <v>0</v>
      </c>
      <c r="AG15" s="8">
        <v>0</v>
      </c>
      <c r="AI15" s="8">
        <v>0</v>
      </c>
      <c r="AJ15" s="13" t="s">
        <v>225</v>
      </c>
      <c r="AK15" s="13"/>
      <c r="AL15" s="13" t="s">
        <v>13</v>
      </c>
      <c r="AN15" s="8">
        <v>0</v>
      </c>
      <c r="AP15" s="8">
        <v>0</v>
      </c>
      <c r="AR15" s="8">
        <v>0</v>
      </c>
      <c r="AT15" s="8">
        <v>0</v>
      </c>
      <c r="AV15" s="8">
        <v>0</v>
      </c>
      <c r="AX15" s="8">
        <v>0</v>
      </c>
      <c r="AZ15" s="9">
        <f t="shared" si="0"/>
        <v>0</v>
      </c>
      <c r="BB15" s="8">
        <v>0</v>
      </c>
      <c r="BH15" s="8">
        <v>0</v>
      </c>
      <c r="BJ15" s="9">
        <f t="shared" si="1"/>
        <v>0</v>
      </c>
      <c r="BL15" s="9">
        <v>0</v>
      </c>
      <c r="BN15" s="8">
        <v>0</v>
      </c>
      <c r="BP15" s="8">
        <v>0</v>
      </c>
      <c r="BR15" s="8">
        <v>0</v>
      </c>
      <c r="BT15" s="9">
        <v>0</v>
      </c>
      <c r="BU15" s="9"/>
      <c r="BV15" s="9">
        <f>BT15-'Gov Fd BS'!AA15</f>
        <v>0</v>
      </c>
    </row>
    <row r="16" spans="1:74">
      <c r="A16" s="13" t="s">
        <v>653</v>
      </c>
      <c r="B16" s="13"/>
      <c r="C16" s="13" t="s">
        <v>62</v>
      </c>
      <c r="D16" s="13"/>
      <c r="E16" s="32">
        <v>43497</v>
      </c>
      <c r="G16" s="8">
        <v>12711368</v>
      </c>
      <c r="I16" s="8">
        <v>4526505</v>
      </c>
      <c r="K16" s="8">
        <v>883478</v>
      </c>
      <c r="M16" s="8">
        <v>2060112</v>
      </c>
      <c r="O16" s="8">
        <v>1477898</v>
      </c>
      <c r="Q16" s="8">
        <v>889893</v>
      </c>
      <c r="S16" s="8">
        <v>21520</v>
      </c>
      <c r="U16" s="8">
        <v>2461531</v>
      </c>
      <c r="W16" s="8">
        <v>213546</v>
      </c>
      <c r="Y16" s="8">
        <v>175741</v>
      </c>
      <c r="AA16" s="8">
        <v>3712205</v>
      </c>
      <c r="AC16" s="8">
        <v>612792</v>
      </c>
      <c r="AE16" s="8">
        <v>84128</v>
      </c>
      <c r="AG16" s="8">
        <v>1473254</v>
      </c>
      <c r="AI16" s="8">
        <v>192706</v>
      </c>
      <c r="AJ16" s="13" t="s">
        <v>653</v>
      </c>
      <c r="AK16" s="13"/>
      <c r="AL16" s="13" t="s">
        <v>62</v>
      </c>
      <c r="AN16" s="8">
        <v>536301</v>
      </c>
      <c r="AP16" s="8">
        <v>33534</v>
      </c>
      <c r="AR16" s="8">
        <v>0</v>
      </c>
      <c r="AT16" s="8">
        <v>505000</v>
      </c>
      <c r="AV16" s="8">
        <v>322095</v>
      </c>
      <c r="AX16" s="8">
        <v>0</v>
      </c>
      <c r="AZ16" s="9">
        <f t="shared" si="0"/>
        <v>32893607</v>
      </c>
      <c r="BB16" s="8">
        <v>1652638</v>
      </c>
      <c r="BH16" s="8">
        <v>0</v>
      </c>
      <c r="BJ16" s="9">
        <f t="shared" si="1"/>
        <v>34546245</v>
      </c>
      <c r="BL16" s="9">
        <f>'Gov Fd Rv'!AU16-'Gov Fnd Exp'!BJ16</f>
        <v>1682891</v>
      </c>
      <c r="BN16" s="8">
        <v>2252556</v>
      </c>
      <c r="BP16" s="8">
        <v>0</v>
      </c>
      <c r="BR16" s="8">
        <v>0</v>
      </c>
      <c r="BT16" s="9">
        <f t="shared" ref="BT16:BT82" si="2">BL16+BN16+BP16+BR16</f>
        <v>3935447</v>
      </c>
      <c r="BU16" s="9"/>
      <c r="BV16" s="9">
        <f>BT16-'Gov Fd BS'!AA16</f>
        <v>0</v>
      </c>
    </row>
    <row r="17" spans="1:74">
      <c r="A17" s="13" t="s">
        <v>347</v>
      </c>
      <c r="B17" s="13"/>
      <c r="C17" s="13" t="s">
        <v>25</v>
      </c>
      <c r="D17" s="13"/>
      <c r="E17" s="32">
        <v>46847</v>
      </c>
      <c r="G17" s="8">
        <v>6618215</v>
      </c>
      <c r="I17" s="8">
        <v>2024819</v>
      </c>
      <c r="K17" s="8">
        <v>485494</v>
      </c>
      <c r="M17" s="8">
        <v>65820</v>
      </c>
      <c r="O17" s="8">
        <v>518592</v>
      </c>
      <c r="Q17" s="8">
        <v>406808</v>
      </c>
      <c r="S17" s="8">
        <v>52347</v>
      </c>
      <c r="U17" s="8">
        <v>1204955</v>
      </c>
      <c r="W17" s="8">
        <v>331135</v>
      </c>
      <c r="Y17" s="8">
        <v>38070</v>
      </c>
      <c r="AA17" s="8">
        <v>1522434</v>
      </c>
      <c r="AC17" s="8">
        <v>950489</v>
      </c>
      <c r="AE17" s="8">
        <v>18808</v>
      </c>
      <c r="AG17" s="8">
        <v>0</v>
      </c>
      <c r="AI17" s="8">
        <v>691362</v>
      </c>
      <c r="AJ17" s="13" t="s">
        <v>347</v>
      </c>
      <c r="AK17" s="13"/>
      <c r="AL17" s="13" t="s">
        <v>25</v>
      </c>
      <c r="AN17" s="8">
        <v>420685</v>
      </c>
      <c r="AP17" s="8">
        <v>314705</v>
      </c>
      <c r="AR17" s="8">
        <v>0</v>
      </c>
      <c r="AT17" s="8">
        <v>145000</v>
      </c>
      <c r="AV17" s="8">
        <v>156297</v>
      </c>
      <c r="AX17" s="8">
        <v>363042</v>
      </c>
      <c r="AZ17" s="9">
        <f t="shared" si="0"/>
        <v>16329077</v>
      </c>
      <c r="BB17" s="8">
        <v>2220000</v>
      </c>
      <c r="BH17" s="8">
        <v>0</v>
      </c>
      <c r="BJ17" s="9">
        <f t="shared" si="1"/>
        <v>18549077</v>
      </c>
      <c r="BL17" s="9">
        <f>'Gov Fd Rv'!AU17-'Gov Fnd Exp'!BJ17</f>
        <v>-547048</v>
      </c>
      <c r="BN17" s="8">
        <v>2033928</v>
      </c>
      <c r="BP17" s="8">
        <v>0</v>
      </c>
      <c r="BR17" s="8">
        <v>0</v>
      </c>
      <c r="BT17" s="9">
        <f t="shared" si="2"/>
        <v>1486880</v>
      </c>
      <c r="BU17" s="9"/>
      <c r="BV17" s="9">
        <f>BT17-'Gov Fd BS'!AA17</f>
        <v>0</v>
      </c>
    </row>
    <row r="18" spans="1:74">
      <c r="A18" s="13" t="s">
        <v>646</v>
      </c>
      <c r="B18" s="13"/>
      <c r="C18" s="13" t="s">
        <v>61</v>
      </c>
      <c r="D18" s="13"/>
      <c r="E18" s="32">
        <v>49759</v>
      </c>
      <c r="G18" s="8">
        <v>4632732</v>
      </c>
      <c r="I18" s="8">
        <v>816968</v>
      </c>
      <c r="K18" s="8">
        <v>313876</v>
      </c>
      <c r="M18" s="8">
        <v>496</v>
      </c>
      <c r="O18" s="8">
        <v>453730</v>
      </c>
      <c r="Q18" s="8">
        <v>296711</v>
      </c>
      <c r="S18" s="8">
        <v>56781</v>
      </c>
      <c r="U18" s="8">
        <v>768576</v>
      </c>
      <c r="W18" s="8">
        <v>423529</v>
      </c>
      <c r="Y18" s="8">
        <v>68282</v>
      </c>
      <c r="AA18" s="8">
        <v>960001</v>
      </c>
      <c r="AC18" s="8">
        <v>496847</v>
      </c>
      <c r="AE18" s="8">
        <v>4550</v>
      </c>
      <c r="AG18" s="8">
        <v>0</v>
      </c>
      <c r="AI18" s="8">
        <v>439534</v>
      </c>
      <c r="AJ18" s="13" t="s">
        <v>646</v>
      </c>
      <c r="AK18" s="13"/>
      <c r="AL18" s="13" t="s">
        <v>61</v>
      </c>
      <c r="AN18" s="8">
        <v>520221</v>
      </c>
      <c r="AP18" s="8">
        <v>105718</v>
      </c>
      <c r="AR18" s="8">
        <v>0</v>
      </c>
      <c r="AT18" s="8">
        <v>425000</v>
      </c>
      <c r="AV18" s="8">
        <v>492875</v>
      </c>
      <c r="AX18" s="8">
        <v>0</v>
      </c>
      <c r="AZ18" s="9">
        <f t="shared" si="0"/>
        <v>11276427</v>
      </c>
      <c r="BB18" s="8">
        <v>0</v>
      </c>
      <c r="BH18" s="8">
        <v>0</v>
      </c>
      <c r="BJ18" s="9">
        <f t="shared" si="1"/>
        <v>11276427</v>
      </c>
      <c r="BL18" s="9">
        <f>'Gov Fd Rv'!AU18-'Gov Fnd Exp'!BJ18</f>
        <v>632544</v>
      </c>
      <c r="BN18" s="8">
        <v>4953483</v>
      </c>
      <c r="BP18" s="8">
        <v>0</v>
      </c>
      <c r="BR18" s="8">
        <v>0</v>
      </c>
      <c r="BT18" s="9">
        <f t="shared" si="2"/>
        <v>5586027</v>
      </c>
      <c r="BU18" s="9"/>
      <c r="BV18" s="9">
        <f>BT18-'Gov Fd BS'!AA18</f>
        <v>0</v>
      </c>
    </row>
    <row r="19" spans="1:74">
      <c r="A19" s="13" t="s">
        <v>502</v>
      </c>
      <c r="B19" s="13"/>
      <c r="C19" s="13" t="s">
        <v>118</v>
      </c>
      <c r="D19" s="13"/>
      <c r="E19" s="32">
        <v>48207</v>
      </c>
      <c r="G19" s="8">
        <v>17311195</v>
      </c>
      <c r="I19" s="8">
        <v>2253601</v>
      </c>
      <c r="K19" s="8">
        <v>84928</v>
      </c>
      <c r="M19" s="8">
        <v>188</v>
      </c>
      <c r="O19" s="8">
        <v>1663314</v>
      </c>
      <c r="Q19" s="8">
        <v>940024</v>
      </c>
      <c r="S19" s="8">
        <v>866417</v>
      </c>
      <c r="U19" s="8">
        <v>2794565</v>
      </c>
      <c r="W19" s="8">
        <v>818826</v>
      </c>
      <c r="Y19" s="8">
        <v>125962</v>
      </c>
      <c r="AA19" s="8">
        <v>3769863</v>
      </c>
      <c r="AC19" s="8">
        <v>2210050</v>
      </c>
      <c r="AE19" s="8">
        <v>32258</v>
      </c>
      <c r="AG19" s="8">
        <v>1096396</v>
      </c>
      <c r="AI19" s="8">
        <v>225</v>
      </c>
      <c r="AJ19" s="13" t="s">
        <v>502</v>
      </c>
      <c r="AK19" s="13"/>
      <c r="AL19" s="13" t="s">
        <v>118</v>
      </c>
      <c r="AN19" s="8">
        <v>920105</v>
      </c>
      <c r="AP19" s="8">
        <v>49087</v>
      </c>
      <c r="AR19" s="8">
        <v>113698</v>
      </c>
      <c r="AT19" s="8">
        <v>4063161</v>
      </c>
      <c r="AV19" s="8">
        <v>1299651</v>
      </c>
      <c r="AX19" s="8">
        <v>0</v>
      </c>
      <c r="AZ19" s="9">
        <f t="shared" si="0"/>
        <v>40413514</v>
      </c>
      <c r="BB19" s="8">
        <v>0</v>
      </c>
      <c r="BH19" s="8">
        <v>0</v>
      </c>
      <c r="BJ19" s="9">
        <f t="shared" si="1"/>
        <v>40413514</v>
      </c>
      <c r="BL19" s="9">
        <f>'Gov Fd Rv'!AU19-'Gov Fnd Exp'!BJ19</f>
        <v>5041814</v>
      </c>
      <c r="BN19" s="8">
        <v>-2096968</v>
      </c>
      <c r="BP19" s="8">
        <v>-49912</v>
      </c>
      <c r="BR19" s="8">
        <v>0</v>
      </c>
      <c r="BT19" s="9">
        <f t="shared" si="2"/>
        <v>2894934</v>
      </c>
      <c r="BU19" s="9"/>
      <c r="BV19" s="9">
        <f>BT19-'Gov Fd BS'!AA19</f>
        <v>0</v>
      </c>
    </row>
    <row r="20" spans="1:74">
      <c r="A20" s="13" t="s">
        <v>418</v>
      </c>
      <c r="B20" s="13"/>
      <c r="C20" s="13" t="s">
        <v>33</v>
      </c>
      <c r="D20" s="13"/>
      <c r="E20" s="32">
        <v>47415</v>
      </c>
      <c r="G20" s="8">
        <v>2586852</v>
      </c>
      <c r="I20" s="8">
        <v>514799</v>
      </c>
      <c r="K20" s="8">
        <v>258372</v>
      </c>
      <c r="M20" s="8">
        <v>0</v>
      </c>
      <c r="O20" s="8">
        <v>326298</v>
      </c>
      <c r="Q20" s="8">
        <v>201998</v>
      </c>
      <c r="S20" s="8">
        <v>23908</v>
      </c>
      <c r="U20" s="8">
        <v>557703</v>
      </c>
      <c r="W20" s="8">
        <v>202342</v>
      </c>
      <c r="Y20" s="8">
        <v>0</v>
      </c>
      <c r="AA20" s="8">
        <v>549378</v>
      </c>
      <c r="AC20" s="8">
        <v>292648</v>
      </c>
      <c r="AE20" s="8">
        <v>1689</v>
      </c>
      <c r="AG20" s="8">
        <v>0</v>
      </c>
      <c r="AI20" s="8">
        <v>251926</v>
      </c>
      <c r="AJ20" s="13" t="s">
        <v>418</v>
      </c>
      <c r="AK20" s="13"/>
      <c r="AL20" s="13" t="s">
        <v>33</v>
      </c>
      <c r="AN20" s="8">
        <v>249599</v>
      </c>
      <c r="AP20" s="8">
        <v>43659</v>
      </c>
      <c r="AR20" s="8">
        <v>0</v>
      </c>
      <c r="AT20" s="8">
        <v>0</v>
      </c>
      <c r="AV20" s="8">
        <v>117</v>
      </c>
      <c r="AX20" s="8">
        <v>0</v>
      </c>
      <c r="AZ20" s="9">
        <f t="shared" si="0"/>
        <v>6061288</v>
      </c>
      <c r="BB20" s="8">
        <v>13665</v>
      </c>
      <c r="BH20" s="8">
        <v>0</v>
      </c>
      <c r="BJ20" s="9">
        <f t="shared" si="1"/>
        <v>6074953</v>
      </c>
      <c r="BL20" s="9">
        <f>'Gov Fd Rv'!AU20-'Gov Fnd Exp'!BJ20</f>
        <v>565880</v>
      </c>
      <c r="BN20" s="8">
        <v>2138815</v>
      </c>
      <c r="BP20" s="8">
        <v>0</v>
      </c>
      <c r="BR20" s="8">
        <v>0</v>
      </c>
      <c r="BT20" s="9">
        <f t="shared" si="2"/>
        <v>2704695</v>
      </c>
      <c r="BU20" s="9"/>
      <c r="BV20" s="9">
        <f>BT20-'Gov Fd BS'!AA20</f>
        <v>0</v>
      </c>
    </row>
    <row r="21" spans="1:74" hidden="1">
      <c r="A21" s="13" t="s">
        <v>828</v>
      </c>
      <c r="B21" s="13"/>
      <c r="C21" s="13" t="s">
        <v>21</v>
      </c>
      <c r="D21" s="13"/>
      <c r="E21" s="32">
        <v>46631</v>
      </c>
      <c r="G21" s="8">
        <v>0</v>
      </c>
      <c r="I21" s="8">
        <v>0</v>
      </c>
      <c r="K21" s="8">
        <v>0</v>
      </c>
      <c r="M21" s="8">
        <v>0</v>
      </c>
      <c r="O21" s="8">
        <v>0</v>
      </c>
      <c r="Q21" s="8">
        <v>0</v>
      </c>
      <c r="S21" s="8">
        <v>0</v>
      </c>
      <c r="U21" s="8">
        <v>0</v>
      </c>
      <c r="W21" s="8">
        <v>0</v>
      </c>
      <c r="Y21" s="8">
        <v>0</v>
      </c>
      <c r="AA21" s="8">
        <v>0</v>
      </c>
      <c r="AC21" s="8">
        <v>0</v>
      </c>
      <c r="AE21" s="8">
        <v>0</v>
      </c>
      <c r="AG21" s="8">
        <v>0</v>
      </c>
      <c r="AI21" s="8">
        <v>0</v>
      </c>
      <c r="AJ21" s="13" t="s">
        <v>828</v>
      </c>
      <c r="AK21" s="13"/>
      <c r="AL21" s="13" t="s">
        <v>21</v>
      </c>
      <c r="AN21" s="8">
        <v>0</v>
      </c>
      <c r="AP21" s="8">
        <v>0</v>
      </c>
      <c r="AR21" s="8">
        <v>0</v>
      </c>
      <c r="AT21" s="8">
        <v>0</v>
      </c>
      <c r="AV21" s="8">
        <v>0</v>
      </c>
      <c r="AX21" s="8">
        <v>0</v>
      </c>
      <c r="AZ21" s="9">
        <f t="shared" si="0"/>
        <v>0</v>
      </c>
      <c r="BB21" s="8">
        <v>0</v>
      </c>
      <c r="BH21" s="8">
        <v>0</v>
      </c>
      <c r="BJ21" s="9">
        <f t="shared" si="1"/>
        <v>0</v>
      </c>
      <c r="BL21" s="9">
        <f>'Gov Fd Rv'!AU21-'Gov Fnd Exp'!BJ21</f>
        <v>0</v>
      </c>
      <c r="BN21" s="8">
        <v>0</v>
      </c>
      <c r="BP21" s="8">
        <v>0</v>
      </c>
      <c r="BR21" s="8">
        <v>0</v>
      </c>
      <c r="BT21" s="9">
        <f t="shared" si="2"/>
        <v>0</v>
      </c>
      <c r="BU21" s="9"/>
      <c r="BV21" s="9">
        <f>BT21-'Gov Fd BS'!AA21</f>
        <v>0</v>
      </c>
    </row>
    <row r="22" spans="1:74">
      <c r="A22" s="13" t="s">
        <v>372</v>
      </c>
      <c r="B22" s="13"/>
      <c r="C22" s="13" t="s">
        <v>28</v>
      </c>
      <c r="D22" s="13"/>
      <c r="E22" s="32">
        <v>47043</v>
      </c>
      <c r="G22" s="8">
        <v>6002580</v>
      </c>
      <c r="I22" s="8">
        <v>971683</v>
      </c>
      <c r="K22" s="8">
        <v>177324</v>
      </c>
      <c r="M22" s="8">
        <v>59543</v>
      </c>
      <c r="O22" s="8">
        <v>837135</v>
      </c>
      <c r="Q22" s="8">
        <v>461991</v>
      </c>
      <c r="S22" s="8">
        <v>43474</v>
      </c>
      <c r="U22" s="8">
        <v>749613</v>
      </c>
      <c r="W22" s="8">
        <v>409642</v>
      </c>
      <c r="Y22" s="8">
        <v>0</v>
      </c>
      <c r="AA22" s="8">
        <v>1270632</v>
      </c>
      <c r="AC22" s="8">
        <v>687642</v>
      </c>
      <c r="AE22" s="8">
        <v>0</v>
      </c>
      <c r="AG22" s="8">
        <v>0</v>
      </c>
      <c r="AI22" s="8">
        <v>421837</v>
      </c>
      <c r="AJ22" s="13" t="s">
        <v>372</v>
      </c>
      <c r="AK22" s="13"/>
      <c r="AL22" s="13" t="s">
        <v>28</v>
      </c>
      <c r="AN22" s="8">
        <v>655539</v>
      </c>
      <c r="AP22" s="8">
        <v>67648</v>
      </c>
      <c r="AR22" s="8">
        <v>0</v>
      </c>
      <c r="AT22" s="8">
        <v>1185000</v>
      </c>
      <c r="AV22" s="8">
        <v>460585</v>
      </c>
      <c r="AX22" s="8">
        <v>0</v>
      </c>
      <c r="AZ22" s="9">
        <f t="shared" si="0"/>
        <v>14461868</v>
      </c>
      <c r="BB22" s="8">
        <v>1242</v>
      </c>
      <c r="BH22" s="8">
        <v>0</v>
      </c>
      <c r="BJ22" s="9">
        <f t="shared" si="1"/>
        <v>14463110</v>
      </c>
      <c r="BL22" s="9">
        <f>'Gov Fd Rv'!AU22-'Gov Fnd Exp'!BJ22</f>
        <v>1570511</v>
      </c>
      <c r="BN22" s="8">
        <v>5281342</v>
      </c>
      <c r="BP22" s="8">
        <v>0</v>
      </c>
      <c r="BR22" s="8">
        <v>0</v>
      </c>
      <c r="BT22" s="9">
        <f t="shared" si="2"/>
        <v>6851853</v>
      </c>
      <c r="BU22" s="9"/>
      <c r="BV22" s="9">
        <f>BT22-'Gov Fd BS'!AA22</f>
        <v>0</v>
      </c>
    </row>
    <row r="23" spans="1:74">
      <c r="A23" s="13" t="s">
        <v>419</v>
      </c>
      <c r="B23" s="13"/>
      <c r="C23" s="13" t="s">
        <v>33</v>
      </c>
      <c r="D23" s="13"/>
      <c r="E23" s="32">
        <v>47423</v>
      </c>
      <c r="G23" s="8">
        <v>2839165</v>
      </c>
      <c r="I23" s="8">
        <v>624841</v>
      </c>
      <c r="K23" s="8">
        <v>258251</v>
      </c>
      <c r="M23" s="8">
        <v>0</v>
      </c>
      <c r="O23" s="8">
        <v>292534</v>
      </c>
      <c r="Q23" s="8">
        <v>341545</v>
      </c>
      <c r="S23" s="8">
        <v>36007</v>
      </c>
      <c r="U23" s="8">
        <v>465135</v>
      </c>
      <c r="W23" s="8">
        <v>206793</v>
      </c>
      <c r="Y23" s="8">
        <v>0</v>
      </c>
      <c r="AA23" s="8">
        <v>452031</v>
      </c>
      <c r="AC23" s="8">
        <v>201156</v>
      </c>
      <c r="AE23" s="8">
        <v>1703</v>
      </c>
      <c r="AG23" s="8">
        <v>0</v>
      </c>
      <c r="AI23" s="8">
        <v>253257</v>
      </c>
      <c r="AJ23" s="13" t="s">
        <v>419</v>
      </c>
      <c r="AK23" s="13"/>
      <c r="AL23" s="13" t="s">
        <v>33</v>
      </c>
      <c r="AN23" s="8">
        <v>263615</v>
      </c>
      <c r="AP23" s="8">
        <v>7231</v>
      </c>
      <c r="AR23" s="8">
        <v>0</v>
      </c>
      <c r="AT23" s="8">
        <v>37247</v>
      </c>
      <c r="AV23" s="8">
        <v>95820</v>
      </c>
      <c r="AX23" s="8">
        <v>0</v>
      </c>
      <c r="AZ23" s="9">
        <f t="shared" si="0"/>
        <v>6376331</v>
      </c>
      <c r="BB23" s="8">
        <v>0</v>
      </c>
      <c r="BH23" s="8">
        <v>0</v>
      </c>
      <c r="BJ23" s="9">
        <f t="shared" si="1"/>
        <v>6376331</v>
      </c>
      <c r="BL23" s="9">
        <f>'Gov Fd Rv'!AU23-'Gov Fnd Exp'!BJ23</f>
        <v>94570</v>
      </c>
      <c r="BN23" s="8">
        <v>3321381</v>
      </c>
      <c r="BP23" s="8">
        <v>0</v>
      </c>
      <c r="BR23" s="8">
        <v>0</v>
      </c>
      <c r="BT23" s="9">
        <f t="shared" si="2"/>
        <v>3415951</v>
      </c>
      <c r="BU23" s="9"/>
      <c r="BV23" s="9">
        <f>BT23-'Gov Fd BS'!AA23</f>
        <v>0</v>
      </c>
    </row>
    <row r="24" spans="1:74">
      <c r="A24" s="13" t="s">
        <v>215</v>
      </c>
      <c r="B24" s="13"/>
      <c r="C24" s="13" t="s">
        <v>11</v>
      </c>
      <c r="D24" s="13"/>
      <c r="E24" s="32">
        <v>43505</v>
      </c>
      <c r="G24" s="8">
        <v>13777004</v>
      </c>
      <c r="I24" s="8">
        <v>3913181</v>
      </c>
      <c r="K24" s="8">
        <v>897308</v>
      </c>
      <c r="M24" s="8">
        <v>1673187</v>
      </c>
      <c r="O24" s="8">
        <v>1650250</v>
      </c>
      <c r="Q24" s="8">
        <v>1922770</v>
      </c>
      <c r="S24" s="8">
        <v>221949</v>
      </c>
      <c r="U24" s="8">
        <v>2655009</v>
      </c>
      <c r="W24" s="8">
        <v>843251</v>
      </c>
      <c r="Y24" s="8">
        <v>432846</v>
      </c>
      <c r="AA24" s="8">
        <v>2742940</v>
      </c>
      <c r="AC24" s="8">
        <v>1039690</v>
      </c>
      <c r="AE24" s="8">
        <v>286229</v>
      </c>
      <c r="AG24" s="8">
        <v>1357778</v>
      </c>
      <c r="AI24" s="8">
        <v>208007</v>
      </c>
      <c r="AJ24" s="13" t="s">
        <v>215</v>
      </c>
      <c r="AK24" s="13"/>
      <c r="AL24" s="13" t="s">
        <v>11</v>
      </c>
      <c r="AN24" s="8">
        <v>899173</v>
      </c>
      <c r="AP24" s="8">
        <v>306846</v>
      </c>
      <c r="AR24" s="8">
        <v>0</v>
      </c>
      <c r="AT24" s="8">
        <v>551000</v>
      </c>
      <c r="AV24" s="8">
        <v>78791</v>
      </c>
      <c r="AX24" s="8">
        <v>0</v>
      </c>
      <c r="AZ24" s="9">
        <f t="shared" si="0"/>
        <v>35457209</v>
      </c>
      <c r="BB24" s="8">
        <v>0</v>
      </c>
      <c r="BH24" s="8">
        <v>0</v>
      </c>
      <c r="BJ24" s="9">
        <f t="shared" si="1"/>
        <v>35457209</v>
      </c>
      <c r="BL24" s="9">
        <f>'Gov Fd Rv'!AU24-'Gov Fnd Exp'!BJ24</f>
        <v>-3362386</v>
      </c>
      <c r="BN24" s="8">
        <v>12452612</v>
      </c>
      <c r="BP24" s="8">
        <v>0</v>
      </c>
      <c r="BR24" s="8">
        <v>0</v>
      </c>
      <c r="BT24" s="9">
        <f t="shared" si="2"/>
        <v>9090226</v>
      </c>
      <c r="BU24" s="9"/>
      <c r="BV24" s="9">
        <f>BT24-'Gov Fd BS'!AA24</f>
        <v>0</v>
      </c>
    </row>
    <row r="25" spans="1:74" hidden="1">
      <c r="A25" s="13" t="s">
        <v>768</v>
      </c>
      <c r="B25" s="13"/>
      <c r="C25" s="13" t="s">
        <v>12</v>
      </c>
      <c r="D25" s="13"/>
      <c r="E25" s="32">
        <v>43513</v>
      </c>
      <c r="G25" s="8">
        <v>0</v>
      </c>
      <c r="I25" s="8">
        <v>0</v>
      </c>
      <c r="K25" s="8">
        <v>0</v>
      </c>
      <c r="M25" s="8">
        <v>0</v>
      </c>
      <c r="O25" s="8">
        <v>0</v>
      </c>
      <c r="Q25" s="8">
        <v>0</v>
      </c>
      <c r="S25" s="8">
        <v>0</v>
      </c>
      <c r="U25" s="8">
        <v>0</v>
      </c>
      <c r="W25" s="8">
        <v>0</v>
      </c>
      <c r="Y25" s="8">
        <v>0</v>
      </c>
      <c r="AA25" s="8">
        <v>0</v>
      </c>
      <c r="AC25" s="8">
        <v>0</v>
      </c>
      <c r="AE25" s="8">
        <v>0</v>
      </c>
      <c r="AG25" s="8">
        <v>0</v>
      </c>
      <c r="AI25" s="8">
        <v>0</v>
      </c>
      <c r="AJ25" s="13" t="s">
        <v>768</v>
      </c>
      <c r="AK25" s="13"/>
      <c r="AL25" s="13" t="s">
        <v>12</v>
      </c>
      <c r="AN25" s="8">
        <v>0</v>
      </c>
      <c r="AP25" s="8">
        <v>0</v>
      </c>
      <c r="AR25" s="8">
        <v>0</v>
      </c>
      <c r="AT25" s="8">
        <v>0</v>
      </c>
      <c r="AV25" s="8">
        <v>0</v>
      </c>
      <c r="AX25" s="8">
        <v>0</v>
      </c>
      <c r="AZ25" s="9">
        <f t="shared" si="0"/>
        <v>0</v>
      </c>
      <c r="BB25" s="8">
        <v>0</v>
      </c>
      <c r="BH25" s="8">
        <v>0</v>
      </c>
      <c r="BJ25" s="9">
        <f t="shared" si="1"/>
        <v>0</v>
      </c>
      <c r="BL25" s="9">
        <f>'Gov Fd Rv'!AU25-'Gov Fnd Exp'!BJ25</f>
        <v>0</v>
      </c>
      <c r="BN25" s="8">
        <v>0</v>
      </c>
      <c r="BP25" s="8">
        <v>0</v>
      </c>
      <c r="BR25" s="8">
        <v>0</v>
      </c>
      <c r="BT25" s="9">
        <f t="shared" si="2"/>
        <v>0</v>
      </c>
      <c r="BU25" s="9"/>
      <c r="BV25" s="9">
        <f>BT25-'Gov Fd BS'!AA25</f>
        <v>0</v>
      </c>
    </row>
    <row r="26" spans="1:74">
      <c r="A26" s="13" t="s">
        <v>226</v>
      </c>
      <c r="B26" s="13"/>
      <c r="C26" s="13" t="s">
        <v>13</v>
      </c>
      <c r="D26" s="13"/>
      <c r="E26" s="32">
        <v>43521</v>
      </c>
      <c r="G26" s="8">
        <v>13723111</v>
      </c>
      <c r="I26" s="8">
        <v>3227160</v>
      </c>
      <c r="K26" s="8">
        <v>286608</v>
      </c>
      <c r="M26" s="8">
        <v>294880</v>
      </c>
      <c r="O26" s="8">
        <v>1130303</v>
      </c>
      <c r="Q26" s="8">
        <v>1735769</v>
      </c>
      <c r="S26" s="8">
        <v>113614</v>
      </c>
      <c r="U26" s="8">
        <v>1887062</v>
      </c>
      <c r="W26" s="8">
        <v>647462</v>
      </c>
      <c r="Y26" s="8">
        <v>610659</v>
      </c>
      <c r="AA26" s="8">
        <v>3634522</v>
      </c>
      <c r="AC26" s="8">
        <v>1820564</v>
      </c>
      <c r="AE26" s="8">
        <v>166590</v>
      </c>
      <c r="AG26" s="8">
        <v>0</v>
      </c>
      <c r="AI26" s="8">
        <v>863253</v>
      </c>
      <c r="AJ26" s="13" t="s">
        <v>226</v>
      </c>
      <c r="AK26" s="13"/>
      <c r="AL26" s="13" t="s">
        <v>13</v>
      </c>
      <c r="AN26" s="8">
        <v>414808</v>
      </c>
      <c r="AP26" s="8">
        <v>342858</v>
      </c>
      <c r="AR26" s="8">
        <v>0</v>
      </c>
      <c r="AT26" s="8">
        <v>595000</v>
      </c>
      <c r="AV26" s="8">
        <v>681337</v>
      </c>
      <c r="AX26" s="8">
        <v>0</v>
      </c>
      <c r="AZ26" s="9">
        <f t="shared" si="0"/>
        <v>32175560</v>
      </c>
      <c r="BB26" s="8">
        <v>455562</v>
      </c>
      <c r="BH26" s="8">
        <v>0</v>
      </c>
      <c r="BJ26" s="9">
        <f t="shared" si="1"/>
        <v>32631122</v>
      </c>
      <c r="BL26" s="9">
        <f>'Gov Fd Rv'!AU26-'Gov Fnd Exp'!BJ26</f>
        <v>2455260</v>
      </c>
      <c r="BN26" s="8">
        <v>8099842</v>
      </c>
      <c r="BP26" s="8">
        <v>0</v>
      </c>
      <c r="BR26" s="8">
        <v>0</v>
      </c>
      <c r="BT26" s="9">
        <f t="shared" si="2"/>
        <v>10555102</v>
      </c>
      <c r="BU26" s="9"/>
      <c r="BV26" s="9">
        <f>BT26-'Gov Fd BS'!AA26</f>
        <v>0</v>
      </c>
    </row>
    <row r="27" spans="1:74">
      <c r="A27" s="13" t="s">
        <v>595</v>
      </c>
      <c r="B27" s="13"/>
      <c r="C27" s="13" t="s">
        <v>56</v>
      </c>
      <c r="D27" s="13"/>
      <c r="E27" s="32">
        <v>49171</v>
      </c>
      <c r="G27" s="8">
        <v>13307242</v>
      </c>
      <c r="I27" s="8">
        <v>1831003</v>
      </c>
      <c r="K27" s="8">
        <v>165025</v>
      </c>
      <c r="M27" s="8">
        <v>667652</v>
      </c>
      <c r="O27" s="8">
        <v>1611139</v>
      </c>
      <c r="Q27" s="8">
        <v>1787556</v>
      </c>
      <c r="S27" s="8">
        <v>142829</v>
      </c>
      <c r="U27" s="8">
        <v>2496246</v>
      </c>
      <c r="W27" s="8">
        <v>791423</v>
      </c>
      <c r="Y27" s="8">
        <v>205508</v>
      </c>
      <c r="AA27" s="8">
        <v>2501554</v>
      </c>
      <c r="AC27" s="8">
        <v>1374190</v>
      </c>
      <c r="AE27" s="8">
        <v>101479</v>
      </c>
      <c r="AG27" s="8">
        <v>837145</v>
      </c>
      <c r="AI27" s="8">
        <v>0</v>
      </c>
      <c r="AJ27" s="13" t="s">
        <v>595</v>
      </c>
      <c r="AK27" s="13"/>
      <c r="AL27" s="13" t="s">
        <v>56</v>
      </c>
      <c r="AN27" s="8">
        <v>745877</v>
      </c>
      <c r="AP27" s="8">
        <v>352647</v>
      </c>
      <c r="AR27" s="8">
        <v>0</v>
      </c>
      <c r="AT27" s="8">
        <v>1155000</v>
      </c>
      <c r="AV27" s="8">
        <v>729168</v>
      </c>
      <c r="AX27" s="8">
        <v>0</v>
      </c>
      <c r="AZ27" s="9">
        <f t="shared" si="0"/>
        <v>30802683</v>
      </c>
      <c r="BB27" s="8">
        <v>74352</v>
      </c>
      <c r="BH27" s="8">
        <v>0</v>
      </c>
      <c r="BJ27" s="9">
        <f t="shared" si="1"/>
        <v>30877035</v>
      </c>
      <c r="BL27" s="9">
        <f>'Gov Fd Rv'!AU27-'Gov Fnd Exp'!BJ27</f>
        <v>-920891</v>
      </c>
      <c r="BN27" s="8">
        <v>3490530</v>
      </c>
      <c r="BP27" s="8">
        <v>0</v>
      </c>
      <c r="BR27" s="8">
        <v>0</v>
      </c>
      <c r="BT27" s="9">
        <f t="shared" si="2"/>
        <v>2569639</v>
      </c>
      <c r="BU27" s="9"/>
      <c r="BV27" s="9">
        <f>BT27-'Gov Fd BS'!AA27</f>
        <v>0</v>
      </c>
    </row>
    <row r="28" spans="1:74">
      <c r="A28" s="13" t="s">
        <v>514</v>
      </c>
      <c r="B28" s="13"/>
      <c r="C28" s="13" t="s">
        <v>45</v>
      </c>
      <c r="D28" s="13"/>
      <c r="E28" s="32">
        <v>48298</v>
      </c>
      <c r="G28" s="8">
        <v>19268437</v>
      </c>
      <c r="I28" s="8">
        <v>5031897</v>
      </c>
      <c r="K28" s="8">
        <v>271692</v>
      </c>
      <c r="M28" s="8">
        <v>1504870</v>
      </c>
      <c r="O28" s="8">
        <v>2698174</v>
      </c>
      <c r="Q28" s="8">
        <v>1651888</v>
      </c>
      <c r="S28" s="8">
        <v>58681</v>
      </c>
      <c r="U28" s="8">
        <v>3790223</v>
      </c>
      <c r="W28" s="8">
        <v>871834</v>
      </c>
      <c r="Y28" s="8">
        <v>58496</v>
      </c>
      <c r="AA28" s="8">
        <v>4246777</v>
      </c>
      <c r="AC28" s="8">
        <v>2490288</v>
      </c>
      <c r="AE28" s="8">
        <v>47782</v>
      </c>
      <c r="AG28" s="8">
        <v>1712849</v>
      </c>
      <c r="AI28" s="8">
        <v>70957</v>
      </c>
      <c r="AJ28" s="13" t="s">
        <v>514</v>
      </c>
      <c r="AK28" s="13"/>
      <c r="AL28" s="13" t="s">
        <v>45</v>
      </c>
      <c r="AN28" s="8">
        <v>1009395</v>
      </c>
      <c r="AP28" s="8">
        <v>3313074</v>
      </c>
      <c r="AR28" s="8">
        <v>329263</v>
      </c>
      <c r="AT28" s="8">
        <v>493561</v>
      </c>
      <c r="AV28" s="8">
        <v>1148464</v>
      </c>
      <c r="AX28" s="8">
        <v>0</v>
      </c>
      <c r="AZ28" s="9">
        <f t="shared" si="0"/>
        <v>50068602</v>
      </c>
      <c r="BB28" s="8">
        <v>1493005</v>
      </c>
      <c r="BH28" s="8">
        <v>0</v>
      </c>
      <c r="BJ28" s="9">
        <f t="shared" si="1"/>
        <v>51561607</v>
      </c>
      <c r="BL28" s="9">
        <f>'Gov Fd Rv'!AU28-'Gov Fnd Exp'!BJ28</f>
        <v>-2781183</v>
      </c>
      <c r="BN28" s="8">
        <v>5801210</v>
      </c>
      <c r="BP28" s="8">
        <v>885</v>
      </c>
      <c r="BR28" s="8">
        <v>0</v>
      </c>
      <c r="BT28" s="9">
        <f t="shared" si="2"/>
        <v>3020912</v>
      </c>
      <c r="BU28" s="9"/>
      <c r="BV28" s="9">
        <f>BT28-'Gov Fd BS'!AA28</f>
        <v>0</v>
      </c>
    </row>
    <row r="29" spans="1:74">
      <c r="A29" s="13" t="s">
        <v>489</v>
      </c>
      <c r="B29" s="13"/>
      <c r="C29" s="13" t="s">
        <v>44</v>
      </c>
      <c r="D29" s="13"/>
      <c r="E29" s="32">
        <v>48124</v>
      </c>
      <c r="G29" s="8">
        <v>16937907</v>
      </c>
      <c r="I29" s="8">
        <v>2465979</v>
      </c>
      <c r="K29" s="8">
        <v>225510</v>
      </c>
      <c r="M29" s="8">
        <v>886403</v>
      </c>
      <c r="O29" s="8">
        <v>2822913</v>
      </c>
      <c r="Q29" s="8">
        <v>813483</v>
      </c>
      <c r="S29" s="8">
        <v>22687</v>
      </c>
      <c r="U29" s="8">
        <v>2825802</v>
      </c>
      <c r="W29" s="8">
        <v>1006220</v>
      </c>
      <c r="Y29" s="8">
        <v>152428</v>
      </c>
      <c r="AA29" s="8">
        <v>4246416</v>
      </c>
      <c r="AC29" s="8">
        <v>1566804</v>
      </c>
      <c r="AE29" s="8">
        <v>280156</v>
      </c>
      <c r="AG29" s="8">
        <v>1045573</v>
      </c>
      <c r="AI29" s="8">
        <v>340386</v>
      </c>
      <c r="AJ29" s="13" t="s">
        <v>489</v>
      </c>
      <c r="AK29" s="13"/>
      <c r="AL29" s="13" t="s">
        <v>44</v>
      </c>
      <c r="AN29" s="8">
        <v>1136892</v>
      </c>
      <c r="AP29" s="8">
        <v>459960</v>
      </c>
      <c r="AR29" s="8">
        <v>0</v>
      </c>
      <c r="AT29" s="8">
        <v>2360022</v>
      </c>
      <c r="AV29" s="8">
        <v>1712152</v>
      </c>
      <c r="AX29" s="8">
        <v>0</v>
      </c>
      <c r="AZ29" s="9">
        <f t="shared" si="0"/>
        <v>41307693</v>
      </c>
      <c r="BB29" s="8">
        <v>330858</v>
      </c>
      <c r="BH29" s="8">
        <v>0</v>
      </c>
      <c r="BJ29" s="9">
        <f t="shared" si="1"/>
        <v>41638551</v>
      </c>
      <c r="BL29" s="9">
        <f>'Gov Fd Rv'!AU29-'Gov Fnd Exp'!BJ29</f>
        <v>1874931</v>
      </c>
      <c r="BN29" s="8">
        <v>15608610</v>
      </c>
      <c r="BP29" s="8">
        <v>0</v>
      </c>
      <c r="BR29" s="8">
        <v>0</v>
      </c>
      <c r="BT29" s="9">
        <f t="shared" si="2"/>
        <v>17483541</v>
      </c>
      <c r="BU29" s="9"/>
      <c r="BV29" s="9">
        <f>BT29-'Gov Fd BS'!AA29</f>
        <v>0</v>
      </c>
    </row>
    <row r="30" spans="1:74">
      <c r="A30" s="13" t="s">
        <v>490</v>
      </c>
      <c r="B30" s="13"/>
      <c r="C30" s="13" t="s">
        <v>44</v>
      </c>
      <c r="D30" s="13"/>
      <c r="E30" s="32">
        <v>48116</v>
      </c>
      <c r="G30" s="8">
        <v>11706274</v>
      </c>
      <c r="I30" s="8">
        <v>2235467</v>
      </c>
      <c r="K30" s="8">
        <v>130641</v>
      </c>
      <c r="M30" s="8">
        <v>1122266</v>
      </c>
      <c r="O30" s="8">
        <v>1098559</v>
      </c>
      <c r="Q30" s="8">
        <v>1268975</v>
      </c>
      <c r="S30" s="8">
        <v>295319</v>
      </c>
      <c r="U30" s="8">
        <v>2021206</v>
      </c>
      <c r="W30" s="8">
        <v>756479</v>
      </c>
      <c r="Y30" s="8">
        <v>34851</v>
      </c>
      <c r="AA30" s="8">
        <v>2464529</v>
      </c>
      <c r="AC30" s="8">
        <v>2149033</v>
      </c>
      <c r="AE30" s="8">
        <v>243322</v>
      </c>
      <c r="AG30" s="8">
        <v>740808</v>
      </c>
      <c r="AI30" s="8">
        <v>634413</v>
      </c>
      <c r="AJ30" s="13" t="s">
        <v>490</v>
      </c>
      <c r="AK30" s="13"/>
      <c r="AL30" s="13" t="s">
        <v>44</v>
      </c>
      <c r="AN30" s="8">
        <v>734626</v>
      </c>
      <c r="AP30" s="8">
        <v>9960480</v>
      </c>
      <c r="AR30" s="8">
        <v>0</v>
      </c>
      <c r="AT30" s="8">
        <v>1790000</v>
      </c>
      <c r="AV30" s="8">
        <v>1969105</v>
      </c>
      <c r="AX30" s="8">
        <v>0</v>
      </c>
      <c r="AZ30" s="9">
        <f t="shared" si="0"/>
        <v>41356353</v>
      </c>
      <c r="BB30" s="8">
        <v>0</v>
      </c>
      <c r="BH30" s="8">
        <v>0</v>
      </c>
      <c r="BJ30" s="9">
        <f t="shared" si="1"/>
        <v>41356353</v>
      </c>
      <c r="BL30" s="9">
        <f>'Gov Fd Rv'!AU30-'Gov Fnd Exp'!BJ30</f>
        <v>-9115154</v>
      </c>
      <c r="BN30" s="8">
        <v>18935244</v>
      </c>
      <c r="BP30" s="8">
        <v>0</v>
      </c>
      <c r="BR30" s="8">
        <v>0</v>
      </c>
      <c r="BT30" s="9">
        <f t="shared" si="2"/>
        <v>9820090</v>
      </c>
      <c r="BU30" s="9"/>
      <c r="BV30" s="9">
        <f>BT30-'Gov Fd BS'!AA30</f>
        <v>0</v>
      </c>
    </row>
    <row r="31" spans="1:74">
      <c r="A31" s="13" t="s">
        <v>334</v>
      </c>
      <c r="B31" s="13"/>
      <c r="C31" s="13" t="s">
        <v>22</v>
      </c>
      <c r="D31" s="13"/>
      <c r="E31" s="32">
        <v>46706</v>
      </c>
      <c r="G31" s="8">
        <v>3648426</v>
      </c>
      <c r="I31" s="8">
        <v>591915</v>
      </c>
      <c r="K31" s="8">
        <v>74913</v>
      </c>
      <c r="M31" s="8">
        <v>347289</v>
      </c>
      <c r="O31" s="8">
        <v>240845</v>
      </c>
      <c r="Q31" s="8">
        <v>346073</v>
      </c>
      <c r="S31" s="8">
        <v>19159</v>
      </c>
      <c r="U31" s="8">
        <v>641278</v>
      </c>
      <c r="W31" s="8">
        <v>285388</v>
      </c>
      <c r="Y31" s="8">
        <v>0</v>
      </c>
      <c r="AA31" s="8">
        <v>654099</v>
      </c>
      <c r="AC31" s="8">
        <v>335140</v>
      </c>
      <c r="AE31" s="8">
        <v>63160</v>
      </c>
      <c r="AG31" s="8">
        <v>337449</v>
      </c>
      <c r="AI31" s="8">
        <v>113910</v>
      </c>
      <c r="AJ31" s="13" t="s">
        <v>334</v>
      </c>
      <c r="AK31" s="13"/>
      <c r="AL31" s="13" t="s">
        <v>22</v>
      </c>
      <c r="AN31" s="8">
        <v>399034</v>
      </c>
      <c r="AP31" s="8">
        <v>147490</v>
      </c>
      <c r="AR31" s="8">
        <v>0</v>
      </c>
      <c r="AT31" s="8">
        <v>69262</v>
      </c>
      <c r="AV31" s="8">
        <v>5261</v>
      </c>
      <c r="AX31" s="8">
        <v>0</v>
      </c>
      <c r="AZ31" s="9">
        <f t="shared" si="0"/>
        <v>8320091</v>
      </c>
      <c r="BB31" s="8">
        <v>144000</v>
      </c>
      <c r="BH31" s="8">
        <v>0</v>
      </c>
      <c r="BJ31" s="9">
        <f t="shared" si="1"/>
        <v>8464091</v>
      </c>
      <c r="BL31" s="9">
        <f>'Gov Fd Rv'!AU31-'Gov Fnd Exp'!BJ31</f>
        <v>171934</v>
      </c>
      <c r="BN31" s="8">
        <v>2365287</v>
      </c>
      <c r="BP31" s="8">
        <v>-3002</v>
      </c>
      <c r="BR31" s="8">
        <v>0</v>
      </c>
      <c r="BT31" s="9">
        <f t="shared" si="2"/>
        <v>2534219</v>
      </c>
      <c r="BU31" s="9"/>
      <c r="BV31" s="9">
        <f>BT31-'Gov Fd BS'!AA31</f>
        <v>0</v>
      </c>
    </row>
    <row r="32" spans="1:74">
      <c r="A32" s="13" t="s">
        <v>668</v>
      </c>
      <c r="B32" s="13"/>
      <c r="C32" s="13" t="s">
        <v>63</v>
      </c>
      <c r="D32" s="13"/>
      <c r="E32" s="32">
        <v>43539</v>
      </c>
      <c r="G32" s="8">
        <v>16172809</v>
      </c>
      <c r="I32" s="8">
        <v>6741872</v>
      </c>
      <c r="K32" s="8">
        <v>1112141</v>
      </c>
      <c r="M32" s="8">
        <v>4356600</v>
      </c>
      <c r="O32" s="8">
        <v>1921551</v>
      </c>
      <c r="Q32" s="8">
        <v>2078545</v>
      </c>
      <c r="S32" s="8">
        <v>17624</v>
      </c>
      <c r="U32" s="8">
        <v>3139563</v>
      </c>
      <c r="W32" s="8">
        <v>548721</v>
      </c>
      <c r="Y32" s="8">
        <v>219335</v>
      </c>
      <c r="AA32" s="8">
        <v>4045801</v>
      </c>
      <c r="AC32" s="8">
        <v>760506</v>
      </c>
      <c r="AE32" s="8">
        <v>81747</v>
      </c>
      <c r="AG32" s="8">
        <v>1942710</v>
      </c>
      <c r="AI32" s="8">
        <v>55734</v>
      </c>
      <c r="AJ32" s="13" t="s">
        <v>668</v>
      </c>
      <c r="AK32" s="13"/>
      <c r="AL32" s="13" t="s">
        <v>63</v>
      </c>
      <c r="AN32" s="8">
        <v>1641029</v>
      </c>
      <c r="AP32" s="8">
        <v>621925</v>
      </c>
      <c r="AR32" s="8">
        <v>125956</v>
      </c>
      <c r="AT32" s="8">
        <v>1569000</v>
      </c>
      <c r="AV32" s="8">
        <v>1048945</v>
      </c>
      <c r="AX32" s="8">
        <v>45691</v>
      </c>
      <c r="AZ32" s="9">
        <f t="shared" ref="AZ32:AZ47" si="3">SUM(G32:AX32)</f>
        <v>48247805</v>
      </c>
      <c r="BH32" s="8">
        <v>0</v>
      </c>
      <c r="BJ32" s="9">
        <f t="shared" si="1"/>
        <v>48247805</v>
      </c>
      <c r="BL32" s="9">
        <f>'Gov Fd Rv'!AU32-'Gov Fnd Exp'!BJ32</f>
        <v>31585920</v>
      </c>
      <c r="BN32" s="8">
        <v>8109989</v>
      </c>
      <c r="BP32" s="8">
        <v>0</v>
      </c>
      <c r="BR32" s="8">
        <v>0</v>
      </c>
      <c r="BT32" s="9">
        <f t="shared" si="2"/>
        <v>39695909</v>
      </c>
      <c r="BU32" s="9"/>
      <c r="BV32" s="9">
        <f>BT32-'Gov Fd BS'!AA32</f>
        <v>0</v>
      </c>
    </row>
    <row r="33" spans="1:74">
      <c r="A33" s="13" t="s">
        <v>831</v>
      </c>
      <c r="B33" s="13"/>
      <c r="C33" s="13" t="s">
        <v>15</v>
      </c>
      <c r="D33" s="13"/>
      <c r="E33" s="32"/>
      <c r="G33" s="8">
        <v>4121450</v>
      </c>
      <c r="I33" s="8">
        <v>1384211</v>
      </c>
      <c r="K33" s="8">
        <v>241198</v>
      </c>
      <c r="M33" s="8">
        <v>0</v>
      </c>
      <c r="O33" s="8">
        <v>481320</v>
      </c>
      <c r="Q33" s="8">
        <v>241632</v>
      </c>
      <c r="S33" s="8">
        <v>141392</v>
      </c>
      <c r="U33" s="8">
        <v>761411</v>
      </c>
      <c r="W33" s="8">
        <v>388973</v>
      </c>
      <c r="Y33" s="8">
        <v>22430</v>
      </c>
      <c r="AA33" s="8">
        <v>1270423</v>
      </c>
      <c r="AC33" s="8">
        <v>627510</v>
      </c>
      <c r="AE33" s="8">
        <v>43446</v>
      </c>
      <c r="AG33" s="8">
        <v>428277</v>
      </c>
      <c r="AI33" s="8">
        <v>77095</v>
      </c>
      <c r="AJ33" s="13" t="s">
        <v>831</v>
      </c>
      <c r="AK33" s="13"/>
      <c r="AL33" s="13" t="s">
        <v>15</v>
      </c>
      <c r="AN33" s="8">
        <v>197920</v>
      </c>
      <c r="AP33" s="8">
        <v>152647</v>
      </c>
      <c r="AR33" s="8">
        <v>221794</v>
      </c>
      <c r="AT33" s="8">
        <v>152581</v>
      </c>
      <c r="AV33" s="8">
        <v>132247</v>
      </c>
      <c r="AX33" s="8">
        <v>0</v>
      </c>
      <c r="AZ33" s="9">
        <f t="shared" si="3"/>
        <v>11087957</v>
      </c>
      <c r="BB33" s="8">
        <v>48324</v>
      </c>
      <c r="BH33" s="8">
        <v>0</v>
      </c>
      <c r="BJ33" s="9">
        <f t="shared" si="1"/>
        <v>11136281</v>
      </c>
      <c r="BL33" s="9">
        <f>'Gov Fd Rv'!AU33-'Gov Fnd Exp'!BJ33</f>
        <v>123452</v>
      </c>
      <c r="BN33" s="8">
        <v>2467574</v>
      </c>
      <c r="BP33" s="8">
        <v>0</v>
      </c>
      <c r="BR33" s="8">
        <v>0</v>
      </c>
      <c r="BT33" s="9">
        <f t="shared" si="2"/>
        <v>2591026</v>
      </c>
      <c r="BU33" s="9"/>
      <c r="BV33" s="9">
        <f>BT33-'Gov Fd BS'!AA33</f>
        <v>0</v>
      </c>
    </row>
    <row r="34" spans="1:74" hidden="1">
      <c r="A34" s="13" t="s">
        <v>270</v>
      </c>
      <c r="B34" s="13"/>
      <c r="C34" s="13" t="s">
        <v>116</v>
      </c>
      <c r="D34" s="13"/>
      <c r="E34" s="32">
        <v>46300</v>
      </c>
      <c r="AJ34" s="13" t="s">
        <v>270</v>
      </c>
      <c r="AK34" s="13"/>
      <c r="AL34" s="13" t="s">
        <v>116</v>
      </c>
      <c r="AZ34" s="9">
        <f t="shared" si="3"/>
        <v>0</v>
      </c>
      <c r="BJ34" s="9">
        <f t="shared" si="1"/>
        <v>0</v>
      </c>
      <c r="BL34" s="9">
        <f>'Gov Fd Rv'!AU34-'Gov Fnd Exp'!BJ34</f>
        <v>0</v>
      </c>
      <c r="BT34" s="9">
        <f t="shared" si="2"/>
        <v>0</v>
      </c>
      <c r="BU34" s="9"/>
      <c r="BV34" s="9">
        <f>BT34-'Gov Fd BS'!AA34</f>
        <v>0</v>
      </c>
    </row>
    <row r="35" spans="1:74" hidden="1">
      <c r="A35" s="13" t="s">
        <v>211</v>
      </c>
      <c r="B35" s="13"/>
      <c r="C35" s="13" t="s">
        <v>10</v>
      </c>
      <c r="D35" s="13"/>
      <c r="E35" s="32">
        <v>45765</v>
      </c>
      <c r="AJ35" s="13" t="s">
        <v>211</v>
      </c>
      <c r="AK35" s="13"/>
      <c r="AL35" s="13" t="s">
        <v>10</v>
      </c>
      <c r="AZ35" s="9">
        <f t="shared" si="3"/>
        <v>0</v>
      </c>
      <c r="BJ35" s="9">
        <f t="shared" si="1"/>
        <v>0</v>
      </c>
      <c r="BL35" s="9">
        <f>'Gov Fd Rv'!AU35-'Gov Fnd Exp'!BJ35</f>
        <v>0</v>
      </c>
      <c r="BT35" s="9">
        <f t="shared" si="2"/>
        <v>0</v>
      </c>
      <c r="BU35" s="9"/>
      <c r="BV35" s="9">
        <f>BT35-'Gov Fd BS'!AA35</f>
        <v>0</v>
      </c>
    </row>
    <row r="36" spans="1:74">
      <c r="A36" s="13" t="s">
        <v>300</v>
      </c>
      <c r="B36" s="13"/>
      <c r="C36" s="13" t="s">
        <v>20</v>
      </c>
      <c r="D36" s="13"/>
      <c r="E36" s="32">
        <v>43547</v>
      </c>
      <c r="G36" s="8">
        <v>11920310</v>
      </c>
      <c r="I36" s="8">
        <v>1923667</v>
      </c>
      <c r="K36" s="8">
        <v>292145</v>
      </c>
      <c r="M36" s="8">
        <v>830294</v>
      </c>
      <c r="O36" s="8">
        <v>2522252</v>
      </c>
      <c r="Q36" s="8">
        <v>910130</v>
      </c>
      <c r="S36" s="8">
        <v>22820</v>
      </c>
      <c r="U36" s="8">
        <v>2101809</v>
      </c>
      <c r="W36" s="8">
        <v>835806</v>
      </c>
      <c r="Y36" s="8">
        <v>330593</v>
      </c>
      <c r="AA36" s="8">
        <v>2801989</v>
      </c>
      <c r="AC36" s="8">
        <v>896991</v>
      </c>
      <c r="AE36" s="8">
        <v>365828</v>
      </c>
      <c r="AG36" s="8">
        <v>842315</v>
      </c>
      <c r="AI36" s="8">
        <f>706633+751355</f>
        <v>1457988</v>
      </c>
      <c r="AJ36" s="13" t="s">
        <v>300</v>
      </c>
      <c r="AK36" s="13"/>
      <c r="AL36" s="13" t="s">
        <v>20</v>
      </c>
      <c r="AN36" s="8">
        <f>527129+659608</f>
        <v>1186737</v>
      </c>
      <c r="AP36" s="8">
        <v>960986</v>
      </c>
      <c r="AR36" s="8">
        <v>0</v>
      </c>
      <c r="AT36" s="8">
        <v>1050005</v>
      </c>
      <c r="AV36" s="8">
        <v>741891</v>
      </c>
      <c r="AX36" s="8">
        <v>0</v>
      </c>
      <c r="AZ36" s="9">
        <f t="shared" si="3"/>
        <v>31994556</v>
      </c>
      <c r="BB36" s="8">
        <v>3278</v>
      </c>
      <c r="BH36" s="8">
        <v>0</v>
      </c>
      <c r="BJ36" s="9">
        <f t="shared" si="1"/>
        <v>31997834</v>
      </c>
      <c r="BL36" s="9">
        <f>'Gov Fd Rv'!AU36-'Gov Fnd Exp'!BJ36</f>
        <v>1600220</v>
      </c>
      <c r="BN36" s="8">
        <v>6346640</v>
      </c>
      <c r="BP36" s="8">
        <v>0</v>
      </c>
      <c r="BR36" s="8">
        <v>0</v>
      </c>
      <c r="BT36" s="9">
        <f t="shared" si="2"/>
        <v>7946860</v>
      </c>
      <c r="BU36" s="9"/>
      <c r="BV36" s="9">
        <f>BT36-'Gov Fd BS'!AA36</f>
        <v>0</v>
      </c>
    </row>
    <row r="37" spans="1:74">
      <c r="A37" s="13" t="s">
        <v>301</v>
      </c>
      <c r="B37" s="13"/>
      <c r="C37" s="13" t="s">
        <v>20</v>
      </c>
      <c r="D37" s="13"/>
      <c r="E37" s="32">
        <v>43554</v>
      </c>
      <c r="G37" s="8">
        <v>10481998</v>
      </c>
      <c r="I37" s="8">
        <v>5862818</v>
      </c>
      <c r="K37" s="8">
        <v>1237181</v>
      </c>
      <c r="M37" s="8">
        <f>171613+655733</f>
        <v>827346</v>
      </c>
      <c r="O37" s="8">
        <v>2597084</v>
      </c>
      <c r="Q37" s="8">
        <v>930331</v>
      </c>
      <c r="S37" s="8">
        <v>346279</v>
      </c>
      <c r="U37" s="8">
        <v>2334626</v>
      </c>
      <c r="W37" s="8">
        <v>870664</v>
      </c>
      <c r="Y37" s="8">
        <v>475683</v>
      </c>
      <c r="AA37" s="8">
        <v>3638095</v>
      </c>
      <c r="AC37" s="8">
        <v>1927821</v>
      </c>
      <c r="AE37" s="8">
        <v>1107131</v>
      </c>
      <c r="AG37" s="8">
        <v>654861</v>
      </c>
      <c r="AI37" s="8">
        <v>230642</v>
      </c>
      <c r="AJ37" s="13" t="s">
        <v>301</v>
      </c>
      <c r="AK37" s="13"/>
      <c r="AL37" s="13" t="s">
        <v>20</v>
      </c>
      <c r="AN37" s="8">
        <v>968945</v>
      </c>
      <c r="AP37" s="8">
        <f>19340+7855+594808</f>
        <v>622003</v>
      </c>
      <c r="AR37" s="8">
        <v>0</v>
      </c>
      <c r="AT37" s="8">
        <v>1094984</v>
      </c>
      <c r="AV37" s="8">
        <v>856710</v>
      </c>
      <c r="AX37" s="8">
        <v>113790</v>
      </c>
      <c r="AZ37" s="9">
        <f t="shared" si="3"/>
        <v>37178992</v>
      </c>
      <c r="BB37" s="8">
        <v>350000</v>
      </c>
      <c r="BH37" s="8">
        <f>6602665+30730</f>
        <v>6633395</v>
      </c>
      <c r="BJ37" s="9">
        <f t="shared" si="1"/>
        <v>44162387</v>
      </c>
      <c r="BL37" s="9">
        <f>'Gov Fd Rv'!AU37-'Gov Fnd Exp'!BJ37</f>
        <v>3071691</v>
      </c>
      <c r="BN37" s="8">
        <v>13539659</v>
      </c>
      <c r="BP37" s="8">
        <v>0</v>
      </c>
      <c r="BR37" s="8">
        <v>0</v>
      </c>
      <c r="BT37" s="9">
        <f t="shared" si="2"/>
        <v>16611350</v>
      </c>
      <c r="BU37" s="9"/>
      <c r="BV37" s="9">
        <f>BT37-'Gov Fd BS'!AA37</f>
        <v>0</v>
      </c>
    </row>
    <row r="38" spans="1:74">
      <c r="A38" s="13" t="s">
        <v>282</v>
      </c>
      <c r="B38" s="13"/>
      <c r="C38" s="13" t="s">
        <v>115</v>
      </c>
      <c r="D38" s="13"/>
      <c r="E38" s="32">
        <v>46425</v>
      </c>
      <c r="G38" s="8">
        <v>10915869</v>
      </c>
      <c r="I38" s="8">
        <v>2254778</v>
      </c>
      <c r="K38" s="8">
        <v>19173</v>
      </c>
      <c r="M38" s="8">
        <f>3901+20795</f>
        <v>24696</v>
      </c>
      <c r="O38" s="8">
        <v>570549</v>
      </c>
      <c r="Q38" s="8">
        <v>486246</v>
      </c>
      <c r="S38" s="8">
        <v>20746</v>
      </c>
      <c r="U38" s="8">
        <v>1877834</v>
      </c>
      <c r="W38" s="8">
        <v>403912</v>
      </c>
      <c r="Y38" s="8">
        <v>0</v>
      </c>
      <c r="AA38" s="8">
        <v>1728608</v>
      </c>
      <c r="AC38" s="8">
        <v>1351285</v>
      </c>
      <c r="AE38" s="8">
        <v>0</v>
      </c>
      <c r="AG38" s="8">
        <v>0</v>
      </c>
      <c r="AI38" s="8">
        <v>903647</v>
      </c>
      <c r="AJ38" s="13" t="s">
        <v>282</v>
      </c>
      <c r="AK38" s="13"/>
      <c r="AL38" s="13" t="s">
        <v>115</v>
      </c>
      <c r="AN38" s="8">
        <v>595212</v>
      </c>
      <c r="AP38" s="8">
        <v>193514</v>
      </c>
      <c r="AR38" s="8">
        <v>0</v>
      </c>
      <c r="AT38" s="8">
        <v>512460</v>
      </c>
      <c r="AV38" s="8">
        <v>9017</v>
      </c>
      <c r="AX38" s="8">
        <v>0</v>
      </c>
      <c r="AZ38" s="9">
        <f t="shared" si="3"/>
        <v>21867546</v>
      </c>
      <c r="BB38" s="8">
        <v>93695</v>
      </c>
      <c r="BH38" s="8">
        <v>0</v>
      </c>
      <c r="BJ38" s="9">
        <f t="shared" si="1"/>
        <v>21961241</v>
      </c>
      <c r="BL38" s="9">
        <f>'Gov Fd Rv'!AU38-'Gov Fnd Exp'!BJ38</f>
        <v>-1141663</v>
      </c>
      <c r="BN38" s="8">
        <v>-232402</v>
      </c>
      <c r="BP38" s="8">
        <v>0</v>
      </c>
      <c r="BR38" s="8">
        <v>0</v>
      </c>
      <c r="BT38" s="9">
        <f t="shared" si="2"/>
        <v>-1374065</v>
      </c>
      <c r="BU38" s="9"/>
      <c r="BV38" s="9">
        <f>BT38-'Gov Fd BS'!AA38</f>
        <v>0</v>
      </c>
    </row>
    <row r="39" spans="1:74">
      <c r="A39" s="13" t="s">
        <v>388</v>
      </c>
      <c r="B39" s="13"/>
      <c r="C39" s="13" t="s">
        <v>117</v>
      </c>
      <c r="D39" s="13"/>
      <c r="E39" s="32">
        <v>47241</v>
      </c>
      <c r="G39" s="8">
        <v>29601943</v>
      </c>
      <c r="I39" s="8">
        <v>7929237</v>
      </c>
      <c r="K39" s="8">
        <v>388819</v>
      </c>
      <c r="M39" s="8">
        <v>1602552</v>
      </c>
      <c r="O39" s="8">
        <v>4717272</v>
      </c>
      <c r="Q39" s="8">
        <v>4664384</v>
      </c>
      <c r="S39" s="8">
        <v>38471</v>
      </c>
      <c r="U39" s="8">
        <v>3912350</v>
      </c>
      <c r="W39" s="8">
        <v>1719113</v>
      </c>
      <c r="Y39" s="8">
        <v>510067</v>
      </c>
      <c r="AA39" s="8">
        <v>5964528</v>
      </c>
      <c r="AC39" s="8">
        <v>4961202</v>
      </c>
      <c r="AE39" s="8">
        <v>1261688</v>
      </c>
      <c r="AG39" s="8">
        <v>2376847</v>
      </c>
      <c r="AI39" s="8">
        <v>1091232</v>
      </c>
      <c r="AJ39" s="13" t="s">
        <v>388</v>
      </c>
      <c r="AK39" s="13"/>
      <c r="AL39" s="13" t="s">
        <v>117</v>
      </c>
      <c r="AN39" s="8">
        <f>373692+961336+25271</f>
        <v>1360299</v>
      </c>
      <c r="AP39" s="8">
        <f>2080830+1251135+66030+605574+271725</f>
        <v>4275294</v>
      </c>
      <c r="AR39" s="8">
        <v>0</v>
      </c>
      <c r="AT39" s="8">
        <v>1379944</v>
      </c>
      <c r="AV39" s="8">
        <v>1637031</v>
      </c>
      <c r="AX39" s="8">
        <v>11626</v>
      </c>
      <c r="AZ39" s="9">
        <f t="shared" si="3"/>
        <v>79403899</v>
      </c>
      <c r="BB39" s="8">
        <v>64779</v>
      </c>
      <c r="BH39" s="8">
        <v>0</v>
      </c>
      <c r="BJ39" s="9">
        <f t="shared" si="1"/>
        <v>79468678</v>
      </c>
      <c r="BL39" s="9">
        <f>'Gov Fd Rv'!AU39-'Gov Fnd Exp'!BJ39</f>
        <v>1324962</v>
      </c>
      <c r="BN39" s="8">
        <v>34592589</v>
      </c>
      <c r="BP39" s="8">
        <v>0</v>
      </c>
      <c r="BR39" s="8">
        <v>0</v>
      </c>
      <c r="BT39" s="9">
        <f t="shared" si="2"/>
        <v>35917551</v>
      </c>
      <c r="BU39" s="9"/>
      <c r="BV39" s="9">
        <f>BT39-'Gov Fd BS'!AA39</f>
        <v>0</v>
      </c>
    </row>
    <row r="40" spans="1:74">
      <c r="A40" s="13" t="s">
        <v>302</v>
      </c>
      <c r="B40" s="13"/>
      <c r="C40" s="13" t="s">
        <v>20</v>
      </c>
      <c r="D40" s="13"/>
      <c r="E40" s="32">
        <v>43562</v>
      </c>
      <c r="G40" s="8">
        <v>19007005</v>
      </c>
      <c r="I40" s="8">
        <v>6120939</v>
      </c>
      <c r="K40" s="8">
        <v>1738438</v>
      </c>
      <c r="M40" s="8">
        <v>0</v>
      </c>
      <c r="O40" s="8">
        <v>3016807</v>
      </c>
      <c r="Q40" s="8">
        <v>1891627</v>
      </c>
      <c r="S40" s="8">
        <v>235547</v>
      </c>
      <c r="U40" s="8">
        <v>3382089</v>
      </c>
      <c r="W40" s="8">
        <v>1316042</v>
      </c>
      <c r="Y40" s="8">
        <v>783246</v>
      </c>
      <c r="AA40" s="8">
        <v>6657886</v>
      </c>
      <c r="AC40" s="8">
        <v>3680841</v>
      </c>
      <c r="AE40" s="8">
        <v>317345</v>
      </c>
      <c r="AG40" s="8">
        <v>1636066</v>
      </c>
      <c r="AI40" s="8">
        <v>434509</v>
      </c>
      <c r="AJ40" s="13" t="s">
        <v>302</v>
      </c>
      <c r="AK40" s="13"/>
      <c r="AL40" s="13" t="s">
        <v>20</v>
      </c>
      <c r="AN40" s="8">
        <v>737178</v>
      </c>
      <c r="AP40" s="8">
        <v>1207606</v>
      </c>
      <c r="AR40" s="8">
        <v>0</v>
      </c>
      <c r="AT40" s="8">
        <v>1428306</v>
      </c>
      <c r="AV40" s="8">
        <v>406964</v>
      </c>
      <c r="AX40" s="8">
        <v>0</v>
      </c>
      <c r="AZ40" s="9">
        <f t="shared" si="3"/>
        <v>53998441</v>
      </c>
      <c r="BB40" s="8">
        <v>162380</v>
      </c>
      <c r="BH40" s="8">
        <v>0</v>
      </c>
      <c r="BJ40" s="9">
        <f t="shared" si="1"/>
        <v>54160821</v>
      </c>
      <c r="BL40" s="9">
        <f>'Gov Fd Rv'!AU40-'Gov Fnd Exp'!BJ40</f>
        <v>-566070</v>
      </c>
      <c r="BN40" s="8">
        <v>16692337</v>
      </c>
      <c r="BP40" s="8">
        <v>0</v>
      </c>
      <c r="BR40" s="8">
        <v>0</v>
      </c>
      <c r="BT40" s="9">
        <f t="shared" si="2"/>
        <v>16126267</v>
      </c>
      <c r="BU40" s="9"/>
      <c r="BV40" s="9">
        <f>BT40-'Gov Fd BS'!AA40</f>
        <v>0</v>
      </c>
    </row>
    <row r="41" spans="1:74">
      <c r="A41" s="13" t="s">
        <v>234</v>
      </c>
      <c r="B41" s="13"/>
      <c r="C41" s="13" t="s">
        <v>15</v>
      </c>
      <c r="D41" s="13"/>
      <c r="E41" s="32">
        <v>43570</v>
      </c>
      <c r="G41" s="8">
        <v>7606299</v>
      </c>
      <c r="I41" s="8">
        <v>2095257</v>
      </c>
      <c r="K41" s="8">
        <v>170118</v>
      </c>
      <c r="M41" s="8">
        <v>0</v>
      </c>
      <c r="O41" s="8">
        <v>1148272</v>
      </c>
      <c r="Q41" s="8">
        <v>110808</v>
      </c>
      <c r="S41" s="8">
        <v>23797</v>
      </c>
      <c r="U41" s="8">
        <v>1372888</v>
      </c>
      <c r="W41" s="8">
        <v>331145</v>
      </c>
      <c r="Y41" s="8">
        <v>0</v>
      </c>
      <c r="AA41" s="8">
        <v>1477516</v>
      </c>
      <c r="AC41" s="8">
        <v>1015547</v>
      </c>
      <c r="AE41" s="8">
        <v>0</v>
      </c>
      <c r="AG41" s="8">
        <v>816242</v>
      </c>
      <c r="AI41" s="8">
        <v>271411</v>
      </c>
      <c r="AJ41" s="13" t="s">
        <v>234</v>
      </c>
      <c r="AK41" s="13"/>
      <c r="AL41" s="13" t="s">
        <v>15</v>
      </c>
      <c r="AN41" s="8">
        <v>302580</v>
      </c>
      <c r="AP41" s="8">
        <v>343434</v>
      </c>
      <c r="AR41" s="8">
        <v>0</v>
      </c>
      <c r="AT41" s="8">
        <v>188391</v>
      </c>
      <c r="AV41" s="8">
        <v>201035</v>
      </c>
      <c r="AX41" s="8">
        <v>0</v>
      </c>
      <c r="AZ41" s="9">
        <f t="shared" si="3"/>
        <v>17474740</v>
      </c>
      <c r="BB41" s="8">
        <v>15000</v>
      </c>
      <c r="BH41" s="8">
        <v>0</v>
      </c>
      <c r="BJ41" s="9">
        <f t="shared" si="1"/>
        <v>17489740</v>
      </c>
      <c r="BL41" s="9">
        <f>'Gov Fd Rv'!AU41-'Gov Fnd Exp'!BJ41</f>
        <v>-654969</v>
      </c>
      <c r="BN41" s="8">
        <v>1129187</v>
      </c>
      <c r="BP41" s="8">
        <v>0</v>
      </c>
      <c r="BR41" s="8">
        <v>0</v>
      </c>
      <c r="BT41" s="9">
        <f t="shared" si="2"/>
        <v>474218</v>
      </c>
      <c r="BU41" s="9"/>
      <c r="BV41" s="9">
        <f>BT41-'Gov Fd BS'!AA41</f>
        <v>0</v>
      </c>
    </row>
    <row r="42" spans="1:74">
      <c r="A42" s="13" t="s">
        <v>448</v>
      </c>
      <c r="B42" s="13"/>
      <c r="C42" s="13" t="s">
        <v>37</v>
      </c>
      <c r="D42" s="13"/>
      <c r="E42" s="32">
        <v>43596</v>
      </c>
      <c r="G42" s="8">
        <v>7897981</v>
      </c>
      <c r="I42" s="8">
        <v>2887434</v>
      </c>
      <c r="K42" s="8">
        <v>632344</v>
      </c>
      <c r="M42" s="8">
        <f>7660+603011</f>
        <v>610671</v>
      </c>
      <c r="O42" s="8">
        <v>1258967</v>
      </c>
      <c r="Q42" s="8">
        <v>1138485</v>
      </c>
      <c r="S42" s="8">
        <v>25053</v>
      </c>
      <c r="U42" s="8">
        <v>1492264</v>
      </c>
      <c r="W42" s="8">
        <v>520958</v>
      </c>
      <c r="Y42" s="8">
        <v>16225</v>
      </c>
      <c r="AA42" s="8">
        <v>1982509</v>
      </c>
      <c r="AC42" s="8">
        <v>963667</v>
      </c>
      <c r="AE42" s="8">
        <v>71313</v>
      </c>
      <c r="AG42" s="8">
        <v>707479</v>
      </c>
      <c r="AI42" s="8">
        <v>73306</v>
      </c>
      <c r="AJ42" s="13" t="s">
        <v>448</v>
      </c>
      <c r="AK42" s="13"/>
      <c r="AL42" s="13" t="s">
        <v>37</v>
      </c>
      <c r="AN42" s="8">
        <v>685838</v>
      </c>
      <c r="AP42" s="8">
        <f>432639+161147</f>
        <v>593786</v>
      </c>
      <c r="AR42" s="8">
        <v>155288</v>
      </c>
      <c r="AT42" s="8">
        <v>146370</v>
      </c>
      <c r="AV42" s="8">
        <v>28517</v>
      </c>
      <c r="AX42" s="8">
        <v>0</v>
      </c>
      <c r="AZ42" s="9">
        <f t="shared" si="3"/>
        <v>21888455</v>
      </c>
      <c r="BB42" s="8">
        <v>4951</v>
      </c>
      <c r="BH42" s="8">
        <v>0</v>
      </c>
      <c r="BJ42" s="9">
        <f t="shared" si="1"/>
        <v>21893406</v>
      </c>
      <c r="BL42" s="9">
        <f>'Gov Fd Rv'!AU42-'Gov Fnd Exp'!BJ42</f>
        <v>747916</v>
      </c>
      <c r="BN42" s="8">
        <v>1711266</v>
      </c>
      <c r="BP42" s="8">
        <v>6754</v>
      </c>
      <c r="BR42" s="8">
        <v>0</v>
      </c>
      <c r="BT42" s="9">
        <f t="shared" si="2"/>
        <v>2465936</v>
      </c>
      <c r="BU42" s="9"/>
      <c r="BV42" s="9">
        <f>BT42-'Gov Fd BS'!AA42</f>
        <v>0</v>
      </c>
    </row>
    <row r="43" spans="1:74">
      <c r="A43" s="13" t="s">
        <v>721</v>
      </c>
      <c r="B43" s="13"/>
      <c r="C43" s="13" t="s">
        <v>70</v>
      </c>
      <c r="D43" s="13"/>
      <c r="E43" s="32">
        <v>43604</v>
      </c>
      <c r="G43" s="8">
        <v>4835239</v>
      </c>
      <c r="I43" s="8">
        <v>1416917</v>
      </c>
      <c r="K43" s="8">
        <v>28001</v>
      </c>
      <c r="M43" s="8">
        <v>0</v>
      </c>
      <c r="O43" s="8">
        <v>840975</v>
      </c>
      <c r="Q43" s="8">
        <v>582702</v>
      </c>
      <c r="S43" s="8">
        <v>46461</v>
      </c>
      <c r="U43" s="8">
        <v>851370</v>
      </c>
      <c r="W43" s="8">
        <v>412556</v>
      </c>
      <c r="Y43" s="8">
        <v>1808</v>
      </c>
      <c r="AA43" s="8">
        <v>1033066</v>
      </c>
      <c r="AC43" s="8">
        <v>376841</v>
      </c>
      <c r="AE43" s="8">
        <v>6579</v>
      </c>
      <c r="AG43" s="8">
        <v>0</v>
      </c>
      <c r="AI43" s="8">
        <v>5741</v>
      </c>
      <c r="AJ43" s="13" t="s">
        <v>721</v>
      </c>
      <c r="AK43" s="13"/>
      <c r="AL43" s="13" t="s">
        <v>70</v>
      </c>
      <c r="AN43" s="8">
        <v>281796</v>
      </c>
      <c r="AP43" s="8">
        <v>19940</v>
      </c>
      <c r="AR43" s="8">
        <v>0</v>
      </c>
      <c r="AT43" s="8">
        <v>35000</v>
      </c>
      <c r="AV43" s="8">
        <v>4651</v>
      </c>
      <c r="AX43" s="8">
        <v>0</v>
      </c>
      <c r="AZ43" s="9">
        <f t="shared" si="3"/>
        <v>10779643</v>
      </c>
      <c r="BB43" s="8">
        <v>46293</v>
      </c>
      <c r="BH43" s="8">
        <v>0</v>
      </c>
      <c r="BJ43" s="9">
        <f t="shared" si="1"/>
        <v>10825936</v>
      </c>
      <c r="BL43" s="9">
        <f>'Gov Fd Rv'!AU43-'Gov Fnd Exp'!BJ43</f>
        <v>-159236</v>
      </c>
      <c r="BN43" s="8">
        <v>823913</v>
      </c>
      <c r="BP43" s="8">
        <v>0</v>
      </c>
      <c r="BR43" s="8">
        <v>0</v>
      </c>
      <c r="BT43" s="9">
        <f t="shared" si="2"/>
        <v>664677</v>
      </c>
      <c r="BU43" s="9"/>
      <c r="BV43" s="9">
        <f>BT43-'Gov Fd BS'!AA43</f>
        <v>0</v>
      </c>
    </row>
    <row r="44" spans="1:74">
      <c r="A44" s="13" t="s">
        <v>579</v>
      </c>
      <c r="B44" s="13"/>
      <c r="C44" s="13" t="s">
        <v>53</v>
      </c>
      <c r="D44" s="13"/>
      <c r="E44" s="32">
        <v>48926</v>
      </c>
      <c r="G44" s="8">
        <v>8700369</v>
      </c>
      <c r="I44" s="8">
        <v>1415767</v>
      </c>
      <c r="K44" s="8">
        <v>20488</v>
      </c>
      <c r="M44" s="8">
        <f>268+270246</f>
        <v>270514</v>
      </c>
      <c r="O44" s="8">
        <v>1229848</v>
      </c>
      <c r="Q44" s="8">
        <v>956831</v>
      </c>
      <c r="S44" s="8">
        <v>165291</v>
      </c>
      <c r="U44" s="8">
        <v>1531689</v>
      </c>
      <c r="W44" s="8">
        <v>456415</v>
      </c>
      <c r="Y44" s="8">
        <v>0</v>
      </c>
      <c r="AA44" s="8">
        <v>2635346</v>
      </c>
      <c r="AC44" s="8">
        <v>1091922</v>
      </c>
      <c r="AE44" s="8">
        <v>462500</v>
      </c>
      <c r="AG44" s="8">
        <v>832087</v>
      </c>
      <c r="AI44" s="8">
        <v>306593</v>
      </c>
      <c r="AJ44" s="13" t="s">
        <v>579</v>
      </c>
      <c r="AK44" s="13"/>
      <c r="AL44" s="13" t="s">
        <v>53</v>
      </c>
      <c r="AN44" s="8">
        <v>571361</v>
      </c>
      <c r="AP44" s="8">
        <v>252117</v>
      </c>
      <c r="AR44" s="8">
        <v>0</v>
      </c>
      <c r="AT44" s="8">
        <v>100000</v>
      </c>
      <c r="AV44" s="8">
        <v>5317</v>
      </c>
      <c r="AX44" s="8">
        <v>0</v>
      </c>
      <c r="AZ44" s="9">
        <f t="shared" si="3"/>
        <v>21004455</v>
      </c>
      <c r="BB44" s="8">
        <v>723324</v>
      </c>
      <c r="BH44" s="8">
        <v>0</v>
      </c>
      <c r="BJ44" s="9">
        <f t="shared" si="1"/>
        <v>21727779</v>
      </c>
      <c r="BL44" s="9">
        <f>'Gov Fd Rv'!AU44-'Gov Fnd Exp'!BJ44</f>
        <v>344516</v>
      </c>
      <c r="BN44" s="8">
        <v>7334900</v>
      </c>
      <c r="BP44" s="8">
        <v>0</v>
      </c>
      <c r="BR44" s="8">
        <v>0</v>
      </c>
      <c r="BT44" s="9">
        <f t="shared" si="2"/>
        <v>7679416</v>
      </c>
      <c r="BU44" s="9"/>
      <c r="BV44" s="9">
        <f>BT44-'Gov Fd BS'!AA44</f>
        <v>0</v>
      </c>
    </row>
    <row r="45" spans="1:74">
      <c r="A45" s="13" t="s">
        <v>303</v>
      </c>
      <c r="B45" s="13"/>
      <c r="C45" s="13" t="s">
        <v>20</v>
      </c>
      <c r="D45" s="13"/>
      <c r="E45" s="32">
        <v>43612</v>
      </c>
      <c r="G45" s="8">
        <v>33916940</v>
      </c>
      <c r="I45" s="8">
        <v>11576938</v>
      </c>
      <c r="K45" s="8">
        <v>757472</v>
      </c>
      <c r="M45" s="8">
        <v>192654</v>
      </c>
      <c r="O45" s="8">
        <v>4944184</v>
      </c>
      <c r="Q45" s="8">
        <v>6521497</v>
      </c>
      <c r="S45" s="8">
        <v>42261</v>
      </c>
      <c r="U45" s="8">
        <v>4383314</v>
      </c>
      <c r="W45" s="8">
        <v>2588737</v>
      </c>
      <c r="Y45" s="8">
        <v>751120</v>
      </c>
      <c r="AA45" s="8">
        <v>8192643</v>
      </c>
      <c r="AC45" s="8">
        <v>4287855</v>
      </c>
      <c r="AE45" s="8">
        <v>2932731</v>
      </c>
      <c r="AG45" s="8">
        <v>0</v>
      </c>
      <c r="AI45" s="8">
        <v>4182836</v>
      </c>
      <c r="AJ45" s="13" t="s">
        <v>303</v>
      </c>
      <c r="AK45" s="13"/>
      <c r="AL45" s="13" t="s">
        <v>20</v>
      </c>
      <c r="AN45" s="8">
        <v>1751459</v>
      </c>
      <c r="AP45" s="8">
        <v>7312724</v>
      </c>
      <c r="AR45" s="8">
        <v>0</v>
      </c>
      <c r="AT45" s="8">
        <v>940000</v>
      </c>
      <c r="AV45" s="8">
        <v>782942</v>
      </c>
      <c r="AX45" s="8">
        <v>79173</v>
      </c>
      <c r="AZ45" s="9">
        <f t="shared" si="3"/>
        <v>96137480</v>
      </c>
      <c r="BB45" s="8">
        <v>261714</v>
      </c>
      <c r="BH45" s="8">
        <v>0</v>
      </c>
      <c r="BJ45" s="9">
        <f t="shared" si="1"/>
        <v>96399194</v>
      </c>
      <c r="BL45" s="9">
        <f>'Gov Fd Rv'!AU45-'Gov Fnd Exp'!BJ45</f>
        <v>-393667</v>
      </c>
      <c r="BN45" s="8">
        <v>33319797</v>
      </c>
      <c r="BP45" s="8">
        <v>0</v>
      </c>
      <c r="BR45" s="8">
        <v>0</v>
      </c>
      <c r="BT45" s="9">
        <f t="shared" si="2"/>
        <v>32926130</v>
      </c>
      <c r="BU45" s="9"/>
      <c r="BV45" s="9">
        <f>BT45-'Gov Fd BS'!AA45</f>
        <v>0</v>
      </c>
    </row>
    <row r="46" spans="1:74">
      <c r="A46" s="13" t="s">
        <v>381</v>
      </c>
      <c r="B46" s="13"/>
      <c r="C46" s="13" t="s">
        <v>30</v>
      </c>
      <c r="D46" s="13"/>
      <c r="E46" s="32">
        <v>47167</v>
      </c>
      <c r="G46" s="8">
        <v>4551570</v>
      </c>
      <c r="I46" s="8">
        <v>1270129</v>
      </c>
      <c r="K46" s="8">
        <v>63351</v>
      </c>
      <c r="M46" s="8">
        <v>0</v>
      </c>
      <c r="O46" s="8">
        <v>596768</v>
      </c>
      <c r="Q46" s="8">
        <v>466354</v>
      </c>
      <c r="S46" s="8">
        <v>54834</v>
      </c>
      <c r="U46" s="8">
        <v>1027474</v>
      </c>
      <c r="W46" s="8">
        <v>332881</v>
      </c>
      <c r="Y46" s="8">
        <v>32706</v>
      </c>
      <c r="AA46" s="8">
        <v>958097</v>
      </c>
      <c r="AC46" s="8">
        <v>753843</v>
      </c>
      <c r="AE46" s="8">
        <v>0</v>
      </c>
      <c r="AG46" s="8">
        <v>294331</v>
      </c>
      <c r="AI46" s="8">
        <v>0</v>
      </c>
      <c r="AJ46" s="13" t="s">
        <v>381</v>
      </c>
      <c r="AK46" s="13"/>
      <c r="AL46" s="13" t="s">
        <v>30</v>
      </c>
      <c r="AN46" s="8">
        <v>445806</v>
      </c>
      <c r="AP46" s="8">
        <v>223962</v>
      </c>
      <c r="AR46" s="8">
        <v>0</v>
      </c>
      <c r="AT46" s="8">
        <v>0</v>
      </c>
      <c r="AV46" s="8">
        <v>0</v>
      </c>
      <c r="AX46" s="8">
        <v>0</v>
      </c>
      <c r="AZ46" s="9">
        <f t="shared" si="3"/>
        <v>11072106</v>
      </c>
      <c r="BB46" s="8">
        <v>130000</v>
      </c>
      <c r="BH46" s="8">
        <v>0</v>
      </c>
      <c r="BJ46" s="9">
        <f t="shared" si="1"/>
        <v>11202106</v>
      </c>
      <c r="BL46" s="9">
        <f>'Gov Fd Rv'!AU46-'Gov Fnd Exp'!BJ46</f>
        <v>505296</v>
      </c>
      <c r="BN46" s="8">
        <v>3498509</v>
      </c>
      <c r="BP46" s="8">
        <v>0</v>
      </c>
      <c r="BR46" s="8">
        <v>0</v>
      </c>
      <c r="BT46" s="9">
        <f t="shared" si="2"/>
        <v>4003805</v>
      </c>
      <c r="BU46" s="9"/>
      <c r="BV46" s="9">
        <f>BT46-'Gov Fd BS'!AA46</f>
        <v>0</v>
      </c>
    </row>
    <row r="47" spans="1:74">
      <c r="A47" s="13" t="s">
        <v>340</v>
      </c>
      <c r="B47" s="13"/>
      <c r="C47" s="13" t="s">
        <v>24</v>
      </c>
      <c r="D47" s="13"/>
      <c r="E47" s="32">
        <v>46789</v>
      </c>
      <c r="G47" s="8">
        <v>6615852</v>
      </c>
      <c r="I47" s="8">
        <v>2327104</v>
      </c>
      <c r="K47" s="8">
        <v>60447</v>
      </c>
      <c r="M47" s="8">
        <v>365236</v>
      </c>
      <c r="O47" s="8">
        <v>832832</v>
      </c>
      <c r="Q47" s="8">
        <v>374661</v>
      </c>
      <c r="S47" s="8">
        <v>28845</v>
      </c>
      <c r="U47" s="8">
        <v>1216064</v>
      </c>
      <c r="W47" s="8">
        <v>294937</v>
      </c>
      <c r="Y47" s="8">
        <v>0</v>
      </c>
      <c r="AA47" s="8">
        <v>1069310</v>
      </c>
      <c r="AC47" s="8">
        <v>771001</v>
      </c>
      <c r="AE47" s="8">
        <v>146450</v>
      </c>
      <c r="AG47" s="8">
        <v>549174</v>
      </c>
      <c r="AI47" s="8">
        <v>1090</v>
      </c>
      <c r="AJ47" s="13" t="s">
        <v>340</v>
      </c>
      <c r="AK47" s="13"/>
      <c r="AL47" s="13" t="s">
        <v>24</v>
      </c>
      <c r="AN47" s="8">
        <v>654496</v>
      </c>
      <c r="AP47" s="8">
        <v>392640</v>
      </c>
      <c r="AR47" s="8">
        <v>0</v>
      </c>
      <c r="AT47" s="8">
        <v>62040</v>
      </c>
      <c r="AV47" s="8">
        <v>2793</v>
      </c>
      <c r="AX47" s="8">
        <v>0</v>
      </c>
      <c r="AZ47" s="9">
        <f t="shared" si="3"/>
        <v>15764972</v>
      </c>
      <c r="BB47" s="8">
        <v>0</v>
      </c>
      <c r="BH47" s="8">
        <v>0</v>
      </c>
      <c r="BJ47" s="9">
        <f t="shared" si="1"/>
        <v>15764972</v>
      </c>
      <c r="BL47" s="9">
        <f>'Gov Fd Rv'!AU47-'Gov Fnd Exp'!BJ47</f>
        <v>1004664</v>
      </c>
      <c r="BN47" s="8">
        <v>3953753</v>
      </c>
      <c r="BP47" s="8">
        <v>29646</v>
      </c>
      <c r="BR47" s="8">
        <v>0</v>
      </c>
      <c r="BT47" s="9">
        <f t="shared" si="2"/>
        <v>4988063</v>
      </c>
      <c r="BU47" s="9"/>
      <c r="BV47" s="9">
        <f>BT47-'Gov Fd BS'!AA47</f>
        <v>0</v>
      </c>
    </row>
    <row r="48" spans="1:74">
      <c r="A48" s="13" t="s">
        <v>348</v>
      </c>
      <c r="B48" s="13"/>
      <c r="C48" s="13" t="s">
        <v>25</v>
      </c>
      <c r="D48" s="13"/>
      <c r="E48" s="32">
        <v>46854</v>
      </c>
      <c r="G48" s="8">
        <v>3484090</v>
      </c>
      <c r="I48" s="8">
        <v>1207275</v>
      </c>
      <c r="K48" s="8">
        <v>136525</v>
      </c>
      <c r="M48" s="8">
        <v>0</v>
      </c>
      <c r="O48" s="8">
        <v>261232</v>
      </c>
      <c r="Q48" s="8">
        <v>572482</v>
      </c>
      <c r="S48" s="8">
        <v>22771</v>
      </c>
      <c r="U48" s="8">
        <v>1082109</v>
      </c>
      <c r="W48" s="8">
        <v>242823</v>
      </c>
      <c r="Y48" s="8">
        <v>5658</v>
      </c>
      <c r="AA48" s="8">
        <v>923374</v>
      </c>
      <c r="AC48" s="8">
        <v>568025</v>
      </c>
      <c r="AE48" s="8">
        <v>36336</v>
      </c>
      <c r="AG48" s="8">
        <v>0</v>
      </c>
      <c r="AI48" s="8">
        <v>272364</v>
      </c>
      <c r="AJ48" s="13" t="s">
        <v>348</v>
      </c>
      <c r="AK48" s="13"/>
      <c r="AL48" s="13" t="s">
        <v>25</v>
      </c>
      <c r="AN48" s="8">
        <v>276508</v>
      </c>
      <c r="AP48" s="8">
        <v>1054075</v>
      </c>
      <c r="AR48" s="8">
        <v>0</v>
      </c>
      <c r="AT48" s="8">
        <v>371619</v>
      </c>
      <c r="AV48" s="8">
        <v>101536</v>
      </c>
      <c r="AX48" s="8">
        <v>0</v>
      </c>
      <c r="AZ48" s="9">
        <f t="shared" ref="AZ48:AZ80" si="4">SUM(G48:AX48)</f>
        <v>10618802</v>
      </c>
      <c r="BB48" s="8">
        <v>632</v>
      </c>
      <c r="BH48" s="8">
        <v>0</v>
      </c>
      <c r="BJ48" s="9">
        <f t="shared" si="1"/>
        <v>10619434</v>
      </c>
      <c r="BL48" s="9">
        <f>'Gov Fd Rv'!AU48-'Gov Fnd Exp'!BJ48</f>
        <v>465326</v>
      </c>
      <c r="BN48" s="8">
        <v>2521970</v>
      </c>
      <c r="BP48" s="8">
        <v>0</v>
      </c>
      <c r="BR48" s="8">
        <v>0</v>
      </c>
      <c r="BT48" s="9">
        <f t="shared" si="2"/>
        <v>2987296</v>
      </c>
      <c r="BU48" s="9"/>
      <c r="BV48" s="9">
        <f>BT48-'Gov Fd BS'!AA48</f>
        <v>0</v>
      </c>
    </row>
    <row r="49" spans="1:76">
      <c r="A49" s="13" t="s">
        <v>543</v>
      </c>
      <c r="B49" s="13"/>
      <c r="C49" s="13" t="s">
        <v>48</v>
      </c>
      <c r="D49" s="13"/>
      <c r="E49" s="32">
        <v>48611</v>
      </c>
      <c r="G49" s="8">
        <v>3100797</v>
      </c>
      <c r="I49" s="8">
        <v>910045</v>
      </c>
      <c r="K49" s="8">
        <v>0</v>
      </c>
      <c r="M49" s="8">
        <v>263344</v>
      </c>
      <c r="O49" s="8">
        <v>241370</v>
      </c>
      <c r="Q49" s="8">
        <v>262874</v>
      </c>
      <c r="S49" s="8">
        <v>38584</v>
      </c>
      <c r="U49" s="8">
        <v>702709</v>
      </c>
      <c r="W49" s="8">
        <v>295918</v>
      </c>
      <c r="Y49" s="8">
        <v>67199</v>
      </c>
      <c r="AA49" s="8">
        <v>613932</v>
      </c>
      <c r="AC49" s="8">
        <v>649481</v>
      </c>
      <c r="AE49" s="8">
        <v>173319</v>
      </c>
      <c r="AG49" s="8">
        <v>0</v>
      </c>
      <c r="AI49" s="8">
        <v>668217</v>
      </c>
      <c r="AJ49" s="13" t="s">
        <v>543</v>
      </c>
      <c r="AK49" s="13"/>
      <c r="AL49" s="13" t="s">
        <v>48</v>
      </c>
      <c r="AN49" s="8">
        <v>319613</v>
      </c>
      <c r="AP49" s="8">
        <v>0</v>
      </c>
      <c r="AR49" s="8">
        <v>0</v>
      </c>
      <c r="AT49" s="8">
        <v>21000</v>
      </c>
      <c r="AV49" s="8">
        <v>46560</v>
      </c>
      <c r="AX49" s="8">
        <v>0</v>
      </c>
      <c r="AZ49" s="9">
        <f t="shared" si="4"/>
        <v>8374962</v>
      </c>
      <c r="BB49" s="8">
        <v>0</v>
      </c>
      <c r="BH49" s="8">
        <v>0</v>
      </c>
      <c r="BJ49" s="9">
        <f t="shared" si="1"/>
        <v>8374962</v>
      </c>
      <c r="BL49" s="9">
        <f>'Gov Fd Rv'!AU49-'Gov Fnd Exp'!BJ49</f>
        <v>-55511</v>
      </c>
      <c r="BN49" s="8">
        <v>2369446</v>
      </c>
      <c r="BP49" s="8">
        <v>0</v>
      </c>
      <c r="BR49" s="8">
        <v>0</v>
      </c>
      <c r="BT49" s="9">
        <f t="shared" si="2"/>
        <v>2313935</v>
      </c>
      <c r="BU49" s="9"/>
      <c r="BV49" s="9">
        <f>BT49-'Gov Fd BS'!AA49</f>
        <v>0</v>
      </c>
    </row>
    <row r="50" spans="1:76">
      <c r="A50" s="13" t="s">
        <v>271</v>
      </c>
      <c r="B50" s="13"/>
      <c r="C50" s="13" t="s">
        <v>116</v>
      </c>
      <c r="D50" s="13"/>
      <c r="E50" s="32">
        <v>46318</v>
      </c>
      <c r="G50" s="8">
        <v>8096459</v>
      </c>
      <c r="I50" s="8">
        <v>1593742</v>
      </c>
      <c r="K50" s="8">
        <v>216614</v>
      </c>
      <c r="M50" s="8">
        <v>98803</v>
      </c>
      <c r="O50" s="8">
        <v>653617</v>
      </c>
      <c r="Q50" s="8">
        <v>809990</v>
      </c>
      <c r="S50" s="8">
        <v>26304</v>
      </c>
      <c r="U50" s="8">
        <v>1030533</v>
      </c>
      <c r="W50" s="8">
        <v>413198</v>
      </c>
      <c r="Y50" s="8">
        <v>0</v>
      </c>
      <c r="AA50" s="8">
        <v>1513680</v>
      </c>
      <c r="AC50" s="8">
        <v>1271494</v>
      </c>
      <c r="AE50" s="8">
        <v>173215</v>
      </c>
      <c r="AG50" s="8">
        <v>0</v>
      </c>
      <c r="AI50" s="8">
        <v>552956</v>
      </c>
      <c r="AJ50" s="13" t="s">
        <v>271</v>
      </c>
      <c r="AK50" s="13"/>
      <c r="AL50" s="13" t="s">
        <v>116</v>
      </c>
      <c r="AN50" s="8">
        <v>364022</v>
      </c>
      <c r="AP50" s="8">
        <v>1832535</v>
      </c>
      <c r="AR50" s="8">
        <v>0</v>
      </c>
      <c r="AT50" s="8">
        <v>284050</v>
      </c>
      <c r="AV50" s="8">
        <v>348583</v>
      </c>
      <c r="AX50" s="8">
        <v>11000</v>
      </c>
      <c r="AZ50" s="9">
        <f t="shared" si="4"/>
        <v>19290795</v>
      </c>
      <c r="BB50" s="8">
        <v>320077</v>
      </c>
      <c r="BH50" s="8">
        <v>0</v>
      </c>
      <c r="BJ50" s="9">
        <f t="shared" si="1"/>
        <v>19610872</v>
      </c>
      <c r="BL50" s="9">
        <f>'Gov Fd Rv'!AU50-'Gov Fnd Exp'!BJ50</f>
        <v>-1474663</v>
      </c>
      <c r="BN50" s="8">
        <v>4175212</v>
      </c>
      <c r="BP50" s="8">
        <v>0</v>
      </c>
      <c r="BR50" s="8">
        <v>0</v>
      </c>
      <c r="BT50" s="9">
        <f t="shared" si="2"/>
        <v>2700549</v>
      </c>
      <c r="BU50" s="9"/>
      <c r="BV50" s="9">
        <f>BT50-'Gov Fd BS'!AA50</f>
        <v>0</v>
      </c>
    </row>
    <row r="51" spans="1:76" hidden="1">
      <c r="A51" s="13" t="s">
        <v>640</v>
      </c>
      <c r="B51" s="13"/>
      <c r="C51" s="13" t="s">
        <v>60</v>
      </c>
      <c r="D51" s="13"/>
      <c r="E51" s="32">
        <v>49692</v>
      </c>
      <c r="G51" s="8">
        <v>0</v>
      </c>
      <c r="I51" s="8">
        <v>0</v>
      </c>
      <c r="K51" s="8">
        <v>0</v>
      </c>
      <c r="M51" s="8">
        <v>0</v>
      </c>
      <c r="O51" s="8">
        <v>0</v>
      </c>
      <c r="Q51" s="8">
        <v>0</v>
      </c>
      <c r="S51" s="8">
        <v>0</v>
      </c>
      <c r="U51" s="8">
        <v>0</v>
      </c>
      <c r="W51" s="8">
        <v>0</v>
      </c>
      <c r="Y51" s="8">
        <v>0</v>
      </c>
      <c r="AA51" s="8">
        <v>0</v>
      </c>
      <c r="AC51" s="8">
        <v>0</v>
      </c>
      <c r="AE51" s="8">
        <v>0</v>
      </c>
      <c r="AG51" s="8">
        <v>0</v>
      </c>
      <c r="AI51" s="8">
        <v>0</v>
      </c>
      <c r="AJ51" s="13" t="s">
        <v>640</v>
      </c>
      <c r="AK51" s="13"/>
      <c r="AL51" s="13" t="s">
        <v>60</v>
      </c>
      <c r="AN51" s="8">
        <v>0</v>
      </c>
      <c r="AP51" s="8">
        <v>0</v>
      </c>
      <c r="AR51" s="8">
        <v>0</v>
      </c>
      <c r="AT51" s="8">
        <v>0</v>
      </c>
      <c r="AV51" s="8">
        <v>0</v>
      </c>
      <c r="AX51" s="8">
        <v>0</v>
      </c>
      <c r="AZ51" s="9">
        <f t="shared" si="4"/>
        <v>0</v>
      </c>
      <c r="BB51" s="8">
        <v>0</v>
      </c>
      <c r="BH51" s="8">
        <v>0</v>
      </c>
      <c r="BJ51" s="9">
        <f t="shared" si="1"/>
        <v>0</v>
      </c>
      <c r="BL51" s="9">
        <f>'Gov Fd Rv'!AU51-'Gov Fnd Exp'!BJ51</f>
        <v>0</v>
      </c>
      <c r="BN51" s="8">
        <v>0</v>
      </c>
      <c r="BP51" s="8">
        <v>0</v>
      </c>
      <c r="BR51" s="8">
        <v>0</v>
      </c>
      <c r="BT51" s="9">
        <f t="shared" si="2"/>
        <v>0</v>
      </c>
      <c r="BU51" s="9"/>
      <c r="BV51" s="9">
        <f>BT51-'Gov Fd BS'!AA51</f>
        <v>0</v>
      </c>
    </row>
    <row r="52" spans="1:76">
      <c r="A52" s="13" t="s">
        <v>356</v>
      </c>
      <c r="B52" s="13"/>
      <c r="C52" s="13" t="s">
        <v>27</v>
      </c>
      <c r="D52" s="13"/>
      <c r="E52" s="32">
        <v>43620</v>
      </c>
      <c r="G52" s="8">
        <v>14268541</v>
      </c>
      <c r="I52" s="8">
        <v>3011777</v>
      </c>
      <c r="K52" s="8">
        <v>360262</v>
      </c>
      <c r="M52" s="8">
        <v>0</v>
      </c>
      <c r="O52" s="8">
        <v>1331549</v>
      </c>
      <c r="Q52" s="8">
        <v>2019832</v>
      </c>
      <c r="S52" s="8">
        <v>45043</v>
      </c>
      <c r="U52" s="8">
        <v>1834328</v>
      </c>
      <c r="W52" s="8">
        <v>0</v>
      </c>
      <c r="Y52" s="8">
        <v>1102245</v>
      </c>
      <c r="AA52" s="8">
        <v>3149926</v>
      </c>
      <c r="AC52" s="8">
        <v>645581</v>
      </c>
      <c r="AE52" s="8">
        <v>171310</v>
      </c>
      <c r="AG52" s="8">
        <v>542427</v>
      </c>
      <c r="AI52" s="8">
        <v>805855</v>
      </c>
      <c r="AJ52" s="13" t="s">
        <v>356</v>
      </c>
      <c r="AK52" s="13"/>
      <c r="AL52" s="13" t="s">
        <v>27</v>
      </c>
      <c r="AN52" s="8">
        <v>1014317</v>
      </c>
      <c r="AP52" s="8">
        <v>846179</v>
      </c>
      <c r="AR52" s="8">
        <v>0</v>
      </c>
      <c r="AT52" s="8">
        <v>1785000</v>
      </c>
      <c r="AV52" s="8">
        <v>1191440</v>
      </c>
      <c r="AX52" s="8">
        <v>0</v>
      </c>
      <c r="AZ52" s="9">
        <f t="shared" si="4"/>
        <v>34125612</v>
      </c>
      <c r="BB52" s="8">
        <v>326427</v>
      </c>
      <c r="BH52" s="8">
        <v>0</v>
      </c>
      <c r="BJ52" s="9">
        <f t="shared" si="1"/>
        <v>34452039</v>
      </c>
      <c r="BL52" s="9">
        <f>'Gov Fd Rv'!AU52-'Gov Fnd Exp'!BJ52</f>
        <v>2183533</v>
      </c>
      <c r="BN52" s="8">
        <v>21601630</v>
      </c>
      <c r="BP52" s="8">
        <v>0</v>
      </c>
      <c r="BR52" s="8">
        <v>0</v>
      </c>
      <c r="BT52" s="9">
        <f t="shared" si="2"/>
        <v>23785163</v>
      </c>
      <c r="BU52" s="9"/>
      <c r="BV52" s="9">
        <f>BT52-'Gov Fd BS'!AA52</f>
        <v>0</v>
      </c>
    </row>
    <row r="53" spans="1:76">
      <c r="A53" s="13" t="s">
        <v>336</v>
      </c>
      <c r="B53" s="13"/>
      <c r="C53" s="13" t="s">
        <v>23</v>
      </c>
      <c r="D53" s="13"/>
      <c r="E53" s="32">
        <v>46748</v>
      </c>
      <c r="G53" s="8">
        <v>11269817</v>
      </c>
      <c r="I53" s="8">
        <v>3273814</v>
      </c>
      <c r="K53" s="8">
        <v>416015</v>
      </c>
      <c r="M53" s="8">
        <v>0</v>
      </c>
      <c r="O53" s="8">
        <v>1324018</v>
      </c>
      <c r="Q53" s="8">
        <v>957272</v>
      </c>
      <c r="S53" s="8">
        <v>203318</v>
      </c>
      <c r="U53" s="8">
        <v>2446647</v>
      </c>
      <c r="W53" s="8">
        <v>895653</v>
      </c>
      <c r="Y53" s="8">
        <v>219046</v>
      </c>
      <c r="AA53" s="8">
        <v>2151577</v>
      </c>
      <c r="AC53" s="8">
        <v>1970238</v>
      </c>
      <c r="AE53" s="8">
        <v>10425</v>
      </c>
      <c r="AG53" s="8">
        <v>0</v>
      </c>
      <c r="AI53" s="8">
        <v>958385</v>
      </c>
      <c r="AJ53" s="13" t="s">
        <v>336</v>
      </c>
      <c r="AK53" s="13"/>
      <c r="AL53" s="13" t="s">
        <v>23</v>
      </c>
      <c r="AN53" s="8">
        <v>679741</v>
      </c>
      <c r="AP53" s="8">
        <v>1329008</v>
      </c>
      <c r="AR53" s="8">
        <v>0</v>
      </c>
      <c r="AT53" s="8">
        <v>1029372</v>
      </c>
      <c r="AV53" s="8">
        <v>712699</v>
      </c>
      <c r="AX53" s="8">
        <v>0</v>
      </c>
      <c r="AZ53" s="9">
        <f t="shared" si="4"/>
        <v>29847045</v>
      </c>
      <c r="BB53" s="8">
        <v>189961</v>
      </c>
      <c r="BH53" s="8">
        <v>0</v>
      </c>
      <c r="BJ53" s="9">
        <f>AZ53+BB53+BH53</f>
        <v>30037006</v>
      </c>
      <c r="BL53" s="9">
        <f>'Gov Fd Rv'!AU53-'Gov Fnd Exp'!BJ53</f>
        <v>-990378</v>
      </c>
      <c r="BN53" s="8">
        <v>6509987</v>
      </c>
      <c r="BP53" s="8">
        <v>0</v>
      </c>
      <c r="BR53" s="8">
        <v>0</v>
      </c>
      <c r="BT53" s="9">
        <f t="shared" si="2"/>
        <v>5519609</v>
      </c>
      <c r="BU53" s="9"/>
      <c r="BV53" s="9">
        <f>BT53-'Gov Fd BS'!AA53</f>
        <v>0</v>
      </c>
    </row>
    <row r="54" spans="1:76">
      <c r="A54" s="13" t="s">
        <v>531</v>
      </c>
      <c r="B54" s="13"/>
      <c r="C54" s="13" t="s">
        <v>47</v>
      </c>
      <c r="D54" s="13"/>
      <c r="E54" s="32">
        <v>48462</v>
      </c>
      <c r="G54" s="8">
        <v>7344139</v>
      </c>
      <c r="I54" s="8">
        <v>1829414</v>
      </c>
      <c r="K54" s="8">
        <v>149217</v>
      </c>
      <c r="M54" s="8">
        <v>5549</v>
      </c>
      <c r="O54" s="8">
        <v>729759</v>
      </c>
      <c r="Q54" s="8">
        <v>633283</v>
      </c>
      <c r="S54" s="8">
        <v>38929</v>
      </c>
      <c r="U54" s="8">
        <v>1067387</v>
      </c>
      <c r="W54" s="8">
        <v>448895</v>
      </c>
      <c r="Y54" s="8">
        <v>17528</v>
      </c>
      <c r="AA54" s="8">
        <v>1472871</v>
      </c>
      <c r="AC54" s="8">
        <v>1215567</v>
      </c>
      <c r="AE54" s="8">
        <v>53302</v>
      </c>
      <c r="AG54" s="8">
        <v>527067</v>
      </c>
      <c r="AI54" s="8">
        <v>23156</v>
      </c>
      <c r="AJ54" s="13" t="s">
        <v>531</v>
      </c>
      <c r="AK54" s="13"/>
      <c r="AL54" s="13" t="s">
        <v>47</v>
      </c>
      <c r="AN54" s="8">
        <v>546368</v>
      </c>
      <c r="AP54" s="8">
        <f>814056+63036</f>
        <v>877092</v>
      </c>
      <c r="AR54" s="8">
        <v>0</v>
      </c>
      <c r="AT54" s="8">
        <v>661528</v>
      </c>
      <c r="AV54" s="8">
        <v>150401</v>
      </c>
      <c r="AX54" s="8">
        <v>0</v>
      </c>
      <c r="AZ54" s="9">
        <f t="shared" si="4"/>
        <v>17791452</v>
      </c>
      <c r="BB54" s="8">
        <v>86925</v>
      </c>
      <c r="BH54" s="8">
        <v>0</v>
      </c>
      <c r="BJ54" s="9">
        <f>AZ54+BB54+BH54</f>
        <v>17878377</v>
      </c>
      <c r="BL54" s="9">
        <f>'Gov Fd Rv'!AU54-'Gov Fnd Exp'!BJ54</f>
        <v>-3038010</v>
      </c>
      <c r="BN54" s="8">
        <v>4575893</v>
      </c>
      <c r="BP54" s="8">
        <v>1636</v>
      </c>
      <c r="BR54" s="8">
        <v>0</v>
      </c>
      <c r="BT54" s="9">
        <f t="shared" si="2"/>
        <v>1539519</v>
      </c>
      <c r="BU54" s="9"/>
      <c r="BV54" s="9">
        <f>BT54-'Gov Fd BS'!AA54</f>
        <v>0</v>
      </c>
    </row>
    <row r="55" spans="1:76">
      <c r="A55" s="13" t="s">
        <v>278</v>
      </c>
      <c r="B55" s="13"/>
      <c r="C55" s="13" t="s">
        <v>18</v>
      </c>
      <c r="D55" s="13"/>
      <c r="E55" s="32">
        <v>46383</v>
      </c>
      <c r="G55" s="8">
        <v>5906471</v>
      </c>
      <c r="I55" s="8">
        <v>1034438</v>
      </c>
      <c r="K55" s="8">
        <v>377190</v>
      </c>
      <c r="M55" s="8">
        <v>615357</v>
      </c>
      <c r="O55" s="8">
        <v>694554</v>
      </c>
      <c r="Q55" s="8">
        <v>1484217</v>
      </c>
      <c r="S55" s="8">
        <v>27810</v>
      </c>
      <c r="U55" s="8">
        <v>1078917</v>
      </c>
      <c r="W55" s="8">
        <v>368793</v>
      </c>
      <c r="Y55" s="8">
        <v>8261</v>
      </c>
      <c r="AA55" s="8">
        <v>1299027</v>
      </c>
      <c r="AC55" s="8">
        <v>920478</v>
      </c>
      <c r="AE55" s="8">
        <v>27258</v>
      </c>
      <c r="AG55" s="8">
        <v>0</v>
      </c>
      <c r="AI55" s="8">
        <v>819032</v>
      </c>
      <c r="AJ55" s="13" t="s">
        <v>278</v>
      </c>
      <c r="AK55" s="13"/>
      <c r="AL55" s="13" t="s">
        <v>18</v>
      </c>
      <c r="AN55" s="8">
        <v>435292</v>
      </c>
      <c r="AP55" s="8">
        <v>221681</v>
      </c>
      <c r="AR55" s="8">
        <v>0</v>
      </c>
      <c r="AT55" s="8">
        <v>195000</v>
      </c>
      <c r="AV55" s="8">
        <v>162760</v>
      </c>
      <c r="AX55" s="8">
        <v>0</v>
      </c>
      <c r="AZ55" s="9">
        <f t="shared" si="4"/>
        <v>15676536</v>
      </c>
      <c r="BB55" s="8">
        <v>0</v>
      </c>
      <c r="BH55" s="8">
        <v>0</v>
      </c>
      <c r="BJ55" s="9">
        <f t="shared" si="1"/>
        <v>15676536</v>
      </c>
      <c r="BL55" s="9">
        <f>'Gov Fd Rv'!AU55-'Gov Fnd Exp'!BJ55</f>
        <v>-103961</v>
      </c>
      <c r="BN55" s="8">
        <v>1136041</v>
      </c>
      <c r="BP55" s="8">
        <v>0</v>
      </c>
      <c r="BR55" s="8">
        <v>0</v>
      </c>
      <c r="BT55" s="9">
        <f t="shared" si="2"/>
        <v>1032080</v>
      </c>
      <c r="BU55" s="9"/>
      <c r="BV55" s="9">
        <f>BT55-'Gov Fd BS'!AA55</f>
        <v>0</v>
      </c>
    </row>
    <row r="56" spans="1:76">
      <c r="A56" s="13" t="s">
        <v>349</v>
      </c>
      <c r="B56" s="13"/>
      <c r="C56" s="13" t="s">
        <v>25</v>
      </c>
      <c r="D56" s="13"/>
      <c r="E56" s="32">
        <v>46862</v>
      </c>
      <c r="G56" s="8">
        <v>5344396</v>
      </c>
      <c r="I56" s="8">
        <v>1510480</v>
      </c>
      <c r="K56" s="8">
        <v>224480</v>
      </c>
      <c r="M56" s="8">
        <v>667500</v>
      </c>
      <c r="O56" s="8">
        <v>643745</v>
      </c>
      <c r="Q56" s="8">
        <v>784723</v>
      </c>
      <c r="S56" s="8">
        <v>99366</v>
      </c>
      <c r="U56" s="8">
        <v>1642085</v>
      </c>
      <c r="W56" s="8">
        <v>145312</v>
      </c>
      <c r="Y56" s="8">
        <v>0</v>
      </c>
      <c r="AA56" s="8">
        <v>787167</v>
      </c>
      <c r="AC56" s="8">
        <v>865319</v>
      </c>
      <c r="AE56" s="8">
        <v>46158</v>
      </c>
      <c r="AG56" s="8">
        <v>412570</v>
      </c>
      <c r="AI56" s="8">
        <v>2000</v>
      </c>
      <c r="AJ56" s="13" t="s">
        <v>349</v>
      </c>
      <c r="AK56" s="13"/>
      <c r="AL56" s="13" t="s">
        <v>25</v>
      </c>
      <c r="AN56" s="8">
        <v>581154</v>
      </c>
      <c r="AP56" s="8">
        <v>0</v>
      </c>
      <c r="AR56" s="8">
        <v>0</v>
      </c>
      <c r="AT56" s="8">
        <v>0</v>
      </c>
      <c r="AV56" s="8">
        <v>0</v>
      </c>
      <c r="AX56" s="8">
        <v>0</v>
      </c>
      <c r="AZ56" s="9">
        <f t="shared" si="4"/>
        <v>13756455</v>
      </c>
      <c r="BB56" s="8">
        <v>1214</v>
      </c>
      <c r="BH56" s="8">
        <v>0</v>
      </c>
      <c r="BJ56" s="9">
        <f t="shared" si="1"/>
        <v>13757669</v>
      </c>
      <c r="BL56" s="9">
        <f>'Gov Fd Rv'!AU56-'Gov Fnd Exp'!BJ56</f>
        <v>1210655</v>
      </c>
      <c r="BN56" s="8">
        <v>1076793</v>
      </c>
      <c r="BP56" s="8">
        <v>0</v>
      </c>
      <c r="BR56" s="8">
        <v>0</v>
      </c>
      <c r="BT56" s="9">
        <f t="shared" si="2"/>
        <v>2287448</v>
      </c>
      <c r="BU56" s="9"/>
      <c r="BV56" s="9">
        <f>BT56-'Gov Fd BS'!AA56</f>
        <v>0</v>
      </c>
    </row>
    <row r="57" spans="1:76">
      <c r="A57" s="13" t="s">
        <v>680</v>
      </c>
      <c r="B57" s="13"/>
      <c r="C57" s="13" t="s">
        <v>64</v>
      </c>
      <c r="D57" s="13"/>
      <c r="E57" s="32">
        <v>50096</v>
      </c>
      <c r="G57" s="8">
        <v>1546402</v>
      </c>
      <c r="I57" s="8">
        <v>401592</v>
      </c>
      <c r="K57" s="8">
        <v>65549</v>
      </c>
      <c r="M57" s="8">
        <v>18471</v>
      </c>
      <c r="O57" s="8">
        <v>150978</v>
      </c>
      <c r="Q57" s="8">
        <v>244329</v>
      </c>
      <c r="S57" s="8">
        <v>20844</v>
      </c>
      <c r="U57" s="8">
        <v>397887</v>
      </c>
      <c r="W57" s="8">
        <v>200383</v>
      </c>
      <c r="Y57" s="8">
        <v>0</v>
      </c>
      <c r="AA57" s="8">
        <v>448565</v>
      </c>
      <c r="AC57" s="8">
        <v>177137</v>
      </c>
      <c r="AE57" s="8">
        <v>6000</v>
      </c>
      <c r="AG57" s="8">
        <v>121809</v>
      </c>
      <c r="AI57" s="8">
        <v>2516</v>
      </c>
      <c r="AJ57" s="13" t="s">
        <v>680</v>
      </c>
      <c r="AK57" s="13"/>
      <c r="AL57" s="13" t="s">
        <v>64</v>
      </c>
      <c r="AN57" s="8">
        <v>88094</v>
      </c>
      <c r="AP57" s="8">
        <v>120</v>
      </c>
      <c r="AR57" s="8">
        <v>0</v>
      </c>
      <c r="AT57" s="8">
        <v>7087</v>
      </c>
      <c r="AV57" s="8">
        <v>167</v>
      </c>
      <c r="AX57" s="8">
        <v>0</v>
      </c>
      <c r="AZ57" s="9">
        <f t="shared" si="4"/>
        <v>3897930</v>
      </c>
      <c r="BB57" s="8">
        <v>0</v>
      </c>
      <c r="BH57" s="8">
        <v>0</v>
      </c>
      <c r="BJ57" s="9">
        <f t="shared" si="1"/>
        <v>3897930</v>
      </c>
      <c r="BL57" s="9">
        <f>'Gov Fd Rv'!AU57-'Gov Fnd Exp'!BJ57</f>
        <v>105341</v>
      </c>
      <c r="BN57" s="8">
        <v>614111</v>
      </c>
      <c r="BP57" s="8">
        <v>0</v>
      </c>
      <c r="BR57" s="8">
        <v>0</v>
      </c>
      <c r="BT57" s="9">
        <f t="shared" si="2"/>
        <v>719452</v>
      </c>
      <c r="BU57" s="9"/>
      <c r="BV57" s="9">
        <f>BT57-'Gov Fd BS'!AA57</f>
        <v>0</v>
      </c>
    </row>
    <row r="58" spans="1:76">
      <c r="A58" s="13" t="s">
        <v>631</v>
      </c>
      <c r="B58" s="13"/>
      <c r="C58" s="13" t="s">
        <v>59</v>
      </c>
      <c r="D58" s="13"/>
      <c r="E58" s="32">
        <v>49593</v>
      </c>
      <c r="G58" s="8">
        <v>4366833</v>
      </c>
      <c r="I58" s="8">
        <v>1038251</v>
      </c>
      <c r="K58" s="8">
        <v>0</v>
      </c>
      <c r="M58" s="8">
        <v>222429</v>
      </c>
      <c r="O58" s="8">
        <v>329238</v>
      </c>
      <c r="Q58" s="8">
        <v>468898</v>
      </c>
      <c r="S58" s="8">
        <v>29204</v>
      </c>
      <c r="U58" s="8">
        <v>753103</v>
      </c>
      <c r="W58" s="8">
        <v>232747</v>
      </c>
      <c r="Y58" s="8">
        <v>40105</v>
      </c>
      <c r="AA58" s="8">
        <v>1154274</v>
      </c>
      <c r="AC58" s="8">
        <v>750122</v>
      </c>
      <c r="AE58" s="8">
        <v>9407</v>
      </c>
      <c r="AG58" s="8">
        <v>465018</v>
      </c>
      <c r="AI58" s="8">
        <v>677</v>
      </c>
      <c r="AJ58" s="13" t="s">
        <v>631</v>
      </c>
      <c r="AK58" s="13"/>
      <c r="AL58" s="13" t="s">
        <v>59</v>
      </c>
      <c r="AN58" s="8">
        <v>174038</v>
      </c>
      <c r="AP58" s="8">
        <v>84214</v>
      </c>
      <c r="AR58" s="8">
        <v>43500</v>
      </c>
      <c r="AT58" s="8">
        <v>90000</v>
      </c>
      <c r="AV58" s="8">
        <v>41301</v>
      </c>
      <c r="AX58" s="8">
        <v>0</v>
      </c>
      <c r="AZ58" s="9">
        <f>SUM(G58:AX58)</f>
        <v>10293359</v>
      </c>
      <c r="BB58" s="8">
        <v>7794</v>
      </c>
      <c r="BH58" s="8">
        <v>0</v>
      </c>
      <c r="BJ58" s="9">
        <f>AZ58+BB58+BH58</f>
        <v>10301153</v>
      </c>
      <c r="BL58" s="9">
        <f>'Gov Fd Rv'!AU58-'Gov Fnd Exp'!BJ58</f>
        <v>-324026</v>
      </c>
      <c r="BN58" s="8">
        <v>1226709</v>
      </c>
      <c r="BP58" s="8">
        <v>0</v>
      </c>
      <c r="BR58" s="8">
        <v>0</v>
      </c>
      <c r="BT58" s="9">
        <f>BL58+BN58+BP58+BR58</f>
        <v>902683</v>
      </c>
      <c r="BU58" s="9"/>
      <c r="BV58" s="9">
        <f>BT58-'Gov Fd BS'!AA58</f>
        <v>0</v>
      </c>
    </row>
    <row r="59" spans="1:76" hidden="1">
      <c r="A59" s="13" t="s">
        <v>916</v>
      </c>
      <c r="B59" s="13"/>
      <c r="C59" s="13" t="s">
        <v>10</v>
      </c>
      <c r="D59" s="13"/>
      <c r="E59" s="32">
        <v>49593</v>
      </c>
      <c r="G59" s="8">
        <v>0</v>
      </c>
      <c r="I59" s="8">
        <v>0</v>
      </c>
      <c r="K59" s="8">
        <v>0</v>
      </c>
      <c r="M59" s="8">
        <v>0</v>
      </c>
      <c r="Q59" s="8">
        <v>0</v>
      </c>
      <c r="S59" s="8">
        <v>0</v>
      </c>
      <c r="U59" s="8">
        <v>0</v>
      </c>
      <c r="W59" s="8">
        <v>0</v>
      </c>
      <c r="Y59" s="8">
        <v>0</v>
      </c>
      <c r="AA59" s="8">
        <v>0</v>
      </c>
      <c r="AC59" s="8">
        <v>0</v>
      </c>
      <c r="AE59" s="8">
        <v>0</v>
      </c>
      <c r="AG59" s="8">
        <v>0</v>
      </c>
      <c r="AI59" s="8">
        <v>0</v>
      </c>
      <c r="AJ59" s="13" t="s">
        <v>916</v>
      </c>
      <c r="AK59" s="13"/>
      <c r="AL59" s="13" t="s">
        <v>10</v>
      </c>
      <c r="AN59" s="8">
        <v>0</v>
      </c>
      <c r="AP59" s="8">
        <v>0</v>
      </c>
      <c r="AR59" s="8">
        <v>0</v>
      </c>
      <c r="AT59" s="8">
        <v>0</v>
      </c>
      <c r="AV59" s="8">
        <v>0</v>
      </c>
      <c r="AX59" s="8">
        <v>0</v>
      </c>
      <c r="AZ59" s="9">
        <f t="shared" si="4"/>
        <v>0</v>
      </c>
      <c r="BB59" s="8">
        <v>0</v>
      </c>
      <c r="BH59" s="8">
        <v>0</v>
      </c>
      <c r="BJ59" s="9">
        <f t="shared" si="1"/>
        <v>0</v>
      </c>
      <c r="BL59" s="9">
        <f>'Gov Fd Rv'!AU59-'Gov Fnd Exp'!BJ59</f>
        <v>0</v>
      </c>
      <c r="BN59" s="8">
        <v>0</v>
      </c>
      <c r="BP59" s="8">
        <v>0</v>
      </c>
      <c r="BR59" s="8">
        <v>0</v>
      </c>
      <c r="BT59" s="9">
        <f t="shared" si="2"/>
        <v>0</v>
      </c>
      <c r="BU59" s="9"/>
      <c r="BV59" s="9">
        <f>BT59-'Gov Fd BS'!AA59</f>
        <v>0</v>
      </c>
      <c r="BX59" s="8" t="s">
        <v>917</v>
      </c>
    </row>
    <row r="60" spans="1:76">
      <c r="A60" s="13" t="s">
        <v>515</v>
      </c>
      <c r="B60" s="13"/>
      <c r="C60" s="13" t="s">
        <v>45</v>
      </c>
      <c r="D60" s="13"/>
      <c r="E60" s="32">
        <v>48306</v>
      </c>
      <c r="G60" s="8">
        <v>21791259</v>
      </c>
      <c r="I60" s="8">
        <v>3455042</v>
      </c>
      <c r="K60" s="8">
        <v>0</v>
      </c>
      <c r="M60" s="8">
        <f>11002+398242</f>
        <v>409244</v>
      </c>
      <c r="O60" s="8">
        <v>1847840</v>
      </c>
      <c r="Q60" s="8">
        <v>2476972</v>
      </c>
      <c r="S60" s="8">
        <v>117067</v>
      </c>
      <c r="U60" s="8">
        <v>2580416</v>
      </c>
      <c r="W60" s="8">
        <v>1011192</v>
      </c>
      <c r="Y60" s="8">
        <v>136822</v>
      </c>
      <c r="AA60" s="8">
        <v>4453919</v>
      </c>
      <c r="AC60" s="8">
        <v>2887745</v>
      </c>
      <c r="AE60" s="8">
        <v>160856</v>
      </c>
      <c r="AG60" s="8">
        <v>1314365</v>
      </c>
      <c r="AI60" s="8">
        <v>811647</v>
      </c>
      <c r="AJ60" s="13" t="s">
        <v>515</v>
      </c>
      <c r="AK60" s="13"/>
      <c r="AL60" s="13" t="s">
        <v>45</v>
      </c>
      <c r="AN60" s="8">
        <v>1048631</v>
      </c>
      <c r="AP60" s="8">
        <v>336251</v>
      </c>
      <c r="AR60" s="8">
        <v>0</v>
      </c>
      <c r="AT60" s="8">
        <v>385018</v>
      </c>
      <c r="AV60" s="8">
        <v>88619</v>
      </c>
      <c r="AX60" s="8">
        <v>0</v>
      </c>
      <c r="AZ60" s="9">
        <f t="shared" si="4"/>
        <v>45312905</v>
      </c>
      <c r="BB60" s="8">
        <v>0</v>
      </c>
      <c r="BH60" s="8">
        <v>0</v>
      </c>
      <c r="BJ60" s="9">
        <f t="shared" si="1"/>
        <v>45312905</v>
      </c>
      <c r="BL60" s="9">
        <f>'Gov Fd Rv'!AU60-'Gov Fnd Exp'!BJ60</f>
        <v>1891998</v>
      </c>
      <c r="BN60" s="8">
        <v>8088194</v>
      </c>
      <c r="BP60" s="8">
        <v>0</v>
      </c>
      <c r="BR60" s="8">
        <v>0</v>
      </c>
      <c r="BT60" s="9">
        <f t="shared" si="2"/>
        <v>9980192</v>
      </c>
      <c r="BU60" s="9"/>
      <c r="BV60" s="9">
        <f>BT60-'Gov Fd BS'!AA60</f>
        <v>0</v>
      </c>
    </row>
    <row r="61" spans="1:76">
      <c r="A61" s="13" t="s">
        <v>647</v>
      </c>
      <c r="B61" s="13"/>
      <c r="C61" s="13" t="s">
        <v>61</v>
      </c>
      <c r="D61" s="13"/>
      <c r="E61" s="32">
        <v>49767</v>
      </c>
      <c r="G61" s="8">
        <v>2249071</v>
      </c>
      <c r="I61" s="8">
        <v>473002</v>
      </c>
      <c r="K61" s="8">
        <v>152986</v>
      </c>
      <c r="M61" s="8">
        <v>40035</v>
      </c>
      <c r="O61" s="8">
        <v>237733</v>
      </c>
      <c r="Q61" s="8">
        <v>277843</v>
      </c>
      <c r="S61" s="8">
        <v>11227</v>
      </c>
      <c r="U61" s="8">
        <v>395300</v>
      </c>
      <c r="W61" s="8">
        <v>194175</v>
      </c>
      <c r="Y61" s="8">
        <v>0</v>
      </c>
      <c r="AA61" s="8">
        <v>340033</v>
      </c>
      <c r="AC61" s="8">
        <v>192474</v>
      </c>
      <c r="AE61" s="8">
        <v>5492</v>
      </c>
      <c r="AG61" s="8">
        <v>0</v>
      </c>
      <c r="AI61" s="8">
        <v>217158</v>
      </c>
      <c r="AJ61" s="13" t="s">
        <v>647</v>
      </c>
      <c r="AK61" s="13"/>
      <c r="AL61" s="13" t="s">
        <v>61</v>
      </c>
      <c r="AN61" s="8">
        <v>246696</v>
      </c>
      <c r="AP61" s="8">
        <v>0</v>
      </c>
      <c r="AR61" s="8">
        <v>0</v>
      </c>
      <c r="AT61" s="8">
        <v>186850</v>
      </c>
      <c r="AV61" s="8">
        <v>51468</v>
      </c>
      <c r="AX61" s="8">
        <v>0</v>
      </c>
      <c r="AZ61" s="9">
        <f t="shared" si="4"/>
        <v>5271543</v>
      </c>
      <c r="BB61" s="8">
        <v>0</v>
      </c>
      <c r="BH61" s="8">
        <v>0</v>
      </c>
      <c r="BJ61" s="9">
        <f t="shared" si="1"/>
        <v>5271543</v>
      </c>
      <c r="BL61" s="9">
        <f>'Gov Fd Rv'!AU61-'Gov Fnd Exp'!BJ61</f>
        <v>-304373</v>
      </c>
      <c r="BN61" s="8">
        <v>1671942</v>
      </c>
      <c r="BP61" s="8">
        <v>0</v>
      </c>
      <c r="BR61" s="8">
        <v>0</v>
      </c>
      <c r="BT61" s="9">
        <f t="shared" si="2"/>
        <v>1367569</v>
      </c>
      <c r="BU61" s="9"/>
      <c r="BV61" s="9">
        <f>BT61-'Gov Fd BS'!AA61</f>
        <v>0</v>
      </c>
    </row>
    <row r="62" spans="1:76">
      <c r="A62" s="13" t="s">
        <v>739</v>
      </c>
      <c r="B62" s="13"/>
      <c r="C62" s="13" t="s">
        <v>72</v>
      </c>
      <c r="D62" s="13"/>
      <c r="E62" s="32">
        <v>43638</v>
      </c>
      <c r="G62" s="8">
        <v>19552531</v>
      </c>
      <c r="I62" s="8">
        <v>0</v>
      </c>
      <c r="K62" s="8">
        <v>0</v>
      </c>
      <c r="M62" s="8">
        <v>0</v>
      </c>
      <c r="O62" s="8">
        <v>12253582</v>
      </c>
      <c r="Q62" s="8">
        <v>0</v>
      </c>
      <c r="S62" s="8">
        <v>0</v>
      </c>
      <c r="U62" s="8">
        <v>0</v>
      </c>
      <c r="W62" s="8">
        <v>0</v>
      </c>
      <c r="Y62" s="8">
        <v>0</v>
      </c>
      <c r="AA62" s="8">
        <v>0</v>
      </c>
      <c r="AC62" s="8">
        <v>0</v>
      </c>
      <c r="AE62" s="8">
        <v>0</v>
      </c>
      <c r="AG62" s="8">
        <v>0</v>
      </c>
      <c r="AI62" s="8">
        <v>344666</v>
      </c>
      <c r="AJ62" s="13" t="s">
        <v>739</v>
      </c>
      <c r="AK62" s="13"/>
      <c r="AL62" s="13" t="s">
        <v>72</v>
      </c>
      <c r="AN62" s="8">
        <v>1008651</v>
      </c>
      <c r="AP62" s="8">
        <v>5804616</v>
      </c>
      <c r="AR62" s="8">
        <v>0</v>
      </c>
      <c r="AT62" s="8">
        <v>625000</v>
      </c>
      <c r="AV62" s="8">
        <v>1359833</v>
      </c>
      <c r="AX62" s="8">
        <v>0</v>
      </c>
      <c r="AZ62" s="9">
        <f t="shared" si="4"/>
        <v>40948879</v>
      </c>
      <c r="BB62" s="8">
        <v>347000</v>
      </c>
      <c r="BH62" s="8">
        <v>14396</v>
      </c>
      <c r="BJ62" s="9">
        <f t="shared" si="1"/>
        <v>41310275</v>
      </c>
      <c r="BL62" s="9">
        <f>'Gov Fd Rv'!AU62-'Gov Fnd Exp'!BJ62</f>
        <v>-5145951</v>
      </c>
      <c r="BN62" s="8">
        <v>43933778</v>
      </c>
      <c r="BP62" s="8">
        <v>0</v>
      </c>
      <c r="BR62" s="8">
        <v>0</v>
      </c>
      <c r="BT62" s="9">
        <f t="shared" si="2"/>
        <v>38787827</v>
      </c>
      <c r="BU62" s="9"/>
      <c r="BV62" s="9">
        <f>BT62-'Gov Fd BS'!AA62</f>
        <v>0</v>
      </c>
    </row>
    <row r="63" spans="1:76" hidden="1">
      <c r="A63" s="13" t="s">
        <v>922</v>
      </c>
      <c r="B63" s="13"/>
      <c r="C63" s="13" t="s">
        <v>48</v>
      </c>
      <c r="D63" s="13"/>
      <c r="E63" s="32">
        <v>43646</v>
      </c>
      <c r="G63" s="8">
        <v>0</v>
      </c>
      <c r="I63" s="8">
        <v>0</v>
      </c>
      <c r="K63" s="8">
        <v>0</v>
      </c>
      <c r="M63" s="8">
        <v>0</v>
      </c>
      <c r="O63" s="8">
        <v>0</v>
      </c>
      <c r="Q63" s="8">
        <v>0</v>
      </c>
      <c r="S63" s="8">
        <v>0</v>
      </c>
      <c r="U63" s="8">
        <v>0</v>
      </c>
      <c r="W63" s="8">
        <v>0</v>
      </c>
      <c r="Y63" s="8">
        <v>0</v>
      </c>
      <c r="AA63" s="8">
        <v>0</v>
      </c>
      <c r="AC63" s="8">
        <v>0</v>
      </c>
      <c r="AE63" s="8">
        <v>0</v>
      </c>
      <c r="AG63" s="8">
        <v>0</v>
      </c>
      <c r="AH63" s="8" t="s">
        <v>917</v>
      </c>
      <c r="AI63" s="8">
        <v>0</v>
      </c>
      <c r="AJ63" s="13" t="s">
        <v>304</v>
      </c>
      <c r="AK63" s="13"/>
      <c r="AL63" s="13" t="s">
        <v>20</v>
      </c>
      <c r="AN63" s="8">
        <v>0</v>
      </c>
      <c r="AP63" s="8">
        <v>0</v>
      </c>
      <c r="AR63" s="8">
        <v>0</v>
      </c>
      <c r="AT63" s="8">
        <v>0</v>
      </c>
      <c r="AV63" s="8">
        <v>0</v>
      </c>
      <c r="AX63" s="8">
        <v>0</v>
      </c>
      <c r="AZ63" s="9">
        <f>SUM(G63:AX63)</f>
        <v>0</v>
      </c>
      <c r="BB63" s="8">
        <v>0</v>
      </c>
      <c r="BH63" s="8">
        <v>0</v>
      </c>
      <c r="BJ63" s="9">
        <f>AZ63+BB63+BH63</f>
        <v>0</v>
      </c>
      <c r="BL63" s="9">
        <f>'Gov Fd Rv'!AU63-'Gov Fnd Exp'!BJ63</f>
        <v>0</v>
      </c>
      <c r="BN63" s="8">
        <v>0</v>
      </c>
      <c r="BP63" s="8">
        <v>0</v>
      </c>
      <c r="BR63" s="8">
        <v>0</v>
      </c>
      <c r="BT63" s="9">
        <f>BL63+BN63+BP63+BR63</f>
        <v>0</v>
      </c>
      <c r="BU63" s="9"/>
      <c r="BV63" s="9">
        <f>BT63-'Gov Fd BS'!AA63</f>
        <v>0</v>
      </c>
    </row>
    <row r="64" spans="1:76">
      <c r="A64" s="12" t="s">
        <v>984</v>
      </c>
      <c r="B64" s="13"/>
      <c r="C64" s="13" t="s">
        <v>20</v>
      </c>
      <c r="D64" s="13"/>
      <c r="E64" s="32">
        <v>43646</v>
      </c>
      <c r="G64" s="8">
        <v>21814017</v>
      </c>
      <c r="I64" s="8">
        <v>5482100</v>
      </c>
      <c r="K64" s="8">
        <v>222910</v>
      </c>
      <c r="M64" s="8">
        <v>22538</v>
      </c>
      <c r="O64" s="8">
        <v>3406390</v>
      </c>
      <c r="Q64" s="8">
        <v>2827179</v>
      </c>
      <c r="S64" s="8">
        <v>71971</v>
      </c>
      <c r="U64" s="8">
        <v>3349825</v>
      </c>
      <c r="W64" s="8">
        <v>1026000</v>
      </c>
      <c r="Y64" s="8">
        <v>472557</v>
      </c>
      <c r="AA64" s="8">
        <v>4655060</v>
      </c>
      <c r="AC64" s="8">
        <v>3538128</v>
      </c>
      <c r="AE64" s="8">
        <v>271941</v>
      </c>
      <c r="AG64" s="8">
        <v>1512255</v>
      </c>
      <c r="AI64" s="8">
        <v>443219</v>
      </c>
      <c r="AJ64" s="13" t="s">
        <v>304</v>
      </c>
      <c r="AK64" s="13"/>
      <c r="AL64" s="13" t="s">
        <v>20</v>
      </c>
      <c r="AN64" s="8">
        <v>1084675</v>
      </c>
      <c r="AP64" s="8">
        <v>1684183</v>
      </c>
      <c r="AR64" s="8">
        <v>0</v>
      </c>
      <c r="AT64" s="8">
        <v>1658764</v>
      </c>
      <c r="AV64" s="8">
        <v>1418579</v>
      </c>
      <c r="AX64" s="8">
        <v>715135</v>
      </c>
      <c r="AZ64" s="9">
        <f t="shared" si="4"/>
        <v>55677426</v>
      </c>
      <c r="BB64" s="8">
        <v>397500</v>
      </c>
      <c r="BH64" s="8">
        <v>0</v>
      </c>
      <c r="BJ64" s="9">
        <f t="shared" si="1"/>
        <v>56074926</v>
      </c>
      <c r="BL64" s="9">
        <f>'Gov Fd Rv'!AU64-'Gov Fnd Exp'!BJ64</f>
        <v>4552524</v>
      </c>
      <c r="BN64" s="8">
        <v>18283822</v>
      </c>
      <c r="BP64" s="8">
        <v>0</v>
      </c>
      <c r="BR64" s="8">
        <v>0</v>
      </c>
      <c r="BT64" s="9">
        <f t="shared" si="2"/>
        <v>22836346</v>
      </c>
      <c r="BU64" s="9"/>
      <c r="BV64" s="9">
        <f>BT64-'Gov Fd BS'!AA64</f>
        <v>0</v>
      </c>
    </row>
    <row r="65" spans="1:76">
      <c r="A65" s="13" t="s">
        <v>235</v>
      </c>
      <c r="B65" s="13"/>
      <c r="C65" s="13" t="s">
        <v>15</v>
      </c>
      <c r="D65" s="13"/>
      <c r="E65" s="32">
        <v>45237</v>
      </c>
      <c r="G65" s="8">
        <v>3278184</v>
      </c>
      <c r="I65" s="8">
        <v>1096087</v>
      </c>
      <c r="K65" s="8">
        <v>38188</v>
      </c>
      <c r="M65" s="8">
        <v>158535</v>
      </c>
      <c r="O65" s="8">
        <v>233898</v>
      </c>
      <c r="Q65" s="8">
        <v>251592</v>
      </c>
      <c r="S65" s="8">
        <v>25033</v>
      </c>
      <c r="U65" s="8">
        <v>553500</v>
      </c>
      <c r="W65" s="8">
        <v>265762</v>
      </c>
      <c r="Y65" s="8">
        <v>37136</v>
      </c>
      <c r="AA65" s="8">
        <v>754297</v>
      </c>
      <c r="AC65" s="8">
        <v>271132</v>
      </c>
      <c r="AE65" s="8">
        <v>10519</v>
      </c>
      <c r="AG65" s="8">
        <v>335677</v>
      </c>
      <c r="AI65" s="8">
        <v>80216</v>
      </c>
      <c r="AJ65" s="13" t="s">
        <v>235</v>
      </c>
      <c r="AK65" s="13"/>
      <c r="AL65" s="13" t="s">
        <v>15</v>
      </c>
      <c r="AN65" s="8">
        <v>133797</v>
      </c>
      <c r="AP65" s="8">
        <v>403357</v>
      </c>
      <c r="AR65" s="8">
        <v>0</v>
      </c>
      <c r="AT65" s="8">
        <v>273915</v>
      </c>
      <c r="AV65" s="8">
        <v>222680</v>
      </c>
      <c r="AX65" s="8">
        <v>0</v>
      </c>
      <c r="AZ65" s="9">
        <f t="shared" si="4"/>
        <v>8423505</v>
      </c>
      <c r="BB65" s="8">
        <v>37600</v>
      </c>
      <c r="BH65" s="8">
        <v>0</v>
      </c>
      <c r="BJ65" s="9">
        <f t="shared" si="1"/>
        <v>8461105</v>
      </c>
      <c r="BL65" s="9">
        <f>'Gov Fd Rv'!AU65-'Gov Fnd Exp'!BJ65</f>
        <v>-149968</v>
      </c>
      <c r="BN65" s="8">
        <v>1303986</v>
      </c>
      <c r="BP65" s="8">
        <v>0</v>
      </c>
      <c r="BR65" s="8">
        <v>0</v>
      </c>
      <c r="BT65" s="9">
        <f t="shared" si="2"/>
        <v>1154018</v>
      </c>
      <c r="BU65" s="9"/>
      <c r="BV65" s="9">
        <f>BT65-'Gov Fd BS'!AA65</f>
        <v>0</v>
      </c>
    </row>
    <row r="66" spans="1:76">
      <c r="A66" s="13" t="s">
        <v>439</v>
      </c>
      <c r="B66" s="13"/>
      <c r="C66" s="13" t="s">
        <v>440</v>
      </c>
      <c r="D66" s="13"/>
      <c r="E66" s="32">
        <v>47613</v>
      </c>
      <c r="G66" s="8">
        <v>3641872</v>
      </c>
      <c r="I66" s="8">
        <v>813407</v>
      </c>
      <c r="K66" s="8">
        <v>239607</v>
      </c>
      <c r="M66" s="8">
        <v>48428</v>
      </c>
      <c r="O66" s="8">
        <v>411018</v>
      </c>
      <c r="Q66" s="8">
        <v>470233</v>
      </c>
      <c r="S66" s="8">
        <v>36538</v>
      </c>
      <c r="U66" s="8">
        <v>504454</v>
      </c>
      <c r="W66" s="8">
        <v>283534</v>
      </c>
      <c r="Y66" s="8">
        <v>4340</v>
      </c>
      <c r="AA66" s="8">
        <v>631556</v>
      </c>
      <c r="AC66" s="8">
        <v>685553</v>
      </c>
      <c r="AE66" s="8">
        <v>0</v>
      </c>
      <c r="AG66" s="8">
        <v>12495</v>
      </c>
      <c r="AI66" s="8">
        <v>295946</v>
      </c>
      <c r="AJ66" s="13" t="s">
        <v>439</v>
      </c>
      <c r="AK66" s="13"/>
      <c r="AL66" s="13" t="s">
        <v>440</v>
      </c>
      <c r="AN66" s="8">
        <v>121245</v>
      </c>
      <c r="AP66" s="8">
        <v>41799</v>
      </c>
      <c r="AR66" s="8">
        <v>0</v>
      </c>
      <c r="AT66" s="8">
        <v>105000</v>
      </c>
      <c r="AV66" s="8">
        <v>43934</v>
      </c>
      <c r="AX66" s="8">
        <v>0</v>
      </c>
      <c r="AZ66" s="9">
        <f t="shared" si="4"/>
        <v>8390959</v>
      </c>
      <c r="BB66" s="8">
        <v>500</v>
      </c>
      <c r="BH66" s="8">
        <v>0</v>
      </c>
      <c r="BJ66" s="9">
        <f t="shared" si="1"/>
        <v>8391459</v>
      </c>
      <c r="BL66" s="9">
        <f>'Gov Fd Rv'!AU66-'Gov Fnd Exp'!BJ66</f>
        <v>-312253</v>
      </c>
      <c r="BN66" s="8">
        <v>2720744</v>
      </c>
      <c r="BP66" s="8">
        <v>0</v>
      </c>
      <c r="BR66" s="8">
        <v>0</v>
      </c>
      <c r="BT66" s="9">
        <f t="shared" si="2"/>
        <v>2408491</v>
      </c>
      <c r="BU66" s="9"/>
      <c r="BV66" s="9">
        <f>BT66-'Gov Fd BS'!AA66</f>
        <v>0</v>
      </c>
    </row>
    <row r="67" spans="1:76">
      <c r="A67" s="13" t="s">
        <v>681</v>
      </c>
      <c r="B67" s="13"/>
      <c r="C67" s="13" t="s">
        <v>64</v>
      </c>
      <c r="D67" s="13"/>
      <c r="E67" s="32">
        <v>50112</v>
      </c>
      <c r="G67" s="8">
        <v>3986437</v>
      </c>
      <c r="I67" s="8">
        <v>662383</v>
      </c>
      <c r="K67" s="8">
        <v>48913</v>
      </c>
      <c r="M67" s="8">
        <v>8562</v>
      </c>
      <c r="O67" s="8">
        <v>224586</v>
      </c>
      <c r="Q67" s="8">
        <v>163679</v>
      </c>
      <c r="S67" s="8">
        <v>22113</v>
      </c>
      <c r="U67" s="8">
        <v>523017</v>
      </c>
      <c r="W67" s="8">
        <v>179479</v>
      </c>
      <c r="Y67" s="8">
        <v>26076</v>
      </c>
      <c r="AA67" s="8">
        <v>607601</v>
      </c>
      <c r="AC67" s="8">
        <v>493677</v>
      </c>
      <c r="AE67" s="8">
        <v>7739</v>
      </c>
      <c r="AG67" s="8">
        <v>202999</v>
      </c>
      <c r="AI67" s="8">
        <v>748</v>
      </c>
      <c r="AJ67" s="13" t="s">
        <v>681</v>
      </c>
      <c r="AK67" s="13"/>
      <c r="AL67" s="13" t="s">
        <v>64</v>
      </c>
      <c r="AN67" s="8">
        <v>177136</v>
      </c>
      <c r="AP67" s="8">
        <v>92547</v>
      </c>
      <c r="AR67" s="8">
        <v>0</v>
      </c>
      <c r="AT67" s="8">
        <v>106039</v>
      </c>
      <c r="AV67" s="8">
        <v>87908</v>
      </c>
      <c r="AX67" s="8">
        <v>0</v>
      </c>
      <c r="AZ67" s="9">
        <f t="shared" si="4"/>
        <v>7621639</v>
      </c>
      <c r="BB67" s="8">
        <v>85612</v>
      </c>
      <c r="BH67" s="8">
        <v>0</v>
      </c>
      <c r="BJ67" s="9">
        <f t="shared" si="1"/>
        <v>7707251</v>
      </c>
      <c r="BL67" s="9">
        <f>'Gov Fd Rv'!AU67-'Gov Fnd Exp'!BJ67</f>
        <v>393922</v>
      </c>
      <c r="BN67" s="8">
        <v>1058583</v>
      </c>
      <c r="BP67" s="8">
        <v>1052</v>
      </c>
      <c r="BR67" s="8">
        <v>0</v>
      </c>
      <c r="BT67" s="9">
        <f t="shared" si="2"/>
        <v>1453557</v>
      </c>
      <c r="BU67" s="9"/>
      <c r="BV67" s="9">
        <f>BT67-'Gov Fd BS'!AA67</f>
        <v>0</v>
      </c>
    </row>
    <row r="68" spans="1:76">
      <c r="A68" s="13" t="s">
        <v>682</v>
      </c>
      <c r="B68" s="13"/>
      <c r="C68" s="13" t="s">
        <v>64</v>
      </c>
      <c r="D68" s="13"/>
      <c r="E68" s="32">
        <v>50120</v>
      </c>
      <c r="G68" s="8">
        <v>5335010</v>
      </c>
      <c r="I68" s="8">
        <v>1242969</v>
      </c>
      <c r="K68" s="8">
        <v>132669</v>
      </c>
      <c r="M68" s="8">
        <v>4976</v>
      </c>
      <c r="O68" s="8">
        <v>439105</v>
      </c>
      <c r="Q68" s="8">
        <v>352528</v>
      </c>
      <c r="S68" s="8">
        <v>7002</v>
      </c>
      <c r="U68" s="8">
        <v>857596</v>
      </c>
      <c r="W68" s="8">
        <v>230166</v>
      </c>
      <c r="Y68" s="8">
        <v>59505</v>
      </c>
      <c r="AA68" s="8">
        <v>1151712</v>
      </c>
      <c r="AC68" s="8">
        <v>457143</v>
      </c>
      <c r="AE68" s="8">
        <v>0</v>
      </c>
      <c r="AG68" s="8">
        <v>495338</v>
      </c>
      <c r="AI68" s="8">
        <v>0</v>
      </c>
      <c r="AJ68" s="13" t="s">
        <v>682</v>
      </c>
      <c r="AK68" s="13"/>
      <c r="AL68" s="13" t="s">
        <v>64</v>
      </c>
      <c r="AN68" s="8">
        <v>255446</v>
      </c>
      <c r="AP68" s="8">
        <v>463183</v>
      </c>
      <c r="AR68" s="8">
        <v>0</v>
      </c>
      <c r="AT68" s="8">
        <v>2700</v>
      </c>
      <c r="AV68" s="8">
        <v>14830</v>
      </c>
      <c r="AX68" s="8">
        <v>304953</v>
      </c>
      <c r="AZ68" s="9">
        <f t="shared" si="4"/>
        <v>11806831</v>
      </c>
      <c r="BB68" s="8">
        <v>0</v>
      </c>
      <c r="BH68" s="8">
        <v>0</v>
      </c>
      <c r="BJ68" s="9">
        <f t="shared" si="1"/>
        <v>11806831</v>
      </c>
      <c r="BL68" s="9">
        <f>'Gov Fd Rv'!AU68-'Gov Fnd Exp'!BJ68</f>
        <v>17599210</v>
      </c>
      <c r="BN68" s="8">
        <v>-1042986</v>
      </c>
      <c r="BP68" s="8">
        <v>0</v>
      </c>
      <c r="BR68" s="8">
        <v>0</v>
      </c>
      <c r="BT68" s="9">
        <f t="shared" si="2"/>
        <v>16556224</v>
      </c>
      <c r="BU68" s="9"/>
      <c r="BV68" s="9">
        <f>BT68-'Gov Fd BS'!AA68</f>
        <v>0</v>
      </c>
    </row>
    <row r="69" spans="1:76">
      <c r="A69" s="13" t="s">
        <v>305</v>
      </c>
      <c r="B69" s="13"/>
      <c r="C69" s="13" t="s">
        <v>20</v>
      </c>
      <c r="D69" s="13"/>
      <c r="E69" s="32">
        <v>43653</v>
      </c>
      <c r="G69" s="8">
        <v>7347989</v>
      </c>
      <c r="I69" s="8">
        <v>1710203</v>
      </c>
      <c r="K69" s="8">
        <v>108632</v>
      </c>
      <c r="M69" s="8">
        <v>0</v>
      </c>
      <c r="O69" s="8">
        <v>1444315</v>
      </c>
      <c r="Q69" s="8">
        <v>282262</v>
      </c>
      <c r="S69" s="8">
        <v>23584</v>
      </c>
      <c r="U69" s="8">
        <v>1691860</v>
      </c>
      <c r="W69" s="8">
        <v>531136</v>
      </c>
      <c r="Y69" s="8">
        <v>107629</v>
      </c>
      <c r="AA69" s="8">
        <v>1536967</v>
      </c>
      <c r="AC69" s="8">
        <v>452312</v>
      </c>
      <c r="AE69" s="8">
        <v>157381</v>
      </c>
      <c r="AG69" s="8">
        <v>446951</v>
      </c>
      <c r="AI69" s="8">
        <v>525443</v>
      </c>
      <c r="AJ69" s="13" t="s">
        <v>305</v>
      </c>
      <c r="AK69" s="13"/>
      <c r="AL69" s="13" t="s">
        <v>20</v>
      </c>
      <c r="AN69" s="8">
        <v>465261</v>
      </c>
      <c r="AP69" s="8">
        <v>110488</v>
      </c>
      <c r="AR69" s="8">
        <v>0</v>
      </c>
      <c r="AT69" s="8">
        <v>0</v>
      </c>
      <c r="AV69" s="8">
        <v>0</v>
      </c>
      <c r="AX69" s="8">
        <v>0</v>
      </c>
      <c r="AZ69" s="9">
        <f t="shared" si="4"/>
        <v>16942413</v>
      </c>
      <c r="BB69" s="8">
        <v>27572</v>
      </c>
      <c r="BH69" s="8">
        <v>0</v>
      </c>
      <c r="BJ69" s="9">
        <f t="shared" si="1"/>
        <v>16969985</v>
      </c>
      <c r="BL69" s="9">
        <f>'Gov Fd Rv'!AU69-'Gov Fnd Exp'!BJ69</f>
        <v>-625281</v>
      </c>
      <c r="BN69" s="8">
        <v>1728810</v>
      </c>
      <c r="BP69" s="8">
        <v>0</v>
      </c>
      <c r="BR69" s="8">
        <v>0</v>
      </c>
      <c r="BT69" s="9">
        <f t="shared" si="2"/>
        <v>1103529</v>
      </c>
      <c r="BU69" s="9"/>
      <c r="BV69" s="9">
        <f>BT69-'Gov Fd BS'!AA69</f>
        <v>0</v>
      </c>
    </row>
    <row r="70" spans="1:76">
      <c r="A70" s="13" t="s">
        <v>552</v>
      </c>
      <c r="B70" s="13"/>
      <c r="C70" s="13" t="s">
        <v>50</v>
      </c>
      <c r="D70" s="13"/>
      <c r="E70" s="32">
        <v>48678</v>
      </c>
      <c r="G70" s="8">
        <v>5120227</v>
      </c>
      <c r="I70" s="8">
        <v>988690</v>
      </c>
      <c r="K70" s="8">
        <v>77594</v>
      </c>
      <c r="M70" s="8">
        <v>35521</v>
      </c>
      <c r="O70" s="8">
        <v>834790</v>
      </c>
      <c r="Q70" s="8">
        <v>881872</v>
      </c>
      <c r="S70" s="8">
        <v>27228</v>
      </c>
      <c r="U70" s="8">
        <v>1107652</v>
      </c>
      <c r="W70" s="8">
        <v>306343</v>
      </c>
      <c r="Y70" s="8">
        <v>4830</v>
      </c>
      <c r="AA70" s="8">
        <v>1140615</v>
      </c>
      <c r="AC70" s="8">
        <v>629499</v>
      </c>
      <c r="AE70" s="8">
        <v>33206</v>
      </c>
      <c r="AG70" s="8">
        <v>0</v>
      </c>
      <c r="AI70" s="8">
        <v>757732</v>
      </c>
      <c r="AJ70" s="13" t="s">
        <v>552</v>
      </c>
      <c r="AK70" s="13"/>
      <c r="AL70" s="13" t="s">
        <v>50</v>
      </c>
      <c r="AN70" s="8">
        <v>514240</v>
      </c>
      <c r="AP70" s="8">
        <v>255581</v>
      </c>
      <c r="AR70" s="8">
        <v>0</v>
      </c>
      <c r="AT70" s="8">
        <v>525000</v>
      </c>
      <c r="AV70" s="8">
        <v>854919</v>
      </c>
      <c r="AX70" s="8">
        <v>0</v>
      </c>
      <c r="AZ70" s="9">
        <f t="shared" si="4"/>
        <v>14095539</v>
      </c>
      <c r="BB70" s="8">
        <v>141948</v>
      </c>
      <c r="BH70" s="8">
        <v>0</v>
      </c>
      <c r="BJ70" s="9">
        <f t="shared" si="1"/>
        <v>14237487</v>
      </c>
      <c r="BL70" s="9">
        <f>'Gov Fd Rv'!AU70-'Gov Fnd Exp'!BJ70</f>
        <v>785673</v>
      </c>
      <c r="BN70" s="8">
        <v>4714051</v>
      </c>
      <c r="BP70" s="8">
        <v>0</v>
      </c>
      <c r="BR70" s="8">
        <v>0</v>
      </c>
      <c r="BT70" s="9">
        <f t="shared" si="2"/>
        <v>5499724</v>
      </c>
      <c r="BU70" s="9"/>
      <c r="BV70" s="9">
        <f>BT70-'Gov Fd BS'!AA70</f>
        <v>0</v>
      </c>
    </row>
    <row r="71" spans="1:76">
      <c r="A71" s="13" t="s">
        <v>256</v>
      </c>
      <c r="B71" s="13"/>
      <c r="C71" s="13" t="s">
        <v>16</v>
      </c>
      <c r="D71" s="13"/>
      <c r="E71" s="32">
        <v>46177</v>
      </c>
      <c r="G71" s="8">
        <v>4361880</v>
      </c>
      <c r="I71" s="8">
        <v>221851</v>
      </c>
      <c r="K71" s="8">
        <v>0</v>
      </c>
      <c r="M71" s="8">
        <v>0</v>
      </c>
      <c r="O71" s="8">
        <v>223296</v>
      </c>
      <c r="Q71" s="8">
        <v>237819</v>
      </c>
      <c r="S71" s="8">
        <v>194162</v>
      </c>
      <c r="U71" s="8">
        <v>641414</v>
      </c>
      <c r="W71" s="8">
        <v>219502</v>
      </c>
      <c r="Y71" s="8">
        <v>0</v>
      </c>
      <c r="AA71" s="8">
        <v>472986</v>
      </c>
      <c r="AC71" s="8">
        <v>296645</v>
      </c>
      <c r="AE71" s="8">
        <v>26686</v>
      </c>
      <c r="AG71" s="8">
        <v>321166</v>
      </c>
      <c r="AI71" s="8">
        <v>0</v>
      </c>
      <c r="AJ71" s="13" t="s">
        <v>256</v>
      </c>
      <c r="AK71" s="13"/>
      <c r="AL71" s="13" t="s">
        <v>16</v>
      </c>
      <c r="AN71" s="8">
        <v>285265</v>
      </c>
      <c r="AP71" s="8">
        <v>0</v>
      </c>
      <c r="AR71" s="8">
        <v>0</v>
      </c>
      <c r="AT71" s="8">
        <v>2284</v>
      </c>
      <c r="AV71" s="8">
        <v>826</v>
      </c>
      <c r="AX71" s="8">
        <v>0</v>
      </c>
      <c r="AZ71" s="9">
        <f t="shared" si="4"/>
        <v>7505782</v>
      </c>
      <c r="BB71" s="8">
        <v>170100</v>
      </c>
      <c r="BH71" s="8">
        <v>0</v>
      </c>
      <c r="BJ71" s="9">
        <f t="shared" si="1"/>
        <v>7675882</v>
      </c>
      <c r="BL71" s="9">
        <f>'Gov Fd Rv'!AU71-'Gov Fnd Exp'!BJ71</f>
        <v>1217875</v>
      </c>
      <c r="BN71" s="8">
        <v>1267829</v>
      </c>
      <c r="BP71" s="8">
        <v>0</v>
      </c>
      <c r="BR71" s="8">
        <v>0</v>
      </c>
      <c r="BT71" s="9">
        <f t="shared" si="2"/>
        <v>2485704</v>
      </c>
      <c r="BU71" s="9"/>
      <c r="BV71" s="9">
        <f>BT71-'Gov Fd BS'!AA71</f>
        <v>0</v>
      </c>
    </row>
    <row r="72" spans="1:76">
      <c r="A72" s="13" t="s">
        <v>532</v>
      </c>
      <c r="B72" s="13"/>
      <c r="C72" s="13" t="s">
        <v>47</v>
      </c>
      <c r="D72" s="13"/>
      <c r="E72" s="32">
        <v>43661</v>
      </c>
      <c r="G72" s="8">
        <v>28369516</v>
      </c>
      <c r="I72" s="8">
        <v>7123527</v>
      </c>
      <c r="K72" s="8">
        <v>136158</v>
      </c>
      <c r="M72" s="8">
        <v>1041936</v>
      </c>
      <c r="O72" s="8">
        <v>4979509</v>
      </c>
      <c r="Q72" s="8">
        <v>2483737</v>
      </c>
      <c r="S72" s="8">
        <v>754170</v>
      </c>
      <c r="U72" s="8">
        <v>4042474</v>
      </c>
      <c r="W72" s="8">
        <v>1257343</v>
      </c>
      <c r="Y72" s="8">
        <v>495942</v>
      </c>
      <c r="AA72" s="8">
        <v>5827226</v>
      </c>
      <c r="AC72" s="8">
        <v>4243603</v>
      </c>
      <c r="AE72" s="8">
        <v>323499</v>
      </c>
      <c r="AG72" s="8">
        <v>1993532</v>
      </c>
      <c r="AI72" s="8">
        <v>360545</v>
      </c>
      <c r="AJ72" s="13" t="s">
        <v>532</v>
      </c>
      <c r="AK72" s="13"/>
      <c r="AL72" s="13" t="s">
        <v>47</v>
      </c>
      <c r="AN72" s="8">
        <v>1670218</v>
      </c>
      <c r="AP72" s="8">
        <v>229778</v>
      </c>
      <c r="AR72" s="8">
        <v>0</v>
      </c>
      <c r="AT72" s="8">
        <v>5294683</v>
      </c>
      <c r="AV72" s="8">
        <v>1123410</v>
      </c>
      <c r="AX72" s="8">
        <v>0</v>
      </c>
      <c r="AZ72" s="9">
        <f t="shared" si="4"/>
        <v>71750806</v>
      </c>
      <c r="BB72" s="8">
        <v>55685</v>
      </c>
      <c r="BH72" s="8">
        <v>0</v>
      </c>
      <c r="BJ72" s="9">
        <f t="shared" si="1"/>
        <v>71806491</v>
      </c>
      <c r="BL72" s="9">
        <f>'Gov Fd Rv'!AU72-'Gov Fnd Exp'!BJ72</f>
        <v>2146036</v>
      </c>
      <c r="BN72" s="8">
        <v>1507687</v>
      </c>
      <c r="BP72" s="8">
        <v>0</v>
      </c>
      <c r="BR72" s="8">
        <v>0</v>
      </c>
      <c r="BT72" s="9">
        <f t="shared" si="2"/>
        <v>3653723</v>
      </c>
      <c r="BU72" s="9"/>
      <c r="BV72" s="9">
        <f>BT72-'Gov Fd BS'!AA72</f>
        <v>0</v>
      </c>
    </row>
    <row r="73" spans="1:76" hidden="1">
      <c r="A73" s="13" t="s">
        <v>732</v>
      </c>
      <c r="B73" s="13"/>
      <c r="C73" s="13" t="s">
        <v>733</v>
      </c>
      <c r="D73" s="13"/>
      <c r="E73" s="32">
        <v>43679</v>
      </c>
      <c r="G73" s="8">
        <v>0</v>
      </c>
      <c r="I73" s="8">
        <v>0</v>
      </c>
      <c r="K73" s="8">
        <v>0</v>
      </c>
      <c r="M73" s="8">
        <v>0</v>
      </c>
      <c r="O73" s="8">
        <v>0</v>
      </c>
      <c r="Q73" s="8">
        <v>0</v>
      </c>
      <c r="S73" s="8">
        <v>0</v>
      </c>
      <c r="U73" s="8">
        <v>0</v>
      </c>
      <c r="W73" s="8">
        <v>0</v>
      </c>
      <c r="Y73" s="8">
        <v>0</v>
      </c>
      <c r="AA73" s="8">
        <v>0</v>
      </c>
      <c r="AC73" s="8">
        <v>0</v>
      </c>
      <c r="AE73" s="8">
        <v>0</v>
      </c>
      <c r="AG73" s="8">
        <v>0</v>
      </c>
      <c r="AI73" s="8">
        <v>0</v>
      </c>
      <c r="AJ73" s="13" t="s">
        <v>732</v>
      </c>
      <c r="AK73" s="13"/>
      <c r="AL73" s="13" t="s">
        <v>733</v>
      </c>
      <c r="AN73" s="8">
        <v>0</v>
      </c>
      <c r="AP73" s="8">
        <v>0</v>
      </c>
      <c r="AR73" s="8">
        <v>0</v>
      </c>
      <c r="AT73" s="8">
        <v>0</v>
      </c>
      <c r="AV73" s="8">
        <v>0</v>
      </c>
      <c r="AX73" s="8">
        <v>0</v>
      </c>
      <c r="AZ73" s="9">
        <f t="shared" si="4"/>
        <v>0</v>
      </c>
      <c r="BB73" s="8">
        <v>0</v>
      </c>
      <c r="BH73" s="8">
        <v>0</v>
      </c>
      <c r="BJ73" s="9">
        <f t="shared" si="1"/>
        <v>0</v>
      </c>
      <c r="BL73" s="9">
        <f>'Gov Fd Rv'!AU73-'Gov Fnd Exp'!BJ73</f>
        <v>0</v>
      </c>
      <c r="BN73" s="8">
        <v>0</v>
      </c>
      <c r="BP73" s="8">
        <v>0</v>
      </c>
      <c r="BR73" s="8">
        <v>0</v>
      </c>
      <c r="BT73" s="9">
        <f t="shared" si="2"/>
        <v>0</v>
      </c>
      <c r="BU73" s="9"/>
      <c r="BV73" s="9">
        <f>BT73-'Gov Fd BS'!AA73</f>
        <v>0</v>
      </c>
      <c r="BX73" s="8" t="s">
        <v>917</v>
      </c>
    </row>
    <row r="74" spans="1:76">
      <c r="A74" s="13" t="s">
        <v>294</v>
      </c>
      <c r="B74" s="13"/>
      <c r="C74" s="13" t="s">
        <v>114</v>
      </c>
      <c r="D74" s="13"/>
      <c r="E74" s="32">
        <v>46508</v>
      </c>
      <c r="G74" s="8">
        <v>4511276</v>
      </c>
      <c r="I74" s="8">
        <v>613728</v>
      </c>
      <c r="K74" s="8">
        <v>121384</v>
      </c>
      <c r="M74" s="8">
        <v>22492</v>
      </c>
      <c r="O74" s="8">
        <v>228100</v>
      </c>
      <c r="Q74" s="8">
        <v>253304</v>
      </c>
      <c r="S74" s="8">
        <v>16261</v>
      </c>
      <c r="U74" s="8">
        <v>925697</v>
      </c>
      <c r="W74" s="8">
        <v>257282</v>
      </c>
      <c r="Y74" s="8">
        <v>24171</v>
      </c>
      <c r="AA74" s="8">
        <v>601541</v>
      </c>
      <c r="AC74" s="8">
        <v>459359</v>
      </c>
      <c r="AE74" s="8">
        <v>5009</v>
      </c>
      <c r="AG74" s="8">
        <v>362301</v>
      </c>
      <c r="AI74" s="8">
        <v>27545</v>
      </c>
      <c r="AJ74" s="13" t="s">
        <v>294</v>
      </c>
      <c r="AK74" s="13"/>
      <c r="AL74" s="13" t="s">
        <v>114</v>
      </c>
      <c r="AN74" s="8">
        <v>335497</v>
      </c>
      <c r="AP74" s="8">
        <v>2799704</v>
      </c>
      <c r="AR74" s="8">
        <v>87632</v>
      </c>
      <c r="AT74" s="8">
        <v>23485</v>
      </c>
      <c r="AV74" s="8">
        <v>364112</v>
      </c>
      <c r="AX74" s="8">
        <v>0</v>
      </c>
      <c r="AZ74" s="9">
        <f t="shared" si="4"/>
        <v>12039880</v>
      </c>
      <c r="BB74" s="8">
        <v>82500</v>
      </c>
      <c r="BH74" s="8">
        <v>0</v>
      </c>
      <c r="BJ74" s="9">
        <f t="shared" si="1"/>
        <v>12122380</v>
      </c>
      <c r="BL74" s="9">
        <f>'Gov Fd Rv'!AU74-'Gov Fnd Exp'!BJ74</f>
        <v>4716183</v>
      </c>
      <c r="BN74" s="8">
        <v>11075209</v>
      </c>
      <c r="BP74" s="8">
        <v>0</v>
      </c>
      <c r="BR74" s="8">
        <v>0</v>
      </c>
      <c r="BT74" s="9">
        <f t="shared" si="2"/>
        <v>15791392</v>
      </c>
      <c r="BU74" s="9"/>
      <c r="BV74" s="9">
        <f>BT74-'Gov Fd BS'!AA74</f>
        <v>0</v>
      </c>
    </row>
    <row r="75" spans="1:76">
      <c r="A75" s="13" t="s">
        <v>219</v>
      </c>
      <c r="B75" s="13"/>
      <c r="C75" s="13" t="s">
        <v>12</v>
      </c>
      <c r="D75" s="13"/>
      <c r="E75" s="32">
        <v>45856</v>
      </c>
      <c r="G75" s="8">
        <v>10236923</v>
      </c>
      <c r="I75" s="8">
        <v>2014535</v>
      </c>
      <c r="K75" s="8">
        <v>266820</v>
      </c>
      <c r="M75" s="8">
        <v>4900</v>
      </c>
      <c r="O75" s="8">
        <v>517367</v>
      </c>
      <c r="Q75" s="8">
        <v>269723</v>
      </c>
      <c r="S75" s="8">
        <v>57238</v>
      </c>
      <c r="U75" s="8">
        <v>1361117</v>
      </c>
      <c r="W75" s="8">
        <v>530319</v>
      </c>
      <c r="Y75" s="8">
        <v>79459</v>
      </c>
      <c r="AA75" s="8">
        <v>1821382</v>
      </c>
      <c r="AC75" s="8">
        <v>1285146</v>
      </c>
      <c r="AE75" s="8">
        <v>36955</v>
      </c>
      <c r="AG75" s="8">
        <v>960276</v>
      </c>
      <c r="AI75" s="8">
        <v>7965</v>
      </c>
      <c r="AJ75" s="13" t="s">
        <v>219</v>
      </c>
      <c r="AK75" s="13"/>
      <c r="AL75" s="13" t="s">
        <v>12</v>
      </c>
      <c r="AN75" s="8">
        <v>540371</v>
      </c>
      <c r="AP75" s="8">
        <v>483781</v>
      </c>
      <c r="AR75" s="8">
        <v>0</v>
      </c>
      <c r="AT75" s="8">
        <v>45000</v>
      </c>
      <c r="AV75" s="8">
        <v>10753</v>
      </c>
      <c r="AX75" s="8">
        <v>0</v>
      </c>
      <c r="AZ75" s="9">
        <f t="shared" si="4"/>
        <v>20530030</v>
      </c>
      <c r="BB75" s="8">
        <v>72789</v>
      </c>
      <c r="BH75" s="8">
        <v>0</v>
      </c>
      <c r="BJ75" s="9">
        <f t="shared" si="1"/>
        <v>20602819</v>
      </c>
      <c r="BL75" s="9">
        <f>'Gov Fd Rv'!AU75-'Gov Fnd Exp'!BJ75</f>
        <v>782054</v>
      </c>
      <c r="BN75" s="8">
        <v>4216981</v>
      </c>
      <c r="BP75" s="8">
        <v>0</v>
      </c>
      <c r="BR75" s="8">
        <v>0</v>
      </c>
      <c r="BT75" s="9">
        <f t="shared" si="2"/>
        <v>4999035</v>
      </c>
      <c r="BU75" s="9"/>
      <c r="BV75" s="9">
        <f>BT75-'Gov Fd BS'!AA75</f>
        <v>0</v>
      </c>
    </row>
    <row r="76" spans="1:76">
      <c r="A76" s="13" t="s">
        <v>219</v>
      </c>
      <c r="B76" s="13"/>
      <c r="C76" s="13" t="s">
        <v>39</v>
      </c>
      <c r="D76" s="13"/>
      <c r="E76" s="32">
        <v>47787</v>
      </c>
      <c r="G76" s="8">
        <v>9099537</v>
      </c>
      <c r="I76" s="8">
        <v>2394724</v>
      </c>
      <c r="K76" s="8">
        <v>733807</v>
      </c>
      <c r="M76" s="8">
        <v>0</v>
      </c>
      <c r="O76" s="8">
        <v>551756</v>
      </c>
      <c r="Q76" s="8">
        <v>519365</v>
      </c>
      <c r="S76" s="8">
        <v>60536</v>
      </c>
      <c r="U76" s="8">
        <v>1866360</v>
      </c>
      <c r="W76" s="8">
        <v>460765</v>
      </c>
      <c r="Y76" s="8">
        <v>53725</v>
      </c>
      <c r="AA76" s="8">
        <v>2325076</v>
      </c>
      <c r="AC76" s="8">
        <v>1733444</v>
      </c>
      <c r="AE76" s="8">
        <v>0</v>
      </c>
      <c r="AG76" s="8">
        <v>827433</v>
      </c>
      <c r="AI76" s="8">
        <v>114461</v>
      </c>
      <c r="AJ76" s="13" t="s">
        <v>219</v>
      </c>
      <c r="AK76" s="13"/>
      <c r="AL76" s="13" t="s">
        <v>39</v>
      </c>
      <c r="AN76" s="8">
        <v>394880</v>
      </c>
      <c r="AP76" s="8">
        <v>0</v>
      </c>
      <c r="AR76" s="8">
        <v>0</v>
      </c>
      <c r="AT76" s="8">
        <v>225388</v>
      </c>
      <c r="AV76" s="8">
        <f>676612+60265</f>
        <v>736877</v>
      </c>
      <c r="AX76" s="8">
        <v>0</v>
      </c>
      <c r="AZ76" s="9">
        <f t="shared" si="4"/>
        <v>22098134</v>
      </c>
      <c r="BB76" s="8">
        <v>0</v>
      </c>
      <c r="BH76" s="8">
        <v>0</v>
      </c>
      <c r="BJ76" s="9">
        <f t="shared" si="1"/>
        <v>22098134</v>
      </c>
      <c r="BL76" s="9">
        <f>'Gov Fd Rv'!AU76-'Gov Fnd Exp'!BJ76</f>
        <v>-808230</v>
      </c>
      <c r="BN76" s="8">
        <v>1368824</v>
      </c>
      <c r="BP76" s="8">
        <v>0</v>
      </c>
      <c r="BR76" s="8">
        <v>0</v>
      </c>
      <c r="BT76" s="9">
        <f t="shared" si="2"/>
        <v>560594</v>
      </c>
      <c r="BU76" s="9"/>
      <c r="BV76" s="9">
        <f>BT76-'Gov Fd BS'!AA76</f>
        <v>0</v>
      </c>
    </row>
    <row r="77" spans="1:76" hidden="1">
      <c r="A77" s="13" t="s">
        <v>219</v>
      </c>
      <c r="B77" s="13"/>
      <c r="C77" s="13" t="s">
        <v>47</v>
      </c>
      <c r="D77" s="13"/>
      <c r="E77" s="32">
        <v>48470</v>
      </c>
      <c r="G77" s="8">
        <v>0</v>
      </c>
      <c r="I77" s="8">
        <v>0</v>
      </c>
      <c r="K77" s="8">
        <v>0</v>
      </c>
      <c r="M77" s="8">
        <v>0</v>
      </c>
      <c r="O77" s="8">
        <v>0</v>
      </c>
      <c r="Q77" s="8">
        <v>0</v>
      </c>
      <c r="S77" s="8">
        <v>0</v>
      </c>
      <c r="U77" s="8">
        <v>0</v>
      </c>
      <c r="W77" s="8">
        <v>0</v>
      </c>
      <c r="Y77" s="8">
        <v>0</v>
      </c>
      <c r="AA77" s="8">
        <v>0</v>
      </c>
      <c r="AC77" s="8">
        <v>0</v>
      </c>
      <c r="AE77" s="8">
        <v>0</v>
      </c>
      <c r="AG77" s="8">
        <v>0</v>
      </c>
      <c r="AI77" s="8">
        <v>0</v>
      </c>
      <c r="AJ77" s="13" t="s">
        <v>219</v>
      </c>
      <c r="AK77" s="13"/>
      <c r="AL77" s="13" t="s">
        <v>47</v>
      </c>
      <c r="AN77" s="8">
        <v>0</v>
      </c>
      <c r="AP77" s="8">
        <v>0</v>
      </c>
      <c r="AR77" s="8">
        <v>0</v>
      </c>
      <c r="AT77" s="8">
        <v>0</v>
      </c>
      <c r="AV77" s="8">
        <v>0</v>
      </c>
      <c r="AX77" s="8">
        <v>0</v>
      </c>
      <c r="AZ77" s="9">
        <f t="shared" si="4"/>
        <v>0</v>
      </c>
      <c r="BB77" s="8">
        <v>0</v>
      </c>
      <c r="BH77" s="8">
        <v>0</v>
      </c>
      <c r="BJ77" s="9">
        <f t="shared" si="1"/>
        <v>0</v>
      </c>
      <c r="BL77" s="9">
        <f>'Gov Fd Rv'!AU77-'Gov Fnd Exp'!BJ77</f>
        <v>0</v>
      </c>
      <c r="BN77" s="8">
        <v>0</v>
      </c>
      <c r="BP77" s="8">
        <v>0</v>
      </c>
      <c r="BR77" s="8">
        <v>0</v>
      </c>
      <c r="BT77" s="9">
        <f t="shared" si="2"/>
        <v>0</v>
      </c>
      <c r="BU77" s="9"/>
      <c r="BV77" s="9">
        <f>BT77-'Gov Fd BS'!AA77</f>
        <v>0</v>
      </c>
    </row>
    <row r="78" spans="1:76" hidden="1">
      <c r="A78" s="13" t="s">
        <v>918</v>
      </c>
      <c r="B78" s="13"/>
      <c r="C78" s="13" t="s">
        <v>115</v>
      </c>
      <c r="D78" s="13"/>
      <c r="E78" s="32">
        <v>46755</v>
      </c>
      <c r="G78" s="8">
        <v>0</v>
      </c>
      <c r="I78" s="8">
        <v>0</v>
      </c>
      <c r="K78" s="8">
        <v>0</v>
      </c>
      <c r="M78" s="8">
        <v>0</v>
      </c>
      <c r="O78" s="8">
        <v>0</v>
      </c>
      <c r="Q78" s="8">
        <v>0</v>
      </c>
      <c r="S78" s="8">
        <v>0</v>
      </c>
      <c r="U78" s="8">
        <v>0</v>
      </c>
      <c r="W78" s="8">
        <v>0</v>
      </c>
      <c r="Y78" s="8">
        <v>0</v>
      </c>
      <c r="AA78" s="8">
        <v>0</v>
      </c>
      <c r="AC78" s="8">
        <v>0</v>
      </c>
      <c r="AE78" s="8">
        <v>0</v>
      </c>
      <c r="AG78" s="8">
        <v>0</v>
      </c>
      <c r="AI78" s="8">
        <v>0</v>
      </c>
      <c r="AJ78" s="13" t="s">
        <v>918</v>
      </c>
      <c r="AK78" s="13"/>
      <c r="AL78" s="13" t="s">
        <v>115</v>
      </c>
      <c r="AN78" s="8">
        <v>0</v>
      </c>
      <c r="AP78" s="8">
        <v>0</v>
      </c>
      <c r="AR78" s="8">
        <v>0</v>
      </c>
      <c r="AT78" s="8">
        <v>0</v>
      </c>
      <c r="AV78" s="8">
        <v>0</v>
      </c>
      <c r="AX78" s="8">
        <v>0</v>
      </c>
      <c r="AZ78" s="9">
        <f>SUM(G78:AX78)</f>
        <v>0</v>
      </c>
      <c r="BB78" s="8">
        <v>0</v>
      </c>
      <c r="BH78" s="8">
        <v>0</v>
      </c>
      <c r="BJ78" s="9">
        <f>AZ78+BB78+BH78</f>
        <v>0</v>
      </c>
      <c r="BL78" s="9">
        <f>'Gov Fd Rv'!AU78-'Gov Fnd Exp'!BJ78</f>
        <v>0</v>
      </c>
      <c r="BN78" s="8">
        <v>0</v>
      </c>
      <c r="BP78" s="8">
        <v>0</v>
      </c>
      <c r="BR78" s="8">
        <v>0</v>
      </c>
      <c r="BT78" s="9">
        <f>BL78+BN78+BP78+BR78</f>
        <v>0</v>
      </c>
      <c r="BU78" s="9"/>
      <c r="BV78" s="9">
        <f>BT78-'Gov Fd BS'!AA78</f>
        <v>0</v>
      </c>
      <c r="BX78" s="10" t="s">
        <v>926</v>
      </c>
    </row>
    <row r="79" spans="1:76" hidden="1">
      <c r="A79" s="13" t="s">
        <v>337</v>
      </c>
      <c r="B79" s="13"/>
      <c r="C79" s="13" t="s">
        <v>23</v>
      </c>
      <c r="D79" s="13"/>
      <c r="E79" s="32">
        <v>46755</v>
      </c>
      <c r="G79" s="8">
        <v>10390505</v>
      </c>
      <c r="I79" s="8">
        <v>2197395</v>
      </c>
      <c r="K79" s="8">
        <v>462764</v>
      </c>
      <c r="M79" s="8">
        <v>1890</v>
      </c>
      <c r="O79" s="8">
        <v>1774558</v>
      </c>
      <c r="Q79" s="8">
        <v>506158</v>
      </c>
      <c r="S79" s="8">
        <v>206425</v>
      </c>
      <c r="U79" s="8">
        <v>1649153</v>
      </c>
      <c r="W79" s="8">
        <v>651911</v>
      </c>
      <c r="Y79" s="8">
        <v>0</v>
      </c>
      <c r="AA79" s="8">
        <v>2135419</v>
      </c>
      <c r="AC79" s="8">
        <v>1698545</v>
      </c>
      <c r="AE79" s="8">
        <v>34341</v>
      </c>
      <c r="AG79" s="8">
        <v>792388</v>
      </c>
      <c r="AI79" s="8">
        <v>2900</v>
      </c>
      <c r="AJ79" s="13" t="s">
        <v>337</v>
      </c>
      <c r="AK79" s="13"/>
      <c r="AL79" s="13" t="s">
        <v>23</v>
      </c>
      <c r="AN79" s="8">
        <v>482210</v>
      </c>
      <c r="AP79" s="8">
        <f>31143+18934</f>
        <v>50077</v>
      </c>
      <c r="AR79" s="8">
        <v>0</v>
      </c>
      <c r="AT79" s="8">
        <v>644431</v>
      </c>
      <c r="AV79" s="8">
        <v>557955</v>
      </c>
      <c r="AX79" s="8">
        <v>0</v>
      </c>
      <c r="AZ79" s="9">
        <f t="shared" si="4"/>
        <v>24239025</v>
      </c>
      <c r="BB79" s="8">
        <v>550000</v>
      </c>
      <c r="BH79" s="8">
        <v>0</v>
      </c>
      <c r="BJ79" s="9">
        <f>AZ79+BB79+BH79</f>
        <v>24789025</v>
      </c>
      <c r="BL79" s="9">
        <f>'Gov Fd Rv'!AU79-'Gov Fnd Exp'!BJ79</f>
        <v>951324</v>
      </c>
      <c r="BN79" s="8">
        <v>5322710</v>
      </c>
      <c r="BP79" s="8">
        <v>0</v>
      </c>
      <c r="BR79" s="8">
        <v>0</v>
      </c>
      <c r="BT79" s="9">
        <f t="shared" si="2"/>
        <v>6274034</v>
      </c>
      <c r="BU79" s="9"/>
      <c r="BV79" s="9">
        <f>BT79-'Gov Fd BS'!AA79</f>
        <v>0</v>
      </c>
    </row>
    <row r="80" spans="1:76">
      <c r="A80" s="13" t="s">
        <v>295</v>
      </c>
      <c r="B80" s="13"/>
      <c r="C80" s="13" t="s">
        <v>114</v>
      </c>
      <c r="D80" s="13"/>
      <c r="E80" s="32">
        <v>43687</v>
      </c>
      <c r="G80" s="8">
        <v>5565486</v>
      </c>
      <c r="I80" s="8">
        <v>2027536</v>
      </c>
      <c r="K80" s="8">
        <v>190398</v>
      </c>
      <c r="M80" s="8">
        <v>1250301</v>
      </c>
      <c r="O80" s="8">
        <v>1079924</v>
      </c>
      <c r="Q80" s="8">
        <v>1261521</v>
      </c>
      <c r="S80" s="8">
        <v>124072</v>
      </c>
      <c r="U80" s="8">
        <v>1421718</v>
      </c>
      <c r="W80" s="8">
        <v>458968</v>
      </c>
      <c r="Y80" s="8">
        <v>108060</v>
      </c>
      <c r="AA80" s="8">
        <v>1049509</v>
      </c>
      <c r="AC80" s="8">
        <v>356735</v>
      </c>
      <c r="AE80" s="8">
        <v>223247</v>
      </c>
      <c r="AG80" s="8">
        <v>1032461</v>
      </c>
      <c r="AI80" s="8">
        <v>57522</v>
      </c>
      <c r="AJ80" s="13" t="s">
        <v>295</v>
      </c>
      <c r="AK80" s="13"/>
      <c r="AL80" s="13" t="s">
        <v>114</v>
      </c>
      <c r="AN80" s="8">
        <v>437490</v>
      </c>
      <c r="AP80" s="8">
        <v>2888155</v>
      </c>
      <c r="AR80" s="8">
        <v>43166</v>
      </c>
      <c r="AT80" s="8">
        <v>254330</v>
      </c>
      <c r="AV80" s="8">
        <v>594340</v>
      </c>
      <c r="AX80" s="8">
        <v>0</v>
      </c>
      <c r="AZ80" s="9">
        <f t="shared" si="4"/>
        <v>20424939</v>
      </c>
      <c r="BB80" s="8">
        <v>1393923</v>
      </c>
      <c r="BH80" s="8">
        <v>0</v>
      </c>
      <c r="BJ80" s="9">
        <f>AZ80+BB80+BH80</f>
        <v>21818862</v>
      </c>
      <c r="BL80" s="9">
        <f>'Gov Fd Rv'!AU80-'Gov Fnd Exp'!BJ80</f>
        <v>16098808</v>
      </c>
      <c r="BN80" s="8">
        <v>21552315</v>
      </c>
      <c r="BP80" s="8">
        <v>0</v>
      </c>
      <c r="BR80" s="8">
        <v>0</v>
      </c>
      <c r="BT80" s="9">
        <f t="shared" si="2"/>
        <v>37651123</v>
      </c>
      <c r="BU80" s="9"/>
      <c r="BV80" s="9">
        <f>BT80-'Gov Fd BS'!AA80</f>
        <v>0</v>
      </c>
    </row>
    <row r="81" spans="1:74">
      <c r="A81" s="13" t="s">
        <v>577</v>
      </c>
      <c r="B81" s="13"/>
      <c r="C81" s="13" t="s">
        <v>52</v>
      </c>
      <c r="D81" s="13"/>
      <c r="E81" s="32">
        <v>45252</v>
      </c>
      <c r="G81" s="8">
        <v>3606948</v>
      </c>
      <c r="I81" s="8">
        <v>856751</v>
      </c>
      <c r="K81" s="8">
        <v>67282</v>
      </c>
      <c r="M81" s="8">
        <v>39701</v>
      </c>
      <c r="O81" s="8">
        <v>469794</v>
      </c>
      <c r="Q81" s="8">
        <v>345341</v>
      </c>
      <c r="S81" s="8">
        <v>66626</v>
      </c>
      <c r="U81" s="8">
        <v>603579</v>
      </c>
      <c r="W81" s="8">
        <v>282380</v>
      </c>
      <c r="Y81" s="8">
        <v>0</v>
      </c>
      <c r="AA81" s="8">
        <v>504171</v>
      </c>
      <c r="AC81" s="8">
        <v>665888</v>
      </c>
      <c r="AE81" s="8">
        <v>0</v>
      </c>
      <c r="AG81" s="8">
        <v>388038</v>
      </c>
      <c r="AI81" s="8">
        <v>0</v>
      </c>
      <c r="AJ81" s="13" t="s">
        <v>577</v>
      </c>
      <c r="AK81" s="13"/>
      <c r="AL81" s="13" t="s">
        <v>52</v>
      </c>
      <c r="AN81" s="8">
        <v>253496</v>
      </c>
      <c r="AP81" s="8">
        <v>0</v>
      </c>
      <c r="AR81" s="8">
        <v>0</v>
      </c>
      <c r="AT81" s="8">
        <v>130000</v>
      </c>
      <c r="AV81" s="8">
        <v>5559</v>
      </c>
      <c r="AX81" s="8">
        <v>0</v>
      </c>
      <c r="AZ81" s="9">
        <f t="shared" ref="AZ81:AZ136" si="5">SUM(G81:AX81)</f>
        <v>8285554</v>
      </c>
      <c r="BB81" s="8">
        <v>43000</v>
      </c>
      <c r="BH81" s="8">
        <v>0</v>
      </c>
      <c r="BJ81" s="9">
        <f t="shared" ref="BJ81:BJ142" si="6">AZ81+BB81+BH81</f>
        <v>8328554</v>
      </c>
      <c r="BL81" s="9">
        <f>'Gov Fd Rv'!AU81-'Gov Fnd Exp'!BJ81</f>
        <v>-390955</v>
      </c>
      <c r="BN81" s="8">
        <v>1204047</v>
      </c>
      <c r="BP81" s="8">
        <v>0</v>
      </c>
      <c r="BR81" s="8">
        <v>0</v>
      </c>
      <c r="BT81" s="9">
        <f t="shared" si="2"/>
        <v>813092</v>
      </c>
      <c r="BU81" s="9"/>
      <c r="BV81" s="9">
        <f>BT81-'Gov Fd BS'!AA81</f>
        <v>0</v>
      </c>
    </row>
    <row r="82" spans="1:74">
      <c r="A82" s="13" t="s">
        <v>393</v>
      </c>
      <c r="B82" s="13"/>
      <c r="C82" s="13" t="s">
        <v>31</v>
      </c>
      <c r="D82" s="13"/>
      <c r="E82" s="32">
        <v>43695</v>
      </c>
      <c r="G82" s="8">
        <v>10825244</v>
      </c>
      <c r="I82" s="8">
        <v>2227816</v>
      </c>
      <c r="K82" s="8">
        <v>145641</v>
      </c>
      <c r="M82" s="8">
        <v>226983</v>
      </c>
      <c r="O82" s="8">
        <v>903452</v>
      </c>
      <c r="Q82" s="8">
        <v>1042853</v>
      </c>
      <c r="S82" s="8">
        <v>31571</v>
      </c>
      <c r="U82" s="8">
        <v>1607830</v>
      </c>
      <c r="W82" s="8">
        <v>500512</v>
      </c>
      <c r="Y82" s="8">
        <v>115857</v>
      </c>
      <c r="AA82" s="8">
        <v>1992355</v>
      </c>
      <c r="AC82" s="8">
        <v>1051837</v>
      </c>
      <c r="AE82" s="8">
        <v>108709</v>
      </c>
      <c r="AG82" s="8">
        <v>0</v>
      </c>
      <c r="AI82" s="8">
        <v>1305006</v>
      </c>
      <c r="AJ82" s="13" t="s">
        <v>393</v>
      </c>
      <c r="AK82" s="13"/>
      <c r="AL82" s="13" t="s">
        <v>31</v>
      </c>
      <c r="AN82" s="8">
        <v>418252</v>
      </c>
      <c r="AP82" s="8">
        <v>463150</v>
      </c>
      <c r="AR82" s="8">
        <v>0</v>
      </c>
      <c r="AT82" s="8">
        <v>390000</v>
      </c>
      <c r="AV82" s="8">
        <v>257348</v>
      </c>
      <c r="AX82" s="8">
        <v>0</v>
      </c>
      <c r="AZ82" s="9">
        <f t="shared" si="5"/>
        <v>23614416</v>
      </c>
      <c r="BB82" s="8">
        <v>700000</v>
      </c>
      <c r="BH82" s="8">
        <v>0</v>
      </c>
      <c r="BJ82" s="9">
        <f t="shared" si="6"/>
        <v>24314416</v>
      </c>
      <c r="BL82" s="9">
        <f>'Gov Fd Rv'!AU82-'Gov Fnd Exp'!BJ82</f>
        <v>-60073</v>
      </c>
      <c r="BN82" s="8">
        <v>3706149</v>
      </c>
      <c r="BP82" s="8">
        <v>0</v>
      </c>
      <c r="BR82" s="8">
        <v>0</v>
      </c>
      <c r="BT82" s="9">
        <f t="shared" si="2"/>
        <v>3646076</v>
      </c>
      <c r="BU82" s="9"/>
      <c r="BV82" s="9">
        <f>BT82-'Gov Fd BS'!AA82</f>
        <v>0</v>
      </c>
    </row>
    <row r="83" spans="1:74" hidden="1">
      <c r="A83" s="13" t="s">
        <v>516</v>
      </c>
      <c r="B83" s="13"/>
      <c r="C83" s="13" t="s">
        <v>45</v>
      </c>
      <c r="D83" s="13"/>
      <c r="E83" s="32">
        <v>43703</v>
      </c>
      <c r="G83" s="8">
        <v>0</v>
      </c>
      <c r="I83" s="8">
        <v>0</v>
      </c>
      <c r="K83" s="8">
        <v>0</v>
      </c>
      <c r="M83" s="8">
        <v>0</v>
      </c>
      <c r="O83" s="8">
        <v>0</v>
      </c>
      <c r="Q83" s="8">
        <v>0</v>
      </c>
      <c r="S83" s="8">
        <v>0</v>
      </c>
      <c r="U83" s="8">
        <v>0</v>
      </c>
      <c r="W83" s="8">
        <v>0</v>
      </c>
      <c r="Y83" s="8">
        <v>0</v>
      </c>
      <c r="AA83" s="8">
        <v>0</v>
      </c>
      <c r="AC83" s="8">
        <v>0</v>
      </c>
      <c r="AE83" s="8">
        <v>0</v>
      </c>
      <c r="AG83" s="8">
        <v>0</v>
      </c>
      <c r="AI83" s="8">
        <v>0</v>
      </c>
      <c r="AJ83" s="13" t="s">
        <v>516</v>
      </c>
      <c r="AK83" s="13"/>
      <c r="AL83" s="13" t="s">
        <v>45</v>
      </c>
      <c r="AN83" s="8">
        <v>0</v>
      </c>
      <c r="AP83" s="8">
        <v>0</v>
      </c>
      <c r="AR83" s="8">
        <v>0</v>
      </c>
      <c r="AT83" s="8">
        <v>0</v>
      </c>
      <c r="AV83" s="8">
        <v>0</v>
      </c>
      <c r="AX83" s="8">
        <v>0</v>
      </c>
      <c r="AZ83" s="9">
        <f t="shared" si="5"/>
        <v>0</v>
      </c>
      <c r="BB83" s="8">
        <v>0</v>
      </c>
      <c r="BH83" s="8">
        <v>0</v>
      </c>
      <c r="BJ83" s="9">
        <f t="shared" si="6"/>
        <v>0</v>
      </c>
      <c r="BL83" s="9">
        <f>'Gov Fd Rv'!AU83-'Gov Fnd Exp'!BJ83</f>
        <v>0</v>
      </c>
      <c r="BN83" s="8">
        <v>0</v>
      </c>
      <c r="BP83" s="8">
        <v>0</v>
      </c>
      <c r="BR83" s="8">
        <v>0</v>
      </c>
      <c r="BT83" s="9">
        <f t="shared" ref="BT83:BT144" si="7">BL83+BN83+BP83+BR83</f>
        <v>0</v>
      </c>
      <c r="BU83" s="9"/>
      <c r="BV83" s="9">
        <f>BT83-'Gov Fd BS'!AA83</f>
        <v>0</v>
      </c>
    </row>
    <row r="84" spans="1:74">
      <c r="A84" s="13" t="s">
        <v>357</v>
      </c>
      <c r="B84" s="13"/>
      <c r="C84" s="13" t="s">
        <v>27</v>
      </c>
      <c r="D84" s="13"/>
      <c r="E84" s="32">
        <v>46946</v>
      </c>
      <c r="G84" s="8">
        <v>13107918</v>
      </c>
      <c r="I84" s="8">
        <v>3803995</v>
      </c>
      <c r="K84" s="8">
        <v>686155</v>
      </c>
      <c r="M84" s="8">
        <v>29262</v>
      </c>
      <c r="O84" s="8">
        <v>1624880</v>
      </c>
      <c r="Q84" s="8">
        <v>1445425</v>
      </c>
      <c r="S84" s="8">
        <v>436996</v>
      </c>
      <c r="U84" s="8">
        <v>2593138</v>
      </c>
      <c r="W84" s="8">
        <v>768490</v>
      </c>
      <c r="Y84" s="8">
        <v>0</v>
      </c>
      <c r="AA84" s="8">
        <v>3466297</v>
      </c>
      <c r="AC84" s="8">
        <v>2022378</v>
      </c>
      <c r="AE84" s="8">
        <v>213640</v>
      </c>
      <c r="AG84" s="8">
        <v>0</v>
      </c>
      <c r="AI84" s="8">
        <v>0</v>
      </c>
      <c r="AJ84" s="13" t="s">
        <v>357</v>
      </c>
      <c r="AK84" s="13"/>
      <c r="AL84" s="13" t="s">
        <v>27</v>
      </c>
      <c r="AN84" s="8">
        <v>1026400</v>
      </c>
      <c r="AP84" s="8">
        <v>8692968</v>
      </c>
      <c r="AR84" s="8">
        <v>0</v>
      </c>
      <c r="AT84" s="8">
        <v>4976747</v>
      </c>
      <c r="AV84" s="8">
        <v>2813780</v>
      </c>
      <c r="AX84" s="8">
        <v>15778</v>
      </c>
      <c r="AZ84" s="9">
        <f t="shared" si="5"/>
        <v>47724247</v>
      </c>
      <c r="BB84" s="8">
        <v>26388</v>
      </c>
      <c r="BH84" s="8">
        <v>0</v>
      </c>
      <c r="BJ84" s="9">
        <f t="shared" si="6"/>
        <v>47750635</v>
      </c>
      <c r="BL84" s="9">
        <f>'Gov Fd Rv'!AU84-'Gov Fnd Exp'!BJ84</f>
        <v>-9486740</v>
      </c>
      <c r="BN84" s="8">
        <v>18670692</v>
      </c>
      <c r="BP84" s="8">
        <v>0</v>
      </c>
      <c r="BR84" s="8">
        <v>0</v>
      </c>
      <c r="BT84" s="9">
        <f t="shared" si="7"/>
        <v>9183952</v>
      </c>
      <c r="BU84" s="9"/>
      <c r="BV84" s="9">
        <f>BT84-'Gov Fd BS'!AA84</f>
        <v>0</v>
      </c>
    </row>
    <row r="85" spans="1:74">
      <c r="A85" s="13" t="s">
        <v>517</v>
      </c>
      <c r="B85" s="13"/>
      <c r="C85" s="13" t="s">
        <v>45</v>
      </c>
      <c r="D85" s="13"/>
      <c r="E85" s="32">
        <v>48314</v>
      </c>
      <c r="G85" s="8">
        <v>12747765</v>
      </c>
      <c r="I85" s="8">
        <v>1800491</v>
      </c>
      <c r="K85" s="8">
        <v>250967</v>
      </c>
      <c r="M85" s="8">
        <v>0</v>
      </c>
      <c r="O85" s="8">
        <v>980106</v>
      </c>
      <c r="Q85" s="8">
        <v>1455447</v>
      </c>
      <c r="S85" s="8">
        <v>34042</v>
      </c>
      <c r="U85" s="8">
        <v>1697872</v>
      </c>
      <c r="W85" s="8">
        <v>585393</v>
      </c>
      <c r="Y85" s="8">
        <v>264112</v>
      </c>
      <c r="AA85" s="8">
        <v>2189708</v>
      </c>
      <c r="AC85" s="8">
        <v>1942598</v>
      </c>
      <c r="AE85" s="8">
        <v>129222</v>
      </c>
      <c r="AG85" s="8">
        <v>800105</v>
      </c>
      <c r="AI85" s="8">
        <v>37734</v>
      </c>
      <c r="AJ85" s="13" t="s">
        <v>517</v>
      </c>
      <c r="AK85" s="13"/>
      <c r="AL85" s="13" t="s">
        <v>45</v>
      </c>
      <c r="AN85" s="8">
        <v>807510</v>
      </c>
      <c r="AP85" s="8">
        <v>446437</v>
      </c>
      <c r="AR85" s="8">
        <v>0</v>
      </c>
      <c r="AT85" s="8">
        <v>7033547</v>
      </c>
      <c r="AV85" s="8">
        <v>326269</v>
      </c>
      <c r="AX85" s="8">
        <v>0</v>
      </c>
      <c r="AZ85" s="9">
        <f t="shared" si="5"/>
        <v>33529325</v>
      </c>
      <c r="BB85" s="8">
        <v>85000</v>
      </c>
      <c r="BH85" s="8">
        <v>0</v>
      </c>
      <c r="BJ85" s="9">
        <f t="shared" si="6"/>
        <v>33614325</v>
      </c>
      <c r="BL85" s="9">
        <f>'Gov Fd Rv'!AU85-'Gov Fnd Exp'!BJ85</f>
        <v>913822</v>
      </c>
      <c r="BN85" s="8">
        <v>6519756</v>
      </c>
      <c r="BP85" s="8">
        <v>0</v>
      </c>
      <c r="BR85" s="8">
        <v>0</v>
      </c>
      <c r="BT85" s="9">
        <f t="shared" si="7"/>
        <v>7433578</v>
      </c>
      <c r="BU85" s="9"/>
      <c r="BV85" s="9">
        <f>BT85-'Gov Fd BS'!AA85</f>
        <v>0</v>
      </c>
    </row>
    <row r="86" spans="1:74">
      <c r="A86" s="13" t="s">
        <v>655</v>
      </c>
      <c r="B86" s="13"/>
      <c r="C86" s="13" t="s">
        <v>62</v>
      </c>
      <c r="D86" s="13"/>
      <c r="E86" s="32">
        <v>43711</v>
      </c>
      <c r="G86" s="8">
        <v>10141674</v>
      </c>
      <c r="I86" s="8">
        <v>2728247</v>
      </c>
      <c r="K86" s="8">
        <v>1952698</v>
      </c>
      <c r="M86" s="8">
        <v>1465742</v>
      </c>
      <c r="O86" s="8">
        <v>1647556</v>
      </c>
      <c r="Q86" s="8">
        <v>1435982</v>
      </c>
      <c r="S86" s="8">
        <v>23650</v>
      </c>
      <c r="U86" s="8">
        <v>2053804</v>
      </c>
      <c r="W86" s="8">
        <v>287734</v>
      </c>
      <c r="Y86" s="8">
        <v>339030</v>
      </c>
      <c r="AA86" s="8">
        <v>2256389</v>
      </c>
      <c r="AC86" s="8">
        <v>1271985</v>
      </c>
      <c r="AE86" s="8">
        <v>364871</v>
      </c>
      <c r="AG86" s="8">
        <v>996098</v>
      </c>
      <c r="AI86" s="8">
        <v>43519</v>
      </c>
      <c r="AJ86" s="13" t="s">
        <v>654</v>
      </c>
      <c r="AK86" s="13"/>
      <c r="AL86" s="13" t="s">
        <v>62</v>
      </c>
      <c r="AN86" s="8">
        <v>677161</v>
      </c>
      <c r="AP86" s="8">
        <v>1287773</v>
      </c>
      <c r="AR86" s="8">
        <v>0</v>
      </c>
      <c r="AT86" s="8">
        <v>226271</v>
      </c>
      <c r="AV86" s="8">
        <v>68820</v>
      </c>
      <c r="AX86" s="8">
        <v>0</v>
      </c>
      <c r="AZ86" s="9">
        <f t="shared" si="5"/>
        <v>29269004</v>
      </c>
      <c r="BB86" s="8">
        <v>17258</v>
      </c>
      <c r="BH86" s="8">
        <v>0</v>
      </c>
      <c r="BJ86" s="9">
        <f t="shared" si="6"/>
        <v>29286262</v>
      </c>
      <c r="BL86" s="9">
        <f>'Gov Fd Rv'!AU86-'Gov Fnd Exp'!BJ86</f>
        <v>-868571</v>
      </c>
      <c r="BN86" s="8">
        <v>-1750147</v>
      </c>
      <c r="BP86" s="8">
        <v>0</v>
      </c>
      <c r="BR86" s="8">
        <v>0</v>
      </c>
      <c r="BT86" s="9">
        <f t="shared" si="7"/>
        <v>-2618718</v>
      </c>
      <c r="BU86" s="9"/>
      <c r="BV86" s="9">
        <f>BT86-'Gov Fd BS'!AA86</f>
        <v>0</v>
      </c>
    </row>
    <row r="87" spans="1:74">
      <c r="A87" s="13" t="s">
        <v>654</v>
      </c>
      <c r="B87" s="13"/>
      <c r="C87" s="13" t="s">
        <v>62</v>
      </c>
      <c r="D87" s="13"/>
      <c r="E87" s="32">
        <v>49833</v>
      </c>
      <c r="G87" s="8">
        <v>42386</v>
      </c>
      <c r="I87" s="8">
        <v>13401</v>
      </c>
      <c r="K87" s="8">
        <v>1695</v>
      </c>
      <c r="M87" s="8">
        <v>14756</v>
      </c>
      <c r="O87" s="8">
        <v>6804</v>
      </c>
      <c r="Q87" s="8">
        <v>6474</v>
      </c>
      <c r="S87" s="8">
        <v>20</v>
      </c>
      <c r="U87" s="8">
        <v>8029</v>
      </c>
      <c r="W87" s="8">
        <v>1393</v>
      </c>
      <c r="Y87" s="8">
        <v>611</v>
      </c>
      <c r="AA87" s="8">
        <v>10599</v>
      </c>
      <c r="AC87" s="8">
        <v>2854</v>
      </c>
      <c r="AE87" s="8">
        <v>3673</v>
      </c>
      <c r="AG87" s="8">
        <v>0</v>
      </c>
      <c r="AI87" s="8">
        <v>690</v>
      </c>
      <c r="AJ87" s="13" t="s">
        <v>655</v>
      </c>
      <c r="AK87" s="13"/>
      <c r="AL87" s="13" t="s">
        <v>62</v>
      </c>
      <c r="AN87" s="8">
        <v>1998</v>
      </c>
      <c r="AP87" s="8">
        <v>5398</v>
      </c>
      <c r="AR87" s="8">
        <v>328</v>
      </c>
      <c r="AT87" s="8">
        <v>2109</v>
      </c>
      <c r="AV87" s="8">
        <v>1565</v>
      </c>
      <c r="AX87" s="8">
        <v>0</v>
      </c>
      <c r="AZ87" s="9">
        <f t="shared" si="5"/>
        <v>124783</v>
      </c>
      <c r="BB87" s="8">
        <v>8836</v>
      </c>
      <c r="BH87" s="8">
        <v>0</v>
      </c>
      <c r="BJ87" s="9">
        <f t="shared" si="6"/>
        <v>133619</v>
      </c>
      <c r="BL87" s="9">
        <f>'Gov Fd Rv'!AU87-'Gov Fnd Exp'!BJ87</f>
        <v>2361</v>
      </c>
      <c r="BN87" s="8">
        <v>21225</v>
      </c>
      <c r="BP87" s="8">
        <v>-92</v>
      </c>
      <c r="BR87" s="8">
        <v>0</v>
      </c>
      <c r="BT87" s="9">
        <f t="shared" si="7"/>
        <v>23494</v>
      </c>
      <c r="BU87" s="9"/>
      <c r="BV87" s="9">
        <f>BT87-'Gov Fd BS'!AA87</f>
        <v>0</v>
      </c>
    </row>
    <row r="88" spans="1:74">
      <c r="A88" s="13" t="s">
        <v>382</v>
      </c>
      <c r="B88" s="13"/>
      <c r="C88" s="13" t="s">
        <v>30</v>
      </c>
      <c r="D88" s="13"/>
      <c r="E88" s="32">
        <v>47175</v>
      </c>
      <c r="G88" s="8">
        <v>5948204</v>
      </c>
      <c r="I88" s="8">
        <v>2042660</v>
      </c>
      <c r="K88" s="8">
        <v>0</v>
      </c>
      <c r="M88" s="8">
        <v>0</v>
      </c>
      <c r="O88" s="8">
        <v>965777</v>
      </c>
      <c r="Q88" s="8">
        <v>601530</v>
      </c>
      <c r="S88" s="8">
        <v>23370</v>
      </c>
      <c r="U88" s="8">
        <v>1079738</v>
      </c>
      <c r="W88" s="8">
        <v>438147</v>
      </c>
      <c r="Y88" s="8">
        <v>49142</v>
      </c>
      <c r="AA88" s="8">
        <v>1347643</v>
      </c>
      <c r="AC88" s="8">
        <v>1353666</v>
      </c>
      <c r="AE88" s="8">
        <v>250504</v>
      </c>
      <c r="AG88" s="8">
        <v>370504</v>
      </c>
      <c r="AI88" s="8">
        <v>39724</v>
      </c>
      <c r="AJ88" s="13" t="s">
        <v>382</v>
      </c>
      <c r="AK88" s="13"/>
      <c r="AL88" s="13" t="s">
        <v>30</v>
      </c>
      <c r="AN88" s="8">
        <v>315250</v>
      </c>
      <c r="AP88" s="8">
        <v>171373</v>
      </c>
      <c r="AR88" s="8">
        <v>0</v>
      </c>
      <c r="AT88" s="8">
        <v>299922</v>
      </c>
      <c r="AV88" s="8">
        <v>634563</v>
      </c>
      <c r="AX88" s="8">
        <v>0</v>
      </c>
      <c r="AZ88" s="9">
        <f t="shared" si="5"/>
        <v>15931717</v>
      </c>
      <c r="BB88" s="8">
        <v>399525</v>
      </c>
      <c r="BH88" s="8">
        <v>0</v>
      </c>
      <c r="BJ88" s="9">
        <f t="shared" si="6"/>
        <v>16331242</v>
      </c>
      <c r="BL88" s="9">
        <f>'Gov Fd Rv'!AU88-'Gov Fnd Exp'!BJ88</f>
        <v>-484029</v>
      </c>
      <c r="BN88" s="8">
        <v>3527039</v>
      </c>
      <c r="BP88" s="8">
        <v>0</v>
      </c>
      <c r="BR88" s="8">
        <v>0</v>
      </c>
      <c r="BT88" s="9">
        <f t="shared" si="7"/>
        <v>3043010</v>
      </c>
      <c r="BU88" s="9"/>
      <c r="BV88" s="9">
        <f>BT88-'Gov Fd BS'!AA88</f>
        <v>0</v>
      </c>
    </row>
    <row r="89" spans="1:74">
      <c r="A89" s="13" t="s">
        <v>568</v>
      </c>
      <c r="B89" s="13"/>
      <c r="C89" s="13" t="s">
        <v>78</v>
      </c>
      <c r="D89" s="13"/>
      <c r="E89" s="32">
        <v>48793</v>
      </c>
      <c r="G89" s="8">
        <v>4595054</v>
      </c>
      <c r="I89" s="8">
        <v>1133849</v>
      </c>
      <c r="K89" s="8">
        <v>317067</v>
      </c>
      <c r="M89" s="8">
        <v>1343356</v>
      </c>
      <c r="O89" s="8">
        <v>463678</v>
      </c>
      <c r="Q89" s="8">
        <v>491933</v>
      </c>
      <c r="S89" s="8">
        <v>24008</v>
      </c>
      <c r="U89" s="8">
        <v>859307</v>
      </c>
      <c r="W89" s="8">
        <v>248709</v>
      </c>
      <c r="Y89" s="8">
        <v>0</v>
      </c>
      <c r="AA89" s="8">
        <v>1676081</v>
      </c>
      <c r="AC89" s="8">
        <v>542001</v>
      </c>
      <c r="AE89" s="8">
        <v>0</v>
      </c>
      <c r="AG89" s="8">
        <v>427973</v>
      </c>
      <c r="AI89" s="8">
        <v>1522</v>
      </c>
      <c r="AJ89" s="13" t="s">
        <v>568</v>
      </c>
      <c r="AK89" s="13"/>
      <c r="AL89" s="13" t="s">
        <v>78</v>
      </c>
      <c r="AN89" s="8">
        <v>270301</v>
      </c>
      <c r="AP89" s="8">
        <v>0</v>
      </c>
      <c r="AR89" s="8">
        <v>0</v>
      </c>
      <c r="AT89" s="8">
        <v>313437</v>
      </c>
      <c r="AV89" s="8">
        <v>199431</v>
      </c>
      <c r="AX89" s="8">
        <v>0</v>
      </c>
      <c r="AZ89" s="9">
        <f t="shared" si="5"/>
        <v>12907707</v>
      </c>
      <c r="BB89" s="8">
        <v>0</v>
      </c>
      <c r="BH89" s="8">
        <v>207934</v>
      </c>
      <c r="BJ89" s="9">
        <f t="shared" si="6"/>
        <v>13115641</v>
      </c>
      <c r="BL89" s="9">
        <f>'Gov Fd Rv'!AU89-'Gov Fnd Exp'!BJ89</f>
        <v>49009</v>
      </c>
      <c r="BN89" s="8">
        <v>4773578</v>
      </c>
      <c r="BP89" s="8">
        <v>0</v>
      </c>
      <c r="BR89" s="8">
        <v>0</v>
      </c>
      <c r="BT89" s="9">
        <f t="shared" si="7"/>
        <v>4822587</v>
      </c>
      <c r="BU89" s="9"/>
      <c r="BV89" s="9">
        <f>BT89-'Gov Fd BS'!AA89</f>
        <v>0</v>
      </c>
    </row>
    <row r="90" spans="1:74" hidden="1">
      <c r="A90" s="13" t="s">
        <v>746</v>
      </c>
      <c r="B90" s="13"/>
      <c r="C90" s="13" t="s">
        <v>747</v>
      </c>
      <c r="D90" s="13"/>
      <c r="E90" s="32">
        <v>45260</v>
      </c>
      <c r="G90" s="8">
        <v>0</v>
      </c>
      <c r="I90" s="8">
        <v>0</v>
      </c>
      <c r="K90" s="8">
        <v>0</v>
      </c>
      <c r="M90" s="8">
        <v>0</v>
      </c>
      <c r="O90" s="8">
        <v>0</v>
      </c>
      <c r="Q90" s="8">
        <v>0</v>
      </c>
      <c r="S90" s="8">
        <v>0</v>
      </c>
      <c r="U90" s="8">
        <v>0</v>
      </c>
      <c r="W90" s="8">
        <v>0</v>
      </c>
      <c r="Y90" s="8">
        <v>0</v>
      </c>
      <c r="AA90" s="8">
        <v>0</v>
      </c>
      <c r="AC90" s="8">
        <v>0</v>
      </c>
      <c r="AE90" s="8">
        <v>0</v>
      </c>
      <c r="AG90" s="8">
        <v>0</v>
      </c>
      <c r="AI90" s="8">
        <v>0</v>
      </c>
      <c r="AJ90" s="13" t="s">
        <v>746</v>
      </c>
      <c r="AK90" s="13"/>
      <c r="AL90" s="13" t="s">
        <v>747</v>
      </c>
      <c r="AN90" s="8">
        <v>0</v>
      </c>
      <c r="AP90" s="8">
        <v>0</v>
      </c>
      <c r="AR90" s="8">
        <v>0</v>
      </c>
      <c r="AT90" s="8">
        <v>0</v>
      </c>
      <c r="AV90" s="8">
        <v>0</v>
      </c>
      <c r="AX90" s="8">
        <v>0</v>
      </c>
      <c r="AZ90" s="9">
        <f t="shared" si="5"/>
        <v>0</v>
      </c>
      <c r="BB90" s="8">
        <v>0</v>
      </c>
      <c r="BH90" s="8">
        <v>0</v>
      </c>
      <c r="BJ90" s="9">
        <f t="shared" si="6"/>
        <v>0</v>
      </c>
      <c r="BL90" s="9">
        <f>'Gov Fd Rv'!AU90-'Gov Fnd Exp'!BJ90</f>
        <v>0</v>
      </c>
      <c r="BN90" s="8">
        <v>0</v>
      </c>
      <c r="BP90" s="8">
        <v>0</v>
      </c>
      <c r="BR90" s="8">
        <v>0</v>
      </c>
      <c r="BT90" s="9">
        <f t="shared" si="7"/>
        <v>0</v>
      </c>
      <c r="BU90" s="9"/>
      <c r="BV90" s="9">
        <f>BT90-'Gov Fd BS'!AA90</f>
        <v>283104</v>
      </c>
    </row>
    <row r="91" spans="1:74">
      <c r="A91" s="13" t="s">
        <v>713</v>
      </c>
      <c r="B91" s="13"/>
      <c r="C91" s="13" t="s">
        <v>69</v>
      </c>
      <c r="D91" s="13"/>
      <c r="E91" s="32">
        <v>50419</v>
      </c>
      <c r="G91" s="8">
        <v>7177616</v>
      </c>
      <c r="I91" s="8">
        <v>1668568</v>
      </c>
      <c r="K91" s="8">
        <v>240410</v>
      </c>
      <c r="M91" s="8">
        <v>44231</v>
      </c>
      <c r="O91" s="8">
        <v>761635</v>
      </c>
      <c r="Q91" s="8">
        <v>903457</v>
      </c>
      <c r="S91" s="8">
        <v>23095</v>
      </c>
      <c r="U91" s="8">
        <v>1250831</v>
      </c>
      <c r="W91" s="8">
        <v>445792</v>
      </c>
      <c r="Y91" s="8">
        <v>43264</v>
      </c>
      <c r="AA91" s="8">
        <v>1289718</v>
      </c>
      <c r="AC91" s="8">
        <v>748908</v>
      </c>
      <c r="AE91" s="8">
        <v>40678</v>
      </c>
      <c r="AG91" s="8">
        <v>0</v>
      </c>
      <c r="AI91" s="8">
        <v>560459</v>
      </c>
      <c r="AJ91" s="13" t="s">
        <v>713</v>
      </c>
      <c r="AK91" s="13"/>
      <c r="AL91" s="13" t="s">
        <v>69</v>
      </c>
      <c r="AN91" s="8">
        <v>387611</v>
      </c>
      <c r="AP91" s="8">
        <v>0</v>
      </c>
      <c r="AR91" s="8">
        <v>0</v>
      </c>
      <c r="AT91" s="8">
        <v>259982</v>
      </c>
      <c r="AV91" s="8">
        <v>41509</v>
      </c>
      <c r="AX91" s="8">
        <v>0</v>
      </c>
      <c r="AZ91" s="9">
        <f t="shared" si="5"/>
        <v>15887764</v>
      </c>
      <c r="BB91" s="8">
        <v>0</v>
      </c>
      <c r="BH91" s="8">
        <v>0</v>
      </c>
      <c r="BJ91" s="9">
        <f t="shared" si="6"/>
        <v>15887764</v>
      </c>
      <c r="BL91" s="9">
        <f>'Gov Fd Rv'!AU91-'Gov Fnd Exp'!BJ91</f>
        <v>725220</v>
      </c>
      <c r="BN91" s="8">
        <v>-1008324</v>
      </c>
      <c r="BP91" s="8">
        <v>0</v>
      </c>
      <c r="BR91" s="8">
        <v>0</v>
      </c>
      <c r="BT91" s="9">
        <f t="shared" si="7"/>
        <v>-283104</v>
      </c>
      <c r="BU91" s="9"/>
      <c r="BV91" s="9">
        <f>BT91-'Gov Fd BS'!AA90</f>
        <v>0</v>
      </c>
    </row>
    <row r="92" spans="1:74">
      <c r="A92" s="13" t="s">
        <v>257</v>
      </c>
      <c r="B92" s="13"/>
      <c r="C92" s="13" t="s">
        <v>16</v>
      </c>
      <c r="D92" s="13"/>
      <c r="E92" s="32">
        <v>45278</v>
      </c>
      <c r="F92" s="35"/>
      <c r="G92" s="8">
        <v>9114811</v>
      </c>
      <c r="I92" s="8">
        <v>2388537</v>
      </c>
      <c r="K92" s="8">
        <v>237352</v>
      </c>
      <c r="M92" s="8">
        <v>324332</v>
      </c>
      <c r="O92" s="8">
        <v>991069</v>
      </c>
      <c r="Q92" s="8">
        <v>1317047</v>
      </c>
      <c r="S92" s="8">
        <v>33839</v>
      </c>
      <c r="U92" s="8">
        <v>1594206</v>
      </c>
      <c r="W92" s="8">
        <v>523417</v>
      </c>
      <c r="Y92" s="8">
        <v>50415</v>
      </c>
      <c r="AA92" s="8">
        <v>1752587</v>
      </c>
      <c r="AC92" s="8">
        <v>1615240</v>
      </c>
      <c r="AE92" s="8">
        <v>43235</v>
      </c>
      <c r="AG92" s="8">
        <v>956692</v>
      </c>
      <c r="AI92" s="8">
        <v>50576</v>
      </c>
      <c r="AJ92" s="13" t="s">
        <v>257</v>
      </c>
      <c r="AK92" s="13"/>
      <c r="AL92" s="13" t="s">
        <v>16</v>
      </c>
      <c r="AN92" s="8">
        <v>515322</v>
      </c>
      <c r="AP92" s="8">
        <v>49793</v>
      </c>
      <c r="AR92" s="8">
        <v>0</v>
      </c>
      <c r="AT92" s="8">
        <v>57945</v>
      </c>
      <c r="AV92" s="8">
        <v>5203</v>
      </c>
      <c r="AX92" s="8">
        <v>0</v>
      </c>
      <c r="AZ92" s="9">
        <f t="shared" si="5"/>
        <v>21621618</v>
      </c>
      <c r="BB92" s="8">
        <v>81000</v>
      </c>
      <c r="BH92" s="8">
        <v>0</v>
      </c>
      <c r="BJ92" s="9">
        <f t="shared" si="6"/>
        <v>21702618</v>
      </c>
      <c r="BL92" s="9">
        <f>'Gov Fd Rv'!AU92-'Gov Fnd Exp'!BJ92</f>
        <v>1738702</v>
      </c>
      <c r="BN92" s="8">
        <v>802150</v>
      </c>
      <c r="BP92" s="8">
        <v>0</v>
      </c>
      <c r="BR92" s="8">
        <v>0</v>
      </c>
      <c r="BT92" s="9">
        <f t="shared" si="7"/>
        <v>2540852</v>
      </c>
      <c r="BU92" s="9"/>
      <c r="BV92" s="9">
        <f>BT92-'Gov Fd BS'!AA92</f>
        <v>0</v>
      </c>
    </row>
    <row r="93" spans="1:74">
      <c r="A93" s="13" t="s">
        <v>389</v>
      </c>
      <c r="B93" s="13"/>
      <c r="C93" s="13" t="s">
        <v>117</v>
      </c>
      <c r="D93" s="13"/>
      <c r="E93" s="32">
        <v>47258</v>
      </c>
      <c r="G93" s="8">
        <v>2471466</v>
      </c>
      <c r="I93" s="8">
        <v>485717</v>
      </c>
      <c r="K93" s="8">
        <v>8387</v>
      </c>
      <c r="M93" s="8">
        <v>319812</v>
      </c>
      <c r="O93" s="8">
        <v>432598</v>
      </c>
      <c r="Q93" s="8">
        <v>286595</v>
      </c>
      <c r="S93" s="8">
        <v>40216</v>
      </c>
      <c r="U93" s="8">
        <v>536286</v>
      </c>
      <c r="W93" s="8">
        <v>228148</v>
      </c>
      <c r="Y93" s="8">
        <v>1555</v>
      </c>
      <c r="AA93" s="8">
        <v>537460</v>
      </c>
      <c r="AC93" s="8">
        <v>201816</v>
      </c>
      <c r="AE93" s="8">
        <v>12342</v>
      </c>
      <c r="AG93" s="8">
        <v>0</v>
      </c>
      <c r="AI93" s="8">
        <v>171335</v>
      </c>
      <c r="AJ93" s="13" t="s">
        <v>389</v>
      </c>
      <c r="AK93" s="13"/>
      <c r="AL93" s="13" t="s">
        <v>117</v>
      </c>
      <c r="AN93" s="8">
        <v>217263</v>
      </c>
      <c r="AP93" s="8">
        <v>0</v>
      </c>
      <c r="AR93" s="8">
        <v>0</v>
      </c>
      <c r="AT93" s="8">
        <v>0</v>
      </c>
      <c r="AV93" s="8">
        <v>0</v>
      </c>
      <c r="AX93" s="8">
        <v>0</v>
      </c>
      <c r="AZ93" s="9">
        <f t="shared" si="5"/>
        <v>5950996</v>
      </c>
      <c r="BB93" s="8">
        <v>5000</v>
      </c>
      <c r="BH93" s="8">
        <v>0</v>
      </c>
      <c r="BJ93" s="9">
        <f t="shared" si="6"/>
        <v>5955996</v>
      </c>
      <c r="BL93" s="9">
        <f>'Gov Fd Rv'!AU93-'Gov Fnd Exp'!BJ93</f>
        <v>558976</v>
      </c>
      <c r="BN93" s="8">
        <v>789438</v>
      </c>
      <c r="BP93" s="8">
        <v>0</v>
      </c>
      <c r="BR93" s="8">
        <v>0</v>
      </c>
      <c r="BT93" s="9">
        <f t="shared" si="7"/>
        <v>1348414</v>
      </c>
      <c r="BU93" s="9"/>
      <c r="BV93" s="9">
        <f>BT93-'Gov Fd BS'!AA93</f>
        <v>0</v>
      </c>
    </row>
    <row r="94" spans="1:74" hidden="1">
      <c r="A94" s="13" t="s">
        <v>539</v>
      </c>
      <c r="B94" s="13"/>
      <c r="C94" s="13" t="s">
        <v>540</v>
      </c>
      <c r="D94" s="13"/>
      <c r="E94" s="32">
        <v>43729</v>
      </c>
      <c r="G94" s="8">
        <v>0</v>
      </c>
      <c r="I94" s="8">
        <v>0</v>
      </c>
      <c r="K94" s="8">
        <v>0</v>
      </c>
      <c r="M94" s="8">
        <v>0</v>
      </c>
      <c r="O94" s="8">
        <v>0</v>
      </c>
      <c r="Q94" s="8">
        <v>0</v>
      </c>
      <c r="S94" s="8">
        <v>0</v>
      </c>
      <c r="U94" s="8">
        <v>0</v>
      </c>
      <c r="W94" s="8">
        <v>0</v>
      </c>
      <c r="Y94" s="8">
        <v>0</v>
      </c>
      <c r="AA94" s="8">
        <v>0</v>
      </c>
      <c r="AC94" s="8">
        <v>0</v>
      </c>
      <c r="AE94" s="8">
        <v>0</v>
      </c>
      <c r="AG94" s="8">
        <v>0</v>
      </c>
      <c r="AI94" s="8">
        <v>0</v>
      </c>
      <c r="AJ94" s="13" t="s">
        <v>539</v>
      </c>
      <c r="AK94" s="13"/>
      <c r="AL94" s="13" t="s">
        <v>540</v>
      </c>
      <c r="AN94" s="8">
        <v>0</v>
      </c>
      <c r="AP94" s="8">
        <v>0</v>
      </c>
      <c r="AR94" s="8">
        <v>0</v>
      </c>
      <c r="AT94" s="8">
        <v>0</v>
      </c>
      <c r="AV94" s="8">
        <v>0</v>
      </c>
      <c r="AX94" s="8">
        <v>0</v>
      </c>
      <c r="AZ94" s="9">
        <f t="shared" si="5"/>
        <v>0</v>
      </c>
      <c r="BB94" s="8">
        <v>0</v>
      </c>
      <c r="BH94" s="8">
        <v>0</v>
      </c>
      <c r="BJ94" s="9">
        <f t="shared" si="6"/>
        <v>0</v>
      </c>
      <c r="BL94" s="9">
        <f>'Gov Fd Rv'!AU94-'Gov Fnd Exp'!BJ94</f>
        <v>0</v>
      </c>
      <c r="BN94" s="8">
        <v>0</v>
      </c>
      <c r="BP94" s="8">
        <v>0</v>
      </c>
      <c r="BR94" s="8">
        <v>0</v>
      </c>
      <c r="BT94" s="9">
        <f t="shared" si="7"/>
        <v>0</v>
      </c>
      <c r="BU94" s="9"/>
      <c r="BV94" s="9">
        <f>BT94-'Gov Fd BS'!AA94</f>
        <v>0</v>
      </c>
    </row>
    <row r="95" spans="1:74">
      <c r="A95" s="13" t="s">
        <v>459</v>
      </c>
      <c r="B95" s="13"/>
      <c r="C95" s="13" t="s">
        <v>40</v>
      </c>
      <c r="D95" s="13"/>
      <c r="E95" s="32">
        <v>47829</v>
      </c>
      <c r="G95" s="8">
        <v>4013131</v>
      </c>
      <c r="I95" s="8">
        <v>1671912</v>
      </c>
      <c r="K95" s="8">
        <v>176360</v>
      </c>
      <c r="M95" s="8">
        <v>0</v>
      </c>
      <c r="O95" s="8">
        <v>317148</v>
      </c>
      <c r="Q95" s="8">
        <v>143004</v>
      </c>
      <c r="S95" s="8">
        <v>9553</v>
      </c>
      <c r="U95" s="8">
        <v>813315</v>
      </c>
      <c r="W95" s="8">
        <v>338507</v>
      </c>
      <c r="Y95" s="8">
        <v>0</v>
      </c>
      <c r="AA95" s="8">
        <v>1054963</v>
      </c>
      <c r="AC95" s="8">
        <v>732769</v>
      </c>
      <c r="AE95" s="8">
        <v>8671</v>
      </c>
      <c r="AG95" s="8">
        <v>0</v>
      </c>
      <c r="AI95" s="8">
        <v>272515</v>
      </c>
      <c r="AJ95" s="13" t="s">
        <v>459</v>
      </c>
      <c r="AK95" s="13"/>
      <c r="AL95" s="13" t="s">
        <v>40</v>
      </c>
      <c r="AN95" s="8">
        <v>337910</v>
      </c>
      <c r="AP95" s="8">
        <v>43417</v>
      </c>
      <c r="AR95" s="8">
        <v>0</v>
      </c>
      <c r="AT95" s="8">
        <v>220000</v>
      </c>
      <c r="AV95" s="8">
        <v>231608</v>
      </c>
      <c r="AX95" s="8">
        <v>0</v>
      </c>
      <c r="AZ95" s="9">
        <f t="shared" si="5"/>
        <v>10384783</v>
      </c>
      <c r="BB95" s="8">
        <v>0</v>
      </c>
      <c r="BH95" s="8">
        <v>0</v>
      </c>
      <c r="BJ95" s="9">
        <f t="shared" si="6"/>
        <v>10384783</v>
      </c>
      <c r="BL95" s="9">
        <f>'Gov Fd Rv'!AU95-'Gov Fnd Exp'!BJ95</f>
        <v>-333700</v>
      </c>
      <c r="BN95" s="8">
        <v>5628993</v>
      </c>
      <c r="BP95" s="8">
        <v>0</v>
      </c>
      <c r="BR95" s="8">
        <v>0</v>
      </c>
      <c r="BT95" s="9">
        <f t="shared" si="7"/>
        <v>5295293</v>
      </c>
      <c r="BU95" s="9"/>
      <c r="BV95" s="9">
        <f>BT95-'Gov Fd BS'!AA95</f>
        <v>0</v>
      </c>
    </row>
    <row r="96" spans="1:74">
      <c r="A96" s="13" t="s">
        <v>553</v>
      </c>
      <c r="B96" s="13"/>
      <c r="C96" s="13" t="s">
        <v>50</v>
      </c>
      <c r="D96" s="13"/>
      <c r="E96" s="32">
        <v>43737</v>
      </c>
      <c r="G96" s="8">
        <v>39280653</v>
      </c>
      <c r="I96" s="8">
        <v>8518817</v>
      </c>
      <c r="K96" s="8">
        <v>2564749</v>
      </c>
      <c r="M96" s="8">
        <v>662986</v>
      </c>
      <c r="O96" s="8">
        <v>4025867</v>
      </c>
      <c r="Q96" s="8">
        <v>6920528</v>
      </c>
      <c r="S96" s="8">
        <v>27428</v>
      </c>
      <c r="U96" s="8">
        <v>4581370</v>
      </c>
      <c r="W96" s="8">
        <v>1571277</v>
      </c>
      <c r="Y96" s="8">
        <v>637467</v>
      </c>
      <c r="AA96" s="8">
        <v>6211276</v>
      </c>
      <c r="AC96" s="8">
        <v>6526641</v>
      </c>
      <c r="AE96" s="8">
        <v>88823</v>
      </c>
      <c r="AG96" s="8">
        <v>0</v>
      </c>
      <c r="AI96" s="8">
        <v>4708867</v>
      </c>
      <c r="AJ96" s="13" t="s">
        <v>553</v>
      </c>
      <c r="AK96" s="13"/>
      <c r="AL96" s="13" t="s">
        <v>50</v>
      </c>
      <c r="AN96" s="8">
        <v>658991</v>
      </c>
      <c r="AP96" s="8">
        <v>11222591</v>
      </c>
      <c r="AR96" s="8">
        <v>0</v>
      </c>
      <c r="AT96" s="8">
        <v>2550000</v>
      </c>
      <c r="AV96" s="8">
        <v>3324368</v>
      </c>
      <c r="AX96" s="8">
        <v>0</v>
      </c>
      <c r="AZ96" s="9">
        <f t="shared" si="5"/>
        <v>104082699</v>
      </c>
      <c r="BB96" s="8">
        <v>0</v>
      </c>
      <c r="BH96" s="8">
        <v>0</v>
      </c>
      <c r="BJ96" s="9">
        <f t="shared" si="6"/>
        <v>104082699</v>
      </c>
      <c r="BL96" s="9">
        <f>'Gov Fd Rv'!AU98-'Gov Fnd Exp'!BJ96</f>
        <v>-12195273</v>
      </c>
      <c r="BN96" s="8">
        <v>56136692</v>
      </c>
      <c r="BP96" s="8">
        <v>0</v>
      </c>
      <c r="BR96" s="8">
        <v>0</v>
      </c>
      <c r="BT96" s="9">
        <f t="shared" si="7"/>
        <v>43941419</v>
      </c>
      <c r="BU96" s="9"/>
      <c r="BV96" s="9">
        <f>BT96-'Gov Fd BS'!AA96</f>
        <v>0</v>
      </c>
    </row>
    <row r="97" spans="1:74">
      <c r="A97" s="13" t="s">
        <v>807</v>
      </c>
      <c r="B97" s="13"/>
      <c r="C97" s="13" t="s">
        <v>22</v>
      </c>
      <c r="D97" s="13"/>
      <c r="E97" s="32">
        <v>46714</v>
      </c>
      <c r="G97" s="8">
        <v>4362869</v>
      </c>
      <c r="I97" s="8">
        <v>1129389</v>
      </c>
      <c r="K97" s="8">
        <v>194772</v>
      </c>
      <c r="M97" s="8">
        <v>655486</v>
      </c>
      <c r="O97" s="8">
        <v>498979</v>
      </c>
      <c r="Q97" s="8">
        <v>231849</v>
      </c>
      <c r="S97" s="8">
        <v>27221</v>
      </c>
      <c r="U97" s="8">
        <v>845726</v>
      </c>
      <c r="W97" s="8">
        <v>241440</v>
      </c>
      <c r="Y97" s="8">
        <v>56934</v>
      </c>
      <c r="AA97" s="8">
        <v>757281</v>
      </c>
      <c r="AC97" s="8">
        <v>686640</v>
      </c>
      <c r="AE97" s="8">
        <v>186816</v>
      </c>
      <c r="AG97" s="8">
        <v>0</v>
      </c>
      <c r="AI97" s="8">
        <v>476321</v>
      </c>
      <c r="AJ97" s="13" t="s">
        <v>807</v>
      </c>
      <c r="AK97" s="13"/>
      <c r="AL97" s="13" t="s">
        <v>22</v>
      </c>
      <c r="AN97" s="8">
        <v>508940</v>
      </c>
      <c r="AP97" s="8">
        <v>43757</v>
      </c>
      <c r="AR97" s="8">
        <v>0</v>
      </c>
      <c r="AT97" s="8">
        <v>90000</v>
      </c>
      <c r="AV97" s="8">
        <v>112688</v>
      </c>
      <c r="AX97" s="8">
        <v>0</v>
      </c>
      <c r="AZ97" s="9">
        <f t="shared" si="5"/>
        <v>11107108</v>
      </c>
      <c r="BB97" s="8">
        <v>10600</v>
      </c>
      <c r="BH97" s="8">
        <v>0</v>
      </c>
      <c r="BJ97" s="9">
        <f t="shared" si="6"/>
        <v>11117708</v>
      </c>
      <c r="BL97" s="9">
        <f>'Gov Fd Rv'!AU99-'Gov Fnd Exp'!BJ97</f>
        <v>15583</v>
      </c>
      <c r="BN97" s="8">
        <v>2247407</v>
      </c>
      <c r="BP97" s="8">
        <v>0</v>
      </c>
      <c r="BR97" s="8">
        <v>0</v>
      </c>
      <c r="BT97" s="9">
        <f t="shared" si="7"/>
        <v>2262990</v>
      </c>
      <c r="BU97" s="9"/>
      <c r="BV97" s="9">
        <f>BT97-'Gov Fd BS'!AA97</f>
        <v>0</v>
      </c>
    </row>
    <row r="98" spans="1:74">
      <c r="A98" s="13" t="s">
        <v>306</v>
      </c>
      <c r="B98" s="13"/>
      <c r="C98" s="13" t="s">
        <v>20</v>
      </c>
      <c r="D98" s="13"/>
      <c r="E98" s="13">
        <v>45286</v>
      </c>
      <c r="G98" s="8">
        <v>9370975</v>
      </c>
      <c r="I98" s="8">
        <v>1842475</v>
      </c>
      <c r="K98" s="8">
        <v>108040</v>
      </c>
      <c r="M98" s="8">
        <v>0</v>
      </c>
      <c r="O98" s="8">
        <v>819936</v>
      </c>
      <c r="Q98" s="8">
        <v>872824</v>
      </c>
      <c r="S98" s="8">
        <v>62223</v>
      </c>
      <c r="U98" s="8">
        <v>2024559</v>
      </c>
      <c r="W98" s="8">
        <v>723495</v>
      </c>
      <c r="Y98" s="8">
        <v>800</v>
      </c>
      <c r="AA98" s="8">
        <v>2253916</v>
      </c>
      <c r="AC98" s="8">
        <v>1124880</v>
      </c>
      <c r="AE98" s="8">
        <v>16001</v>
      </c>
      <c r="AG98" s="8">
        <v>0</v>
      </c>
      <c r="AI98" s="8">
        <v>3827</v>
      </c>
      <c r="AJ98" s="13" t="s">
        <v>306</v>
      </c>
      <c r="AK98" s="13"/>
      <c r="AL98" s="13" t="s">
        <v>20</v>
      </c>
      <c r="AN98" s="8">
        <v>431184</v>
      </c>
      <c r="AP98" s="8">
        <v>1703012</v>
      </c>
      <c r="AR98" s="8">
        <v>0</v>
      </c>
      <c r="AT98" s="8">
        <v>1435000</v>
      </c>
      <c r="AV98" s="8">
        <v>1141325</v>
      </c>
      <c r="AX98" s="8">
        <v>0</v>
      </c>
      <c r="AZ98" s="9">
        <f t="shared" si="5"/>
        <v>23934472</v>
      </c>
      <c r="BB98" s="8">
        <v>313600</v>
      </c>
      <c r="BH98" s="8">
        <v>0</v>
      </c>
      <c r="BJ98" s="9">
        <f t="shared" si="6"/>
        <v>24248072</v>
      </c>
      <c r="BL98" s="9">
        <f>'Gov Fd Rv'!AU100-'Gov Fnd Exp'!BJ98</f>
        <v>820226</v>
      </c>
      <c r="BN98" s="8">
        <v>4654440</v>
      </c>
      <c r="BP98" s="8">
        <v>0</v>
      </c>
      <c r="BR98" s="8">
        <v>0</v>
      </c>
      <c r="BT98" s="9">
        <f t="shared" si="7"/>
        <v>5474666</v>
      </c>
      <c r="BU98" s="9"/>
      <c r="BV98" s="9">
        <f>BT98-'Gov Fd BS'!AA98</f>
        <v>0</v>
      </c>
    </row>
    <row r="99" spans="1:74">
      <c r="A99" s="13" t="s">
        <v>683</v>
      </c>
      <c r="B99" s="13"/>
      <c r="C99" s="13" t="s">
        <v>64</v>
      </c>
      <c r="D99" s="13"/>
      <c r="E99" s="32">
        <v>50138</v>
      </c>
      <c r="G99" s="8">
        <v>5996980</v>
      </c>
      <c r="I99" s="8">
        <v>1627396</v>
      </c>
      <c r="K99" s="8">
        <v>186616</v>
      </c>
      <c r="M99" s="8">
        <v>493524</v>
      </c>
      <c r="O99" s="8">
        <v>648159</v>
      </c>
      <c r="Q99" s="8">
        <v>499600</v>
      </c>
      <c r="S99" s="8">
        <v>47382</v>
      </c>
      <c r="U99" s="8">
        <v>1808669</v>
      </c>
      <c r="W99" s="8">
        <v>356515</v>
      </c>
      <c r="Y99" s="8">
        <v>0</v>
      </c>
      <c r="AA99" s="8">
        <v>1638285</v>
      </c>
      <c r="AC99" s="8">
        <v>927974</v>
      </c>
      <c r="AE99" s="8">
        <v>12030</v>
      </c>
      <c r="AG99" s="8">
        <v>451971</v>
      </c>
      <c r="AI99" s="8">
        <v>569</v>
      </c>
      <c r="AJ99" s="13" t="s">
        <v>683</v>
      </c>
      <c r="AK99" s="13"/>
      <c r="AL99" s="13" t="s">
        <v>64</v>
      </c>
      <c r="AN99" s="8">
        <v>452866</v>
      </c>
      <c r="AP99" s="8">
        <v>0</v>
      </c>
      <c r="AR99" s="8">
        <v>0</v>
      </c>
      <c r="AT99" s="8">
        <v>121197</v>
      </c>
      <c r="AV99" s="8">
        <v>85257</v>
      </c>
      <c r="AX99" s="8">
        <v>0</v>
      </c>
      <c r="AZ99" s="9">
        <f t="shared" si="5"/>
        <v>15354990</v>
      </c>
      <c r="BB99" s="8">
        <v>48742</v>
      </c>
      <c r="BH99" s="8">
        <v>0</v>
      </c>
      <c r="BJ99" s="9">
        <f t="shared" si="6"/>
        <v>15403732</v>
      </c>
      <c r="BL99" s="9">
        <f>'Gov Fd Rv'!AU101-'Gov Fnd Exp'!BJ99</f>
        <v>-254855</v>
      </c>
      <c r="BN99" s="8">
        <v>-1103608</v>
      </c>
      <c r="BP99" s="8">
        <v>-680</v>
      </c>
      <c r="BR99" s="8">
        <v>0</v>
      </c>
      <c r="BT99" s="9">
        <f t="shared" si="7"/>
        <v>-1359143</v>
      </c>
      <c r="BU99" s="9"/>
      <c r="BV99" s="9">
        <f>BT99-'Gov Fd BS'!AA99</f>
        <v>0</v>
      </c>
    </row>
    <row r="100" spans="1:74">
      <c r="A100" s="13" t="s">
        <v>383</v>
      </c>
      <c r="B100" s="13"/>
      <c r="C100" s="13" t="s">
        <v>30</v>
      </c>
      <c r="D100" s="13"/>
      <c r="E100" s="32">
        <v>47183</v>
      </c>
      <c r="G100" s="8">
        <v>12937478</v>
      </c>
      <c r="I100" s="8">
        <v>4037423</v>
      </c>
      <c r="K100" s="8">
        <v>217380</v>
      </c>
      <c r="M100" s="8">
        <v>4651</v>
      </c>
      <c r="O100" s="8">
        <v>1564604</v>
      </c>
      <c r="Q100" s="8">
        <v>1440082</v>
      </c>
      <c r="S100" s="8">
        <v>117374</v>
      </c>
      <c r="U100" s="8">
        <v>2406166</v>
      </c>
      <c r="W100" s="8">
        <v>904622</v>
      </c>
      <c r="Y100" s="8">
        <v>356139</v>
      </c>
      <c r="AA100" s="8">
        <v>2459844</v>
      </c>
      <c r="AC100" s="8">
        <v>2466871</v>
      </c>
      <c r="AE100" s="8">
        <v>250690</v>
      </c>
      <c r="AG100" s="8">
        <v>974018</v>
      </c>
      <c r="AI100" s="8">
        <v>1096990</v>
      </c>
      <c r="AJ100" s="13" t="s">
        <v>383</v>
      </c>
      <c r="AK100" s="13"/>
      <c r="AL100" s="13" t="s">
        <v>30</v>
      </c>
      <c r="AN100" s="8">
        <v>622629</v>
      </c>
      <c r="AP100" s="8">
        <v>741981</v>
      </c>
      <c r="AR100" s="8">
        <v>0</v>
      </c>
      <c r="AT100" s="8">
        <v>4913</v>
      </c>
      <c r="AV100" s="8">
        <v>523</v>
      </c>
      <c r="AX100" s="8">
        <v>0</v>
      </c>
      <c r="AZ100" s="9">
        <f t="shared" si="5"/>
        <v>32604378</v>
      </c>
      <c r="BB100" s="8">
        <v>204506</v>
      </c>
      <c r="BH100" s="8">
        <v>0</v>
      </c>
      <c r="BJ100" s="9">
        <f t="shared" si="6"/>
        <v>32808884</v>
      </c>
      <c r="BL100" s="9">
        <f>'Gov Fd Rv'!AU102-'Gov Fnd Exp'!BJ100</f>
        <v>410533</v>
      </c>
      <c r="BN100" s="8">
        <v>3253042</v>
      </c>
      <c r="BP100" s="8">
        <v>0</v>
      </c>
      <c r="BR100" s="8">
        <v>0</v>
      </c>
      <c r="BT100" s="9">
        <f t="shared" si="7"/>
        <v>3663575</v>
      </c>
      <c r="BU100" s="9"/>
      <c r="BV100" s="9">
        <f>BT100-'Gov Fd BS'!AA100</f>
        <v>0</v>
      </c>
    </row>
    <row r="101" spans="1:74">
      <c r="A101" s="13" t="s">
        <v>470</v>
      </c>
      <c r="B101" s="13"/>
      <c r="C101" s="13" t="s">
        <v>471</v>
      </c>
      <c r="D101" s="13"/>
      <c r="E101" s="32">
        <v>45294</v>
      </c>
      <c r="G101" s="8">
        <v>5726324</v>
      </c>
      <c r="I101" s="8">
        <v>1073780</v>
      </c>
      <c r="K101" s="8">
        <v>0</v>
      </c>
      <c r="M101" s="8">
        <v>321077</v>
      </c>
      <c r="O101" s="8">
        <v>544642</v>
      </c>
      <c r="Q101" s="8">
        <v>433244</v>
      </c>
      <c r="S101" s="8">
        <v>58587</v>
      </c>
      <c r="U101" s="8">
        <v>908633</v>
      </c>
      <c r="W101" s="8">
        <v>273681</v>
      </c>
      <c r="Y101" s="8">
        <v>0</v>
      </c>
      <c r="AA101" s="8">
        <v>1093691</v>
      </c>
      <c r="AC101" s="8">
        <v>611764</v>
      </c>
      <c r="AE101" s="8">
        <v>162126</v>
      </c>
      <c r="AG101" s="8">
        <v>0</v>
      </c>
      <c r="AI101" s="8">
        <v>563390</v>
      </c>
      <c r="AJ101" s="13" t="s">
        <v>470</v>
      </c>
      <c r="AK101" s="13"/>
      <c r="AL101" s="13" t="s">
        <v>471</v>
      </c>
      <c r="AN101" s="8">
        <v>250952</v>
      </c>
      <c r="AP101" s="8">
        <v>13732</v>
      </c>
      <c r="AR101" s="8">
        <v>0</v>
      </c>
      <c r="AT101" s="8">
        <v>240198</v>
      </c>
      <c r="AV101" s="8">
        <v>108405</v>
      </c>
      <c r="AX101" s="8">
        <v>0</v>
      </c>
      <c r="AZ101" s="9">
        <f t="shared" si="5"/>
        <v>12384226</v>
      </c>
      <c r="BB101" s="8">
        <v>199769</v>
      </c>
      <c r="BH101" s="8">
        <v>0</v>
      </c>
      <c r="BJ101" s="9">
        <f t="shared" si="6"/>
        <v>12583995</v>
      </c>
      <c r="BL101" s="9">
        <f>'Gov Fd Rv'!AU103-'Gov Fnd Exp'!BJ101</f>
        <v>-95312</v>
      </c>
      <c r="BN101" s="8">
        <v>2720804</v>
      </c>
      <c r="BP101" s="8">
        <v>0</v>
      </c>
      <c r="BR101" s="8">
        <v>0</v>
      </c>
      <c r="BT101" s="9">
        <f t="shared" si="7"/>
        <v>2625492</v>
      </c>
      <c r="BU101" s="9"/>
      <c r="BV101" s="9">
        <f>BT101-'Gov Fd BS'!AA101</f>
        <v>0</v>
      </c>
    </row>
    <row r="102" spans="1:74">
      <c r="A102" s="13"/>
      <c r="B102" s="13"/>
      <c r="C102" s="13"/>
      <c r="D102" s="13"/>
      <c r="E102" s="32"/>
      <c r="AJ102" s="13"/>
      <c r="AK102" s="13"/>
      <c r="AL102" s="13"/>
      <c r="AZ102" s="9"/>
      <c r="BJ102" s="9"/>
      <c r="BL102" s="9"/>
      <c r="BT102" s="9"/>
      <c r="BU102" s="9"/>
      <c r="BV102" s="9"/>
    </row>
    <row r="103" spans="1:74">
      <c r="A103" s="13"/>
      <c r="B103" s="13"/>
      <c r="C103" s="13"/>
      <c r="D103" s="13"/>
      <c r="E103" s="32"/>
      <c r="AI103" s="89" t="s">
        <v>819</v>
      </c>
      <c r="AJ103" s="13"/>
      <c r="AK103" s="13"/>
      <c r="AL103" s="13"/>
      <c r="AZ103" s="9"/>
      <c r="BJ103" s="9"/>
      <c r="BL103" s="9"/>
      <c r="BT103" s="89" t="s">
        <v>819</v>
      </c>
      <c r="BU103" s="9"/>
      <c r="BV103" s="9"/>
    </row>
    <row r="104" spans="1:74" s="35" customFormat="1">
      <c r="A104" s="34" t="s">
        <v>622</v>
      </c>
      <c r="B104" s="34"/>
      <c r="C104" s="34" t="s">
        <v>58</v>
      </c>
      <c r="D104" s="34"/>
      <c r="E104" s="34">
        <v>43745</v>
      </c>
      <c r="G104" s="35">
        <v>14721014</v>
      </c>
      <c r="I104" s="35">
        <v>3040467</v>
      </c>
      <c r="K104" s="35">
        <v>5675</v>
      </c>
      <c r="M104" s="35">
        <v>612634</v>
      </c>
      <c r="O104" s="35">
        <v>1669855</v>
      </c>
      <c r="Q104" s="35">
        <v>1441853</v>
      </c>
      <c r="S104" s="35">
        <v>79622</v>
      </c>
      <c r="U104" s="35">
        <v>1984445</v>
      </c>
      <c r="W104" s="35">
        <v>844195</v>
      </c>
      <c r="Y104" s="35">
        <v>127767</v>
      </c>
      <c r="AA104" s="35">
        <v>2939638</v>
      </c>
      <c r="AC104" s="35">
        <v>939390</v>
      </c>
      <c r="AE104" s="35">
        <v>311019</v>
      </c>
      <c r="AG104" s="35">
        <v>0</v>
      </c>
      <c r="AI104" s="35">
        <v>1358329</v>
      </c>
      <c r="AJ104" s="34" t="s">
        <v>622</v>
      </c>
      <c r="AK104" s="34"/>
      <c r="AL104" s="34" t="s">
        <v>58</v>
      </c>
      <c r="AN104" s="35">
        <v>549340</v>
      </c>
      <c r="AP104" s="35">
        <v>2737500</v>
      </c>
      <c r="AR104" s="35">
        <v>0</v>
      </c>
      <c r="AT104" s="35">
        <v>985000</v>
      </c>
      <c r="AV104" s="35">
        <v>1413237</v>
      </c>
      <c r="AX104" s="35">
        <v>0</v>
      </c>
      <c r="AZ104" s="44">
        <f t="shared" si="5"/>
        <v>35760980</v>
      </c>
      <c r="BB104" s="35">
        <v>109035</v>
      </c>
      <c r="BH104" s="35">
        <v>0</v>
      </c>
      <c r="BJ104" s="44">
        <f t="shared" si="6"/>
        <v>35870015</v>
      </c>
      <c r="BL104" s="44">
        <f>'Gov Fd Rv'!AU104-'Gov Fnd Exp'!BJ104</f>
        <v>-578211</v>
      </c>
      <c r="BN104" s="35">
        <v>6963071</v>
      </c>
      <c r="BP104" s="35">
        <v>0</v>
      </c>
      <c r="BR104" s="35">
        <v>0</v>
      </c>
      <c r="BT104" s="44">
        <f t="shared" si="7"/>
        <v>6384860</v>
      </c>
      <c r="BU104" s="44"/>
      <c r="BV104" s="44">
        <f>BT104-'Gov Fd BS'!AA102</f>
        <v>0</v>
      </c>
    </row>
    <row r="105" spans="1:74">
      <c r="A105" s="13" t="s">
        <v>727</v>
      </c>
      <c r="B105" s="13"/>
      <c r="C105" s="13" t="s">
        <v>71</v>
      </c>
      <c r="D105" s="13"/>
      <c r="E105" s="32"/>
      <c r="G105" s="8">
        <v>4839581</v>
      </c>
      <c r="I105" s="8">
        <v>1210035</v>
      </c>
      <c r="K105" s="8">
        <v>33999</v>
      </c>
      <c r="M105" s="8">
        <v>297036</v>
      </c>
      <c r="O105" s="8">
        <v>211149</v>
      </c>
      <c r="Q105" s="8">
        <v>284439</v>
      </c>
      <c r="S105" s="8">
        <v>27654</v>
      </c>
      <c r="U105" s="8">
        <v>871417</v>
      </c>
      <c r="W105" s="8">
        <v>284694</v>
      </c>
      <c r="Y105" s="8">
        <v>0</v>
      </c>
      <c r="AA105" s="8">
        <v>926992</v>
      </c>
      <c r="AC105" s="8">
        <v>547548</v>
      </c>
      <c r="AE105" s="8">
        <v>142197</v>
      </c>
      <c r="AG105" s="8">
        <v>494394</v>
      </c>
      <c r="AI105" s="8">
        <v>76879</v>
      </c>
      <c r="AJ105" s="13" t="s">
        <v>727</v>
      </c>
      <c r="AK105" s="13"/>
      <c r="AL105" s="13" t="s">
        <v>71</v>
      </c>
      <c r="AN105" s="8">
        <v>463154</v>
      </c>
      <c r="AP105" s="8">
        <v>0</v>
      </c>
      <c r="AR105" s="8">
        <v>0</v>
      </c>
      <c r="AT105" s="8">
        <v>0</v>
      </c>
      <c r="AV105" s="8">
        <v>0</v>
      </c>
      <c r="AX105" s="8">
        <v>0</v>
      </c>
      <c r="AZ105" s="9">
        <f t="shared" si="5"/>
        <v>10711168</v>
      </c>
      <c r="BB105" s="8">
        <v>506129</v>
      </c>
      <c r="BH105" s="8">
        <v>0</v>
      </c>
      <c r="BJ105" s="9">
        <f t="shared" si="6"/>
        <v>11217297</v>
      </c>
      <c r="BL105" s="9">
        <f>'Gov Fd Rv'!AU105-'Gov Fnd Exp'!BJ105</f>
        <v>1624380</v>
      </c>
      <c r="BN105" s="8">
        <v>874539</v>
      </c>
      <c r="BP105" s="8">
        <v>0</v>
      </c>
      <c r="BR105" s="8">
        <v>0</v>
      </c>
      <c r="BT105" s="9">
        <f t="shared" si="7"/>
        <v>2498919</v>
      </c>
      <c r="BU105" s="9"/>
      <c r="BV105" s="9">
        <f>BT105-'Gov Fd BS'!AA103</f>
        <v>0</v>
      </c>
    </row>
    <row r="106" spans="1:74">
      <c r="A106" s="13" t="s">
        <v>396</v>
      </c>
      <c r="B106" s="13"/>
      <c r="C106" s="13" t="s">
        <v>32</v>
      </c>
      <c r="D106" s="13"/>
      <c r="E106" s="32"/>
      <c r="G106" s="8">
        <v>171397040</v>
      </c>
      <c r="I106" s="8">
        <v>71042866</v>
      </c>
      <c r="K106" s="8">
        <v>6635484</v>
      </c>
      <c r="M106" s="8">
        <v>38748252</v>
      </c>
      <c r="O106" s="8">
        <v>23025194</v>
      </c>
      <c r="Q106" s="8">
        <v>44151479</v>
      </c>
      <c r="S106" s="8">
        <v>398416</v>
      </c>
      <c r="U106" s="8">
        <v>32704791</v>
      </c>
      <c r="W106" s="8">
        <v>2853139</v>
      </c>
      <c r="Y106" s="8">
        <v>1198346</v>
      </c>
      <c r="AA106" s="8">
        <v>39830779</v>
      </c>
      <c r="AC106" s="8">
        <v>23043622</v>
      </c>
      <c r="AE106" s="8">
        <v>18826176</v>
      </c>
      <c r="AG106" s="8">
        <v>0</v>
      </c>
      <c r="AI106" s="8">
        <v>25947645</v>
      </c>
      <c r="AJ106" s="13" t="s">
        <v>396</v>
      </c>
      <c r="AK106" s="13"/>
      <c r="AL106" s="13" t="s">
        <v>32</v>
      </c>
      <c r="AN106" s="8">
        <v>4973632</v>
      </c>
      <c r="AP106" s="8">
        <v>128811748</v>
      </c>
      <c r="AR106" s="8">
        <v>0</v>
      </c>
      <c r="AT106" s="8">
        <v>19685000</v>
      </c>
      <c r="AV106" s="8">
        <v>39759435</v>
      </c>
      <c r="AX106" s="8">
        <v>0</v>
      </c>
      <c r="AZ106" s="9">
        <f t="shared" si="5"/>
        <v>693033044</v>
      </c>
      <c r="BB106" s="8">
        <v>155775182</v>
      </c>
      <c r="BH106" s="8">
        <v>0</v>
      </c>
      <c r="BJ106" s="9">
        <f t="shared" si="6"/>
        <v>848808226</v>
      </c>
      <c r="BL106" s="9">
        <f>'Gov Fd Rv'!AU106-'Gov Fnd Exp'!BJ106</f>
        <v>-86996681</v>
      </c>
      <c r="BN106" s="8">
        <v>610292712</v>
      </c>
      <c r="BP106" s="8">
        <v>0</v>
      </c>
      <c r="BR106" s="8">
        <v>0</v>
      </c>
      <c r="BT106" s="9">
        <f t="shared" si="7"/>
        <v>523296031</v>
      </c>
      <c r="BU106" s="9"/>
      <c r="BV106" s="9">
        <f>BT106-'Gov Fd BS'!AA104</f>
        <v>0</v>
      </c>
    </row>
    <row r="107" spans="1:74">
      <c r="A107" s="13" t="s">
        <v>588</v>
      </c>
      <c r="B107" s="13"/>
      <c r="C107" s="13" t="s">
        <v>54</v>
      </c>
      <c r="D107" s="13"/>
      <c r="E107" s="32">
        <v>43760</v>
      </c>
      <c r="G107" s="8">
        <v>10073868</v>
      </c>
      <c r="I107" s="8">
        <v>2407977</v>
      </c>
      <c r="K107" s="8">
        <v>19905</v>
      </c>
      <c r="M107" s="8">
        <v>97245</v>
      </c>
      <c r="O107" s="8">
        <v>1159299</v>
      </c>
      <c r="Q107" s="8">
        <v>2005069</v>
      </c>
      <c r="S107" s="8">
        <v>103247</v>
      </c>
      <c r="U107" s="8">
        <v>1838185</v>
      </c>
      <c r="W107" s="8">
        <v>799131</v>
      </c>
      <c r="Y107" s="8">
        <v>0</v>
      </c>
      <c r="AA107" s="8">
        <v>2578166</v>
      </c>
      <c r="AC107" s="8">
        <v>829778</v>
      </c>
      <c r="AE107" s="8">
        <v>0</v>
      </c>
      <c r="AG107" s="8">
        <v>1089133</v>
      </c>
      <c r="AI107" s="8">
        <v>19680</v>
      </c>
      <c r="AJ107" s="13" t="s">
        <v>588</v>
      </c>
      <c r="AK107" s="13"/>
      <c r="AL107" s="13" t="s">
        <v>54</v>
      </c>
      <c r="AN107" s="8">
        <v>499978</v>
      </c>
      <c r="AP107" s="8">
        <v>25000</v>
      </c>
      <c r="AR107" s="8">
        <v>62818</v>
      </c>
      <c r="AT107" s="8">
        <v>280000</v>
      </c>
      <c r="AV107" s="8">
        <v>16671</v>
      </c>
      <c r="AX107" s="8">
        <v>0</v>
      </c>
      <c r="AZ107" s="9">
        <f t="shared" si="5"/>
        <v>23905150</v>
      </c>
      <c r="BB107" s="8">
        <v>177029</v>
      </c>
      <c r="BH107" s="8">
        <v>0</v>
      </c>
      <c r="BJ107" s="9">
        <f t="shared" si="6"/>
        <v>24082179</v>
      </c>
      <c r="BL107" s="9">
        <f>'Gov Fd Rv'!AU107-'Gov Fnd Exp'!BJ107</f>
        <v>3502111</v>
      </c>
      <c r="BN107" s="8">
        <f>8352986-352969</f>
        <v>8000017</v>
      </c>
      <c r="BP107" s="8">
        <v>-8916</v>
      </c>
      <c r="BR107" s="8">
        <v>0</v>
      </c>
      <c r="BT107" s="9">
        <f t="shared" si="7"/>
        <v>11493212</v>
      </c>
      <c r="BU107" s="9"/>
      <c r="BV107" s="9">
        <f>BT107-'Gov Fd BS'!AA105</f>
        <v>0</v>
      </c>
    </row>
    <row r="108" spans="1:74">
      <c r="A108" s="13" t="s">
        <v>264</v>
      </c>
      <c r="B108" s="13"/>
      <c r="C108" s="13" t="s">
        <v>17</v>
      </c>
      <c r="D108" s="13"/>
      <c r="E108" s="32">
        <v>46284</v>
      </c>
      <c r="G108" s="8">
        <v>10328035</v>
      </c>
      <c r="I108" s="8">
        <v>2010982</v>
      </c>
      <c r="K108" s="8">
        <v>189222</v>
      </c>
      <c r="M108" s="8">
        <v>33884</v>
      </c>
      <c r="O108" s="8">
        <v>807549</v>
      </c>
      <c r="Q108" s="8">
        <v>653125</v>
      </c>
      <c r="S108" s="8">
        <v>85247</v>
      </c>
      <c r="U108" s="8">
        <v>1629282</v>
      </c>
      <c r="W108" s="8">
        <v>535677</v>
      </c>
      <c r="Y108" s="8">
        <v>13383</v>
      </c>
      <c r="AA108" s="8">
        <v>1624087</v>
      </c>
      <c r="AC108" s="8">
        <v>1196688</v>
      </c>
      <c r="AE108" s="8">
        <v>65811</v>
      </c>
      <c r="AG108" s="8">
        <v>0</v>
      </c>
      <c r="AI108" s="8">
        <v>881890</v>
      </c>
      <c r="AJ108" s="13" t="s">
        <v>264</v>
      </c>
      <c r="AK108" s="13"/>
      <c r="AL108" s="13" t="s">
        <v>17</v>
      </c>
      <c r="AN108" s="8">
        <v>764138</v>
      </c>
      <c r="AP108" s="8">
        <v>424048</v>
      </c>
      <c r="AR108" s="8">
        <v>0</v>
      </c>
      <c r="AT108" s="8">
        <v>20045</v>
      </c>
      <c r="AV108" s="8">
        <v>876</v>
      </c>
      <c r="AX108" s="8">
        <v>0</v>
      </c>
      <c r="AZ108" s="9">
        <f t="shared" si="5"/>
        <v>21263969</v>
      </c>
      <c r="BB108" s="8">
        <v>0</v>
      </c>
      <c r="BH108" s="8">
        <v>0</v>
      </c>
      <c r="BJ108" s="9">
        <f t="shared" si="6"/>
        <v>21263969</v>
      </c>
      <c r="BL108" s="9">
        <f>'Gov Fd Rv'!AU108-'Gov Fnd Exp'!BJ108</f>
        <v>-513619</v>
      </c>
      <c r="BN108" s="8">
        <f>3673488-113601</f>
        <v>3559887</v>
      </c>
      <c r="BP108" s="8">
        <v>0</v>
      </c>
      <c r="BR108" s="8">
        <v>0</v>
      </c>
      <c r="BT108" s="9">
        <f t="shared" si="7"/>
        <v>3046268</v>
      </c>
      <c r="BU108" s="9"/>
      <c r="BV108" s="9">
        <f>BT108-'Gov Fd BS'!AA106</f>
        <v>0</v>
      </c>
    </row>
    <row r="109" spans="1:74" s="52" customFormat="1">
      <c r="A109" s="51" t="s">
        <v>632</v>
      </c>
      <c r="B109" s="51"/>
      <c r="C109" s="51" t="s">
        <v>59</v>
      </c>
      <c r="D109" s="51"/>
      <c r="E109" s="51">
        <v>49601</v>
      </c>
      <c r="G109" s="8">
        <v>3111308</v>
      </c>
      <c r="H109" s="8"/>
      <c r="I109" s="8">
        <v>449151</v>
      </c>
      <c r="J109" s="8"/>
      <c r="K109" s="8">
        <v>16359</v>
      </c>
      <c r="L109" s="8"/>
      <c r="M109" s="8">
        <v>191009</v>
      </c>
      <c r="N109" s="8"/>
      <c r="O109" s="8">
        <v>337957</v>
      </c>
      <c r="P109" s="8"/>
      <c r="Q109" s="8">
        <v>231355</v>
      </c>
      <c r="R109" s="8"/>
      <c r="S109" s="8">
        <v>20737</v>
      </c>
      <c r="T109" s="8"/>
      <c r="U109" s="8">
        <v>497354</v>
      </c>
      <c r="V109" s="8"/>
      <c r="W109" s="8">
        <v>174249</v>
      </c>
      <c r="X109" s="8"/>
      <c r="Y109" s="8">
        <v>0</v>
      </c>
      <c r="Z109" s="8"/>
      <c r="AA109" s="8">
        <v>402856</v>
      </c>
      <c r="AB109" s="8"/>
      <c r="AC109" s="8">
        <v>245858</v>
      </c>
      <c r="AD109" s="8"/>
      <c r="AE109" s="8">
        <v>31788</v>
      </c>
      <c r="AF109" s="8"/>
      <c r="AG109" s="8">
        <v>287857</v>
      </c>
      <c r="AH109" s="8"/>
      <c r="AI109" s="8">
        <v>0</v>
      </c>
      <c r="AJ109" s="51" t="s">
        <v>632</v>
      </c>
      <c r="AK109" s="51"/>
      <c r="AL109" s="51" t="s">
        <v>59</v>
      </c>
      <c r="AN109" s="8">
        <v>126453</v>
      </c>
      <c r="AO109" s="8"/>
      <c r="AP109" s="8">
        <v>54002</v>
      </c>
      <c r="AQ109" s="8"/>
      <c r="AR109" s="8">
        <v>0</v>
      </c>
      <c r="AS109" s="8"/>
      <c r="AT109" s="8">
        <v>130000</v>
      </c>
      <c r="AU109" s="8"/>
      <c r="AV109" s="8">
        <v>15205</v>
      </c>
      <c r="AW109" s="8"/>
      <c r="AX109" s="8">
        <v>0</v>
      </c>
      <c r="AY109" s="8"/>
      <c r="AZ109" s="9">
        <f t="shared" si="5"/>
        <v>6323498</v>
      </c>
      <c r="BA109" s="8"/>
      <c r="BB109" s="8">
        <v>149199</v>
      </c>
      <c r="BC109" s="8"/>
      <c r="BD109" s="8"/>
      <c r="BE109" s="8"/>
      <c r="BF109" s="8"/>
      <c r="BG109" s="8"/>
      <c r="BH109" s="8">
        <v>0</v>
      </c>
      <c r="BI109" s="8"/>
      <c r="BJ109" s="9">
        <f t="shared" si="6"/>
        <v>6472697</v>
      </c>
      <c r="BK109" s="8"/>
      <c r="BL109" s="9">
        <f>'Gov Fd Rv'!AU109-'Gov Fnd Exp'!BJ109</f>
        <v>-121022</v>
      </c>
      <c r="BM109" s="8"/>
      <c r="BN109" s="8">
        <f>902650-400</f>
        <v>902250</v>
      </c>
      <c r="BO109" s="8"/>
      <c r="BP109" s="8">
        <v>0</v>
      </c>
      <c r="BQ109" s="8"/>
      <c r="BR109" s="8">
        <v>0</v>
      </c>
      <c r="BS109" s="8"/>
      <c r="BT109" s="9">
        <f t="shared" si="7"/>
        <v>781228</v>
      </c>
      <c r="BU109" s="9"/>
      <c r="BV109" s="9">
        <f>BT109-'Gov Fd BS'!AA109</f>
        <v>0</v>
      </c>
    </row>
    <row r="110" spans="1:74">
      <c r="A110" s="13" t="s">
        <v>699</v>
      </c>
      <c r="B110" s="13"/>
      <c r="C110" s="13" t="s">
        <v>65</v>
      </c>
      <c r="D110" s="13"/>
      <c r="E110" s="32">
        <v>43778</v>
      </c>
      <c r="G110" s="8">
        <v>8720520</v>
      </c>
      <c r="I110" s="8">
        <v>2600290</v>
      </c>
      <c r="K110" s="8">
        <v>247503</v>
      </c>
      <c r="M110" s="8">
        <v>0</v>
      </c>
      <c r="O110" s="8">
        <v>824479</v>
      </c>
      <c r="Q110" s="8">
        <v>1130620</v>
      </c>
      <c r="S110" s="8">
        <v>23717</v>
      </c>
      <c r="U110" s="8">
        <v>1440012</v>
      </c>
      <c r="W110" s="8">
        <v>353728</v>
      </c>
      <c r="Y110" s="8">
        <v>35426</v>
      </c>
      <c r="AA110" s="8">
        <v>1886101</v>
      </c>
      <c r="AC110" s="8">
        <v>706077</v>
      </c>
      <c r="AE110" s="8">
        <v>482409</v>
      </c>
      <c r="AG110" s="8">
        <v>747987</v>
      </c>
      <c r="AI110" s="8">
        <v>66314</v>
      </c>
      <c r="AJ110" s="13" t="s">
        <v>699</v>
      </c>
      <c r="AK110" s="13"/>
      <c r="AL110" s="13" t="s">
        <v>65</v>
      </c>
      <c r="AN110" s="8">
        <v>568144</v>
      </c>
      <c r="AP110" s="8">
        <v>77584</v>
      </c>
      <c r="AR110" s="8">
        <v>104136</v>
      </c>
      <c r="AT110" s="8">
        <v>329959</v>
      </c>
      <c r="AV110" s="8">
        <v>139027</v>
      </c>
      <c r="AX110" s="8">
        <v>0</v>
      </c>
      <c r="AZ110" s="9">
        <f t="shared" si="5"/>
        <v>20484033</v>
      </c>
      <c r="BB110" s="8">
        <v>59075</v>
      </c>
      <c r="BH110" s="8">
        <v>0</v>
      </c>
      <c r="BJ110" s="9">
        <f t="shared" si="6"/>
        <v>20543108</v>
      </c>
      <c r="BL110" s="9">
        <f>'Gov Fd Rv'!AU110-'Gov Fnd Exp'!BJ110</f>
        <v>-728200</v>
      </c>
      <c r="BN110" s="8">
        <v>3845628</v>
      </c>
      <c r="BP110" s="8">
        <v>-5556</v>
      </c>
      <c r="BR110" s="8">
        <v>0</v>
      </c>
      <c r="BT110" s="9">
        <f t="shared" si="7"/>
        <v>3111872</v>
      </c>
      <c r="BU110" s="9"/>
      <c r="BV110" s="9">
        <f>BT110-'Gov Fd BS'!AA110</f>
        <v>0</v>
      </c>
    </row>
    <row r="111" spans="1:74">
      <c r="A111" s="13" t="s">
        <v>614</v>
      </c>
      <c r="B111" s="13"/>
      <c r="C111" s="13" t="s">
        <v>113</v>
      </c>
      <c r="D111" s="13"/>
      <c r="E111" s="32">
        <v>49411</v>
      </c>
      <c r="G111" s="8">
        <v>5960520</v>
      </c>
      <c r="I111" s="8">
        <v>1379921</v>
      </c>
      <c r="K111" s="8">
        <v>161299</v>
      </c>
      <c r="M111" s="8">
        <v>659963</v>
      </c>
      <c r="O111" s="8">
        <v>565791</v>
      </c>
      <c r="Q111" s="8">
        <v>716185</v>
      </c>
      <c r="S111" s="8">
        <v>82455</v>
      </c>
      <c r="U111" s="8">
        <v>860075</v>
      </c>
      <c r="W111" s="8">
        <v>305206</v>
      </c>
      <c r="Y111" s="8">
        <v>0</v>
      </c>
      <c r="AA111" s="8">
        <v>1774888</v>
      </c>
      <c r="AC111" s="8">
        <v>1259403</v>
      </c>
      <c r="AE111" s="8">
        <v>56142</v>
      </c>
      <c r="AG111" s="8">
        <v>729754</v>
      </c>
      <c r="AI111" s="8">
        <v>26885</v>
      </c>
      <c r="AJ111" s="13" t="s">
        <v>614</v>
      </c>
      <c r="AK111" s="13"/>
      <c r="AL111" s="13" t="s">
        <v>113</v>
      </c>
      <c r="AN111" s="8">
        <v>482496</v>
      </c>
      <c r="AP111" s="8">
        <v>44135</v>
      </c>
      <c r="AR111" s="8">
        <v>0</v>
      </c>
      <c r="AT111" s="8">
        <v>315000</v>
      </c>
      <c r="AV111" s="8">
        <v>307654</v>
      </c>
      <c r="AX111" s="8">
        <v>0</v>
      </c>
      <c r="AZ111" s="9">
        <f t="shared" si="5"/>
        <v>15687772</v>
      </c>
      <c r="BB111" s="8">
        <v>25000</v>
      </c>
      <c r="BH111" s="8">
        <v>0</v>
      </c>
      <c r="BJ111" s="9">
        <f t="shared" si="6"/>
        <v>15712772</v>
      </c>
      <c r="BL111" s="9">
        <f>'Gov Fd Rv'!AU111-'Gov Fnd Exp'!BJ111</f>
        <v>698149</v>
      </c>
      <c r="BN111" s="8">
        <v>5142739</v>
      </c>
      <c r="BP111" s="8">
        <v>8422</v>
      </c>
      <c r="BR111" s="8">
        <v>0</v>
      </c>
      <c r="BT111" s="9">
        <f t="shared" si="7"/>
        <v>5849310</v>
      </c>
      <c r="BU111" s="9"/>
      <c r="BV111" s="9">
        <f>BT111-'Gov Fd BS'!AA111</f>
        <v>0</v>
      </c>
    </row>
    <row r="112" spans="1:74">
      <c r="A112" s="13" t="s">
        <v>491</v>
      </c>
      <c r="B112" s="13"/>
      <c r="C112" s="13" t="s">
        <v>44</v>
      </c>
      <c r="D112" s="13"/>
      <c r="E112" s="32">
        <v>48132</v>
      </c>
      <c r="G112" s="8">
        <v>6792645</v>
      </c>
      <c r="I112" s="8">
        <v>1194410</v>
      </c>
      <c r="K112" s="8">
        <v>147214</v>
      </c>
      <c r="M112" s="8">
        <v>0</v>
      </c>
      <c r="O112" s="8">
        <v>773770</v>
      </c>
      <c r="Q112" s="8">
        <v>538355</v>
      </c>
      <c r="S112" s="8">
        <v>50014</v>
      </c>
      <c r="U112" s="8">
        <v>983270</v>
      </c>
      <c r="W112" s="8">
        <v>398255</v>
      </c>
      <c r="Y112" s="8">
        <v>265848</v>
      </c>
      <c r="AA112" s="8">
        <v>1453088</v>
      </c>
      <c r="AC112" s="8">
        <v>317753</v>
      </c>
      <c r="AE112" s="8">
        <v>68213</v>
      </c>
      <c r="AG112" s="8">
        <v>850854</v>
      </c>
      <c r="AI112" s="8">
        <v>185149</v>
      </c>
      <c r="AJ112" s="13" t="s">
        <v>491</v>
      </c>
      <c r="AK112" s="13"/>
      <c r="AL112" s="13" t="s">
        <v>44</v>
      </c>
      <c r="AN112" s="8">
        <v>352844</v>
      </c>
      <c r="AP112" s="8">
        <v>0</v>
      </c>
      <c r="AR112" s="8">
        <v>0</v>
      </c>
      <c r="AT112" s="8">
        <v>210474</v>
      </c>
      <c r="AV112" s="8">
        <v>310465</v>
      </c>
      <c r="AX112" s="8">
        <v>0</v>
      </c>
      <c r="AZ112" s="9">
        <f t="shared" si="5"/>
        <v>14892621</v>
      </c>
      <c r="BB112" s="8">
        <v>346057</v>
      </c>
      <c r="BH112" s="8">
        <v>0</v>
      </c>
      <c r="BJ112" s="9">
        <f t="shared" si="6"/>
        <v>15238678</v>
      </c>
      <c r="BL112" s="9">
        <f>'Gov Fd Rv'!AU112-'Gov Fnd Exp'!BJ112</f>
        <v>763929</v>
      </c>
      <c r="BN112" s="8">
        <f>-1046524-99667</f>
        <v>-1146191</v>
      </c>
      <c r="BP112" s="8">
        <v>0</v>
      </c>
      <c r="BR112" s="8">
        <v>0</v>
      </c>
      <c r="BT112" s="9">
        <f t="shared" si="7"/>
        <v>-382262</v>
      </c>
      <c r="BU112" s="9"/>
      <c r="BV112" s="9">
        <f>BT112-'Gov Fd BS'!AA112</f>
        <v>0</v>
      </c>
    </row>
    <row r="113" spans="1:74">
      <c r="A113" s="13" t="s">
        <v>972</v>
      </c>
      <c r="B113" s="13"/>
      <c r="C113" s="13" t="s">
        <v>116</v>
      </c>
      <c r="D113" s="13"/>
      <c r="E113" s="32">
        <v>48132</v>
      </c>
      <c r="G113" s="8">
        <v>7736872</v>
      </c>
      <c r="I113" s="8">
        <v>2057461</v>
      </c>
      <c r="K113" s="8">
        <v>0</v>
      </c>
      <c r="M113" s="8">
        <v>274004</v>
      </c>
      <c r="O113" s="8">
        <v>668105</v>
      </c>
      <c r="Q113" s="8">
        <v>774503</v>
      </c>
      <c r="S113" s="8">
        <v>81160</v>
      </c>
      <c r="U113" s="8">
        <v>1555130</v>
      </c>
      <c r="W113" s="8">
        <v>514793</v>
      </c>
      <c r="Y113" s="8">
        <v>53589</v>
      </c>
      <c r="AA113" s="8">
        <v>1531343</v>
      </c>
      <c r="AC113" s="8">
        <v>1541669</v>
      </c>
      <c r="AE113" s="8">
        <v>269468</v>
      </c>
      <c r="AG113" s="8">
        <v>694678</v>
      </c>
      <c r="AI113" s="8">
        <v>0</v>
      </c>
      <c r="AJ113" s="13" t="s">
        <v>491</v>
      </c>
      <c r="AK113" s="13"/>
      <c r="AL113" s="13" t="s">
        <v>44</v>
      </c>
      <c r="AN113" s="8">
        <v>452761</v>
      </c>
      <c r="AP113" s="8">
        <v>0</v>
      </c>
      <c r="AR113" s="8">
        <v>0</v>
      </c>
      <c r="AT113" s="8">
        <v>445000</v>
      </c>
      <c r="AV113" s="8">
        <v>62989</v>
      </c>
      <c r="AX113" s="8">
        <v>197369</v>
      </c>
      <c r="AZ113" s="9">
        <f>SUM(G113:AX113)</f>
        <v>18910894</v>
      </c>
      <c r="BB113" s="8">
        <v>974611</v>
      </c>
      <c r="BH113" s="8">
        <v>0</v>
      </c>
      <c r="BJ113" s="9">
        <f>AZ113+BB113+BH113</f>
        <v>19885505</v>
      </c>
      <c r="BL113" s="9">
        <f>'Gov Fd Rv'!AU113-'Gov Fnd Exp'!BJ113</f>
        <v>-478498</v>
      </c>
      <c r="BN113" s="8">
        <v>4293511</v>
      </c>
      <c r="BP113" s="8">
        <v>0</v>
      </c>
      <c r="BR113" s="8">
        <v>27000</v>
      </c>
      <c r="BT113" s="9">
        <f>BL113+BN113+BP113+BR113</f>
        <v>3842013</v>
      </c>
      <c r="BU113" s="9"/>
      <c r="BV113" s="9">
        <f>BT113-'Gov Fd BS'!AA113</f>
        <v>0</v>
      </c>
    </row>
    <row r="114" spans="1:74">
      <c r="A114" s="13" t="s">
        <v>307</v>
      </c>
      <c r="B114" s="13"/>
      <c r="C114" s="13" t="s">
        <v>20</v>
      </c>
      <c r="D114" s="13"/>
      <c r="E114" s="32">
        <v>43794</v>
      </c>
      <c r="G114" s="8">
        <v>36489302</v>
      </c>
      <c r="I114" s="8">
        <v>9575382</v>
      </c>
      <c r="K114" s="8">
        <v>1718541</v>
      </c>
      <c r="M114" s="8">
        <v>4171864</v>
      </c>
      <c r="O114" s="8">
        <v>8718866</v>
      </c>
      <c r="Q114" s="8">
        <v>5992632</v>
      </c>
      <c r="S114" s="8">
        <v>545385</v>
      </c>
      <c r="U114" s="8">
        <v>7091960</v>
      </c>
      <c r="W114" s="8">
        <v>2076801</v>
      </c>
      <c r="Y114" s="8">
        <v>2249394</v>
      </c>
      <c r="AA114" s="8">
        <v>10331539</v>
      </c>
      <c r="AC114" s="8">
        <v>4080869</v>
      </c>
      <c r="AE114" s="8">
        <v>2926115</v>
      </c>
      <c r="AG114" s="8">
        <v>0</v>
      </c>
      <c r="AI114" s="8">
        <v>2071354</v>
      </c>
      <c r="AJ114" s="13" t="s">
        <v>307</v>
      </c>
      <c r="AK114" s="13"/>
      <c r="AL114" s="13" t="s">
        <v>20</v>
      </c>
      <c r="AN114" s="8">
        <v>1518699</v>
      </c>
      <c r="AP114" s="8">
        <v>2091645</v>
      </c>
      <c r="AR114" s="8">
        <v>0</v>
      </c>
      <c r="AT114" s="8">
        <v>1147357</v>
      </c>
      <c r="AV114" s="8">
        <v>709119</v>
      </c>
      <c r="AX114" s="8">
        <v>0</v>
      </c>
      <c r="AZ114" s="9">
        <f t="shared" si="5"/>
        <v>103506824</v>
      </c>
      <c r="BB114" s="8">
        <v>1528299</v>
      </c>
      <c r="BH114" s="8">
        <v>0</v>
      </c>
      <c r="BJ114" s="9">
        <f t="shared" si="6"/>
        <v>105035123</v>
      </c>
      <c r="BL114" s="9">
        <f>'Gov Fd Rv'!AU114-'Gov Fnd Exp'!BJ114</f>
        <v>10711439</v>
      </c>
      <c r="BN114" s="8">
        <f>61269898-796303</f>
        <v>60473595</v>
      </c>
      <c r="BP114" s="8">
        <v>0</v>
      </c>
      <c r="BR114" s="8">
        <v>0</v>
      </c>
      <c r="BT114" s="9">
        <f t="shared" si="7"/>
        <v>71185034</v>
      </c>
      <c r="BU114" s="9"/>
      <c r="BV114" s="9">
        <f>BT114-'Gov Fd BS'!AA114</f>
        <v>0</v>
      </c>
    </row>
    <row r="115" spans="1:74">
      <c r="A115" s="13" t="s">
        <v>308</v>
      </c>
      <c r="B115" s="13"/>
      <c r="C115" s="13" t="s">
        <v>20</v>
      </c>
      <c r="D115" s="13"/>
      <c r="E115" s="32">
        <v>43786</v>
      </c>
      <c r="G115" s="8">
        <v>318032298</v>
      </c>
      <c r="I115" s="8">
        <v>170005047</v>
      </c>
      <c r="K115" s="8">
        <v>14091870</v>
      </c>
      <c r="M115" s="8">
        <v>22710734</v>
      </c>
      <c r="O115" s="8">
        <v>34551766</v>
      </c>
      <c r="Q115" s="8">
        <v>49169705</v>
      </c>
      <c r="S115" s="8">
        <v>256012</v>
      </c>
      <c r="U115" s="8">
        <v>46455469</v>
      </c>
      <c r="W115" s="8">
        <v>11404888</v>
      </c>
      <c r="Y115" s="8">
        <v>1877131</v>
      </c>
      <c r="AA115" s="8">
        <v>60307795</v>
      </c>
      <c r="AC115" s="8">
        <v>26423864</v>
      </c>
      <c r="AE115" s="8">
        <v>15138926</v>
      </c>
      <c r="AG115" s="8">
        <v>0</v>
      </c>
      <c r="AI115" s="8">
        <v>42631226</v>
      </c>
      <c r="AJ115" s="13" t="s">
        <v>308</v>
      </c>
      <c r="AK115" s="13"/>
      <c r="AL115" s="13" t="s">
        <v>20</v>
      </c>
      <c r="AN115" s="8">
        <v>5945746</v>
      </c>
      <c r="AP115" s="8">
        <v>74185610</v>
      </c>
      <c r="AR115" s="8">
        <v>0</v>
      </c>
      <c r="AT115" s="8">
        <v>24665132</v>
      </c>
      <c r="AV115" s="8">
        <v>9633715</v>
      </c>
      <c r="AX115" s="8">
        <v>0</v>
      </c>
      <c r="AZ115" s="9">
        <f t="shared" si="5"/>
        <v>927486934</v>
      </c>
      <c r="BB115" s="8">
        <v>29532247</v>
      </c>
      <c r="BH115" s="8">
        <v>0</v>
      </c>
      <c r="BJ115" s="9">
        <f t="shared" si="6"/>
        <v>957019181</v>
      </c>
      <c r="BL115" s="9">
        <f>'Gov Fd Rv'!AU115-'Gov Fnd Exp'!BJ115</f>
        <v>-70085</v>
      </c>
      <c r="BN115" s="8">
        <v>274103376</v>
      </c>
      <c r="BP115" s="8">
        <v>0</v>
      </c>
      <c r="BR115" s="8">
        <v>0</v>
      </c>
      <c r="BT115" s="9">
        <f t="shared" si="7"/>
        <v>274033291</v>
      </c>
      <c r="BU115" s="9"/>
      <c r="BV115" s="9">
        <f>BT115-'Gov Fd BS'!AA115</f>
        <v>0</v>
      </c>
    </row>
    <row r="116" spans="1:74">
      <c r="A116" s="13" t="s">
        <v>279</v>
      </c>
      <c r="B116" s="13"/>
      <c r="C116" s="13" t="s">
        <v>18</v>
      </c>
      <c r="D116" s="13"/>
      <c r="E116" s="32">
        <v>46391</v>
      </c>
      <c r="G116" s="8">
        <v>6514123</v>
      </c>
      <c r="I116" s="8">
        <v>954551</v>
      </c>
      <c r="K116" s="8">
        <v>0</v>
      </c>
      <c r="M116" s="8">
        <v>1029722</v>
      </c>
      <c r="O116" s="8">
        <v>911247</v>
      </c>
      <c r="Q116" s="8">
        <v>1254617</v>
      </c>
      <c r="S116" s="8">
        <v>17092</v>
      </c>
      <c r="U116" s="8">
        <v>1109031</v>
      </c>
      <c r="W116" s="8">
        <v>450752</v>
      </c>
      <c r="Y116" s="8">
        <v>35186</v>
      </c>
      <c r="AA116" s="8">
        <v>1496850</v>
      </c>
      <c r="AC116" s="8">
        <v>1085773</v>
      </c>
      <c r="AE116" s="8">
        <v>8157</v>
      </c>
      <c r="AG116" s="8">
        <v>604590</v>
      </c>
      <c r="AI116" s="8">
        <v>8000</v>
      </c>
      <c r="AJ116" s="13" t="s">
        <v>279</v>
      </c>
      <c r="AK116" s="13"/>
      <c r="AL116" s="13" t="s">
        <v>18</v>
      </c>
      <c r="AN116" s="8">
        <v>589501</v>
      </c>
      <c r="AP116" s="8">
        <v>7859911</v>
      </c>
      <c r="AR116" s="8">
        <v>0</v>
      </c>
      <c r="AT116" s="8">
        <v>6909882</v>
      </c>
      <c r="AV116" s="8">
        <v>821286</v>
      </c>
      <c r="AX116" s="8">
        <v>0</v>
      </c>
      <c r="AZ116" s="9">
        <f t="shared" si="5"/>
        <v>31660271</v>
      </c>
      <c r="BB116" s="8">
        <v>650830</v>
      </c>
      <c r="BH116" s="8">
        <v>0</v>
      </c>
      <c r="BJ116" s="9">
        <f t="shared" si="6"/>
        <v>32311101</v>
      </c>
      <c r="BL116" s="9">
        <f>'Gov Fd Rv'!AU116-'Gov Fnd Exp'!BJ116</f>
        <v>15063523</v>
      </c>
      <c r="BN116" s="8">
        <v>8110602</v>
      </c>
      <c r="BP116" s="8">
        <v>0</v>
      </c>
      <c r="BR116" s="8">
        <v>0</v>
      </c>
      <c r="BT116" s="9">
        <f t="shared" si="7"/>
        <v>23174125</v>
      </c>
      <c r="BU116" s="9"/>
      <c r="BV116" s="9">
        <f>BT116-'Gov Fd BS'!AA116</f>
        <v>0</v>
      </c>
    </row>
    <row r="117" spans="1:74">
      <c r="A117" s="13" t="s">
        <v>533</v>
      </c>
      <c r="B117" s="13"/>
      <c r="C117" s="13" t="s">
        <v>47</v>
      </c>
      <c r="D117" s="13"/>
      <c r="E117" s="32">
        <v>48488</v>
      </c>
      <c r="G117" s="8">
        <v>16890949</v>
      </c>
      <c r="I117" s="8">
        <v>0</v>
      </c>
      <c r="K117" s="8">
        <v>0</v>
      </c>
      <c r="M117" s="8">
        <v>0</v>
      </c>
      <c r="O117" s="8">
        <v>1533510</v>
      </c>
      <c r="Q117" s="8">
        <v>1606247</v>
      </c>
      <c r="S117" s="8">
        <v>32444</v>
      </c>
      <c r="U117" s="8">
        <v>1951607</v>
      </c>
      <c r="W117" s="8">
        <v>655391</v>
      </c>
      <c r="Y117" s="8">
        <v>426483</v>
      </c>
      <c r="AA117" s="8">
        <v>2273068</v>
      </c>
      <c r="AC117" s="8">
        <v>2626319</v>
      </c>
      <c r="AE117" s="8">
        <v>211252</v>
      </c>
      <c r="AG117" s="8">
        <v>932159</v>
      </c>
      <c r="AI117" s="8">
        <v>561670</v>
      </c>
      <c r="AJ117" s="13" t="s">
        <v>533</v>
      </c>
      <c r="AK117" s="13"/>
      <c r="AL117" s="13" t="s">
        <v>47</v>
      </c>
      <c r="AN117" s="8">
        <v>814073</v>
      </c>
      <c r="AP117" s="8">
        <v>637376</v>
      </c>
      <c r="AR117" s="8">
        <v>0</v>
      </c>
      <c r="AT117" s="8">
        <v>0</v>
      </c>
      <c r="AV117" s="8">
        <v>9907</v>
      </c>
      <c r="AX117" s="8">
        <v>0</v>
      </c>
      <c r="AZ117" s="9">
        <f t="shared" si="5"/>
        <v>31162455</v>
      </c>
      <c r="BB117" s="8">
        <v>81208</v>
      </c>
      <c r="BH117" s="8">
        <v>0</v>
      </c>
      <c r="BJ117" s="9">
        <f t="shared" si="6"/>
        <v>31243663</v>
      </c>
      <c r="BL117" s="9">
        <f>'Gov Fd Rv'!AU117-'Gov Fnd Exp'!BJ117</f>
        <v>-1037658</v>
      </c>
      <c r="BN117" s="8">
        <f>1000963-214</f>
        <v>1000749</v>
      </c>
      <c r="BP117" s="8">
        <v>0</v>
      </c>
      <c r="BR117" s="8">
        <v>0</v>
      </c>
      <c r="BT117" s="9">
        <f t="shared" si="7"/>
        <v>-36909</v>
      </c>
      <c r="BU117" s="9"/>
      <c r="BV117" s="9">
        <f>BT117-'Gov Fd BS'!AA117</f>
        <v>0</v>
      </c>
    </row>
    <row r="118" spans="1:74">
      <c r="A118" s="13" t="s">
        <v>627</v>
      </c>
      <c r="B118" s="13"/>
      <c r="C118" s="13" t="s">
        <v>79</v>
      </c>
      <c r="D118" s="13"/>
      <c r="E118" s="32">
        <v>45302</v>
      </c>
      <c r="G118" s="8">
        <v>9438034</v>
      </c>
      <c r="I118" s="8">
        <v>2436665</v>
      </c>
      <c r="K118" s="8">
        <v>56049</v>
      </c>
      <c r="M118" s="8">
        <v>613015</v>
      </c>
      <c r="O118" s="8">
        <v>1119398</v>
      </c>
      <c r="Q118" s="8">
        <v>528369</v>
      </c>
      <c r="S118" s="8">
        <v>26365</v>
      </c>
      <c r="U118" s="8">
        <v>1766248</v>
      </c>
      <c r="W118" s="8">
        <v>570774</v>
      </c>
      <c r="Y118" s="8">
        <v>7546</v>
      </c>
      <c r="AA118" s="8">
        <v>1654409</v>
      </c>
      <c r="AC118" s="8">
        <v>957880</v>
      </c>
      <c r="AE118" s="8">
        <v>26661</v>
      </c>
      <c r="AG118" s="8">
        <v>931810</v>
      </c>
      <c r="AI118" s="8">
        <v>11169</v>
      </c>
      <c r="AJ118" s="13" t="s">
        <v>627</v>
      </c>
      <c r="AK118" s="13"/>
      <c r="AL118" s="13" t="s">
        <v>79</v>
      </c>
      <c r="AN118" s="8">
        <v>763557</v>
      </c>
      <c r="AP118" s="8">
        <v>174077</v>
      </c>
      <c r="AR118" s="8">
        <v>43949</v>
      </c>
      <c r="AT118" s="8">
        <v>314843</v>
      </c>
      <c r="AV118" s="8">
        <v>179655</v>
      </c>
      <c r="AX118" s="8">
        <v>254534</v>
      </c>
      <c r="AZ118" s="9">
        <f t="shared" si="5"/>
        <v>21875007</v>
      </c>
      <c r="BB118" s="8">
        <v>0</v>
      </c>
      <c r="BH118" s="8">
        <v>0</v>
      </c>
      <c r="BJ118" s="9">
        <f t="shared" si="6"/>
        <v>21875007</v>
      </c>
      <c r="BL118" s="9">
        <f>'Gov Fd Rv'!AU118-'Gov Fnd Exp'!BJ118</f>
        <v>23664324</v>
      </c>
      <c r="BN118" s="8">
        <f>1895830-981611</f>
        <v>914219</v>
      </c>
      <c r="BP118" s="8">
        <v>1399</v>
      </c>
      <c r="BR118" s="8">
        <v>0</v>
      </c>
      <c r="BT118" s="9">
        <f t="shared" si="7"/>
        <v>24579942</v>
      </c>
      <c r="BU118" s="9"/>
      <c r="BV118" s="9">
        <f>BT118-'Gov Fd BS'!AA118</f>
        <v>0</v>
      </c>
    </row>
    <row r="119" spans="1:74">
      <c r="A119" s="13" t="s">
        <v>296</v>
      </c>
      <c r="B119" s="13"/>
      <c r="C119" s="13" t="s">
        <v>114</v>
      </c>
      <c r="D119" s="13"/>
      <c r="E119" s="32">
        <v>46516</v>
      </c>
      <c r="G119" s="8">
        <v>4004673</v>
      </c>
      <c r="I119" s="8">
        <v>1103699</v>
      </c>
      <c r="K119" s="8">
        <v>0</v>
      </c>
      <c r="M119" s="8">
        <v>3926</v>
      </c>
      <c r="O119" s="8">
        <v>457361</v>
      </c>
      <c r="Q119" s="8">
        <v>225288</v>
      </c>
      <c r="S119" s="8">
        <v>32559</v>
      </c>
      <c r="U119" s="8">
        <v>649279</v>
      </c>
      <c r="W119" s="8">
        <v>330151</v>
      </c>
      <c r="Y119" s="8">
        <v>234</v>
      </c>
      <c r="AA119" s="8">
        <v>767172</v>
      </c>
      <c r="AC119" s="8">
        <v>603770</v>
      </c>
      <c r="AE119" s="8">
        <v>41473</v>
      </c>
      <c r="AG119" s="8">
        <v>353011</v>
      </c>
      <c r="AI119" s="8">
        <v>35852</v>
      </c>
      <c r="AJ119" s="13" t="s">
        <v>296</v>
      </c>
      <c r="AK119" s="13"/>
      <c r="AL119" s="13" t="s">
        <v>114</v>
      </c>
      <c r="AN119" s="8">
        <v>344301</v>
      </c>
      <c r="AP119" s="8">
        <v>130960</v>
      </c>
      <c r="AR119" s="8">
        <v>0</v>
      </c>
      <c r="AT119" s="8">
        <v>500117</v>
      </c>
      <c r="AV119" s="8">
        <v>450549</v>
      </c>
      <c r="AX119" s="8">
        <v>161605</v>
      </c>
      <c r="AZ119" s="9">
        <f t="shared" si="5"/>
        <v>10195980</v>
      </c>
      <c r="BB119" s="8">
        <v>348506</v>
      </c>
      <c r="BH119" s="8">
        <v>9898264</v>
      </c>
      <c r="BJ119" s="9">
        <f t="shared" si="6"/>
        <v>20442750</v>
      </c>
      <c r="BL119" s="9">
        <f>'Gov Fd Rv'!AU119-'Gov Fnd Exp'!BJ119</f>
        <v>-316637</v>
      </c>
      <c r="BN119" s="8">
        <v>3074237</v>
      </c>
      <c r="BP119" s="8">
        <v>0</v>
      </c>
      <c r="BR119" s="8">
        <v>0</v>
      </c>
      <c r="BT119" s="9">
        <f t="shared" si="7"/>
        <v>2757600</v>
      </c>
      <c r="BU119" s="9"/>
      <c r="BV119" s="9">
        <f>BT119-'Gov Fd BS'!AA119</f>
        <v>0</v>
      </c>
    </row>
    <row r="120" spans="1:74">
      <c r="A120" s="13" t="s">
        <v>492</v>
      </c>
      <c r="B120" s="13"/>
      <c r="C120" s="13" t="s">
        <v>44</v>
      </c>
      <c r="D120" s="13"/>
      <c r="E120" s="32">
        <v>48140</v>
      </c>
      <c r="G120" s="8">
        <v>5680535</v>
      </c>
      <c r="I120" s="8">
        <v>678040</v>
      </c>
      <c r="K120" s="8">
        <v>79039</v>
      </c>
      <c r="M120" s="8">
        <v>0</v>
      </c>
      <c r="O120" s="8">
        <v>612399</v>
      </c>
      <c r="Q120" s="8">
        <v>358465</v>
      </c>
      <c r="S120" s="8">
        <v>59047</v>
      </c>
      <c r="U120" s="8">
        <v>1070128</v>
      </c>
      <c r="W120" s="8">
        <v>394021</v>
      </c>
      <c r="Y120" s="8">
        <v>0</v>
      </c>
      <c r="AA120" s="8">
        <v>1106009</v>
      </c>
      <c r="AC120" s="8">
        <v>882673</v>
      </c>
      <c r="AE120" s="8">
        <v>124648</v>
      </c>
      <c r="AG120" s="8">
        <v>319171</v>
      </c>
      <c r="AI120" s="8">
        <v>210</v>
      </c>
      <c r="AJ120" s="13" t="s">
        <v>492</v>
      </c>
      <c r="AK120" s="13"/>
      <c r="AL120" s="13" t="s">
        <v>44</v>
      </c>
      <c r="AN120" s="8">
        <v>401053</v>
      </c>
      <c r="AP120" s="8">
        <v>329941</v>
      </c>
      <c r="AR120" s="8">
        <v>0</v>
      </c>
      <c r="AT120" s="8">
        <v>0</v>
      </c>
      <c r="AV120" s="8">
        <v>0</v>
      </c>
      <c r="AX120" s="8">
        <v>0</v>
      </c>
      <c r="AZ120" s="9">
        <f t="shared" si="5"/>
        <v>12095379</v>
      </c>
      <c r="BB120" s="8">
        <v>34500</v>
      </c>
      <c r="BH120" s="8">
        <v>0</v>
      </c>
      <c r="BJ120" s="9">
        <f t="shared" si="6"/>
        <v>12129879</v>
      </c>
      <c r="BL120" s="9">
        <f>'Gov Fd Rv'!AU120-'Gov Fnd Exp'!BJ120</f>
        <v>-1219975</v>
      </c>
      <c r="BN120" s="8">
        <v>3649766</v>
      </c>
      <c r="BP120" s="8">
        <v>0</v>
      </c>
      <c r="BR120" s="8">
        <v>0</v>
      </c>
      <c r="BT120" s="9">
        <f t="shared" si="7"/>
        <v>2429791</v>
      </c>
      <c r="BU120" s="9"/>
      <c r="BV120" s="9">
        <f>BT120-'Gov Fd BS'!AA120</f>
        <v>0</v>
      </c>
    </row>
    <row r="121" spans="1:74">
      <c r="A121" s="13" t="s">
        <v>283</v>
      </c>
      <c r="B121" s="13"/>
      <c r="C121" s="13" t="s">
        <v>115</v>
      </c>
      <c r="D121" s="13"/>
      <c r="E121" s="32">
        <v>45328</v>
      </c>
      <c r="G121" s="8">
        <v>4630119</v>
      </c>
      <c r="I121" s="8">
        <v>1345904</v>
      </c>
      <c r="K121" s="8">
        <v>0</v>
      </c>
      <c r="M121" s="8">
        <v>0</v>
      </c>
      <c r="O121" s="8">
        <v>263447</v>
      </c>
      <c r="Q121" s="8">
        <v>156883</v>
      </c>
      <c r="S121" s="8">
        <v>18607</v>
      </c>
      <c r="U121" s="8">
        <v>715735</v>
      </c>
      <c r="W121" s="8">
        <v>351983</v>
      </c>
      <c r="Y121" s="8">
        <v>0</v>
      </c>
      <c r="AA121" s="8">
        <v>656309</v>
      </c>
      <c r="AC121" s="8">
        <v>299621</v>
      </c>
      <c r="AE121" s="8">
        <v>0</v>
      </c>
      <c r="AG121" s="8">
        <v>302632</v>
      </c>
      <c r="AI121" s="8">
        <v>0</v>
      </c>
      <c r="AJ121" s="13" t="s">
        <v>283</v>
      </c>
      <c r="AK121" s="13"/>
      <c r="AL121" s="13" t="s">
        <v>115</v>
      </c>
      <c r="AN121" s="8">
        <v>412371</v>
      </c>
      <c r="AP121" s="8">
        <v>209180</v>
      </c>
      <c r="AR121" s="8">
        <v>0</v>
      </c>
      <c r="AT121" s="8">
        <v>612310</v>
      </c>
      <c r="AV121" s="8">
        <v>415376</v>
      </c>
      <c r="AX121" s="8">
        <v>0</v>
      </c>
      <c r="AZ121" s="9">
        <f t="shared" si="5"/>
        <v>10390477</v>
      </c>
      <c r="BB121" s="8">
        <v>0</v>
      </c>
      <c r="BH121" s="8">
        <v>0</v>
      </c>
      <c r="BJ121" s="9">
        <f t="shared" si="6"/>
        <v>10390477</v>
      </c>
      <c r="BL121" s="9">
        <f>'Gov Fd Rv'!AU121-'Gov Fnd Exp'!BJ121</f>
        <v>247929</v>
      </c>
      <c r="BN121" s="8">
        <f>3058710-2035</f>
        <v>3056675</v>
      </c>
      <c r="BP121" s="8">
        <v>0</v>
      </c>
      <c r="BR121" s="8">
        <v>0</v>
      </c>
      <c r="BT121" s="9">
        <f t="shared" si="7"/>
        <v>3304604</v>
      </c>
      <c r="BU121" s="9"/>
      <c r="BV121" s="9">
        <f>BT121-'Gov Fd BS'!AA121</f>
        <v>0</v>
      </c>
    </row>
    <row r="122" spans="1:74">
      <c r="A122" s="13" t="s">
        <v>358</v>
      </c>
      <c r="B122" s="13"/>
      <c r="C122" s="13" t="s">
        <v>27</v>
      </c>
      <c r="D122" s="13"/>
      <c r="E122" s="32">
        <v>43802</v>
      </c>
      <c r="G122" s="8">
        <v>305407945</v>
      </c>
      <c r="I122" s="8">
        <v>92952352</v>
      </c>
      <c r="K122" s="8">
        <v>9644312</v>
      </c>
      <c r="M122" s="8">
        <v>16473573</v>
      </c>
      <c r="O122" s="8">
        <v>48950800</v>
      </c>
      <c r="Q122" s="8">
        <v>68691546</v>
      </c>
      <c r="S122" s="8">
        <v>0</v>
      </c>
      <c r="U122" s="8">
        <v>48330670</v>
      </c>
      <c r="W122" s="8">
        <v>21399148</v>
      </c>
      <c r="Y122" s="8">
        <v>0</v>
      </c>
      <c r="AA122" s="8">
        <v>67728958</v>
      </c>
      <c r="AC122" s="8">
        <v>49552172</v>
      </c>
      <c r="AE122" s="8">
        <v>23458382</v>
      </c>
      <c r="AG122" s="8">
        <v>0</v>
      </c>
      <c r="AI122" s="8">
        <v>36068288</v>
      </c>
      <c r="AJ122" s="13" t="s">
        <v>358</v>
      </c>
      <c r="AK122" s="13"/>
      <c r="AL122" s="13" t="s">
        <v>27</v>
      </c>
      <c r="AN122" s="8">
        <v>7345523</v>
      </c>
      <c r="AP122" s="8">
        <v>152753631</v>
      </c>
      <c r="AR122" s="8">
        <v>0</v>
      </c>
      <c r="AT122" s="8">
        <v>46323632</v>
      </c>
      <c r="AV122" s="8">
        <v>16649779</v>
      </c>
      <c r="AX122" s="8">
        <v>132628</v>
      </c>
      <c r="AZ122" s="9">
        <f t="shared" si="5"/>
        <v>1011863339</v>
      </c>
      <c r="BB122" s="8">
        <v>10494172</v>
      </c>
      <c r="BH122" s="8">
        <v>7089055</v>
      </c>
      <c r="BJ122" s="9">
        <f t="shared" si="6"/>
        <v>1029446566</v>
      </c>
      <c r="BL122" s="9">
        <f>'Gov Fd Rv'!AU122-'Gov Fnd Exp'!BJ122</f>
        <v>-104995314</v>
      </c>
      <c r="BN122" s="8">
        <f>446660880-89927</f>
        <v>446570953</v>
      </c>
      <c r="BP122" s="8">
        <v>0</v>
      </c>
      <c r="BR122" s="8">
        <v>0</v>
      </c>
      <c r="BT122" s="9">
        <f t="shared" si="7"/>
        <v>341575639</v>
      </c>
      <c r="BU122" s="9"/>
      <c r="BV122" s="9">
        <f>BT122-'Gov Fd BS'!AA122</f>
        <v>0</v>
      </c>
    </row>
    <row r="123" spans="1:74">
      <c r="A123" s="13" t="s">
        <v>220</v>
      </c>
      <c r="B123" s="13"/>
      <c r="C123" s="13" t="s">
        <v>12</v>
      </c>
      <c r="D123" s="13"/>
      <c r="E123" s="32">
        <v>43810</v>
      </c>
      <c r="G123" s="8">
        <v>8656407</v>
      </c>
      <c r="I123" s="8">
        <v>2695001</v>
      </c>
      <c r="K123" s="8">
        <v>50115</v>
      </c>
      <c r="M123" s="8">
        <v>0</v>
      </c>
      <c r="O123" s="8">
        <v>1067248</v>
      </c>
      <c r="Q123" s="8">
        <v>1225992</v>
      </c>
      <c r="S123" s="8">
        <v>39052</v>
      </c>
      <c r="U123" s="8">
        <v>1709928</v>
      </c>
      <c r="W123" s="8">
        <v>420711</v>
      </c>
      <c r="Y123" s="8">
        <v>0</v>
      </c>
      <c r="AA123" s="8">
        <v>2260217</v>
      </c>
      <c r="AC123" s="8">
        <v>932978</v>
      </c>
      <c r="AE123" s="8">
        <v>66135</v>
      </c>
      <c r="AG123" s="8">
        <v>918937</v>
      </c>
      <c r="AI123" s="8">
        <v>0</v>
      </c>
      <c r="AJ123" s="13" t="s">
        <v>220</v>
      </c>
      <c r="AK123" s="13"/>
      <c r="AL123" s="13" t="s">
        <v>12</v>
      </c>
      <c r="AN123" s="8">
        <v>418787</v>
      </c>
      <c r="AP123" s="8">
        <v>217150</v>
      </c>
      <c r="AR123" s="8">
        <v>0</v>
      </c>
      <c r="AT123" s="8">
        <v>240000</v>
      </c>
      <c r="AV123" s="8">
        <v>245740</v>
      </c>
      <c r="AX123" s="8">
        <v>0</v>
      </c>
      <c r="AZ123" s="9">
        <f t="shared" si="5"/>
        <v>21164398</v>
      </c>
      <c r="BB123" s="8">
        <v>13124</v>
      </c>
      <c r="BH123" s="8">
        <v>0</v>
      </c>
      <c r="BJ123" s="9">
        <f t="shared" si="6"/>
        <v>21177522</v>
      </c>
      <c r="BL123" s="9">
        <f>'Gov Fd Rv'!AU123-'Gov Fnd Exp'!BJ123</f>
        <v>443144</v>
      </c>
      <c r="BN123" s="8">
        <v>6213890</v>
      </c>
      <c r="BP123" s="8">
        <v>0</v>
      </c>
      <c r="BR123" s="8">
        <v>0</v>
      </c>
      <c r="BT123" s="9">
        <f t="shared" si="7"/>
        <v>6657034</v>
      </c>
      <c r="BU123" s="9"/>
      <c r="BV123" s="9">
        <f>BT123-'Gov Fd BS'!AA123</f>
        <v>0</v>
      </c>
    </row>
    <row r="124" spans="1:74">
      <c r="A124" s="13" t="s">
        <v>432</v>
      </c>
      <c r="B124" s="13"/>
      <c r="C124" s="13" t="s">
        <v>433</v>
      </c>
      <c r="D124" s="13"/>
      <c r="E124" s="13">
        <v>47548</v>
      </c>
      <c r="G124" s="8">
        <v>2480514</v>
      </c>
      <c r="I124" s="8">
        <v>595559</v>
      </c>
      <c r="K124" s="8">
        <v>67166</v>
      </c>
      <c r="M124" s="8">
        <v>45263</v>
      </c>
      <c r="O124" s="8">
        <v>242637</v>
      </c>
      <c r="Q124" s="8">
        <v>306939</v>
      </c>
      <c r="S124" s="8">
        <v>12378</v>
      </c>
      <c r="U124" s="8">
        <v>542399</v>
      </c>
      <c r="W124" s="8">
        <v>230539</v>
      </c>
      <c r="Y124" s="8">
        <v>0</v>
      </c>
      <c r="AA124" s="8">
        <v>497938</v>
      </c>
      <c r="AC124" s="8">
        <v>396994</v>
      </c>
      <c r="AE124" s="8">
        <v>12293</v>
      </c>
      <c r="AG124" s="8">
        <v>266004</v>
      </c>
      <c r="AI124" s="8">
        <v>2700</v>
      </c>
      <c r="AJ124" s="13" t="s">
        <v>432</v>
      </c>
      <c r="AK124" s="13"/>
      <c r="AL124" s="13" t="s">
        <v>433</v>
      </c>
      <c r="AN124" s="8">
        <v>143017</v>
      </c>
      <c r="AP124" s="8">
        <v>0</v>
      </c>
      <c r="AR124" s="8">
        <v>0</v>
      </c>
      <c r="AT124" s="8">
        <v>12625</v>
      </c>
      <c r="AV124" s="8">
        <v>4115</v>
      </c>
      <c r="AX124" s="8">
        <v>0</v>
      </c>
      <c r="AZ124" s="9">
        <f t="shared" si="5"/>
        <v>5859080</v>
      </c>
      <c r="BB124" s="8">
        <v>142000</v>
      </c>
      <c r="BH124" s="8">
        <v>0</v>
      </c>
      <c r="BJ124" s="9">
        <f t="shared" si="6"/>
        <v>6001080</v>
      </c>
      <c r="BL124" s="9">
        <f>'Gov Fd Rv'!AU124-'Gov Fnd Exp'!BJ124</f>
        <v>147775</v>
      </c>
      <c r="BN124" s="8">
        <v>1585986</v>
      </c>
      <c r="BP124" s="8">
        <v>0</v>
      </c>
      <c r="BR124" s="8">
        <v>0</v>
      </c>
      <c r="BT124" s="9">
        <f t="shared" si="7"/>
        <v>1733761</v>
      </c>
      <c r="BU124" s="9"/>
      <c r="BV124" s="9">
        <f>BT124-'Gov Fd BS'!AA124</f>
        <v>0</v>
      </c>
    </row>
    <row r="125" spans="1:74">
      <c r="A125" s="13" t="s">
        <v>669</v>
      </c>
      <c r="B125" s="13"/>
      <c r="C125" s="13" t="s">
        <v>63</v>
      </c>
      <c r="D125" s="13"/>
      <c r="E125" s="13">
        <v>49981</v>
      </c>
      <c r="G125" s="8">
        <v>15660815</v>
      </c>
      <c r="I125" s="8">
        <v>2310536</v>
      </c>
      <c r="K125" s="8">
        <v>735654</v>
      </c>
      <c r="M125" s="8">
        <v>0</v>
      </c>
      <c r="O125" s="8">
        <v>1596675</v>
      </c>
      <c r="Q125" s="8">
        <v>1596038</v>
      </c>
      <c r="S125" s="8">
        <v>147645</v>
      </c>
      <c r="U125" s="8">
        <v>1655656</v>
      </c>
      <c r="W125" s="8">
        <v>755667</v>
      </c>
      <c r="Y125" s="8">
        <v>119925</v>
      </c>
      <c r="AA125" s="8">
        <v>3229978</v>
      </c>
      <c r="AC125" s="8">
        <v>1477479</v>
      </c>
      <c r="AE125" s="8">
        <v>217757</v>
      </c>
      <c r="AG125" s="8">
        <v>901014</v>
      </c>
      <c r="AI125" s="8">
        <v>858790</v>
      </c>
      <c r="AJ125" s="13" t="s">
        <v>669</v>
      </c>
      <c r="AK125" s="13"/>
      <c r="AL125" s="13" t="s">
        <v>63</v>
      </c>
      <c r="AN125" s="8">
        <v>976356</v>
      </c>
      <c r="AP125" s="8">
        <v>3602175</v>
      </c>
      <c r="AR125" s="8">
        <v>0</v>
      </c>
      <c r="AT125" s="8">
        <v>1346041</v>
      </c>
      <c r="AV125" s="8">
        <v>341087</v>
      </c>
      <c r="AX125" s="8">
        <v>0</v>
      </c>
      <c r="AZ125" s="9">
        <f t="shared" si="5"/>
        <v>37529288</v>
      </c>
      <c r="BB125" s="8">
        <v>30000</v>
      </c>
      <c r="BH125" s="8">
        <v>0</v>
      </c>
      <c r="BJ125" s="9">
        <f t="shared" si="6"/>
        <v>37559288</v>
      </c>
      <c r="BL125" s="9">
        <f>'Gov Fd Rv'!AU125-'Gov Fnd Exp'!BJ125</f>
        <v>-3475051</v>
      </c>
      <c r="BN125" s="8">
        <v>12985626</v>
      </c>
      <c r="BP125" s="8">
        <v>0</v>
      </c>
      <c r="BR125" s="8">
        <v>0</v>
      </c>
      <c r="BT125" s="9">
        <f t="shared" si="7"/>
        <v>9510575</v>
      </c>
      <c r="BU125" s="9"/>
      <c r="BV125" s="9">
        <f>BT125-'Gov Fd BS'!AA125</f>
        <v>0</v>
      </c>
    </row>
    <row r="126" spans="1:74">
      <c r="A126" s="13" t="s">
        <v>420</v>
      </c>
      <c r="B126" s="13"/>
      <c r="C126" s="13" t="s">
        <v>33</v>
      </c>
      <c r="D126" s="13"/>
      <c r="E126" s="32">
        <v>47431</v>
      </c>
      <c r="G126" s="8">
        <v>3107561</v>
      </c>
      <c r="I126" s="8">
        <v>668002</v>
      </c>
      <c r="K126" s="8">
        <v>227400</v>
      </c>
      <c r="M126" s="8">
        <v>0</v>
      </c>
      <c r="O126" s="8">
        <v>207758</v>
      </c>
      <c r="Q126" s="8">
        <v>382368</v>
      </c>
      <c r="S126" s="8">
        <v>48259</v>
      </c>
      <c r="U126" s="8">
        <v>720858</v>
      </c>
      <c r="W126" s="8">
        <v>220472</v>
      </c>
      <c r="Y126" s="8">
        <v>0</v>
      </c>
      <c r="AA126" s="8">
        <v>704252</v>
      </c>
      <c r="AC126" s="8">
        <v>405461</v>
      </c>
      <c r="AE126" s="8">
        <v>11632</v>
      </c>
      <c r="AG126" s="8">
        <v>0</v>
      </c>
      <c r="AI126" s="8">
        <v>264439</v>
      </c>
      <c r="AJ126" s="13" t="s">
        <v>420</v>
      </c>
      <c r="AK126" s="13"/>
      <c r="AL126" s="13" t="s">
        <v>33</v>
      </c>
      <c r="AN126" s="8">
        <v>300812</v>
      </c>
      <c r="AP126" s="8">
        <v>13925</v>
      </c>
      <c r="AR126" s="8">
        <v>0</v>
      </c>
      <c r="AT126" s="8">
        <v>3670</v>
      </c>
      <c r="AV126" s="8">
        <v>2503</v>
      </c>
      <c r="AX126" s="8">
        <v>0</v>
      </c>
      <c r="AZ126" s="9">
        <f t="shared" si="5"/>
        <v>7289372</v>
      </c>
      <c r="BB126" s="8">
        <v>26684</v>
      </c>
      <c r="BH126" s="8">
        <v>1014</v>
      </c>
      <c r="BJ126" s="9">
        <f t="shared" si="6"/>
        <v>7317070</v>
      </c>
      <c r="BL126" s="9">
        <f>'Gov Fd Rv'!AU126-'Gov Fnd Exp'!BJ126</f>
        <v>-150958</v>
      </c>
      <c r="BN126" s="8">
        <v>620025</v>
      </c>
      <c r="BP126" s="8">
        <v>0</v>
      </c>
      <c r="BR126" s="8">
        <v>0</v>
      </c>
      <c r="BT126" s="9">
        <f t="shared" si="7"/>
        <v>469067</v>
      </c>
      <c r="BU126" s="9"/>
      <c r="BV126" s="9">
        <f>BT126-'Gov Fd BS'!AA126</f>
        <v>0</v>
      </c>
    </row>
    <row r="127" spans="1:74">
      <c r="A127" s="13" t="s">
        <v>291</v>
      </c>
      <c r="B127" s="13"/>
      <c r="C127" s="13" t="s">
        <v>19</v>
      </c>
      <c r="D127" s="13"/>
      <c r="E127" s="32">
        <v>43828</v>
      </c>
      <c r="G127" s="8">
        <v>10670662</v>
      </c>
      <c r="I127" s="8">
        <v>0</v>
      </c>
      <c r="K127" s="8">
        <v>0</v>
      </c>
      <c r="M127" s="8">
        <v>0</v>
      </c>
      <c r="O127" s="8">
        <v>736601</v>
      </c>
      <c r="Q127" s="8">
        <v>699752</v>
      </c>
      <c r="S127" s="8">
        <v>28342</v>
      </c>
      <c r="U127" s="8">
        <v>1355141</v>
      </c>
      <c r="W127" s="8">
        <v>435851</v>
      </c>
      <c r="Y127" s="8">
        <v>247766</v>
      </c>
      <c r="AA127" s="8">
        <v>1531559</v>
      </c>
      <c r="AC127" s="8">
        <v>317302</v>
      </c>
      <c r="AE127" s="8">
        <v>32960</v>
      </c>
      <c r="AG127" s="8">
        <v>790911</v>
      </c>
      <c r="AI127" s="8">
        <v>85512</v>
      </c>
      <c r="AJ127" s="13" t="s">
        <v>291</v>
      </c>
      <c r="AK127" s="13"/>
      <c r="AL127" s="13" t="s">
        <v>19</v>
      </c>
      <c r="AN127" s="8">
        <v>424317</v>
      </c>
      <c r="AP127" s="8">
        <v>227055</v>
      </c>
      <c r="AR127" s="8">
        <v>0</v>
      </c>
      <c r="AT127" s="8">
        <v>0</v>
      </c>
      <c r="AV127" s="8">
        <v>0</v>
      </c>
      <c r="AX127" s="8">
        <v>0</v>
      </c>
      <c r="AZ127" s="9">
        <f t="shared" si="5"/>
        <v>17583731</v>
      </c>
      <c r="BB127" s="8">
        <v>113</v>
      </c>
      <c r="BH127" s="8">
        <v>0</v>
      </c>
      <c r="BJ127" s="9">
        <f t="shared" si="6"/>
        <v>17583844</v>
      </c>
      <c r="BL127" s="9">
        <f>'Gov Fd Rv'!AU127-'Gov Fnd Exp'!BJ127</f>
        <v>-86713</v>
      </c>
      <c r="BN127" s="8">
        <f>-878464-113</f>
        <v>-878577</v>
      </c>
      <c r="BP127" s="8">
        <v>-3085</v>
      </c>
      <c r="BR127" s="8">
        <v>0</v>
      </c>
      <c r="BT127" s="9">
        <f t="shared" si="7"/>
        <v>-968375</v>
      </c>
      <c r="BU127" s="9"/>
      <c r="BV127" s="9">
        <f>BT127-'Gov Fd BS'!AA127</f>
        <v>0</v>
      </c>
    </row>
    <row r="128" spans="1:74">
      <c r="A128" s="13" t="s">
        <v>832</v>
      </c>
      <c r="B128" s="13"/>
      <c r="C128" s="13" t="s">
        <v>63</v>
      </c>
      <c r="D128" s="13"/>
      <c r="E128" s="32"/>
      <c r="G128" s="8">
        <v>9030341</v>
      </c>
      <c r="I128" s="8">
        <v>2124910</v>
      </c>
      <c r="K128" s="8">
        <v>235975</v>
      </c>
      <c r="M128" s="8">
        <v>575908</v>
      </c>
      <c r="O128" s="8">
        <v>927277</v>
      </c>
      <c r="Q128" s="8">
        <v>1089102</v>
      </c>
      <c r="S128" s="8">
        <v>48346</v>
      </c>
      <c r="U128" s="8">
        <v>1989921</v>
      </c>
      <c r="W128" s="8">
        <v>565947</v>
      </c>
      <c r="Y128" s="8">
        <v>34546</v>
      </c>
      <c r="AA128" s="8">
        <v>2369545</v>
      </c>
      <c r="AC128" s="8">
        <v>1050285</v>
      </c>
      <c r="AE128" s="8">
        <v>167743</v>
      </c>
      <c r="AG128" s="8">
        <v>767124</v>
      </c>
      <c r="AI128" s="8">
        <v>339435</v>
      </c>
      <c r="AJ128" s="13" t="s">
        <v>832</v>
      </c>
      <c r="AK128" s="13"/>
      <c r="AL128" s="13" t="s">
        <v>63</v>
      </c>
      <c r="AN128" s="8">
        <v>487347</v>
      </c>
      <c r="AP128" s="8">
        <v>763867</v>
      </c>
      <c r="AR128" s="8">
        <v>0</v>
      </c>
      <c r="AT128" s="8">
        <v>375220</v>
      </c>
      <c r="AV128" s="8">
        <v>222131</v>
      </c>
      <c r="AX128" s="8">
        <v>0</v>
      </c>
      <c r="AZ128" s="9">
        <f t="shared" si="5"/>
        <v>23164970</v>
      </c>
      <c r="BB128" s="8">
        <v>41160</v>
      </c>
      <c r="BH128" s="8">
        <v>0</v>
      </c>
      <c r="BJ128" s="9">
        <f t="shared" si="6"/>
        <v>23206130</v>
      </c>
      <c r="BL128" s="9">
        <f>'Gov Fd Rv'!AU128-'Gov Fnd Exp'!BJ128</f>
        <v>-293138</v>
      </c>
      <c r="BN128" s="8">
        <v>-453496</v>
      </c>
      <c r="BP128" s="8">
        <v>0</v>
      </c>
      <c r="BR128" s="8">
        <v>0</v>
      </c>
      <c r="BT128" s="9">
        <f t="shared" si="7"/>
        <v>-746634</v>
      </c>
      <c r="BU128" s="9"/>
      <c r="BV128" s="9">
        <f>BT128-'Gov Fd BS'!AA128</f>
        <v>0</v>
      </c>
    </row>
    <row r="129" spans="1:74">
      <c r="A129" s="13" t="s">
        <v>544</v>
      </c>
      <c r="B129" s="13"/>
      <c r="C129" s="13" t="s">
        <v>48</v>
      </c>
      <c r="D129" s="13"/>
      <c r="E129" s="32">
        <v>45336</v>
      </c>
      <c r="G129" s="8">
        <v>3425722</v>
      </c>
      <c r="I129" s="8">
        <v>678372</v>
      </c>
      <c r="K129" s="8">
        <v>0</v>
      </c>
      <c r="M129" s="8">
        <v>5013</v>
      </c>
      <c r="O129" s="8">
        <v>284700</v>
      </c>
      <c r="Q129" s="8">
        <v>324003</v>
      </c>
      <c r="S129" s="8">
        <v>14705</v>
      </c>
      <c r="U129" s="8">
        <v>730858</v>
      </c>
      <c r="W129" s="8">
        <v>213584</v>
      </c>
      <c r="Y129" s="8">
        <v>0</v>
      </c>
      <c r="AA129" s="8">
        <v>548956</v>
      </c>
      <c r="AC129" s="8">
        <v>244444</v>
      </c>
      <c r="AE129" s="8">
        <v>132092</v>
      </c>
      <c r="AG129" s="8">
        <v>281362</v>
      </c>
      <c r="AI129" s="8">
        <v>95595</v>
      </c>
      <c r="AJ129" s="13" t="s">
        <v>544</v>
      </c>
      <c r="AK129" s="13"/>
      <c r="AL129" s="13" t="s">
        <v>48</v>
      </c>
      <c r="AN129" s="8">
        <v>429245</v>
      </c>
      <c r="AP129" s="8">
        <v>0</v>
      </c>
      <c r="AR129" s="8">
        <v>0</v>
      </c>
      <c r="AT129" s="8">
        <v>86651</v>
      </c>
      <c r="AV129" s="8">
        <v>13740</v>
      </c>
      <c r="AX129" s="8">
        <v>0</v>
      </c>
      <c r="AZ129" s="9">
        <f t="shared" si="5"/>
        <v>7509042</v>
      </c>
      <c r="BB129" s="8">
        <v>0</v>
      </c>
      <c r="BH129" s="8">
        <v>0</v>
      </c>
      <c r="BJ129" s="9">
        <f t="shared" si="6"/>
        <v>7509042</v>
      </c>
      <c r="BL129" s="9">
        <f>'Gov Fd Rv'!AU129-'Gov Fnd Exp'!BJ129</f>
        <v>709091</v>
      </c>
      <c r="BN129" s="8">
        <v>932285</v>
      </c>
      <c r="BP129" s="8">
        <v>0</v>
      </c>
      <c r="BR129" s="8">
        <v>0</v>
      </c>
      <c r="BT129" s="9">
        <f t="shared" si="7"/>
        <v>1641376</v>
      </c>
      <c r="BU129" s="9"/>
      <c r="BV129" s="9">
        <f>BT129-'Gov Fd BS'!AA129</f>
        <v>0</v>
      </c>
    </row>
    <row r="130" spans="1:74">
      <c r="A130" s="13" t="s">
        <v>297</v>
      </c>
      <c r="B130" s="13"/>
      <c r="C130" s="13" t="s">
        <v>114</v>
      </c>
      <c r="D130" s="13"/>
      <c r="E130" s="32">
        <v>45344</v>
      </c>
      <c r="G130" s="8">
        <v>3282539</v>
      </c>
      <c r="I130" s="8">
        <v>939060</v>
      </c>
      <c r="K130" s="8">
        <v>0</v>
      </c>
      <c r="M130" s="8">
        <v>390095</v>
      </c>
      <c r="O130" s="8">
        <v>375819</v>
      </c>
      <c r="Q130" s="8">
        <v>524429</v>
      </c>
      <c r="S130" s="8">
        <v>26002</v>
      </c>
      <c r="U130" s="8">
        <v>749267</v>
      </c>
      <c r="W130" s="8">
        <v>276100</v>
      </c>
      <c r="Y130" s="8">
        <v>0</v>
      </c>
      <c r="AA130" s="8">
        <v>651887</v>
      </c>
      <c r="AC130" s="8">
        <v>329769</v>
      </c>
      <c r="AE130" s="8">
        <v>41084</v>
      </c>
      <c r="AG130" s="8">
        <v>294608</v>
      </c>
      <c r="AI130" s="8">
        <v>74428</v>
      </c>
      <c r="AJ130" s="13" t="s">
        <v>297</v>
      </c>
      <c r="AK130" s="13"/>
      <c r="AL130" s="13" t="s">
        <v>114</v>
      </c>
      <c r="AN130" s="8">
        <v>344899</v>
      </c>
      <c r="AP130" s="8">
        <v>133253</v>
      </c>
      <c r="AR130" s="8">
        <v>0</v>
      </c>
      <c r="AT130" s="8">
        <v>0</v>
      </c>
      <c r="AV130" s="8">
        <v>0</v>
      </c>
      <c r="AX130" s="8">
        <v>0</v>
      </c>
      <c r="AZ130" s="9">
        <f t="shared" si="5"/>
        <v>8433239</v>
      </c>
      <c r="BB130" s="8">
        <v>0</v>
      </c>
      <c r="BH130" s="8">
        <v>0</v>
      </c>
      <c r="BJ130" s="9">
        <f t="shared" si="6"/>
        <v>8433239</v>
      </c>
      <c r="BL130" s="9">
        <f>'Gov Fd Rv'!AU130-'Gov Fnd Exp'!BJ130</f>
        <v>369004</v>
      </c>
      <c r="BN130" s="8">
        <v>2213068</v>
      </c>
      <c r="BP130" s="8">
        <v>0</v>
      </c>
      <c r="BR130" s="8">
        <v>0</v>
      </c>
      <c r="BT130" s="9">
        <f t="shared" si="7"/>
        <v>2582072</v>
      </c>
      <c r="BU130" s="9"/>
      <c r="BV130" s="9">
        <f>BT130-'Gov Fd BS'!AA130</f>
        <v>0</v>
      </c>
    </row>
    <row r="131" spans="1:74">
      <c r="A131" s="13" t="s">
        <v>284</v>
      </c>
      <c r="B131" s="13"/>
      <c r="C131" s="13" t="s">
        <v>115</v>
      </c>
      <c r="D131" s="13"/>
      <c r="E131" s="32">
        <v>46433</v>
      </c>
      <c r="G131" s="8">
        <v>5065086</v>
      </c>
      <c r="I131" s="8">
        <v>789028</v>
      </c>
      <c r="K131" s="8">
        <v>134198</v>
      </c>
      <c r="M131" s="8">
        <v>27909</v>
      </c>
      <c r="O131" s="8">
        <v>447739</v>
      </c>
      <c r="Q131" s="8">
        <v>376248</v>
      </c>
      <c r="S131" s="8">
        <v>22204</v>
      </c>
      <c r="U131" s="8">
        <v>709262</v>
      </c>
      <c r="W131" s="8">
        <v>316860</v>
      </c>
      <c r="Y131" s="8">
        <v>0</v>
      </c>
      <c r="AA131" s="8">
        <v>1086248</v>
      </c>
      <c r="AC131" s="8">
        <v>518703</v>
      </c>
      <c r="AE131" s="8">
        <v>19147</v>
      </c>
      <c r="AG131" s="8">
        <v>509214</v>
      </c>
      <c r="AI131" s="8">
        <v>1614</v>
      </c>
      <c r="AJ131" s="13" t="s">
        <v>284</v>
      </c>
      <c r="AK131" s="13"/>
      <c r="AL131" s="13" t="s">
        <v>115</v>
      </c>
      <c r="AN131" s="8">
        <v>315665</v>
      </c>
      <c r="AP131" s="8">
        <v>203023</v>
      </c>
      <c r="AR131" s="8">
        <v>0</v>
      </c>
      <c r="AT131" s="8">
        <v>337000</v>
      </c>
      <c r="AV131" s="8">
        <v>64440</v>
      </c>
      <c r="AX131" s="8">
        <v>0</v>
      </c>
      <c r="AZ131" s="9">
        <f t="shared" si="5"/>
        <v>10943588</v>
      </c>
      <c r="BB131" s="8">
        <v>0</v>
      </c>
      <c r="BH131" s="8">
        <v>0</v>
      </c>
      <c r="BJ131" s="9">
        <f t="shared" si="6"/>
        <v>10943588</v>
      </c>
      <c r="BL131" s="9">
        <f>'Gov Fd Rv'!AU131-'Gov Fnd Exp'!BJ131</f>
        <v>267854</v>
      </c>
      <c r="BN131" s="8">
        <f>1010568-2200</f>
        <v>1008368</v>
      </c>
      <c r="BP131" s="8">
        <v>0</v>
      </c>
      <c r="BR131" s="8">
        <v>0</v>
      </c>
      <c r="BT131" s="9">
        <f t="shared" si="7"/>
        <v>1276222</v>
      </c>
      <c r="BU131" s="9"/>
      <c r="BV131" s="9">
        <f>BT131-'Gov Fd BS'!AA131</f>
        <v>0</v>
      </c>
    </row>
    <row r="132" spans="1:74">
      <c r="A132" s="13" t="s">
        <v>284</v>
      </c>
      <c r="B132" s="13"/>
      <c r="C132" s="13" t="s">
        <v>113</v>
      </c>
      <c r="D132" s="13"/>
      <c r="E132" s="32">
        <v>49429</v>
      </c>
      <c r="G132" s="8">
        <v>4596399</v>
      </c>
      <c r="I132" s="8">
        <v>1276479</v>
      </c>
      <c r="K132" s="8">
        <v>218697</v>
      </c>
      <c r="M132" s="8">
        <v>41555</v>
      </c>
      <c r="O132" s="8">
        <v>406920</v>
      </c>
      <c r="Q132" s="8">
        <v>306901</v>
      </c>
      <c r="S132" s="8">
        <v>82442</v>
      </c>
      <c r="U132" s="8">
        <v>718866</v>
      </c>
      <c r="W132" s="8">
        <v>242039</v>
      </c>
      <c r="Y132" s="8">
        <v>962</v>
      </c>
      <c r="AA132" s="8">
        <v>1126124</v>
      </c>
      <c r="AC132" s="8">
        <v>898139</v>
      </c>
      <c r="AE132" s="8">
        <v>75018</v>
      </c>
      <c r="AG132" s="8">
        <v>384441</v>
      </c>
      <c r="AI132" s="8">
        <v>8201</v>
      </c>
      <c r="AJ132" s="13" t="s">
        <v>284</v>
      </c>
      <c r="AK132" s="13"/>
      <c r="AL132" s="13" t="s">
        <v>113</v>
      </c>
      <c r="AN132" s="8">
        <v>406121</v>
      </c>
      <c r="AP132" s="8">
        <v>43352</v>
      </c>
      <c r="AR132" s="8">
        <v>0</v>
      </c>
      <c r="AT132" s="8">
        <v>274531</v>
      </c>
      <c r="AV132" s="8">
        <v>192571</v>
      </c>
      <c r="AX132" s="8">
        <v>0</v>
      </c>
      <c r="AZ132" s="9">
        <f t="shared" si="5"/>
        <v>11299758</v>
      </c>
      <c r="BB132" s="8">
        <v>0</v>
      </c>
      <c r="BH132" s="8">
        <v>93571</v>
      </c>
      <c r="BJ132" s="9">
        <f t="shared" si="6"/>
        <v>11393329</v>
      </c>
      <c r="BL132" s="9">
        <f>'Gov Fd Rv'!AU132-'Gov Fnd Exp'!BJ132</f>
        <v>562320</v>
      </c>
      <c r="BN132" s="8">
        <v>5100195</v>
      </c>
      <c r="BP132" s="8">
        <v>0</v>
      </c>
      <c r="BR132" s="8">
        <v>0</v>
      </c>
      <c r="BT132" s="9">
        <f t="shared" si="7"/>
        <v>5662515</v>
      </c>
      <c r="BU132" s="9"/>
      <c r="BV132" s="9">
        <f>BT132-'Gov Fd BS'!AA132</f>
        <v>0</v>
      </c>
    </row>
    <row r="133" spans="1:74">
      <c r="A133" s="13" t="s">
        <v>596</v>
      </c>
      <c r="B133" s="13"/>
      <c r="C133" s="13" t="s">
        <v>56</v>
      </c>
      <c r="D133" s="13"/>
      <c r="E133" s="32">
        <v>49189</v>
      </c>
      <c r="G133" s="8">
        <v>9023237</v>
      </c>
      <c r="I133" s="8">
        <v>1532940</v>
      </c>
      <c r="K133" s="8">
        <v>183279</v>
      </c>
      <c r="M133" s="8">
        <v>1220829</v>
      </c>
      <c r="O133" s="8">
        <v>997190</v>
      </c>
      <c r="Q133" s="8">
        <v>1052427</v>
      </c>
      <c r="S133" s="8">
        <v>12737</v>
      </c>
      <c r="U133" s="8">
        <v>1923987</v>
      </c>
      <c r="W133" s="8">
        <v>477068</v>
      </c>
      <c r="Y133" s="8">
        <v>25781</v>
      </c>
      <c r="AA133" s="8">
        <v>2131493</v>
      </c>
      <c r="AC133" s="8">
        <v>1509448</v>
      </c>
      <c r="AE133" s="8">
        <v>312755</v>
      </c>
      <c r="AG133" s="8">
        <v>625020</v>
      </c>
      <c r="AI133" s="8">
        <v>150844</v>
      </c>
      <c r="AJ133" s="13" t="s">
        <v>596</v>
      </c>
      <c r="AK133" s="13"/>
      <c r="AL133" s="13" t="s">
        <v>56</v>
      </c>
      <c r="AN133" s="8">
        <v>536444</v>
      </c>
      <c r="AP133" s="8">
        <v>100351</v>
      </c>
      <c r="AR133" s="8">
        <v>0</v>
      </c>
      <c r="AT133" s="8">
        <v>332576</v>
      </c>
      <c r="AV133" s="8">
        <v>320317</v>
      </c>
      <c r="AX133" s="8">
        <v>0</v>
      </c>
      <c r="AZ133" s="9">
        <f t="shared" si="5"/>
        <v>22468723</v>
      </c>
      <c r="BB133" s="8">
        <v>6901</v>
      </c>
      <c r="BH133" s="8">
        <v>0</v>
      </c>
      <c r="BJ133" s="9">
        <f t="shared" si="6"/>
        <v>22475624</v>
      </c>
      <c r="BL133" s="9">
        <f>'Gov Fd Rv'!AU133-'Gov Fnd Exp'!BJ133</f>
        <v>1217486</v>
      </c>
      <c r="BN133" s="8">
        <f>4711089-2968</f>
        <v>4708121</v>
      </c>
      <c r="BP133" s="8">
        <v>1484</v>
      </c>
      <c r="BR133" s="8">
        <v>0</v>
      </c>
      <c r="BT133" s="9">
        <f t="shared" si="7"/>
        <v>5927091</v>
      </c>
      <c r="BU133" s="9"/>
      <c r="BV133" s="9">
        <f>BT133-'Gov Fd BS'!AA133</f>
        <v>0</v>
      </c>
    </row>
    <row r="134" spans="1:74">
      <c r="A134" s="13" t="s">
        <v>833</v>
      </c>
      <c r="B134" s="13"/>
      <c r="C134" s="13" t="s">
        <v>586</v>
      </c>
      <c r="D134" s="13"/>
      <c r="E134" s="32"/>
      <c r="G134" s="8">
        <v>5641060</v>
      </c>
      <c r="I134" s="8">
        <v>0</v>
      </c>
      <c r="K134" s="8">
        <v>0</v>
      </c>
      <c r="M134" s="8">
        <v>0</v>
      </c>
      <c r="O134" s="8">
        <v>759453</v>
      </c>
      <c r="Q134" s="8">
        <v>405522</v>
      </c>
      <c r="S134" s="8">
        <v>39305</v>
      </c>
      <c r="U134" s="8">
        <v>834868</v>
      </c>
      <c r="W134" s="8">
        <v>278380</v>
      </c>
      <c r="Y134" s="8">
        <v>0</v>
      </c>
      <c r="AA134" s="8">
        <v>1022581</v>
      </c>
      <c r="AC134" s="8">
        <v>673352</v>
      </c>
      <c r="AE134" s="8">
        <v>0</v>
      </c>
      <c r="AG134" s="8">
        <v>0</v>
      </c>
      <c r="AI134" s="8">
        <v>476783</v>
      </c>
      <c r="AJ134" s="13" t="s">
        <v>834</v>
      </c>
      <c r="AK134" s="13"/>
      <c r="AL134" s="13" t="s">
        <v>586</v>
      </c>
      <c r="AN134" s="8">
        <v>380264</v>
      </c>
      <c r="AP134" s="8">
        <v>67594</v>
      </c>
      <c r="AR134" s="8">
        <v>0</v>
      </c>
      <c r="AT134" s="8">
        <v>130000</v>
      </c>
      <c r="AV134" s="8">
        <v>77541</v>
      </c>
      <c r="AX134" s="8">
        <v>0</v>
      </c>
      <c r="AZ134" s="9">
        <f t="shared" si="5"/>
        <v>10786703</v>
      </c>
      <c r="BB134" s="8">
        <v>0</v>
      </c>
      <c r="BH134" s="8">
        <v>0</v>
      </c>
      <c r="BJ134" s="9">
        <f t="shared" si="6"/>
        <v>10786703</v>
      </c>
      <c r="BL134" s="9">
        <f>'Gov Fd Rv'!AU134-'Gov Fnd Exp'!BJ134</f>
        <v>-814856</v>
      </c>
      <c r="BN134" s="8">
        <v>2189996</v>
      </c>
      <c r="BP134" s="8">
        <v>-1890</v>
      </c>
      <c r="BR134" s="8">
        <v>0</v>
      </c>
      <c r="BT134" s="9">
        <f t="shared" si="7"/>
        <v>1373250</v>
      </c>
      <c r="BU134" s="9"/>
      <c r="BV134" s="9">
        <f>BT134-'Gov Fd BS'!AA134</f>
        <v>0</v>
      </c>
    </row>
    <row r="135" spans="1:74">
      <c r="A135" s="13" t="s">
        <v>670</v>
      </c>
      <c r="B135" s="13"/>
      <c r="C135" s="13" t="s">
        <v>63</v>
      </c>
      <c r="D135" s="13"/>
      <c r="E135" s="32">
        <v>43836</v>
      </c>
      <c r="G135" s="8">
        <v>21315128</v>
      </c>
      <c r="I135" s="8">
        <v>5219765</v>
      </c>
      <c r="K135" s="8">
        <v>1134789</v>
      </c>
      <c r="M135" s="8">
        <v>3952180</v>
      </c>
      <c r="O135" s="8">
        <v>2756421</v>
      </c>
      <c r="Q135" s="8">
        <v>1168143</v>
      </c>
      <c r="S135" s="8">
        <v>84189</v>
      </c>
      <c r="U135" s="8">
        <v>2977251</v>
      </c>
      <c r="W135" s="8">
        <v>862924</v>
      </c>
      <c r="Y135" s="8">
        <v>399133</v>
      </c>
      <c r="AA135" s="8">
        <v>4947611</v>
      </c>
      <c r="AC135" s="8">
        <v>1315771</v>
      </c>
      <c r="AE135" s="8">
        <v>378269</v>
      </c>
      <c r="AG135" s="8">
        <v>1457910</v>
      </c>
      <c r="AI135" s="8">
        <v>241889</v>
      </c>
      <c r="AJ135" s="13" t="s">
        <v>670</v>
      </c>
      <c r="AK135" s="13"/>
      <c r="AL135" s="13" t="s">
        <v>63</v>
      </c>
      <c r="AN135" s="8">
        <v>1008672</v>
      </c>
      <c r="AP135" s="8">
        <v>883287</v>
      </c>
      <c r="AR135" s="8">
        <v>1193102</v>
      </c>
      <c r="AT135" s="8">
        <v>1887863</v>
      </c>
      <c r="AV135" s="8">
        <v>363808</v>
      </c>
      <c r="AX135" s="8">
        <v>0</v>
      </c>
      <c r="AZ135" s="9">
        <f t="shared" si="5"/>
        <v>53548105</v>
      </c>
      <c r="BB135" s="8">
        <v>1546887</v>
      </c>
      <c r="BH135" s="8">
        <v>0</v>
      </c>
      <c r="BJ135" s="9">
        <f t="shared" si="6"/>
        <v>55094992</v>
      </c>
      <c r="BL135" s="9">
        <f>'Gov Fd Rv'!AU135-'Gov Fnd Exp'!BJ135</f>
        <v>1314178</v>
      </c>
      <c r="BN135" s="8">
        <f>2715532-484995</f>
        <v>2230537</v>
      </c>
      <c r="BP135" s="8">
        <v>0</v>
      </c>
      <c r="BR135" s="8">
        <v>0</v>
      </c>
      <c r="BT135" s="9">
        <f t="shared" si="7"/>
        <v>3544715</v>
      </c>
      <c r="BU135" s="9"/>
      <c r="BV135" s="9">
        <f>BT135-'Gov Fd BS'!AA135</f>
        <v>0</v>
      </c>
    </row>
    <row r="136" spans="1:74">
      <c r="A136" s="13" t="s">
        <v>309</v>
      </c>
      <c r="B136" s="13"/>
      <c r="C136" s="13" t="s">
        <v>20</v>
      </c>
      <c r="D136" s="13"/>
      <c r="E136" s="32">
        <v>46557</v>
      </c>
      <c r="G136" s="8">
        <v>5765741</v>
      </c>
      <c r="I136" s="8">
        <v>930412</v>
      </c>
      <c r="K136" s="8">
        <v>1461</v>
      </c>
      <c r="M136" s="8">
        <v>509847</v>
      </c>
      <c r="O136" s="8">
        <v>1306667</v>
      </c>
      <c r="Q136" s="8">
        <v>684423</v>
      </c>
      <c r="S136" s="8">
        <v>70736</v>
      </c>
      <c r="U136" s="8">
        <v>1469078</v>
      </c>
      <c r="W136" s="8">
        <v>604891</v>
      </c>
      <c r="Y136" s="8">
        <v>134819</v>
      </c>
      <c r="AA136" s="8">
        <v>2096515</v>
      </c>
      <c r="AC136" s="8">
        <v>870133</v>
      </c>
      <c r="AE136" s="8">
        <v>498755</v>
      </c>
      <c r="AG136" s="8">
        <v>326054</v>
      </c>
      <c r="AI136" s="8">
        <v>84986</v>
      </c>
      <c r="AJ136" s="13" t="s">
        <v>309</v>
      </c>
      <c r="AK136" s="13"/>
      <c r="AL136" s="13" t="s">
        <v>20</v>
      </c>
      <c r="AN136" s="8">
        <v>876511</v>
      </c>
      <c r="AP136" s="8">
        <v>1722382</v>
      </c>
      <c r="AR136" s="8">
        <v>0</v>
      </c>
      <c r="AT136" s="8">
        <v>365710</v>
      </c>
      <c r="AV136" s="8">
        <v>69685</v>
      </c>
      <c r="AX136" s="8">
        <v>0</v>
      </c>
      <c r="AZ136" s="9">
        <f t="shared" si="5"/>
        <v>18388806</v>
      </c>
      <c r="BB136" s="8">
        <v>210658</v>
      </c>
      <c r="BH136" s="8">
        <v>0</v>
      </c>
      <c r="BJ136" s="9">
        <f t="shared" si="6"/>
        <v>18599464</v>
      </c>
      <c r="BL136" s="9">
        <f>'Gov Fd Rv'!AU136-'Gov Fnd Exp'!BJ136</f>
        <v>44646</v>
      </c>
      <c r="BN136" s="8">
        <f>8861609-33979</f>
        <v>8827630</v>
      </c>
      <c r="BP136" s="8">
        <v>0</v>
      </c>
      <c r="BR136" s="8">
        <v>0</v>
      </c>
      <c r="BT136" s="9">
        <f t="shared" si="7"/>
        <v>8872276</v>
      </c>
      <c r="BU136" s="9"/>
      <c r="BV136" s="9">
        <f>BT136-'Gov Fd BS'!AA136</f>
        <v>0</v>
      </c>
    </row>
    <row r="137" spans="1:74">
      <c r="A137" s="13" t="s">
        <v>846</v>
      </c>
      <c r="B137" s="13"/>
      <c r="C137" s="13" t="s">
        <v>71</v>
      </c>
      <c r="D137" s="13"/>
      <c r="E137" s="32">
        <v>48934</v>
      </c>
      <c r="G137" s="8">
        <v>3551467</v>
      </c>
      <c r="I137" s="8">
        <v>680731</v>
      </c>
      <c r="K137" s="8">
        <v>74666</v>
      </c>
      <c r="M137" s="8">
        <v>260438</v>
      </c>
      <c r="O137" s="8">
        <v>351106</v>
      </c>
      <c r="Q137" s="8">
        <v>435462</v>
      </c>
      <c r="S137" s="8">
        <v>20770</v>
      </c>
      <c r="U137" s="8">
        <v>840135</v>
      </c>
      <c r="W137" s="8">
        <v>289158</v>
      </c>
      <c r="Y137" s="8">
        <v>7150</v>
      </c>
      <c r="AA137" s="8">
        <v>731480</v>
      </c>
      <c r="AC137" s="8">
        <v>442321</v>
      </c>
      <c r="AE137" s="8">
        <v>20424</v>
      </c>
      <c r="AG137" s="8">
        <v>320042</v>
      </c>
      <c r="AI137" s="8">
        <v>218121</v>
      </c>
      <c r="AJ137" s="13" t="s">
        <v>846</v>
      </c>
      <c r="AK137" s="13"/>
      <c r="AL137" s="13" t="s">
        <v>71</v>
      </c>
      <c r="AN137" s="8">
        <v>325467</v>
      </c>
      <c r="AP137" s="8">
        <f>282874+83502</f>
        <v>366376</v>
      </c>
      <c r="AR137" s="8">
        <v>0</v>
      </c>
      <c r="AT137" s="8">
        <v>16985</v>
      </c>
      <c r="AV137" s="8">
        <v>5672</v>
      </c>
      <c r="AX137" s="8">
        <v>0</v>
      </c>
      <c r="AZ137" s="9">
        <f t="shared" ref="AZ137:AZ146" si="8">SUM(G137:AX137)</f>
        <v>8957971</v>
      </c>
      <c r="BB137" s="8">
        <v>151675</v>
      </c>
      <c r="BH137" s="8">
        <v>0</v>
      </c>
      <c r="BJ137" s="9">
        <f t="shared" si="6"/>
        <v>9109646</v>
      </c>
      <c r="BL137" s="9">
        <f>'Gov Fd Rv'!AU137-'Gov Fnd Exp'!BJ137</f>
        <v>33570</v>
      </c>
      <c r="BN137" s="8">
        <v>318863</v>
      </c>
      <c r="BP137" s="8">
        <v>0</v>
      </c>
      <c r="BR137" s="8">
        <v>0</v>
      </c>
      <c r="BT137" s="9">
        <f t="shared" si="7"/>
        <v>352433</v>
      </c>
      <c r="BU137" s="9"/>
      <c r="BV137" s="9">
        <f>BT137-'Gov Fd BS'!AA137</f>
        <v>0</v>
      </c>
    </row>
    <row r="138" spans="1:74">
      <c r="A138" s="13" t="s">
        <v>460</v>
      </c>
      <c r="B138" s="13"/>
      <c r="C138" s="13" t="s">
        <v>40</v>
      </c>
      <c r="D138" s="13"/>
      <c r="E138" s="32">
        <v>47837</v>
      </c>
      <c r="G138" s="8">
        <v>2656783</v>
      </c>
      <c r="I138" s="8">
        <v>713944</v>
      </c>
      <c r="K138" s="8">
        <v>112304</v>
      </c>
      <c r="O138" s="8">
        <v>495879</v>
      </c>
      <c r="Q138" s="8">
        <v>479280</v>
      </c>
      <c r="S138" s="8">
        <v>25303</v>
      </c>
      <c r="U138" s="8">
        <v>521243</v>
      </c>
      <c r="W138" s="8">
        <v>169532</v>
      </c>
      <c r="Y138" s="8">
        <v>0</v>
      </c>
      <c r="AA138" s="8">
        <v>780721</v>
      </c>
      <c r="AC138" s="8">
        <v>454901</v>
      </c>
      <c r="AE138" s="8">
        <v>67580</v>
      </c>
      <c r="AG138" s="8">
        <v>0</v>
      </c>
      <c r="AI138" s="8">
        <v>265676</v>
      </c>
      <c r="AJ138" s="13" t="s">
        <v>460</v>
      </c>
      <c r="AK138" s="13"/>
      <c r="AL138" s="13" t="s">
        <v>40</v>
      </c>
      <c r="AN138" s="8">
        <v>275947</v>
      </c>
      <c r="AP138" s="8">
        <v>291669</v>
      </c>
      <c r="AR138" s="8">
        <v>0</v>
      </c>
      <c r="AT138" s="8">
        <v>55000</v>
      </c>
      <c r="AV138" s="8">
        <v>73140</v>
      </c>
      <c r="AX138" s="8">
        <v>0</v>
      </c>
      <c r="AZ138" s="9">
        <f t="shared" si="8"/>
        <v>7438902</v>
      </c>
      <c r="BB138" s="8">
        <v>0</v>
      </c>
      <c r="BH138" s="8">
        <v>0</v>
      </c>
      <c r="BJ138" s="9">
        <f t="shared" si="6"/>
        <v>7438902</v>
      </c>
      <c r="BL138" s="9">
        <f>'Gov Fd Rv'!AU138-'Gov Fnd Exp'!BJ138</f>
        <v>-543820</v>
      </c>
      <c r="BN138" s="8">
        <v>3368377</v>
      </c>
      <c r="BP138" s="8">
        <v>0</v>
      </c>
      <c r="BR138" s="8">
        <v>0</v>
      </c>
      <c r="BT138" s="9">
        <f t="shared" si="7"/>
        <v>2824557</v>
      </c>
      <c r="BU138" s="9"/>
      <c r="BV138" s="9">
        <f>BT138-'Gov Fd BS'!AA138</f>
        <v>0</v>
      </c>
    </row>
    <row r="139" spans="1:74">
      <c r="A139" s="13" t="s">
        <v>472</v>
      </c>
      <c r="B139" s="13"/>
      <c r="C139" s="13" t="s">
        <v>471</v>
      </c>
      <c r="D139" s="13"/>
      <c r="E139" s="32">
        <v>47928</v>
      </c>
      <c r="G139" s="8">
        <v>6712353</v>
      </c>
      <c r="I139" s="8">
        <v>935996</v>
      </c>
      <c r="K139" s="8">
        <v>113735</v>
      </c>
      <c r="M139" s="8">
        <v>0</v>
      </c>
      <c r="O139" s="8">
        <v>528739</v>
      </c>
      <c r="Q139" s="8">
        <v>304991</v>
      </c>
      <c r="S139" s="8">
        <v>31592</v>
      </c>
      <c r="U139" s="8">
        <v>829467</v>
      </c>
      <c r="W139" s="8">
        <v>490773</v>
      </c>
      <c r="Y139" s="8">
        <v>15934</v>
      </c>
      <c r="AA139" s="8">
        <v>1384246</v>
      </c>
      <c r="AC139" s="8">
        <v>718672</v>
      </c>
      <c r="AE139" s="8">
        <v>182526</v>
      </c>
      <c r="AG139" s="8">
        <v>709229</v>
      </c>
      <c r="AI139" s="8">
        <v>8620</v>
      </c>
      <c r="AJ139" s="13" t="s">
        <v>472</v>
      </c>
      <c r="AK139" s="13"/>
      <c r="AL139" s="13" t="s">
        <v>471</v>
      </c>
      <c r="AN139" s="8">
        <v>474587</v>
      </c>
      <c r="AP139" s="8">
        <v>3741010</v>
      </c>
      <c r="AR139" s="8">
        <v>0</v>
      </c>
      <c r="AT139" s="8">
        <v>192000</v>
      </c>
      <c r="AV139" s="8">
        <v>102397</v>
      </c>
      <c r="AX139" s="8">
        <v>0</v>
      </c>
      <c r="AZ139" s="9">
        <f t="shared" si="8"/>
        <v>17476867</v>
      </c>
      <c r="BB139" s="8">
        <v>501114</v>
      </c>
      <c r="BH139" s="8">
        <v>0</v>
      </c>
      <c r="BJ139" s="9">
        <f t="shared" si="6"/>
        <v>17977981</v>
      </c>
      <c r="BL139" s="9">
        <f>'Gov Fd Rv'!AU139-'Gov Fnd Exp'!BJ139</f>
        <v>-1446322</v>
      </c>
      <c r="BN139" s="8">
        <v>7033963</v>
      </c>
      <c r="BP139" s="8">
        <v>0</v>
      </c>
      <c r="BR139" s="8">
        <v>0</v>
      </c>
      <c r="BT139" s="9">
        <f t="shared" si="7"/>
        <v>5587641</v>
      </c>
      <c r="BU139" s="9"/>
      <c r="BV139" s="9">
        <f>BT139-'Gov Fd BS'!AA139</f>
        <v>0</v>
      </c>
    </row>
    <row r="140" spans="1:74">
      <c r="A140" s="13" t="s">
        <v>554</v>
      </c>
      <c r="B140" s="13"/>
      <c r="C140" s="13" t="s">
        <v>50</v>
      </c>
      <c r="D140" s="13"/>
      <c r="E140" s="32">
        <v>43844</v>
      </c>
      <c r="G140" s="8">
        <v>57031880</v>
      </c>
      <c r="I140" s="8">
        <v>26179350</v>
      </c>
      <c r="K140" s="8">
        <v>3400542</v>
      </c>
      <c r="M140" s="8">
        <f>567580+4675496</f>
        <v>5243076</v>
      </c>
      <c r="O140" s="8">
        <v>10214217</v>
      </c>
      <c r="Q140" s="8">
        <v>13614035</v>
      </c>
      <c r="S140" s="8">
        <v>1515645</v>
      </c>
      <c r="U140" s="8">
        <v>12102344</v>
      </c>
      <c r="W140" s="8">
        <v>4202098</v>
      </c>
      <c r="Y140" s="8">
        <v>1512660</v>
      </c>
      <c r="AA140" s="8">
        <v>22612843</v>
      </c>
      <c r="AC140" s="8">
        <v>17289289</v>
      </c>
      <c r="AE140" s="8">
        <v>6332612</v>
      </c>
      <c r="AG140" s="8">
        <v>0</v>
      </c>
      <c r="AI140" s="8">
        <v>69785072</v>
      </c>
      <c r="AJ140" s="13" t="s">
        <v>554</v>
      </c>
      <c r="AK140" s="13"/>
      <c r="AL140" s="13" t="s">
        <v>50</v>
      </c>
      <c r="AN140" s="8">
        <v>1422323</v>
      </c>
      <c r="AP140" s="8">
        <v>120414866</v>
      </c>
      <c r="AR140" s="8">
        <v>0</v>
      </c>
      <c r="AT140" s="8">
        <v>6631517</v>
      </c>
      <c r="AV140" s="8">
        <v>11969440</v>
      </c>
      <c r="AX140" s="8">
        <v>0</v>
      </c>
      <c r="AZ140" s="9">
        <f t="shared" si="8"/>
        <v>391473809</v>
      </c>
      <c r="BB140" s="8">
        <v>21219717</v>
      </c>
      <c r="BH140" s="8">
        <v>0</v>
      </c>
      <c r="BJ140" s="9">
        <f t="shared" si="6"/>
        <v>412693526</v>
      </c>
      <c r="BL140" s="9">
        <f>'Gov Fd Rv'!AU140-'Gov Fnd Exp'!BJ140</f>
        <v>-59484387</v>
      </c>
      <c r="BN140" s="8">
        <v>258746465</v>
      </c>
      <c r="BP140" s="8">
        <v>0</v>
      </c>
      <c r="BR140" s="8">
        <v>0</v>
      </c>
      <c r="BT140" s="9">
        <f t="shared" si="7"/>
        <v>199262078</v>
      </c>
      <c r="BU140" s="9"/>
      <c r="BV140" s="9">
        <f>BT140-'Gov Fd BS'!AA140</f>
        <v>0</v>
      </c>
    </row>
    <row r="141" spans="1:74">
      <c r="A141" s="13" t="s">
        <v>397</v>
      </c>
      <c r="B141" s="13"/>
      <c r="C141" s="13" t="s">
        <v>32</v>
      </c>
      <c r="D141" s="13"/>
      <c r="E141" s="32">
        <v>43851</v>
      </c>
      <c r="G141" s="8">
        <v>6357328</v>
      </c>
      <c r="I141" s="8">
        <v>1651675</v>
      </c>
      <c r="K141" s="8">
        <v>157308</v>
      </c>
      <c r="M141" s="8">
        <v>2244</v>
      </c>
      <c r="O141" s="8">
        <v>895473</v>
      </c>
      <c r="Q141" s="8">
        <v>936770</v>
      </c>
      <c r="S141" s="8">
        <v>77006</v>
      </c>
      <c r="U141" s="8">
        <v>1157716</v>
      </c>
      <c r="W141" s="8">
        <v>559612</v>
      </c>
      <c r="Y141" s="8">
        <v>146451</v>
      </c>
      <c r="AA141" s="8">
        <v>1812110</v>
      </c>
      <c r="AC141" s="8">
        <v>302683</v>
      </c>
      <c r="AE141" s="8">
        <v>125973</v>
      </c>
      <c r="AG141" s="8">
        <v>0</v>
      </c>
      <c r="AI141" s="8">
        <v>583982</v>
      </c>
      <c r="AJ141" s="13" t="s">
        <v>397</v>
      </c>
      <c r="AK141" s="13"/>
      <c r="AL141" s="13" t="s">
        <v>32</v>
      </c>
      <c r="AN141" s="8">
        <v>512554</v>
      </c>
      <c r="AP141" s="8">
        <v>0</v>
      </c>
      <c r="AR141" s="8">
        <v>0</v>
      </c>
      <c r="AT141" s="8">
        <v>111960</v>
      </c>
      <c r="AV141" s="8">
        <v>36253</v>
      </c>
      <c r="AX141" s="8">
        <v>0</v>
      </c>
      <c r="AZ141" s="9">
        <f t="shared" si="8"/>
        <v>15427098</v>
      </c>
      <c r="BB141" s="8">
        <v>35467</v>
      </c>
      <c r="BH141" s="8">
        <v>0</v>
      </c>
      <c r="BJ141" s="9">
        <f t="shared" si="6"/>
        <v>15462565</v>
      </c>
      <c r="BL141" s="9">
        <f>'Gov Fd Rv'!AU141-'Gov Fnd Exp'!BJ141</f>
        <v>791771</v>
      </c>
      <c r="BN141" s="8">
        <v>3820849</v>
      </c>
      <c r="BP141" s="8">
        <v>0</v>
      </c>
      <c r="BR141" s="8">
        <v>0</v>
      </c>
      <c r="BT141" s="9">
        <f t="shared" si="7"/>
        <v>4612620</v>
      </c>
      <c r="BU141" s="9"/>
      <c r="BV141" s="9">
        <f>BT141-'Gov Fd BS'!AA141</f>
        <v>0</v>
      </c>
    </row>
    <row r="142" spans="1:74">
      <c r="A142" s="13" t="s">
        <v>338</v>
      </c>
      <c r="B142" s="13"/>
      <c r="C142" s="13" t="s">
        <v>23</v>
      </c>
      <c r="D142" s="13"/>
      <c r="E142" s="32">
        <v>43877</v>
      </c>
      <c r="G142" s="8">
        <v>20100406</v>
      </c>
      <c r="I142" s="8">
        <v>4855184</v>
      </c>
      <c r="K142" s="8">
        <v>344011</v>
      </c>
      <c r="M142" s="8">
        <v>1580947</v>
      </c>
      <c r="O142" s="8">
        <v>2250454</v>
      </c>
      <c r="Q142" s="8">
        <v>2759296</v>
      </c>
      <c r="S142" s="8">
        <v>219277</v>
      </c>
      <c r="U142" s="8">
        <v>2830900</v>
      </c>
      <c r="W142" s="8">
        <v>1045505</v>
      </c>
      <c r="Y142" s="8">
        <v>423932</v>
      </c>
      <c r="AA142" s="8">
        <v>4189844</v>
      </c>
      <c r="AC142" s="8">
        <v>2342361</v>
      </c>
      <c r="AE142" s="8">
        <v>151691</v>
      </c>
      <c r="AG142" s="8">
        <v>0</v>
      </c>
      <c r="AI142" s="8">
        <v>1601572</v>
      </c>
      <c r="AJ142" s="13" t="s">
        <v>338</v>
      </c>
      <c r="AK142" s="13"/>
      <c r="AL142" s="13" t="s">
        <v>23</v>
      </c>
      <c r="AN142" s="8">
        <v>1143867</v>
      </c>
      <c r="AP142" s="8">
        <v>1544533</v>
      </c>
      <c r="AR142" s="8">
        <v>0</v>
      </c>
      <c r="AT142" s="8">
        <v>2677995</v>
      </c>
      <c r="AV142" s="8">
        <v>1315288</v>
      </c>
      <c r="AX142" s="8">
        <v>0</v>
      </c>
      <c r="AZ142" s="9">
        <f t="shared" si="8"/>
        <v>51377063</v>
      </c>
      <c r="BB142" s="8">
        <v>20000</v>
      </c>
      <c r="BH142" s="8">
        <v>0</v>
      </c>
      <c r="BJ142" s="9">
        <f t="shared" si="6"/>
        <v>51397063</v>
      </c>
      <c r="BL142" s="9">
        <f>'Gov Fd Rv'!AU142-'Gov Fnd Exp'!BJ142</f>
        <v>4337294</v>
      </c>
      <c r="BN142" s="8">
        <v>9343485</v>
      </c>
      <c r="BP142" s="8">
        <v>0</v>
      </c>
      <c r="BR142" s="8">
        <v>0</v>
      </c>
      <c r="BT142" s="9">
        <f t="shared" si="7"/>
        <v>13680779</v>
      </c>
      <c r="BU142" s="9"/>
      <c r="BV142" s="9">
        <f>BT142-'Gov Fd BS'!AA142</f>
        <v>0</v>
      </c>
    </row>
    <row r="143" spans="1:74">
      <c r="A143" s="13" t="s">
        <v>212</v>
      </c>
      <c r="B143" s="13"/>
      <c r="C143" s="13" t="s">
        <v>10</v>
      </c>
      <c r="D143" s="13"/>
      <c r="E143" s="32">
        <v>43885</v>
      </c>
      <c r="G143" s="8">
        <v>4628180</v>
      </c>
      <c r="I143" s="8">
        <v>931957</v>
      </c>
      <c r="K143" s="8">
        <v>520281</v>
      </c>
      <c r="M143" s="8">
        <v>0</v>
      </c>
      <c r="O143" s="8">
        <v>469630</v>
      </c>
      <c r="Q143" s="8">
        <v>470719</v>
      </c>
      <c r="S143" s="8">
        <v>31937</v>
      </c>
      <c r="U143" s="8">
        <v>803028</v>
      </c>
      <c r="W143" s="8">
        <v>312562</v>
      </c>
      <c r="Y143" s="8">
        <v>0</v>
      </c>
      <c r="AA143" s="8">
        <v>622111</v>
      </c>
      <c r="AC143" s="8">
        <v>423929</v>
      </c>
      <c r="AE143" s="8">
        <v>10733</v>
      </c>
      <c r="AG143" s="8">
        <v>0</v>
      </c>
      <c r="AI143" s="8">
        <v>1074354</v>
      </c>
      <c r="AJ143" s="13" t="s">
        <v>212</v>
      </c>
      <c r="AK143" s="13"/>
      <c r="AL143" s="13" t="s">
        <v>10</v>
      </c>
      <c r="AN143" s="8">
        <v>411422</v>
      </c>
      <c r="AP143" s="8">
        <v>98418</v>
      </c>
      <c r="AR143" s="8">
        <v>0</v>
      </c>
      <c r="AT143" s="8">
        <v>0</v>
      </c>
      <c r="AV143" s="8">
        <v>0</v>
      </c>
      <c r="AX143" s="8">
        <v>0</v>
      </c>
      <c r="AZ143" s="9">
        <f t="shared" si="8"/>
        <v>10809261</v>
      </c>
      <c r="BB143" s="8">
        <v>1712</v>
      </c>
      <c r="BH143" s="8">
        <v>0</v>
      </c>
      <c r="BJ143" s="9">
        <f t="shared" ref="BJ143:BJ206" si="9">AZ143+BB143+BH143</f>
        <v>10810973</v>
      </c>
      <c r="BL143" s="9">
        <f>'Gov Fd Rv'!AU143-'Gov Fnd Exp'!BJ143</f>
        <v>-68769</v>
      </c>
      <c r="BN143" s="8">
        <v>371503</v>
      </c>
      <c r="BP143" s="8">
        <v>0</v>
      </c>
      <c r="BR143" s="8">
        <v>0</v>
      </c>
      <c r="BT143" s="9">
        <f t="shared" si="7"/>
        <v>302734</v>
      </c>
      <c r="BU143" s="9"/>
      <c r="BV143" s="9">
        <f>BT143-'Gov Fd BS'!AA143</f>
        <v>0</v>
      </c>
    </row>
    <row r="144" spans="1:74">
      <c r="A144" s="13" t="s">
        <v>700</v>
      </c>
      <c r="B144" s="13"/>
      <c r="C144" s="13" t="s">
        <v>65</v>
      </c>
      <c r="D144" s="13"/>
      <c r="E144" s="32">
        <v>43893</v>
      </c>
      <c r="G144" s="8">
        <v>9759931</v>
      </c>
      <c r="I144" s="8">
        <v>2179132</v>
      </c>
      <c r="K144" s="8">
        <v>446</v>
      </c>
      <c r="M144" s="8">
        <v>216060</v>
      </c>
      <c r="O144" s="8">
        <v>1250880</v>
      </c>
      <c r="Q144" s="8">
        <v>1076736</v>
      </c>
      <c r="S144" s="8">
        <v>178769</v>
      </c>
      <c r="U144" s="8">
        <v>1695940</v>
      </c>
      <c r="W144" s="8">
        <v>707417</v>
      </c>
      <c r="Y144" s="8">
        <v>0</v>
      </c>
      <c r="AA144" s="8">
        <v>1893067</v>
      </c>
      <c r="AC144" s="8">
        <v>593240</v>
      </c>
      <c r="AE144" s="8">
        <v>0</v>
      </c>
      <c r="AG144" s="8">
        <v>713210</v>
      </c>
      <c r="AI144" s="8">
        <f>195558+3659</f>
        <v>199217</v>
      </c>
      <c r="AJ144" s="13" t="s">
        <v>700</v>
      </c>
      <c r="AK144" s="13"/>
      <c r="AL144" s="13" t="s">
        <v>65</v>
      </c>
      <c r="AN144" s="8">
        <v>855235</v>
      </c>
      <c r="AP144" s="8">
        <v>148822</v>
      </c>
      <c r="AR144" s="8">
        <v>0</v>
      </c>
      <c r="AT144" s="8">
        <v>769409</v>
      </c>
      <c r="AV144" s="8">
        <v>178339</v>
      </c>
      <c r="AX144" s="8">
        <v>0</v>
      </c>
      <c r="AZ144" s="9">
        <f t="shared" si="8"/>
        <v>22415850</v>
      </c>
      <c r="BB144" s="8">
        <v>138000</v>
      </c>
      <c r="BH144" s="8">
        <v>0</v>
      </c>
      <c r="BJ144" s="9">
        <f t="shared" si="9"/>
        <v>22553850</v>
      </c>
      <c r="BL144" s="9">
        <f>'Gov Fd Rv'!AU144-'Gov Fnd Exp'!BJ144</f>
        <v>-908075</v>
      </c>
      <c r="BN144" s="8">
        <v>3641035</v>
      </c>
      <c r="BP144" s="8">
        <v>0</v>
      </c>
      <c r="BR144" s="8">
        <v>0</v>
      </c>
      <c r="BT144" s="9">
        <f t="shared" si="7"/>
        <v>2732960</v>
      </c>
      <c r="BU144" s="9"/>
      <c r="BV144" s="9">
        <f>BT144-'Gov Fd BS'!AA144</f>
        <v>0</v>
      </c>
    </row>
    <row r="145" spans="1:74">
      <c r="A145" s="13" t="s">
        <v>359</v>
      </c>
      <c r="B145" s="13"/>
      <c r="C145" s="13" t="s">
        <v>27</v>
      </c>
      <c r="D145" s="13"/>
      <c r="E145" s="32">
        <v>47027</v>
      </c>
      <c r="G145" s="8">
        <v>67334510</v>
      </c>
      <c r="I145" s="8">
        <v>18213501</v>
      </c>
      <c r="K145" s="8">
        <v>295826</v>
      </c>
      <c r="M145" s="8">
        <v>0</v>
      </c>
      <c r="O145" s="8">
        <v>8710773</v>
      </c>
      <c r="Q145" s="8">
        <v>12742469</v>
      </c>
      <c r="S145" s="8">
        <v>122888</v>
      </c>
      <c r="U145" s="8">
        <v>10211744</v>
      </c>
      <c r="W145" s="8">
        <v>3142208</v>
      </c>
      <c r="Y145" s="8">
        <v>888210</v>
      </c>
      <c r="AA145" s="8">
        <v>13057293</v>
      </c>
      <c r="AC145" s="8">
        <v>6862613</v>
      </c>
      <c r="AE145" s="8">
        <v>415356</v>
      </c>
      <c r="AG145" s="8">
        <v>0</v>
      </c>
      <c r="AI145" s="8">
        <v>594103</v>
      </c>
      <c r="AJ145" s="13" t="s">
        <v>359</v>
      </c>
      <c r="AK145" s="13"/>
      <c r="AL145" s="13" t="s">
        <v>27</v>
      </c>
      <c r="AN145" s="8">
        <v>4906357</v>
      </c>
      <c r="AP145" s="8">
        <f>222376+2245293</f>
        <v>2467669</v>
      </c>
      <c r="AR145" s="8">
        <v>0</v>
      </c>
      <c r="AT145" s="8">
        <v>26850623</v>
      </c>
      <c r="AV145" s="8">
        <v>7182236</v>
      </c>
      <c r="AX145" s="8">
        <v>35480</v>
      </c>
      <c r="AZ145" s="9">
        <f t="shared" si="8"/>
        <v>184033859</v>
      </c>
      <c r="BB145" s="8">
        <v>70150</v>
      </c>
      <c r="BH145" s="8">
        <f>183579+18796998</f>
        <v>18980577</v>
      </c>
      <c r="BJ145" s="9">
        <f t="shared" si="9"/>
        <v>203084586</v>
      </c>
      <c r="BL145" s="9">
        <f>'Gov Fd Rv'!AU145-'Gov Fnd Exp'!BJ145</f>
        <v>-7888340</v>
      </c>
      <c r="BN145" s="8">
        <v>102402425</v>
      </c>
      <c r="BP145" s="8">
        <v>0</v>
      </c>
      <c r="BR145" s="8">
        <v>0</v>
      </c>
      <c r="BT145" s="9">
        <f t="shared" ref="BT145:BT208" si="10">BL145+BN145+BP145+BR145</f>
        <v>94514085</v>
      </c>
      <c r="BU145" s="9"/>
      <c r="BV145" s="9">
        <f>BT145-'Gov Fd BS'!AA145</f>
        <v>0</v>
      </c>
    </row>
    <row r="146" spans="1:74">
      <c r="A146" s="13" t="s">
        <v>280</v>
      </c>
      <c r="B146" s="13"/>
      <c r="C146" s="13" t="s">
        <v>18</v>
      </c>
      <c r="D146" s="13"/>
      <c r="E146" s="32">
        <v>46409</v>
      </c>
      <c r="G146" s="8">
        <v>5706462</v>
      </c>
      <c r="I146" s="8">
        <v>1257532</v>
      </c>
      <c r="K146" s="8">
        <v>105992</v>
      </c>
      <c r="M146" s="8">
        <v>0</v>
      </c>
      <c r="O146" s="8">
        <v>455051</v>
      </c>
      <c r="Q146" s="8">
        <v>987268</v>
      </c>
      <c r="S146" s="8">
        <v>47910</v>
      </c>
      <c r="U146" s="8">
        <v>1063254</v>
      </c>
      <c r="W146" s="8">
        <v>306358</v>
      </c>
      <c r="Y146" s="8">
        <v>7691</v>
      </c>
      <c r="AA146" s="8">
        <v>1429454</v>
      </c>
      <c r="AC146" s="8">
        <v>908164</v>
      </c>
      <c r="AE146" s="8">
        <v>46633</v>
      </c>
      <c r="AG146" s="8">
        <v>486547</v>
      </c>
      <c r="AI146" s="8">
        <v>0</v>
      </c>
      <c r="AJ146" s="13" t="s">
        <v>280</v>
      </c>
      <c r="AK146" s="13"/>
      <c r="AL146" s="13" t="s">
        <v>18</v>
      </c>
      <c r="AN146" s="8">
        <f>214+31071+273902+8247</f>
        <v>313434</v>
      </c>
      <c r="AP146" s="8">
        <v>0</v>
      </c>
      <c r="AR146" s="8">
        <v>0</v>
      </c>
      <c r="AT146" s="8">
        <v>240000</v>
      </c>
      <c r="AV146" s="8">
        <v>63635</v>
      </c>
      <c r="AX146" s="8">
        <v>0</v>
      </c>
      <c r="AZ146" s="9">
        <f t="shared" si="8"/>
        <v>13425385</v>
      </c>
      <c r="BB146" s="8">
        <v>0</v>
      </c>
      <c r="BH146" s="8">
        <v>0</v>
      </c>
      <c r="BJ146" s="9">
        <f t="shared" si="9"/>
        <v>13425385</v>
      </c>
      <c r="BL146" s="9">
        <f>'Gov Fd Rv'!AU146-'Gov Fnd Exp'!BJ146</f>
        <v>-364236</v>
      </c>
      <c r="BN146" s="8">
        <v>1295576</v>
      </c>
      <c r="BP146" s="8">
        <v>0</v>
      </c>
      <c r="BR146" s="8">
        <v>0</v>
      </c>
      <c r="BT146" s="9">
        <f t="shared" si="10"/>
        <v>931340</v>
      </c>
      <c r="BU146" s="9"/>
      <c r="BV146" s="9">
        <f>BT146-'Gov Fd BS'!AA146</f>
        <v>0</v>
      </c>
    </row>
    <row r="147" spans="1:74" ht="12.75" customHeight="1">
      <c r="A147" s="13" t="s">
        <v>394</v>
      </c>
      <c r="B147" s="13"/>
      <c r="C147" s="13" t="s">
        <v>31</v>
      </c>
      <c r="D147" s="13"/>
      <c r="E147" s="32">
        <v>69682</v>
      </c>
      <c r="G147" s="8">
        <v>4488444</v>
      </c>
      <c r="I147" s="8">
        <v>977492</v>
      </c>
      <c r="K147" s="8">
        <v>246918</v>
      </c>
      <c r="M147" s="8">
        <v>6287</v>
      </c>
      <c r="O147" s="8">
        <v>579741</v>
      </c>
      <c r="Q147" s="8">
        <v>482558</v>
      </c>
      <c r="S147" s="8">
        <v>27501</v>
      </c>
      <c r="U147" s="8">
        <v>874744</v>
      </c>
      <c r="W147" s="8">
        <v>334308</v>
      </c>
      <c r="Y147" s="8">
        <v>0</v>
      </c>
      <c r="AA147" s="8">
        <v>1019365</v>
      </c>
      <c r="AC147" s="8">
        <v>1012274</v>
      </c>
      <c r="AE147" s="8">
        <v>38176</v>
      </c>
      <c r="AG147" s="8">
        <v>460547</v>
      </c>
      <c r="AI147" s="8">
        <v>0</v>
      </c>
      <c r="AJ147" s="13" t="s">
        <v>394</v>
      </c>
      <c r="AK147" s="13"/>
      <c r="AL147" s="13" t="s">
        <v>31</v>
      </c>
      <c r="AN147" s="8">
        <v>263558</v>
      </c>
      <c r="AP147" s="8">
        <v>0</v>
      </c>
      <c r="AR147" s="8">
        <v>0</v>
      </c>
      <c r="AT147" s="8">
        <v>375775</v>
      </c>
      <c r="AV147" s="8">
        <v>198352</v>
      </c>
      <c r="AX147" s="8">
        <v>0</v>
      </c>
      <c r="AZ147" s="9">
        <f t="shared" ref="AZ147:AZ206" si="11">SUM(G147:AX147)</f>
        <v>11386040</v>
      </c>
      <c r="BB147" s="8">
        <v>36837</v>
      </c>
      <c r="BH147" s="8">
        <v>0</v>
      </c>
      <c r="BJ147" s="9">
        <f t="shared" si="9"/>
        <v>11422877</v>
      </c>
      <c r="BL147" s="9">
        <f>'Gov Fd Rv'!AU147-'Gov Fnd Exp'!BJ147</f>
        <v>675403</v>
      </c>
      <c r="BN147" s="8">
        <v>3105649</v>
      </c>
      <c r="BP147" s="8">
        <v>0</v>
      </c>
      <c r="BR147" s="8">
        <v>0</v>
      </c>
      <c r="BT147" s="9">
        <f t="shared" si="10"/>
        <v>3781052</v>
      </c>
      <c r="BU147" s="9"/>
      <c r="BV147" s="9">
        <f>BT147-'Gov Fd BS'!AA147</f>
        <v>0</v>
      </c>
    </row>
    <row r="148" spans="1:74">
      <c r="A148" s="13" t="s">
        <v>446</v>
      </c>
      <c r="B148" s="13"/>
      <c r="C148" s="13" t="s">
        <v>36</v>
      </c>
      <c r="D148" s="13"/>
      <c r="E148" s="32">
        <v>47688</v>
      </c>
      <c r="G148" s="8">
        <v>373670</v>
      </c>
      <c r="I148" s="8">
        <v>1141676</v>
      </c>
      <c r="K148" s="8">
        <v>0</v>
      </c>
      <c r="M148" s="8">
        <v>0</v>
      </c>
      <c r="O148" s="8">
        <v>390858</v>
      </c>
      <c r="Q148" s="8">
        <v>303383</v>
      </c>
      <c r="S148" s="8">
        <v>0</v>
      </c>
      <c r="U148" s="8">
        <v>119447</v>
      </c>
      <c r="W148" s="8">
        <v>14853</v>
      </c>
      <c r="Y148" s="8">
        <v>0</v>
      </c>
      <c r="AA148" s="8">
        <v>6061</v>
      </c>
      <c r="AC148" s="8">
        <v>23641</v>
      </c>
      <c r="AE148" s="8">
        <v>19031</v>
      </c>
      <c r="AG148" s="8">
        <v>706406</v>
      </c>
      <c r="AI148" s="8">
        <v>0</v>
      </c>
      <c r="AJ148" s="13" t="s">
        <v>446</v>
      </c>
      <c r="AK148" s="13"/>
      <c r="AL148" s="13" t="s">
        <v>36</v>
      </c>
      <c r="AN148" s="8">
        <v>199809</v>
      </c>
      <c r="AP148" s="8">
        <v>257925</v>
      </c>
      <c r="AR148" s="8">
        <v>0</v>
      </c>
      <c r="AT148" s="8">
        <v>345000</v>
      </c>
      <c r="AV148" s="8">
        <v>102653</v>
      </c>
      <c r="AX148" s="8">
        <v>0</v>
      </c>
      <c r="AZ148" s="9">
        <f t="shared" si="11"/>
        <v>4004413</v>
      </c>
      <c r="BB148" s="8">
        <v>0</v>
      </c>
      <c r="BH148" s="8">
        <v>0</v>
      </c>
      <c r="BJ148" s="9">
        <f t="shared" si="9"/>
        <v>4004413</v>
      </c>
      <c r="BL148" s="9">
        <f>'Gov Fd Rv'!AU148-'Gov Fnd Exp'!BJ148</f>
        <v>-160530</v>
      </c>
      <c r="BN148" s="8">
        <v>987511</v>
      </c>
      <c r="BP148" s="8">
        <v>0</v>
      </c>
      <c r="BR148" s="8">
        <v>0</v>
      </c>
      <c r="BT148" s="9">
        <f t="shared" si="10"/>
        <v>826981</v>
      </c>
      <c r="BU148" s="9"/>
      <c r="BV148" s="9">
        <f>BT148-'Gov Fd BS'!AA148</f>
        <v>0</v>
      </c>
    </row>
    <row r="149" spans="1:74">
      <c r="A149" s="13" t="s">
        <v>285</v>
      </c>
      <c r="B149" s="13"/>
      <c r="C149" s="13" t="s">
        <v>115</v>
      </c>
      <c r="D149" s="13"/>
      <c r="E149" s="32">
        <v>43919</v>
      </c>
      <c r="G149" s="8">
        <v>13042898</v>
      </c>
      <c r="I149" s="8">
        <v>2472889</v>
      </c>
      <c r="K149" s="8">
        <v>842391</v>
      </c>
      <c r="M149" s="8">
        <f>7499+76912</f>
        <v>84411</v>
      </c>
      <c r="O149" s="8">
        <v>1021843</v>
      </c>
      <c r="Q149" s="8">
        <v>1240971</v>
      </c>
      <c r="S149" s="8">
        <v>300791</v>
      </c>
      <c r="U149" s="8">
        <v>1359949</v>
      </c>
      <c r="W149" s="8">
        <v>531099</v>
      </c>
      <c r="Y149" s="8">
        <v>56001</v>
      </c>
      <c r="AA149" s="8">
        <v>3334732</v>
      </c>
      <c r="AC149" s="8">
        <v>953942</v>
      </c>
      <c r="AE149" s="8">
        <v>2833</v>
      </c>
      <c r="AG149" s="8">
        <v>959747</v>
      </c>
      <c r="AI149" s="8">
        <v>154479</v>
      </c>
      <c r="AJ149" s="13" t="s">
        <v>285</v>
      </c>
      <c r="AK149" s="13"/>
      <c r="AL149" s="13" t="s">
        <v>115</v>
      </c>
      <c r="AN149" s="8">
        <v>349567</v>
      </c>
      <c r="AP149" s="8">
        <v>8404367</v>
      </c>
      <c r="AR149" s="8">
        <v>0</v>
      </c>
      <c r="AT149" s="8">
        <v>476644</v>
      </c>
      <c r="AV149" s="8">
        <v>8199</v>
      </c>
      <c r="AX149" s="8">
        <v>0</v>
      </c>
      <c r="AZ149" s="9">
        <f t="shared" si="11"/>
        <v>35597753</v>
      </c>
      <c r="BB149" s="8">
        <v>2606589</v>
      </c>
      <c r="BH149" s="8">
        <v>0</v>
      </c>
      <c r="BJ149" s="9">
        <f t="shared" si="9"/>
        <v>38204342</v>
      </c>
      <c r="BL149" s="9">
        <f>'Gov Fd Rv'!AU149-'Gov Fnd Exp'!BJ149</f>
        <v>6768779</v>
      </c>
      <c r="BN149" s="8">
        <v>12173235</v>
      </c>
      <c r="BP149" s="8">
        <v>0</v>
      </c>
      <c r="BR149" s="8">
        <v>0</v>
      </c>
      <c r="BT149" s="9">
        <f t="shared" si="10"/>
        <v>18942014</v>
      </c>
      <c r="BU149" s="9"/>
      <c r="BV149" s="9">
        <f>BT149-'Gov Fd BS'!AA149</f>
        <v>0</v>
      </c>
    </row>
    <row r="150" spans="1:74">
      <c r="A150" s="13" t="s">
        <v>571</v>
      </c>
      <c r="B150" s="13"/>
      <c r="C150" s="13" t="s">
        <v>51</v>
      </c>
      <c r="D150" s="13"/>
      <c r="E150" s="32">
        <v>48835</v>
      </c>
      <c r="G150" s="8">
        <v>8191597</v>
      </c>
      <c r="I150" s="8">
        <v>1386963</v>
      </c>
      <c r="K150" s="8">
        <v>237138</v>
      </c>
      <c r="M150" s="8">
        <v>11499</v>
      </c>
      <c r="O150" s="8">
        <v>367662</v>
      </c>
      <c r="Q150" s="8">
        <v>1139256</v>
      </c>
      <c r="S150" s="8">
        <v>29815</v>
      </c>
      <c r="U150" s="8">
        <v>1906355</v>
      </c>
      <c r="W150" s="8">
        <v>383831</v>
      </c>
      <c r="Y150" s="8">
        <v>0</v>
      </c>
      <c r="AA150" s="8">
        <v>1617525</v>
      </c>
      <c r="AC150" s="8">
        <v>1135338</v>
      </c>
      <c r="AE150" s="8">
        <v>149208</v>
      </c>
      <c r="AG150" s="8">
        <v>856714</v>
      </c>
      <c r="AI150" s="8">
        <v>0</v>
      </c>
      <c r="AJ150" s="13" t="s">
        <v>571</v>
      </c>
      <c r="AK150" s="13"/>
      <c r="AL150" s="13" t="s">
        <v>51</v>
      </c>
      <c r="AN150" s="8">
        <v>476308</v>
      </c>
      <c r="AP150" s="8">
        <v>37755</v>
      </c>
      <c r="AR150" s="8">
        <v>0</v>
      </c>
      <c r="AT150" s="8">
        <v>323792</v>
      </c>
      <c r="AV150" s="8">
        <v>297937</v>
      </c>
      <c r="AX150" s="8">
        <v>0</v>
      </c>
      <c r="AZ150" s="9">
        <f t="shared" si="11"/>
        <v>18548693</v>
      </c>
      <c r="BB150" s="8">
        <v>10095</v>
      </c>
      <c r="BH150" s="8">
        <v>0</v>
      </c>
      <c r="BJ150" s="9">
        <f t="shared" si="9"/>
        <v>18558788</v>
      </c>
      <c r="BL150" s="9">
        <f>'Gov Fd Rv'!AU150-'Gov Fnd Exp'!BJ150</f>
        <v>-470673</v>
      </c>
      <c r="BN150" s="8">
        <v>4581994</v>
      </c>
      <c r="BP150" s="8">
        <v>0</v>
      </c>
      <c r="BR150" s="8">
        <v>0</v>
      </c>
      <c r="BT150" s="9">
        <f t="shared" si="10"/>
        <v>4111321</v>
      </c>
      <c r="BU150" s="9"/>
      <c r="BV150" s="9">
        <f>BT150-'Gov Fd BS'!AA150</f>
        <v>0</v>
      </c>
    </row>
    <row r="151" spans="1:74">
      <c r="A151" s="13" t="s">
        <v>286</v>
      </c>
      <c r="B151" s="13"/>
      <c r="C151" s="13" t="s">
        <v>115</v>
      </c>
      <c r="D151" s="13"/>
      <c r="E151" s="32">
        <v>43927</v>
      </c>
      <c r="G151" s="8">
        <v>4723426</v>
      </c>
      <c r="I151" s="8">
        <v>1892920</v>
      </c>
      <c r="K151" s="8">
        <v>87193</v>
      </c>
      <c r="M151" s="8">
        <v>0</v>
      </c>
      <c r="O151" s="8">
        <v>650831</v>
      </c>
      <c r="Q151" s="8">
        <v>379760</v>
      </c>
      <c r="S151" s="8">
        <v>62411</v>
      </c>
      <c r="U151" s="8">
        <v>704437</v>
      </c>
      <c r="W151" s="8">
        <v>270112</v>
      </c>
      <c r="Y151" s="8">
        <v>423081</v>
      </c>
      <c r="AA151" s="8">
        <v>1215795</v>
      </c>
      <c r="AC151" s="8">
        <v>579267</v>
      </c>
      <c r="AE151" s="8">
        <v>0</v>
      </c>
      <c r="AG151" s="8">
        <v>463112</v>
      </c>
      <c r="AI151" s="8">
        <v>12750</v>
      </c>
      <c r="AJ151" s="13" t="s">
        <v>286</v>
      </c>
      <c r="AK151" s="13"/>
      <c r="AL151" s="13" t="s">
        <v>115</v>
      </c>
      <c r="AN151" s="8">
        <v>356238</v>
      </c>
      <c r="AP151" s="8">
        <v>1272063</v>
      </c>
      <c r="AR151" s="8">
        <v>0</v>
      </c>
      <c r="AT151" s="8">
        <v>1721210</v>
      </c>
      <c r="AV151" s="8">
        <v>204431</v>
      </c>
      <c r="AX151" s="8">
        <v>0</v>
      </c>
      <c r="AZ151" s="9">
        <f t="shared" si="11"/>
        <v>15019037</v>
      </c>
      <c r="BB151" s="8">
        <v>58701</v>
      </c>
      <c r="BH151" s="8">
        <v>0</v>
      </c>
      <c r="BJ151" s="9">
        <f t="shared" si="9"/>
        <v>15077738</v>
      </c>
      <c r="BL151" s="9">
        <f>'Gov Fd Rv'!AU151-'Gov Fnd Exp'!BJ151</f>
        <v>-1203294</v>
      </c>
      <c r="BN151" s="8">
        <v>1905660</v>
      </c>
      <c r="BP151" s="8">
        <v>0</v>
      </c>
      <c r="BR151" s="8">
        <v>0</v>
      </c>
      <c r="BT151" s="9">
        <f t="shared" si="10"/>
        <v>702366</v>
      </c>
      <c r="BU151" s="9"/>
      <c r="BV151" s="9">
        <f>BT151-'Gov Fd BS'!AA151</f>
        <v>0</v>
      </c>
    </row>
    <row r="152" spans="1:74">
      <c r="A152" s="13" t="s">
        <v>240</v>
      </c>
      <c r="B152" s="13"/>
      <c r="C152" s="13" t="s">
        <v>77</v>
      </c>
      <c r="D152" s="13"/>
      <c r="E152" s="32">
        <v>46037</v>
      </c>
      <c r="G152" s="8">
        <v>5100049</v>
      </c>
      <c r="I152" s="8">
        <v>1234485</v>
      </c>
      <c r="K152" s="8">
        <v>208346</v>
      </c>
      <c r="M152" s="8">
        <v>723761</v>
      </c>
      <c r="O152" s="8">
        <v>404846</v>
      </c>
      <c r="Q152" s="8">
        <v>814316</v>
      </c>
      <c r="S152" s="8">
        <v>25361</v>
      </c>
      <c r="U152" s="8">
        <v>1052268</v>
      </c>
      <c r="W152" s="8">
        <v>390282</v>
      </c>
      <c r="Y152" s="8">
        <v>5012</v>
      </c>
      <c r="AA152" s="8">
        <v>941256</v>
      </c>
      <c r="AC152" s="8">
        <v>858477</v>
      </c>
      <c r="AE152" s="8">
        <v>38858</v>
      </c>
      <c r="AG152" s="8">
        <v>0</v>
      </c>
      <c r="AI152" s="8">
        <v>504201</v>
      </c>
      <c r="AJ152" s="13" t="s">
        <v>240</v>
      </c>
      <c r="AK152" s="13"/>
      <c r="AL152" s="13" t="s">
        <v>77</v>
      </c>
      <c r="AN152" s="8">
        <v>182648</v>
      </c>
      <c r="AP152" s="8">
        <v>2044598</v>
      </c>
      <c r="AR152" s="8">
        <v>0</v>
      </c>
      <c r="AT152" s="8">
        <v>7300000</v>
      </c>
      <c r="AV152" s="8">
        <v>566693</v>
      </c>
      <c r="AX152" s="8">
        <v>110041</v>
      </c>
      <c r="AZ152" s="9">
        <f t="shared" si="11"/>
        <v>22505498</v>
      </c>
      <c r="BB152" s="8">
        <v>0</v>
      </c>
      <c r="BH152" s="8">
        <v>0</v>
      </c>
      <c r="BJ152" s="9">
        <f t="shared" si="9"/>
        <v>22505498</v>
      </c>
      <c r="BL152" s="9">
        <f>'Gov Fd Rv'!AU152-'Gov Fnd Exp'!BJ152</f>
        <v>1672324</v>
      </c>
      <c r="BN152" s="8">
        <v>8898330</v>
      </c>
      <c r="BP152" s="8">
        <v>0</v>
      </c>
      <c r="BR152" s="8">
        <v>0</v>
      </c>
      <c r="BT152" s="9">
        <f t="shared" si="10"/>
        <v>10570654</v>
      </c>
      <c r="BU152" s="9"/>
      <c r="BV152" s="9">
        <f>BT152-'Gov Fd BS'!AA152</f>
        <v>0</v>
      </c>
    </row>
    <row r="153" spans="1:74">
      <c r="A153" s="13" t="s">
        <v>740</v>
      </c>
      <c r="B153" s="13"/>
      <c r="C153" s="13" t="s">
        <v>72</v>
      </c>
      <c r="D153" s="13"/>
      <c r="E153" s="32">
        <v>50674</v>
      </c>
      <c r="G153" s="8">
        <v>7071313</v>
      </c>
      <c r="I153" s="8">
        <v>1794772</v>
      </c>
      <c r="K153" s="8">
        <v>164204</v>
      </c>
      <c r="M153" s="8">
        <v>0</v>
      </c>
      <c r="O153" s="8">
        <v>462396</v>
      </c>
      <c r="Q153" s="8">
        <v>456528</v>
      </c>
      <c r="S153" s="8">
        <v>24772</v>
      </c>
      <c r="U153" s="8">
        <v>1266126</v>
      </c>
      <c r="W153" s="8">
        <v>432449</v>
      </c>
      <c r="Y153" s="8">
        <v>0</v>
      </c>
      <c r="AA153" s="8">
        <v>1350914</v>
      </c>
      <c r="AC153" s="8">
        <v>982039</v>
      </c>
      <c r="AE153" s="8">
        <v>0</v>
      </c>
      <c r="AG153" s="8">
        <v>0</v>
      </c>
      <c r="AI153" s="8">
        <v>711660</v>
      </c>
      <c r="AJ153" s="13" t="s">
        <v>740</v>
      </c>
      <c r="AK153" s="13"/>
      <c r="AL153" s="13" t="s">
        <v>72</v>
      </c>
      <c r="AN153" s="8">
        <v>520354</v>
      </c>
      <c r="AP153" s="8">
        <v>207858</v>
      </c>
      <c r="AR153" s="8">
        <v>0</v>
      </c>
      <c r="AT153" s="8">
        <v>314954</v>
      </c>
      <c r="AV153" s="8">
        <v>163062</v>
      </c>
      <c r="AX153" s="8">
        <v>0</v>
      </c>
      <c r="AZ153" s="9">
        <f t="shared" si="11"/>
        <v>15923401</v>
      </c>
      <c r="BB153" s="8">
        <v>24826</v>
      </c>
      <c r="BH153" s="8">
        <v>0</v>
      </c>
      <c r="BJ153" s="9">
        <f t="shared" si="9"/>
        <v>15948227</v>
      </c>
      <c r="BL153" s="9">
        <f>'Gov Fd Rv'!AU153-'Gov Fnd Exp'!BJ153</f>
        <v>1385311</v>
      </c>
      <c r="BN153" s="8">
        <v>2962879</v>
      </c>
      <c r="BP153" s="8">
        <v>0</v>
      </c>
      <c r="BR153" s="8">
        <v>0</v>
      </c>
      <c r="BT153" s="9">
        <f t="shared" si="10"/>
        <v>4348190</v>
      </c>
      <c r="BU153" s="9"/>
      <c r="BV153" s="9">
        <f>BT153-'Gov Fd BS'!AA153</f>
        <v>0</v>
      </c>
    </row>
    <row r="154" spans="1:74">
      <c r="A154" s="12" t="s">
        <v>974</v>
      </c>
      <c r="B154" s="13"/>
      <c r="C154" s="13" t="s">
        <v>57</v>
      </c>
      <c r="D154" s="13"/>
      <c r="E154" s="32">
        <v>43935</v>
      </c>
      <c r="G154" s="8">
        <v>11035175</v>
      </c>
      <c r="I154" s="8">
        <v>0</v>
      </c>
      <c r="K154" s="8">
        <v>0</v>
      </c>
      <c r="M154" s="8">
        <v>0</v>
      </c>
      <c r="O154" s="8">
        <v>878145</v>
      </c>
      <c r="Q154" s="8">
        <v>455829</v>
      </c>
      <c r="S154" s="8">
        <v>20055</v>
      </c>
      <c r="U154" s="8">
        <v>1655977</v>
      </c>
      <c r="W154" s="8">
        <v>631012</v>
      </c>
      <c r="Y154" s="8">
        <v>5668</v>
      </c>
      <c r="AA154" s="8">
        <v>1717002</v>
      </c>
      <c r="AC154" s="8">
        <v>1128942</v>
      </c>
      <c r="AE154" s="8">
        <v>94423</v>
      </c>
      <c r="AG154" s="8">
        <v>0</v>
      </c>
      <c r="AI154" s="8">
        <v>14083</v>
      </c>
      <c r="AJ154" s="13" t="s">
        <v>787</v>
      </c>
      <c r="AK154" s="13"/>
      <c r="AL154" s="13" t="s">
        <v>57</v>
      </c>
      <c r="AN154" s="8">
        <v>669748</v>
      </c>
      <c r="AP154" s="8">
        <v>65858</v>
      </c>
      <c r="AR154" s="8">
        <v>0</v>
      </c>
      <c r="AT154" s="8">
        <v>610000</v>
      </c>
      <c r="AV154" s="8">
        <v>1104781</v>
      </c>
      <c r="AX154" s="8">
        <v>0</v>
      </c>
      <c r="AZ154" s="9">
        <f t="shared" si="11"/>
        <v>20086698</v>
      </c>
      <c r="BB154" s="8">
        <v>0</v>
      </c>
      <c r="BH154" s="8">
        <v>0</v>
      </c>
      <c r="BJ154" s="9">
        <f t="shared" si="9"/>
        <v>20086698</v>
      </c>
      <c r="BL154" s="9">
        <f>'Gov Fd Rv'!AU154-'Gov Fnd Exp'!BJ154</f>
        <v>2658872</v>
      </c>
      <c r="BN154" s="8">
        <v>9772364</v>
      </c>
      <c r="BP154" s="8">
        <v>63253</v>
      </c>
      <c r="BR154" s="8">
        <v>0</v>
      </c>
      <c r="BT154" s="9">
        <f t="shared" si="10"/>
        <v>12494489</v>
      </c>
      <c r="BU154" s="9"/>
      <c r="BV154" s="9">
        <f>BT154-'Gov Fd BS'!AA154</f>
        <v>0</v>
      </c>
    </row>
    <row r="155" spans="1:74" hidden="1">
      <c r="A155" s="13" t="s">
        <v>734</v>
      </c>
      <c r="B155" s="13"/>
      <c r="C155" s="13" t="s">
        <v>733</v>
      </c>
      <c r="D155" s="13"/>
      <c r="E155" s="32">
        <v>50617</v>
      </c>
      <c r="G155" s="8">
        <v>0</v>
      </c>
      <c r="I155" s="8">
        <v>0</v>
      </c>
      <c r="K155" s="8">
        <v>0</v>
      </c>
      <c r="M155" s="8">
        <v>0</v>
      </c>
      <c r="O155" s="8">
        <v>0</v>
      </c>
      <c r="Q155" s="8">
        <v>0</v>
      </c>
      <c r="S155" s="8">
        <v>0</v>
      </c>
      <c r="U155" s="8">
        <v>0</v>
      </c>
      <c r="W155" s="8">
        <v>0</v>
      </c>
      <c r="Y155" s="8">
        <v>0</v>
      </c>
      <c r="AA155" s="8">
        <v>0</v>
      </c>
      <c r="AC155" s="8">
        <v>0</v>
      </c>
      <c r="AE155" s="8">
        <v>0</v>
      </c>
      <c r="AG155" s="8">
        <v>0</v>
      </c>
      <c r="AI155" s="8">
        <v>0</v>
      </c>
      <c r="AJ155" s="13" t="s">
        <v>734</v>
      </c>
      <c r="AK155" s="13"/>
      <c r="AL155" s="13" t="s">
        <v>733</v>
      </c>
      <c r="AN155" s="8">
        <v>0</v>
      </c>
      <c r="AP155" s="8">
        <v>0</v>
      </c>
      <c r="AR155" s="8">
        <v>0</v>
      </c>
      <c r="AT155" s="8">
        <v>0</v>
      </c>
      <c r="AV155" s="8">
        <v>0</v>
      </c>
      <c r="AX155" s="8">
        <v>0</v>
      </c>
      <c r="AZ155" s="9">
        <f t="shared" si="11"/>
        <v>0</v>
      </c>
      <c r="BB155" s="8">
        <v>0</v>
      </c>
      <c r="BH155" s="8">
        <v>0</v>
      </c>
      <c r="BJ155" s="9">
        <f t="shared" si="9"/>
        <v>0</v>
      </c>
      <c r="BL155" s="9">
        <f>'Gov Fd Rv'!AU155-'Gov Fnd Exp'!BJ155</f>
        <v>0</v>
      </c>
      <c r="BN155" s="8">
        <v>0</v>
      </c>
      <c r="BP155" s="8">
        <v>0</v>
      </c>
      <c r="BR155" s="8">
        <v>0</v>
      </c>
      <c r="BT155" s="9">
        <f t="shared" si="10"/>
        <v>0</v>
      </c>
      <c r="BU155" s="9"/>
      <c r="BV155" s="9">
        <f>BT155-'Gov Fd BS'!AA155</f>
        <v>0</v>
      </c>
    </row>
    <row r="156" spans="1:74" hidden="1">
      <c r="A156" s="13" t="s">
        <v>245</v>
      </c>
      <c r="B156" s="13"/>
      <c r="C156" s="13" t="s">
        <v>246</v>
      </c>
      <c r="D156" s="13"/>
      <c r="E156" s="32">
        <v>46094</v>
      </c>
      <c r="G156" s="8">
        <v>0</v>
      </c>
      <c r="I156" s="8">
        <v>0</v>
      </c>
      <c r="K156" s="8">
        <v>0</v>
      </c>
      <c r="M156" s="8">
        <v>0</v>
      </c>
      <c r="O156" s="8">
        <v>0</v>
      </c>
      <c r="Q156" s="8">
        <v>0</v>
      </c>
      <c r="S156" s="8">
        <v>0</v>
      </c>
      <c r="U156" s="8">
        <v>0</v>
      </c>
      <c r="W156" s="8">
        <v>0</v>
      </c>
      <c r="Y156" s="8">
        <v>0</v>
      </c>
      <c r="AA156" s="8">
        <v>0</v>
      </c>
      <c r="AC156" s="8">
        <v>0</v>
      </c>
      <c r="AE156" s="8">
        <v>0</v>
      </c>
      <c r="AG156" s="8">
        <v>0</v>
      </c>
      <c r="AI156" s="8">
        <v>0</v>
      </c>
      <c r="AJ156" s="13" t="s">
        <v>245</v>
      </c>
      <c r="AK156" s="13"/>
      <c r="AL156" s="13" t="s">
        <v>246</v>
      </c>
      <c r="AN156" s="8">
        <v>0</v>
      </c>
      <c r="AP156" s="8">
        <v>0</v>
      </c>
      <c r="AR156" s="8">
        <v>0</v>
      </c>
      <c r="AT156" s="8">
        <v>0</v>
      </c>
      <c r="AV156" s="8">
        <v>0</v>
      </c>
      <c r="AX156" s="8">
        <v>0</v>
      </c>
      <c r="AZ156" s="9">
        <f t="shared" si="11"/>
        <v>0</v>
      </c>
      <c r="BB156" s="8">
        <v>0</v>
      </c>
      <c r="BH156" s="8">
        <v>0</v>
      </c>
      <c r="BJ156" s="9">
        <f t="shared" si="9"/>
        <v>0</v>
      </c>
      <c r="BL156" s="9">
        <f>'Gov Fd Rv'!AU156-'Gov Fnd Exp'!BJ156</f>
        <v>0</v>
      </c>
      <c r="BN156" s="8">
        <v>0</v>
      </c>
      <c r="BP156" s="8">
        <v>0</v>
      </c>
      <c r="BR156" s="8">
        <v>0</v>
      </c>
      <c r="BT156" s="9">
        <f t="shared" si="10"/>
        <v>0</v>
      </c>
      <c r="BU156" s="9"/>
      <c r="BV156" s="9">
        <f>BT156-'Gov Fd BS'!AA156</f>
        <v>0</v>
      </c>
    </row>
    <row r="157" spans="1:74">
      <c r="A157" s="12" t="s">
        <v>245</v>
      </c>
      <c r="B157" s="13"/>
      <c r="C157" s="13" t="s">
        <v>246</v>
      </c>
      <c r="D157" s="13"/>
      <c r="E157" s="32">
        <v>43935</v>
      </c>
      <c r="G157" s="8">
        <v>13266666</v>
      </c>
      <c r="I157" s="8">
        <v>3674110</v>
      </c>
      <c r="K157" s="8">
        <v>0</v>
      </c>
      <c r="M157" s="8">
        <v>12058</v>
      </c>
      <c r="O157" s="8">
        <v>2372972</v>
      </c>
      <c r="Q157" s="8">
        <v>3173045</v>
      </c>
      <c r="S157" s="8">
        <v>232710</v>
      </c>
      <c r="U157" s="8">
        <v>2261923</v>
      </c>
      <c r="W157" s="8">
        <v>877266</v>
      </c>
      <c r="Y157" s="8">
        <v>158689</v>
      </c>
      <c r="AA157" s="8">
        <v>2647469</v>
      </c>
      <c r="AC157" s="8">
        <v>1328306</v>
      </c>
      <c r="AE157" s="8">
        <v>205732</v>
      </c>
      <c r="AG157" s="8">
        <v>1374385</v>
      </c>
      <c r="AI157" s="8">
        <v>82313</v>
      </c>
      <c r="AJ157" s="13" t="s">
        <v>787</v>
      </c>
      <c r="AK157" s="13"/>
      <c r="AL157" s="13" t="s">
        <v>57</v>
      </c>
      <c r="AN157" s="8">
        <v>554396</v>
      </c>
      <c r="AP157" s="8">
        <v>140250</v>
      </c>
      <c r="AR157" s="8">
        <v>0</v>
      </c>
      <c r="AT157" s="8">
        <v>1935608</v>
      </c>
      <c r="AV157" s="8">
        <v>649767</v>
      </c>
      <c r="AX157" s="8">
        <v>0</v>
      </c>
      <c r="AZ157" s="9">
        <f>SUM(G157:AX157)</f>
        <v>34947665</v>
      </c>
      <c r="BB157" s="8">
        <v>1370</v>
      </c>
      <c r="BH157" s="8">
        <v>0</v>
      </c>
      <c r="BJ157" s="9">
        <f>AZ157+BB157+BH157</f>
        <v>34949035</v>
      </c>
      <c r="BL157" s="9">
        <f>'Gov Fd Rv'!AU157-'Gov Fnd Exp'!BJ157</f>
        <v>717780</v>
      </c>
      <c r="BN157" s="8">
        <v>6476843</v>
      </c>
      <c r="BP157" s="8">
        <v>771</v>
      </c>
      <c r="BR157" s="8">
        <v>0</v>
      </c>
      <c r="BT157" s="9">
        <f>BL157+BN157+BP157+BR157</f>
        <v>7195394</v>
      </c>
      <c r="BU157" s="9"/>
      <c r="BV157" s="9">
        <f>BT157-'Gov Fd BS'!AA157</f>
        <v>0</v>
      </c>
    </row>
    <row r="158" spans="1:74">
      <c r="A158" s="13" t="s">
        <v>455</v>
      </c>
      <c r="B158" s="13"/>
      <c r="C158" s="13" t="s">
        <v>39</v>
      </c>
      <c r="D158" s="13"/>
      <c r="E158" s="32">
        <v>47795</v>
      </c>
      <c r="G158" s="8">
        <v>7002544</v>
      </c>
      <c r="I158" s="8">
        <v>1622711</v>
      </c>
      <c r="K158" s="8">
        <v>205732</v>
      </c>
      <c r="M158" s="8">
        <v>1817111</v>
      </c>
      <c r="O158" s="8">
        <v>688517</v>
      </c>
      <c r="Q158" s="8">
        <v>1047739</v>
      </c>
      <c r="S158" s="8">
        <v>229493</v>
      </c>
      <c r="U158" s="8">
        <v>1526363</v>
      </c>
      <c r="W158" s="8">
        <v>479766</v>
      </c>
      <c r="Y158" s="8">
        <v>116877</v>
      </c>
      <c r="AA158" s="8">
        <v>1796416</v>
      </c>
      <c r="AC158" s="8">
        <v>2007848</v>
      </c>
      <c r="AE158" s="8">
        <v>368236</v>
      </c>
      <c r="AG158" s="8">
        <v>745558</v>
      </c>
      <c r="AI158" s="8">
        <v>11643</v>
      </c>
      <c r="AJ158" s="13" t="s">
        <v>455</v>
      </c>
      <c r="AK158" s="13"/>
      <c r="AL158" s="13" t="s">
        <v>39</v>
      </c>
      <c r="AN158" s="8">
        <v>356764</v>
      </c>
      <c r="AP158" s="8">
        <v>647166</v>
      </c>
      <c r="AR158" s="8">
        <v>0</v>
      </c>
      <c r="AT158" s="8">
        <v>258232</v>
      </c>
      <c r="AV158" s="8">
        <v>91105</v>
      </c>
      <c r="AX158" s="8">
        <v>0</v>
      </c>
      <c r="AZ158" s="9">
        <f t="shared" si="11"/>
        <v>21019821</v>
      </c>
      <c r="BB158" s="8">
        <v>224409</v>
      </c>
      <c r="BH158" s="8">
        <v>0</v>
      </c>
      <c r="BJ158" s="9">
        <f t="shared" si="9"/>
        <v>21244230</v>
      </c>
      <c r="BL158" s="9">
        <f>'Gov Fd Rv'!AU158-'Gov Fnd Exp'!BJ158</f>
        <v>-496177</v>
      </c>
      <c r="BN158" s="8">
        <v>-998296</v>
      </c>
      <c r="BP158" s="8">
        <v>5770</v>
      </c>
      <c r="BR158" s="8">
        <v>0</v>
      </c>
      <c r="BT158" s="9">
        <f t="shared" si="10"/>
        <v>-1488703</v>
      </c>
      <c r="BU158" s="9"/>
      <c r="BV158" s="9">
        <f>BT158-'Gov Fd BS'!AA158</f>
        <v>0</v>
      </c>
    </row>
    <row r="159" spans="1:74">
      <c r="A159" s="13" t="s">
        <v>735</v>
      </c>
      <c r="B159" s="13"/>
      <c r="C159" s="13" t="s">
        <v>733</v>
      </c>
      <c r="D159" s="13"/>
      <c r="E159" s="32">
        <v>50625</v>
      </c>
      <c r="G159" s="8">
        <v>2402341</v>
      </c>
      <c r="I159" s="8">
        <v>629943</v>
      </c>
      <c r="K159" s="8">
        <v>166764</v>
      </c>
      <c r="M159" s="8">
        <f>144+10298</f>
        <v>10442</v>
      </c>
      <c r="O159" s="8">
        <v>271174</v>
      </c>
      <c r="Q159" s="8">
        <v>387804</v>
      </c>
      <c r="S159" s="8">
        <v>13377</v>
      </c>
      <c r="U159" s="8">
        <v>507323</v>
      </c>
      <c r="W159" s="8">
        <v>257919</v>
      </c>
      <c r="Y159" s="8">
        <v>1125</v>
      </c>
      <c r="AA159" s="8">
        <v>1384735</v>
      </c>
      <c r="AC159" s="8">
        <v>520469</v>
      </c>
      <c r="AE159" s="8">
        <v>45191</v>
      </c>
      <c r="AG159" s="8">
        <v>0</v>
      </c>
      <c r="AI159" s="8">
        <v>267144</v>
      </c>
      <c r="AJ159" s="13" t="s">
        <v>735</v>
      </c>
      <c r="AK159" s="13"/>
      <c r="AL159" s="13" t="s">
        <v>733</v>
      </c>
      <c r="AN159" s="8">
        <v>263602</v>
      </c>
      <c r="AP159" s="8">
        <v>147145</v>
      </c>
      <c r="AR159" s="8">
        <v>0</v>
      </c>
      <c r="AT159" s="8">
        <v>240000</v>
      </c>
      <c r="AV159" s="8">
        <v>150323</v>
      </c>
      <c r="AX159" s="8">
        <v>0</v>
      </c>
      <c r="AZ159" s="9">
        <f t="shared" si="11"/>
        <v>7666821</v>
      </c>
      <c r="BB159" s="8">
        <v>577330</v>
      </c>
      <c r="BH159" s="8">
        <v>0</v>
      </c>
      <c r="BJ159" s="9">
        <f t="shared" si="9"/>
        <v>8244151</v>
      </c>
      <c r="BL159" s="9">
        <f>'Gov Fd Rv'!AU159-'Gov Fnd Exp'!BJ159</f>
        <v>-835107</v>
      </c>
      <c r="BN159" s="8">
        <v>4554325</v>
      </c>
      <c r="BP159" s="8">
        <v>0</v>
      </c>
      <c r="BR159" s="8">
        <v>0</v>
      </c>
      <c r="BT159" s="9">
        <f t="shared" si="10"/>
        <v>3719218</v>
      </c>
      <c r="BU159" s="9"/>
      <c r="BV159" s="9">
        <f>BT159-'Gov Fd BS'!AA159</f>
        <v>0</v>
      </c>
    </row>
    <row r="160" spans="1:74">
      <c r="A160" s="13" t="s">
        <v>526</v>
      </c>
      <c r="B160" s="13"/>
      <c r="C160" s="13" t="s">
        <v>46</v>
      </c>
      <c r="D160" s="13"/>
      <c r="E160" s="32">
        <v>48413</v>
      </c>
      <c r="G160" s="8">
        <v>7219303</v>
      </c>
      <c r="I160" s="8">
        <v>1071331</v>
      </c>
      <c r="K160" s="8">
        <v>289968</v>
      </c>
      <c r="M160" s="8">
        <v>0</v>
      </c>
      <c r="O160" s="8">
        <v>754738</v>
      </c>
      <c r="Q160" s="8">
        <v>483634</v>
      </c>
      <c r="S160" s="8">
        <v>34121</v>
      </c>
      <c r="U160" s="8">
        <v>1265925</v>
      </c>
      <c r="W160" s="8">
        <v>378239</v>
      </c>
      <c r="Y160" s="8">
        <v>0</v>
      </c>
      <c r="AA160" s="8">
        <v>1349672</v>
      </c>
      <c r="AC160" s="8">
        <v>894232</v>
      </c>
      <c r="AE160" s="8">
        <v>0</v>
      </c>
      <c r="AG160" s="8">
        <v>0</v>
      </c>
      <c r="AI160" s="8">
        <v>632020</v>
      </c>
      <c r="AJ160" s="13" t="s">
        <v>526</v>
      </c>
      <c r="AK160" s="13"/>
      <c r="AL160" s="13" t="s">
        <v>46</v>
      </c>
      <c r="AN160" s="8">
        <v>373926</v>
      </c>
      <c r="AP160" s="8">
        <v>171681</v>
      </c>
      <c r="AR160" s="8">
        <v>0</v>
      </c>
      <c r="AT160" s="8">
        <v>0</v>
      </c>
      <c r="AV160" s="8">
        <v>0</v>
      </c>
      <c r="AX160" s="8">
        <v>0</v>
      </c>
      <c r="AZ160" s="9">
        <f t="shared" si="11"/>
        <v>14918790</v>
      </c>
      <c r="BB160" s="8">
        <v>40000</v>
      </c>
      <c r="BH160" s="8">
        <v>0</v>
      </c>
      <c r="BJ160" s="9">
        <f t="shared" si="9"/>
        <v>14958790</v>
      </c>
      <c r="BL160" s="9">
        <f>'Gov Fd Rv'!AU160-'Gov Fnd Exp'!BJ160</f>
        <v>-517393</v>
      </c>
      <c r="BN160" s="8">
        <v>1528543</v>
      </c>
      <c r="BP160" s="8">
        <v>0</v>
      </c>
      <c r="BR160" s="8">
        <v>0</v>
      </c>
      <c r="BT160" s="9">
        <f t="shared" si="10"/>
        <v>1011150</v>
      </c>
      <c r="BU160" s="9"/>
      <c r="BV160" s="9">
        <f>BT160-'Gov Fd BS'!AA160</f>
        <v>0</v>
      </c>
    </row>
    <row r="161" spans="1:74">
      <c r="A161" s="13" t="s">
        <v>493</v>
      </c>
      <c r="B161" s="13"/>
      <c r="C161" s="13" t="s">
        <v>44</v>
      </c>
      <c r="D161" s="13"/>
      <c r="E161" s="32">
        <v>43943</v>
      </c>
      <c r="G161" s="8">
        <v>29516642</v>
      </c>
      <c r="I161" s="8">
        <v>10266770</v>
      </c>
      <c r="K161" s="8">
        <v>353064</v>
      </c>
      <c r="M161" s="8">
        <f>62794+6809294</f>
        <v>6872088</v>
      </c>
      <c r="O161" s="8">
        <v>4621304</v>
      </c>
      <c r="Q161" s="8">
        <v>4837938</v>
      </c>
      <c r="S161" s="8">
        <v>51691</v>
      </c>
      <c r="U161" s="8">
        <v>5199510</v>
      </c>
      <c r="W161" s="8">
        <v>1688458</v>
      </c>
      <c r="Y161" s="8">
        <v>778417</v>
      </c>
      <c r="AA161" s="8">
        <v>6720419</v>
      </c>
      <c r="AC161" s="8">
        <v>3236629</v>
      </c>
      <c r="AE161" s="8">
        <v>1246564</v>
      </c>
      <c r="AG161" s="8">
        <v>0</v>
      </c>
      <c r="AI161" s="8">
        <v>1734031</v>
      </c>
      <c r="AJ161" s="13" t="s">
        <v>493</v>
      </c>
      <c r="AK161" s="13"/>
      <c r="AL161" s="13" t="s">
        <v>44</v>
      </c>
      <c r="AN161" s="8">
        <v>1214166</v>
      </c>
      <c r="AP161" s="8">
        <v>7392177</v>
      </c>
      <c r="AR161" s="8">
        <v>0</v>
      </c>
      <c r="AT161" s="8">
        <v>5582990</v>
      </c>
      <c r="AV161" s="8">
        <v>1901235</v>
      </c>
      <c r="AX161" s="8">
        <v>191111</v>
      </c>
      <c r="AZ161" s="9">
        <f t="shared" si="11"/>
        <v>93405204</v>
      </c>
      <c r="BB161" s="8">
        <v>2165002</v>
      </c>
      <c r="BH161" s="8">
        <v>0</v>
      </c>
      <c r="BJ161" s="9">
        <f t="shared" si="9"/>
        <v>95570206</v>
      </c>
      <c r="BL161" s="9">
        <f>'Gov Fd Rv'!AU161-'Gov Fnd Exp'!BJ161</f>
        <v>35247504</v>
      </c>
      <c r="BN161" s="8">
        <v>10743881</v>
      </c>
      <c r="BP161" s="8">
        <v>0</v>
      </c>
      <c r="BR161" s="8">
        <v>0</v>
      </c>
      <c r="BT161" s="9">
        <f t="shared" si="10"/>
        <v>45991385</v>
      </c>
      <c r="BU161" s="9"/>
      <c r="BV161" s="9">
        <f>BT161-'Gov Fd BS'!AA161</f>
        <v>0</v>
      </c>
    </row>
    <row r="162" spans="1:74">
      <c r="A162" s="13" t="s">
        <v>310</v>
      </c>
      <c r="B162" s="13"/>
      <c r="C162" s="13" t="s">
        <v>20</v>
      </c>
      <c r="D162" s="13"/>
      <c r="E162" s="32">
        <v>43950</v>
      </c>
      <c r="G162" s="8">
        <v>29273989</v>
      </c>
      <c r="I162" s="8">
        <v>14593726</v>
      </c>
      <c r="K162" s="8">
        <v>1409531</v>
      </c>
      <c r="M162" s="8">
        <f>84835+1109985</f>
        <v>1194820</v>
      </c>
      <c r="O162" s="8">
        <v>3931431</v>
      </c>
      <c r="Q162" s="8">
        <v>4843888</v>
      </c>
      <c r="S162" s="8">
        <v>78016</v>
      </c>
      <c r="U162" s="8">
        <v>5252202</v>
      </c>
      <c r="W162" s="8">
        <v>2018979</v>
      </c>
      <c r="Y162" s="8">
        <v>804096</v>
      </c>
      <c r="AA162" s="8">
        <v>8461368</v>
      </c>
      <c r="AC162" s="8">
        <v>3966357</v>
      </c>
      <c r="AE162" s="8">
        <v>1346712</v>
      </c>
      <c r="AG162" s="8">
        <v>36306</v>
      </c>
      <c r="AI162" s="8">
        <v>4888284</v>
      </c>
      <c r="AJ162" s="13" t="s">
        <v>310</v>
      </c>
      <c r="AK162" s="13"/>
      <c r="AL162" s="13" t="s">
        <v>20</v>
      </c>
      <c r="AN162" s="8">
        <v>1313289</v>
      </c>
      <c r="AP162" s="8">
        <v>1744495</v>
      </c>
      <c r="AR162" s="8">
        <v>0</v>
      </c>
      <c r="AT162" s="8">
        <v>2220000</v>
      </c>
      <c r="AV162" s="8">
        <v>626556</v>
      </c>
      <c r="AX162" s="8">
        <v>0</v>
      </c>
      <c r="AZ162" s="9">
        <f t="shared" si="11"/>
        <v>88004045</v>
      </c>
      <c r="BB162" s="8">
        <v>272277</v>
      </c>
      <c r="BH162" s="8">
        <v>0</v>
      </c>
      <c r="BJ162" s="9">
        <f t="shared" si="9"/>
        <v>88276322</v>
      </c>
      <c r="BL162" s="9">
        <f>'Gov Fd Rv'!AU162-'Gov Fnd Exp'!BJ162</f>
        <v>-5259060</v>
      </c>
      <c r="BN162" s="8">
        <v>15921319</v>
      </c>
      <c r="BP162" s="8">
        <v>0</v>
      </c>
      <c r="BR162" s="8">
        <v>0</v>
      </c>
      <c r="BT162" s="9">
        <f t="shared" si="10"/>
        <v>10662259</v>
      </c>
      <c r="BU162" s="9"/>
      <c r="BV162" s="9">
        <f>BT162-'Gov Fd BS'!AA162</f>
        <v>0</v>
      </c>
    </row>
    <row r="163" spans="1:74" hidden="1">
      <c r="A163" s="13" t="s">
        <v>373</v>
      </c>
      <c r="B163" s="13"/>
      <c r="C163" s="13" t="s">
        <v>28</v>
      </c>
      <c r="D163" s="13"/>
      <c r="E163" s="32">
        <v>47050</v>
      </c>
      <c r="G163" s="8">
        <v>0</v>
      </c>
      <c r="I163" s="8">
        <v>0</v>
      </c>
      <c r="K163" s="8">
        <v>0</v>
      </c>
      <c r="M163" s="8">
        <v>0</v>
      </c>
      <c r="O163" s="8">
        <v>0</v>
      </c>
      <c r="Q163" s="8">
        <v>0</v>
      </c>
      <c r="S163" s="8">
        <v>0</v>
      </c>
      <c r="U163" s="8">
        <v>0</v>
      </c>
      <c r="W163" s="8">
        <v>0</v>
      </c>
      <c r="Y163" s="8">
        <v>0</v>
      </c>
      <c r="AA163" s="8">
        <v>0</v>
      </c>
      <c r="AC163" s="8">
        <v>0</v>
      </c>
      <c r="AE163" s="8">
        <v>0</v>
      </c>
      <c r="AG163" s="8">
        <v>0</v>
      </c>
      <c r="AI163" s="8">
        <v>0</v>
      </c>
      <c r="AJ163" s="13" t="s">
        <v>373</v>
      </c>
      <c r="AK163" s="13"/>
      <c r="AL163" s="13" t="s">
        <v>28</v>
      </c>
      <c r="AN163" s="8">
        <v>0</v>
      </c>
      <c r="AP163" s="8">
        <v>0</v>
      </c>
      <c r="AR163" s="8">
        <v>0</v>
      </c>
      <c r="AT163" s="8">
        <v>0</v>
      </c>
      <c r="AV163" s="8">
        <v>0</v>
      </c>
      <c r="AX163" s="8">
        <v>0</v>
      </c>
      <c r="AZ163" s="9">
        <f t="shared" si="11"/>
        <v>0</v>
      </c>
      <c r="BB163" s="8">
        <v>0</v>
      </c>
      <c r="BH163" s="8">
        <v>0</v>
      </c>
      <c r="BJ163" s="9">
        <f t="shared" si="9"/>
        <v>0</v>
      </c>
      <c r="BL163" s="9">
        <f>'Gov Fd Rv'!AU163-'Gov Fnd Exp'!BJ163</f>
        <v>0</v>
      </c>
      <c r="BN163" s="8">
        <v>0</v>
      </c>
      <c r="BP163" s="8">
        <v>0</v>
      </c>
      <c r="BR163" s="8">
        <v>0</v>
      </c>
      <c r="BT163" s="9">
        <f t="shared" si="10"/>
        <v>0</v>
      </c>
      <c r="BU163" s="9"/>
      <c r="BV163" s="9">
        <f>BT163-'Gov Fd BS'!AA163</f>
        <v>0</v>
      </c>
    </row>
    <row r="164" spans="1:74">
      <c r="A164" s="13" t="s">
        <v>707</v>
      </c>
      <c r="B164" s="13"/>
      <c r="C164" s="13" t="s">
        <v>66</v>
      </c>
      <c r="D164" s="13"/>
      <c r="E164" s="32">
        <v>50328</v>
      </c>
      <c r="G164" s="8">
        <v>4412369</v>
      </c>
      <c r="I164" s="8">
        <v>784133</v>
      </c>
      <c r="K164" s="8">
        <v>34720</v>
      </c>
      <c r="M164" s="8">
        <v>54729</v>
      </c>
      <c r="O164" s="8">
        <v>651612</v>
      </c>
      <c r="Q164" s="8">
        <v>509961</v>
      </c>
      <c r="S164" s="8">
        <v>66950</v>
      </c>
      <c r="U164" s="8">
        <v>902322</v>
      </c>
      <c r="W164" s="8">
        <v>354526</v>
      </c>
      <c r="Y164" s="8">
        <v>0</v>
      </c>
      <c r="AA164" s="8">
        <v>960204</v>
      </c>
      <c r="AC164" s="8">
        <v>903321</v>
      </c>
      <c r="AE164" s="8">
        <v>9000</v>
      </c>
      <c r="AG164" s="8">
        <v>194421</v>
      </c>
      <c r="AI164" s="8">
        <v>155432</v>
      </c>
      <c r="AJ164" s="13" t="s">
        <v>707</v>
      </c>
      <c r="AK164" s="13"/>
      <c r="AL164" s="13" t="s">
        <v>66</v>
      </c>
      <c r="AN164" s="8">
        <v>293279</v>
      </c>
      <c r="AP164" s="8">
        <v>8322632</v>
      </c>
      <c r="AR164" s="8">
        <v>0</v>
      </c>
      <c r="AT164" s="8">
        <v>428523</v>
      </c>
      <c r="AV164" s="8">
        <v>573607</v>
      </c>
      <c r="AX164" s="8">
        <v>0</v>
      </c>
      <c r="AZ164" s="9">
        <f t="shared" si="11"/>
        <v>19611741</v>
      </c>
      <c r="BB164" s="8">
        <v>405585</v>
      </c>
      <c r="BH164" s="8">
        <v>0</v>
      </c>
      <c r="BJ164" s="9">
        <f t="shared" si="9"/>
        <v>20017326</v>
      </c>
      <c r="BL164" s="9">
        <f>'Gov Fd Rv'!AU164-'Gov Fnd Exp'!BJ164</f>
        <v>-7575222</v>
      </c>
      <c r="BN164" s="8">
        <v>14948308</v>
      </c>
      <c r="BP164" s="8">
        <v>0</v>
      </c>
      <c r="BR164" s="8">
        <v>0</v>
      </c>
      <c r="BT164" s="9">
        <f t="shared" si="10"/>
        <v>7373086</v>
      </c>
      <c r="BU164" s="9"/>
      <c r="BV164" s="9">
        <f>BT164-'Gov Fd BS'!AA164</f>
        <v>0</v>
      </c>
    </row>
    <row r="165" spans="1:74">
      <c r="A165" s="13" t="s">
        <v>886</v>
      </c>
      <c r="B165" s="13"/>
      <c r="C165" s="13" t="s">
        <v>117</v>
      </c>
      <c r="D165" s="13"/>
      <c r="E165" s="32">
        <v>50328</v>
      </c>
      <c r="G165" s="8">
        <v>17837820</v>
      </c>
      <c r="I165" s="8">
        <v>5964468</v>
      </c>
      <c r="K165" s="8">
        <v>0</v>
      </c>
      <c r="M165" s="8">
        <v>2626172</v>
      </c>
      <c r="O165" s="8">
        <v>2594307</v>
      </c>
      <c r="Q165" s="8">
        <v>2178131</v>
      </c>
      <c r="S165" s="8">
        <v>55466</v>
      </c>
      <c r="U165" s="8">
        <v>2953320</v>
      </c>
      <c r="W165" s="8">
        <v>830250</v>
      </c>
      <c r="Y165" s="8">
        <v>285206</v>
      </c>
      <c r="AA165" s="8">
        <v>3707844</v>
      </c>
      <c r="AC165" s="8">
        <v>2931055</v>
      </c>
      <c r="AE165" s="8">
        <v>526846</v>
      </c>
      <c r="AG165" s="8">
        <v>0</v>
      </c>
      <c r="AI165" s="8">
        <v>1720134</v>
      </c>
      <c r="AJ165" s="13" t="s">
        <v>886</v>
      </c>
      <c r="AK165" s="13"/>
      <c r="AL165" s="13" t="s">
        <v>117</v>
      </c>
      <c r="AN165" s="8">
        <v>694185</v>
      </c>
      <c r="AP165" s="8">
        <v>55915</v>
      </c>
      <c r="AR165" s="8">
        <v>0</v>
      </c>
      <c r="AT165" s="8">
        <v>924635</v>
      </c>
      <c r="AV165" s="8">
        <v>870738</v>
      </c>
      <c r="AX165" s="8">
        <v>0</v>
      </c>
      <c r="AZ165" s="9">
        <f t="shared" si="11"/>
        <v>46756492</v>
      </c>
      <c r="BB165" s="8">
        <v>389000</v>
      </c>
      <c r="BH165" s="8">
        <v>0</v>
      </c>
      <c r="BJ165" s="9">
        <f t="shared" si="9"/>
        <v>47145492</v>
      </c>
      <c r="BL165" s="9">
        <f>'Gov Fd Rv'!AU165-'Gov Fnd Exp'!BJ165</f>
        <v>370238</v>
      </c>
      <c r="BN165" s="8">
        <v>1993552</v>
      </c>
      <c r="BP165" s="8">
        <v>10986</v>
      </c>
      <c r="BR165" s="8">
        <v>0</v>
      </c>
      <c r="BT165" s="9">
        <f t="shared" si="10"/>
        <v>2374776</v>
      </c>
      <c r="BU165" s="9"/>
      <c r="BV165" s="9">
        <f>BT165-'Gov Fd BS'!AA165</f>
        <v>0</v>
      </c>
    </row>
    <row r="166" spans="1:74">
      <c r="A166" s="13" t="s">
        <v>247</v>
      </c>
      <c r="B166" s="13"/>
      <c r="C166" s="13" t="s">
        <v>246</v>
      </c>
      <c r="D166" s="13"/>
      <c r="E166" s="32">
        <v>46102</v>
      </c>
      <c r="G166" s="8">
        <v>34880643</v>
      </c>
      <c r="I166" s="8">
        <v>7883910</v>
      </c>
      <c r="K166" s="8">
        <v>87176</v>
      </c>
      <c r="M166" s="8">
        <v>1489352</v>
      </c>
      <c r="O166" s="8">
        <v>3929101</v>
      </c>
      <c r="Q166" s="8">
        <v>5955506</v>
      </c>
      <c r="S166" s="8">
        <v>0</v>
      </c>
      <c r="U166" s="8">
        <f>17135+5977666</f>
        <v>5994801</v>
      </c>
      <c r="W166" s="8">
        <v>1373566</v>
      </c>
      <c r="Y166" s="8">
        <v>328471</v>
      </c>
      <c r="AA166" s="8">
        <v>7578498</v>
      </c>
      <c r="AC166" s="8">
        <v>7094859</v>
      </c>
      <c r="AE166" s="8">
        <v>146385</v>
      </c>
      <c r="AG166" s="8">
        <v>0</v>
      </c>
      <c r="AI166" s="8">
        <v>5235079</v>
      </c>
      <c r="AJ166" s="13" t="s">
        <v>247</v>
      </c>
      <c r="AK166" s="13"/>
      <c r="AL166" s="13" t="s">
        <v>246</v>
      </c>
      <c r="AN166" s="8">
        <v>1607860</v>
      </c>
      <c r="AP166" s="8">
        <v>1440328</v>
      </c>
      <c r="AR166" s="8">
        <v>0</v>
      </c>
      <c r="AT166" s="8">
        <v>2584990</v>
      </c>
      <c r="AV166" s="8">
        <v>1750561</v>
      </c>
      <c r="AX166" s="8">
        <v>0</v>
      </c>
      <c r="AZ166" s="9">
        <f t="shared" si="11"/>
        <v>89361086</v>
      </c>
      <c r="BB166" s="8">
        <v>13268</v>
      </c>
      <c r="BH166" s="8">
        <v>0</v>
      </c>
      <c r="BJ166" s="9">
        <f t="shared" si="9"/>
        <v>89374354</v>
      </c>
      <c r="BL166" s="9">
        <f>'Gov Fd Rv'!AU166-'Gov Fnd Exp'!BJ166</f>
        <v>1617804</v>
      </c>
      <c r="BN166" s="8">
        <v>11646772</v>
      </c>
      <c r="BP166" s="8">
        <v>0</v>
      </c>
      <c r="BR166" s="8">
        <v>0</v>
      </c>
      <c r="BT166" s="9">
        <f t="shared" si="10"/>
        <v>13264576</v>
      </c>
      <c r="BU166" s="9"/>
      <c r="BV166" s="9">
        <f>BT166-'Gov Fd BS'!AA166</f>
        <v>0</v>
      </c>
    </row>
    <row r="167" spans="1:74">
      <c r="A167" s="13" t="s">
        <v>441</v>
      </c>
      <c r="B167" s="13"/>
      <c r="C167" s="13" t="s">
        <v>440</v>
      </c>
      <c r="D167" s="13"/>
      <c r="E167" s="32">
        <v>47621</v>
      </c>
      <c r="G167" s="8">
        <v>3602203</v>
      </c>
      <c r="I167" s="8">
        <v>605461</v>
      </c>
      <c r="K167" s="8">
        <v>306679</v>
      </c>
      <c r="M167" s="8">
        <v>21834</v>
      </c>
      <c r="O167" s="8">
        <v>305778</v>
      </c>
      <c r="Q167" s="8">
        <v>613309</v>
      </c>
      <c r="S167" s="8">
        <v>35218</v>
      </c>
      <c r="U167" s="8">
        <v>853880</v>
      </c>
      <c r="W167" s="8">
        <v>321086</v>
      </c>
      <c r="Y167" s="8">
        <v>43749</v>
      </c>
      <c r="AA167" s="8">
        <v>711839</v>
      </c>
      <c r="AC167" s="8">
        <v>462765</v>
      </c>
      <c r="AE167" s="8">
        <v>103976</v>
      </c>
      <c r="AG167" s="8">
        <v>218909</v>
      </c>
      <c r="AI167" s="8">
        <v>34010</v>
      </c>
      <c r="AJ167" s="13" t="s">
        <v>441</v>
      </c>
      <c r="AK167" s="13"/>
      <c r="AL167" s="13" t="s">
        <v>440</v>
      </c>
      <c r="AN167" s="8">
        <v>95832</v>
      </c>
      <c r="AP167" s="8">
        <v>0</v>
      </c>
      <c r="AR167" s="8">
        <v>0</v>
      </c>
      <c r="AT167" s="8">
        <v>100000</v>
      </c>
      <c r="AV167" s="8">
        <v>71750</v>
      </c>
      <c r="AX167" s="8">
        <v>0</v>
      </c>
      <c r="AZ167" s="9">
        <f t="shared" si="11"/>
        <v>8508278</v>
      </c>
      <c r="BB167" s="8">
        <v>0</v>
      </c>
      <c r="BH167" s="8">
        <v>0</v>
      </c>
      <c r="BJ167" s="9">
        <f t="shared" si="9"/>
        <v>8508278</v>
      </c>
      <c r="BL167" s="9">
        <f>'Gov Fd Rv'!AU167-'Gov Fnd Exp'!BJ167</f>
        <v>-544883</v>
      </c>
      <c r="BN167" s="8">
        <v>430045</v>
      </c>
      <c r="BP167" s="8">
        <v>0</v>
      </c>
      <c r="BR167" s="8">
        <v>5927</v>
      </c>
      <c r="BT167" s="9">
        <f t="shared" si="10"/>
        <v>-108911</v>
      </c>
      <c r="BU167" s="9"/>
      <c r="BV167" s="9">
        <f>BT167-'Gov Fd BS'!AA167</f>
        <v>0</v>
      </c>
    </row>
    <row r="168" spans="1:74">
      <c r="A168" s="13" t="s">
        <v>350</v>
      </c>
      <c r="B168" s="13"/>
      <c r="C168" s="13" t="s">
        <v>25</v>
      </c>
      <c r="D168" s="13"/>
      <c r="E168" s="32">
        <v>46870</v>
      </c>
      <c r="G168" s="8">
        <v>7663319</v>
      </c>
      <c r="I168" s="8">
        <v>1765334</v>
      </c>
      <c r="K168" s="8">
        <v>330925</v>
      </c>
      <c r="M168" s="8">
        <v>363197</v>
      </c>
      <c r="O168" s="8">
        <v>852251</v>
      </c>
      <c r="Q168" s="8">
        <v>651433</v>
      </c>
      <c r="S168" s="8">
        <v>34166</v>
      </c>
      <c r="U168" s="8">
        <v>1399280</v>
      </c>
      <c r="W168" s="8">
        <v>483336</v>
      </c>
      <c r="Y168" s="8">
        <v>0</v>
      </c>
      <c r="AA168" s="8">
        <v>1163913</v>
      </c>
      <c r="AC168" s="8">
        <v>1817820</v>
      </c>
      <c r="AE168" s="8">
        <v>145896</v>
      </c>
      <c r="AG168" s="8">
        <v>0</v>
      </c>
      <c r="AI168" s="8">
        <v>743248</v>
      </c>
      <c r="AJ168" s="13" t="s">
        <v>350</v>
      </c>
      <c r="AK168" s="13"/>
      <c r="AL168" s="13" t="s">
        <v>25</v>
      </c>
      <c r="AN168" s="8">
        <v>632979</v>
      </c>
      <c r="AP168" s="8">
        <v>8908969</v>
      </c>
      <c r="AR168" s="8">
        <v>0</v>
      </c>
      <c r="AT168" s="8">
        <v>214050</v>
      </c>
      <c r="AV168" s="8">
        <v>1369268</v>
      </c>
      <c r="AX168" s="8">
        <v>0</v>
      </c>
      <c r="AZ168" s="9">
        <f t="shared" si="11"/>
        <v>28539384</v>
      </c>
      <c r="BB168" s="8">
        <v>1210717</v>
      </c>
      <c r="BH168" s="8">
        <v>0</v>
      </c>
      <c r="BJ168" s="9">
        <f t="shared" si="9"/>
        <v>29750101</v>
      </c>
      <c r="BL168" s="9">
        <f>'Gov Fd Rv'!AU168-'Gov Fnd Exp'!BJ168</f>
        <v>10928854</v>
      </c>
      <c r="BN168" s="8">
        <v>32285648</v>
      </c>
      <c r="BP168" s="8">
        <v>0</v>
      </c>
      <c r="BR168" s="8">
        <v>0</v>
      </c>
      <c r="BT168" s="9">
        <f t="shared" si="10"/>
        <v>43214502</v>
      </c>
      <c r="BU168" s="9"/>
      <c r="BV168" s="9">
        <f>BT168-'Gov Fd BS'!AA168</f>
        <v>0</v>
      </c>
    </row>
    <row r="169" spans="1:74">
      <c r="A169" s="13" t="s">
        <v>473</v>
      </c>
      <c r="B169" s="13"/>
      <c r="C169" s="13" t="s">
        <v>471</v>
      </c>
      <c r="D169" s="13"/>
      <c r="E169" s="32">
        <v>47936</v>
      </c>
      <c r="G169" s="8">
        <v>7377698</v>
      </c>
      <c r="I169" s="8">
        <v>1683899</v>
      </c>
      <c r="K169" s="8">
        <v>58501</v>
      </c>
      <c r="M169" s="8">
        <v>16065</v>
      </c>
      <c r="O169" s="8">
        <v>436581</v>
      </c>
      <c r="Q169" s="8">
        <v>752143</v>
      </c>
      <c r="S169" s="8">
        <v>141238</v>
      </c>
      <c r="U169" s="8">
        <v>1124550</v>
      </c>
      <c r="W169" s="8">
        <v>367825</v>
      </c>
      <c r="Y169" s="8">
        <v>8790</v>
      </c>
      <c r="AA169" s="8">
        <v>2238715</v>
      </c>
      <c r="AC169" s="8">
        <v>963136</v>
      </c>
      <c r="AE169" s="8">
        <v>0</v>
      </c>
      <c r="AG169" s="8">
        <v>679854</v>
      </c>
      <c r="AI169" s="8">
        <v>0</v>
      </c>
      <c r="AJ169" s="13" t="s">
        <v>473</v>
      </c>
      <c r="AK169" s="13"/>
      <c r="AL169" s="13" t="s">
        <v>471</v>
      </c>
      <c r="AN169" s="8">
        <v>321209</v>
      </c>
      <c r="AP169" s="8">
        <v>0</v>
      </c>
      <c r="AR169" s="8">
        <v>0</v>
      </c>
      <c r="AT169" s="8">
        <v>140000</v>
      </c>
      <c r="AV169" s="8">
        <v>154268</v>
      </c>
      <c r="AX169" s="8">
        <v>5095</v>
      </c>
      <c r="AZ169" s="9">
        <f t="shared" si="11"/>
        <v>16469567</v>
      </c>
      <c r="BB169" s="8">
        <v>46878</v>
      </c>
      <c r="BH169" s="8">
        <v>0</v>
      </c>
      <c r="BJ169" s="9">
        <f t="shared" si="9"/>
        <v>16516445</v>
      </c>
      <c r="BL169" s="9">
        <f>'Gov Fd Rv'!AU169-'Gov Fnd Exp'!BJ169</f>
        <v>212950</v>
      </c>
      <c r="BN169" s="8">
        <v>5185947</v>
      </c>
      <c r="BP169" s="8">
        <v>0</v>
      </c>
      <c r="BR169" s="8">
        <v>0</v>
      </c>
      <c r="BT169" s="9">
        <f t="shared" si="10"/>
        <v>5398897</v>
      </c>
      <c r="BU169" s="9"/>
      <c r="BV169" s="9">
        <f>BT169-'Gov Fd BS'!AA169</f>
        <v>0</v>
      </c>
    </row>
    <row r="170" spans="1:74" hidden="1">
      <c r="A170" s="13" t="s">
        <v>648</v>
      </c>
      <c r="B170" s="13"/>
      <c r="C170" s="13" t="s">
        <v>61</v>
      </c>
      <c r="D170" s="13"/>
      <c r="E170" s="32">
        <v>49775</v>
      </c>
      <c r="G170" s="8">
        <v>0</v>
      </c>
      <c r="I170" s="8">
        <v>0</v>
      </c>
      <c r="K170" s="8">
        <v>0</v>
      </c>
      <c r="M170" s="8">
        <v>0</v>
      </c>
      <c r="O170" s="8">
        <v>0</v>
      </c>
      <c r="Q170" s="8">
        <v>0</v>
      </c>
      <c r="S170" s="8">
        <v>0</v>
      </c>
      <c r="U170" s="8">
        <v>0</v>
      </c>
      <c r="W170" s="8">
        <v>0</v>
      </c>
      <c r="Y170" s="8">
        <v>0</v>
      </c>
      <c r="AA170" s="8">
        <v>0</v>
      </c>
      <c r="AC170" s="8">
        <v>0</v>
      </c>
      <c r="AE170" s="8">
        <v>0</v>
      </c>
      <c r="AG170" s="8">
        <v>0</v>
      </c>
      <c r="AI170" s="8">
        <v>0</v>
      </c>
      <c r="AJ170" s="13" t="s">
        <v>648</v>
      </c>
      <c r="AK170" s="13"/>
      <c r="AL170" s="13" t="s">
        <v>61</v>
      </c>
      <c r="AN170" s="8">
        <v>0</v>
      </c>
      <c r="AP170" s="8">
        <v>0</v>
      </c>
      <c r="AR170" s="8">
        <v>0</v>
      </c>
      <c r="AT170" s="8">
        <v>0</v>
      </c>
      <c r="AV170" s="8">
        <v>0</v>
      </c>
      <c r="AX170" s="8">
        <v>0</v>
      </c>
      <c r="AZ170" s="9">
        <f t="shared" si="11"/>
        <v>0</v>
      </c>
      <c r="BB170" s="8">
        <v>0</v>
      </c>
      <c r="BH170" s="8">
        <v>0</v>
      </c>
      <c r="BJ170" s="9">
        <f t="shared" si="9"/>
        <v>0</v>
      </c>
      <c r="BL170" s="9">
        <f>'Gov Fd Rv'!AU170-'Gov Fnd Exp'!BJ170</f>
        <v>0</v>
      </c>
      <c r="BN170" s="8">
        <v>0</v>
      </c>
      <c r="BP170" s="8">
        <v>0</v>
      </c>
      <c r="BR170" s="8">
        <v>0</v>
      </c>
      <c r="BT170" s="9">
        <f t="shared" si="10"/>
        <v>0</v>
      </c>
      <c r="BU170" s="9"/>
      <c r="BV170" s="9">
        <f>BT170-'Gov Fd BS'!AA170</f>
        <v>0</v>
      </c>
    </row>
    <row r="171" spans="1:74">
      <c r="A171" s="13" t="s">
        <v>656</v>
      </c>
      <c r="B171" s="13"/>
      <c r="C171" s="13" t="s">
        <v>62</v>
      </c>
      <c r="D171" s="13"/>
      <c r="E171" s="32">
        <v>49841</v>
      </c>
      <c r="G171" s="8">
        <v>8882031</v>
      </c>
      <c r="I171" s="8">
        <v>2221115</v>
      </c>
      <c r="K171" s="8">
        <v>137723</v>
      </c>
      <c r="M171" s="8">
        <v>437738</v>
      </c>
      <c r="O171" s="8">
        <v>1149917</v>
      </c>
      <c r="Q171" s="8">
        <v>707062</v>
      </c>
      <c r="S171" s="8">
        <v>39403</v>
      </c>
      <c r="U171" s="8">
        <v>1601924</v>
      </c>
      <c r="W171" s="8">
        <v>453901</v>
      </c>
      <c r="Y171" s="8">
        <v>0</v>
      </c>
      <c r="AA171" s="8">
        <v>1714426</v>
      </c>
      <c r="AC171" s="8">
        <v>1157242</v>
      </c>
      <c r="AE171" s="8">
        <v>24197</v>
      </c>
      <c r="AG171" s="8">
        <v>790864</v>
      </c>
      <c r="AI171" s="8">
        <v>82044</v>
      </c>
      <c r="AJ171" s="13" t="s">
        <v>656</v>
      </c>
      <c r="AK171" s="13"/>
      <c r="AL171" s="13" t="s">
        <v>62</v>
      </c>
      <c r="AN171" s="8">
        <v>472171</v>
      </c>
      <c r="AP171" s="8">
        <v>5028791</v>
      </c>
      <c r="AR171" s="8">
        <v>56563</v>
      </c>
      <c r="AT171" s="8">
        <v>255000</v>
      </c>
      <c r="AV171" s="8">
        <v>617602</v>
      </c>
      <c r="AX171" s="8">
        <v>0</v>
      </c>
      <c r="AZ171" s="9">
        <f t="shared" si="11"/>
        <v>25829714</v>
      </c>
      <c r="BB171" s="8">
        <v>400000</v>
      </c>
      <c r="BH171" s="8">
        <v>0</v>
      </c>
      <c r="BJ171" s="9">
        <f t="shared" si="9"/>
        <v>26229714</v>
      </c>
      <c r="BL171" s="9">
        <f>'Gov Fd Rv'!AU171-'Gov Fnd Exp'!BJ171</f>
        <v>-7426534</v>
      </c>
      <c r="BN171" s="8">
        <v>10640436</v>
      </c>
      <c r="BP171" s="8">
        <v>-1356</v>
      </c>
      <c r="BR171" s="8">
        <v>0</v>
      </c>
      <c r="BT171" s="9">
        <f t="shared" si="10"/>
        <v>3212546</v>
      </c>
      <c r="BU171" s="9"/>
      <c r="BV171" s="9">
        <f>BT171-'Gov Fd BS'!AA171</f>
        <v>0</v>
      </c>
    </row>
    <row r="172" spans="1:74" hidden="1">
      <c r="A172" s="13" t="s">
        <v>463</v>
      </c>
      <c r="B172" s="13"/>
      <c r="C172" s="13" t="s">
        <v>41</v>
      </c>
      <c r="D172" s="13"/>
      <c r="E172" s="32">
        <v>45369</v>
      </c>
      <c r="G172" s="8">
        <v>0</v>
      </c>
      <c r="I172" s="8">
        <v>0</v>
      </c>
      <c r="K172" s="8">
        <v>0</v>
      </c>
      <c r="M172" s="8">
        <v>0</v>
      </c>
      <c r="O172" s="8">
        <v>0</v>
      </c>
      <c r="Q172" s="8">
        <v>0</v>
      </c>
      <c r="S172" s="8">
        <v>0</v>
      </c>
      <c r="U172" s="8">
        <v>0</v>
      </c>
      <c r="W172" s="8">
        <v>0</v>
      </c>
      <c r="Y172" s="8">
        <v>0</v>
      </c>
      <c r="AA172" s="8">
        <v>0</v>
      </c>
      <c r="AC172" s="8">
        <v>0</v>
      </c>
      <c r="AE172" s="8">
        <v>0</v>
      </c>
      <c r="AG172" s="8">
        <v>0</v>
      </c>
      <c r="AI172" s="8">
        <v>0</v>
      </c>
      <c r="AJ172" s="13" t="s">
        <v>463</v>
      </c>
      <c r="AK172" s="13"/>
      <c r="AL172" s="13" t="s">
        <v>41</v>
      </c>
      <c r="AN172" s="8">
        <v>0</v>
      </c>
      <c r="AP172" s="8">
        <v>0</v>
      </c>
      <c r="AR172" s="8">
        <v>0</v>
      </c>
      <c r="AT172" s="8">
        <v>0</v>
      </c>
      <c r="AV172" s="8">
        <v>0</v>
      </c>
      <c r="AX172" s="8">
        <v>0</v>
      </c>
      <c r="AZ172" s="9">
        <f t="shared" si="11"/>
        <v>0</v>
      </c>
      <c r="BB172" s="8">
        <v>0</v>
      </c>
      <c r="BH172" s="8">
        <v>0</v>
      </c>
      <c r="BJ172" s="9">
        <f t="shared" si="9"/>
        <v>0</v>
      </c>
      <c r="BL172" s="9">
        <f>'Gov Fd Rv'!AU172-'Gov Fnd Exp'!BJ172</f>
        <v>0</v>
      </c>
      <c r="BN172" s="8">
        <v>0</v>
      </c>
      <c r="BP172" s="8">
        <v>0</v>
      </c>
      <c r="BR172" s="8">
        <v>0</v>
      </c>
      <c r="BT172" s="9">
        <f t="shared" si="10"/>
        <v>0</v>
      </c>
      <c r="BU172" s="9"/>
      <c r="BV172" s="9">
        <f>BT172-'Gov Fd BS'!AA172</f>
        <v>0</v>
      </c>
    </row>
    <row r="173" spans="1:74">
      <c r="A173" s="13" t="s">
        <v>311</v>
      </c>
      <c r="B173" s="13"/>
      <c r="C173" s="13" t="s">
        <v>20</v>
      </c>
      <c r="D173" s="13"/>
      <c r="E173" s="32">
        <v>43976</v>
      </c>
      <c r="G173" s="8">
        <v>8164321</v>
      </c>
      <c r="I173" s="8">
        <v>2823014</v>
      </c>
      <c r="K173" s="8">
        <v>5070</v>
      </c>
      <c r="M173" s="8">
        <v>31041</v>
      </c>
      <c r="O173" s="8">
        <v>1162803</v>
      </c>
      <c r="Q173" s="8">
        <v>1272959</v>
      </c>
      <c r="S173" s="8">
        <v>21868</v>
      </c>
      <c r="U173" s="8">
        <v>1150542</v>
      </c>
      <c r="W173" s="8">
        <v>678772</v>
      </c>
      <c r="Y173" s="8">
        <v>57978</v>
      </c>
      <c r="AA173" s="8">
        <v>1776897</v>
      </c>
      <c r="AC173" s="8">
        <v>1138995</v>
      </c>
      <c r="AE173" s="8">
        <v>226286</v>
      </c>
      <c r="AG173" s="8">
        <v>0</v>
      </c>
      <c r="AI173" s="8">
        <v>494444</v>
      </c>
      <c r="AJ173" s="13" t="s">
        <v>311</v>
      </c>
      <c r="AK173" s="13"/>
      <c r="AL173" s="13" t="s">
        <v>20</v>
      </c>
      <c r="AN173" s="8">
        <f>393446+460</f>
        <v>393906</v>
      </c>
      <c r="AP173" s="8">
        <v>8862724</v>
      </c>
      <c r="AR173" s="8">
        <v>0</v>
      </c>
      <c r="AT173" s="8">
        <v>1110000</v>
      </c>
      <c r="AV173" s="8">
        <v>1303883</v>
      </c>
      <c r="AX173" s="8">
        <v>0</v>
      </c>
      <c r="AZ173" s="9">
        <f t="shared" si="11"/>
        <v>30675503</v>
      </c>
      <c r="BB173" s="8">
        <v>689521</v>
      </c>
      <c r="BH173" s="8">
        <v>0</v>
      </c>
      <c r="BJ173" s="9">
        <f t="shared" si="9"/>
        <v>31365024</v>
      </c>
      <c r="BL173" s="9">
        <f>'Gov Fd Rv'!AU173-'Gov Fnd Exp'!BJ173</f>
        <v>-4834878</v>
      </c>
      <c r="BN173" s="8">
        <v>20462487</v>
      </c>
      <c r="BP173" s="8">
        <v>0</v>
      </c>
      <c r="BR173" s="8">
        <v>0</v>
      </c>
      <c r="BT173" s="9">
        <f t="shared" si="10"/>
        <v>15627609</v>
      </c>
      <c r="BU173" s="9"/>
      <c r="BV173" s="9">
        <f>BT173-'Gov Fd BS'!AA173</f>
        <v>0</v>
      </c>
    </row>
    <row r="174" spans="1:74">
      <c r="A174" s="13" t="s">
        <v>241</v>
      </c>
      <c r="B174" s="13"/>
      <c r="C174" s="13" t="s">
        <v>77</v>
      </c>
      <c r="D174" s="13"/>
      <c r="E174" s="32">
        <v>46045</v>
      </c>
      <c r="G174" s="8">
        <v>3529844</v>
      </c>
      <c r="I174" s="8">
        <v>924615</v>
      </c>
      <c r="K174" s="8">
        <v>177876</v>
      </c>
      <c r="M174" s="8">
        <v>30839</v>
      </c>
      <c r="O174" s="8">
        <v>369376</v>
      </c>
      <c r="Q174" s="8">
        <v>786876</v>
      </c>
      <c r="S174" s="8">
        <v>58918</v>
      </c>
      <c r="U174" s="8">
        <v>795071</v>
      </c>
      <c r="W174" s="8">
        <v>307720</v>
      </c>
      <c r="Y174" s="8">
        <v>0</v>
      </c>
      <c r="AA174" s="8">
        <v>880583</v>
      </c>
      <c r="AC174" s="8">
        <v>568288</v>
      </c>
      <c r="AE174" s="8">
        <v>7189</v>
      </c>
      <c r="AG174" s="8">
        <v>28386</v>
      </c>
      <c r="AI174" s="8">
        <v>460311</v>
      </c>
      <c r="AJ174" s="13" t="s">
        <v>241</v>
      </c>
      <c r="AK174" s="13"/>
      <c r="AL174" s="13" t="s">
        <v>77</v>
      </c>
      <c r="AN174" s="8">
        <v>200317</v>
      </c>
      <c r="AP174" s="8">
        <v>6828538</v>
      </c>
      <c r="AR174" s="8">
        <v>0</v>
      </c>
      <c r="AT174" s="8">
        <v>296817</v>
      </c>
      <c r="AV174" s="8">
        <v>371496</v>
      </c>
      <c r="AX174" s="8">
        <v>0</v>
      </c>
      <c r="AZ174" s="9">
        <f t="shared" si="11"/>
        <v>16623060</v>
      </c>
      <c r="BB174" s="8">
        <v>0</v>
      </c>
      <c r="BH174" s="8">
        <v>0</v>
      </c>
      <c r="BJ174" s="9">
        <f t="shared" si="9"/>
        <v>16623060</v>
      </c>
      <c r="BL174" s="9">
        <f>'Gov Fd Rv'!AU174-'Gov Fnd Exp'!BJ174</f>
        <v>3804533</v>
      </c>
      <c r="BN174" s="8">
        <v>11584426</v>
      </c>
      <c r="BP174" s="8">
        <v>0</v>
      </c>
      <c r="BR174" s="8">
        <v>0</v>
      </c>
      <c r="BT174" s="9">
        <f t="shared" si="10"/>
        <v>15388959</v>
      </c>
      <c r="BU174" s="9"/>
      <c r="BV174" s="9">
        <f>BT174-'Gov Fd BS'!AA174</f>
        <v>0</v>
      </c>
    </row>
    <row r="175" spans="1:74">
      <c r="A175" s="13" t="s">
        <v>272</v>
      </c>
      <c r="B175" s="13"/>
      <c r="C175" s="13" t="s">
        <v>116</v>
      </c>
      <c r="D175" s="13"/>
      <c r="E175" s="32">
        <v>46334</v>
      </c>
      <c r="G175" s="8">
        <v>5066772</v>
      </c>
      <c r="I175" s="8">
        <v>739869</v>
      </c>
      <c r="K175" s="8">
        <v>0</v>
      </c>
      <c r="M175" s="8">
        <v>1204730</v>
      </c>
      <c r="O175" s="8">
        <v>683637</v>
      </c>
      <c r="Q175" s="8">
        <v>412740</v>
      </c>
      <c r="S175" s="8">
        <v>14657</v>
      </c>
      <c r="U175" s="8">
        <v>810778</v>
      </c>
      <c r="W175" s="8">
        <v>364167</v>
      </c>
      <c r="Y175" s="8">
        <v>0</v>
      </c>
      <c r="AA175" s="8">
        <v>1174792</v>
      </c>
      <c r="AC175" s="8">
        <v>619750</v>
      </c>
      <c r="AE175" s="8">
        <v>50746</v>
      </c>
      <c r="AG175" s="8">
        <v>544822</v>
      </c>
      <c r="AI175" s="8">
        <v>0</v>
      </c>
      <c r="AJ175" s="13" t="s">
        <v>272</v>
      </c>
      <c r="AK175" s="13"/>
      <c r="AL175" s="13" t="s">
        <v>116</v>
      </c>
      <c r="AN175" s="8">
        <v>205240</v>
      </c>
      <c r="AP175" s="8">
        <v>0</v>
      </c>
      <c r="AR175" s="8">
        <v>0</v>
      </c>
      <c r="AT175" s="8">
        <v>121858</v>
      </c>
      <c r="AV175" s="8">
        <v>146033</v>
      </c>
      <c r="AX175" s="8">
        <v>0</v>
      </c>
      <c r="AZ175" s="9">
        <f t="shared" si="11"/>
        <v>12160591</v>
      </c>
      <c r="BB175" s="8">
        <v>0</v>
      </c>
      <c r="BH175" s="8">
        <v>0</v>
      </c>
      <c r="BJ175" s="9">
        <f t="shared" si="9"/>
        <v>12160591</v>
      </c>
      <c r="BL175" s="9">
        <f>'Gov Fd Rv'!AU177-'Gov Fnd Exp'!BJ175</f>
        <v>-827476</v>
      </c>
      <c r="BN175" s="8">
        <v>2408052</v>
      </c>
      <c r="BP175" s="8">
        <v>0</v>
      </c>
      <c r="BR175" s="8">
        <v>0</v>
      </c>
      <c r="BT175" s="9">
        <f t="shared" si="10"/>
        <v>1580576</v>
      </c>
      <c r="BU175" s="9"/>
      <c r="BV175" s="9">
        <f>BT175-'Gov Fd BS'!AA175</f>
        <v>0</v>
      </c>
    </row>
    <row r="176" spans="1:74">
      <c r="A176" s="13" t="s">
        <v>597</v>
      </c>
      <c r="B176" s="13"/>
      <c r="C176" s="13" t="s">
        <v>56</v>
      </c>
      <c r="D176" s="13"/>
      <c r="E176" s="32">
        <v>49197</v>
      </c>
      <c r="G176" s="8">
        <v>9342479</v>
      </c>
      <c r="I176" s="8">
        <v>1793520</v>
      </c>
      <c r="K176" s="8">
        <v>161170</v>
      </c>
      <c r="M176" s="8">
        <f>16872+112945</f>
        <v>129817</v>
      </c>
      <c r="O176" s="8">
        <v>925663</v>
      </c>
      <c r="Q176" s="8">
        <v>794063</v>
      </c>
      <c r="S176" s="8">
        <v>20757</v>
      </c>
      <c r="U176" s="8">
        <v>2057970</v>
      </c>
      <c r="W176" s="8">
        <v>512853</v>
      </c>
      <c r="Y176" s="8">
        <v>42314</v>
      </c>
      <c r="AA176" s="8">
        <v>1766735</v>
      </c>
      <c r="AC176" s="8">
        <v>1107510</v>
      </c>
      <c r="AE176" s="8">
        <v>42788</v>
      </c>
      <c r="AG176" s="8">
        <v>0</v>
      </c>
      <c r="AI176" s="8">
        <v>40598</v>
      </c>
      <c r="AJ176" s="13" t="s">
        <v>597</v>
      </c>
      <c r="AK176" s="13"/>
      <c r="AL176" s="13" t="s">
        <v>56</v>
      </c>
      <c r="AN176" s="8">
        <v>343334</v>
      </c>
      <c r="AP176" s="8">
        <v>3785630</v>
      </c>
      <c r="AR176" s="8">
        <v>0</v>
      </c>
      <c r="AT176" s="8">
        <v>80728</v>
      </c>
      <c r="AV176" s="8">
        <v>1183550</v>
      </c>
      <c r="AX176" s="8">
        <v>0</v>
      </c>
      <c r="AZ176" s="9">
        <f t="shared" si="11"/>
        <v>24131479</v>
      </c>
      <c r="BB176" s="8">
        <v>365243</v>
      </c>
      <c r="BH176" s="8">
        <v>0</v>
      </c>
      <c r="BJ176" s="9">
        <f t="shared" si="9"/>
        <v>24496722</v>
      </c>
      <c r="BL176" s="9">
        <f>'Gov Fd Rv'!AU178-'Gov Fnd Exp'!BJ176</f>
        <v>-2473711</v>
      </c>
      <c r="BN176" s="8">
        <v>2868334</v>
      </c>
      <c r="BP176" s="8">
        <v>0</v>
      </c>
      <c r="BR176" s="8">
        <v>0</v>
      </c>
      <c r="BT176" s="9">
        <f t="shared" si="10"/>
        <v>394623</v>
      </c>
      <c r="BU176" s="9"/>
      <c r="BV176" s="9">
        <f>BT176-'Gov Fd BS'!AA176</f>
        <v>0</v>
      </c>
    </row>
    <row r="177" spans="1:74">
      <c r="A177" s="13" t="s">
        <v>421</v>
      </c>
      <c r="B177" s="13"/>
      <c r="C177" s="13" t="s">
        <v>33</v>
      </c>
      <c r="D177" s="13"/>
      <c r="E177" s="32">
        <v>43984</v>
      </c>
      <c r="G177" s="8">
        <v>26634467</v>
      </c>
      <c r="I177" s="8">
        <v>7120328</v>
      </c>
      <c r="K177" s="8">
        <v>2835411</v>
      </c>
      <c r="M177" s="8">
        <v>2222197</v>
      </c>
      <c r="O177" s="8">
        <v>2774078</v>
      </c>
      <c r="Q177" s="8">
        <v>3752110</v>
      </c>
      <c r="S177" s="8">
        <v>170763</v>
      </c>
      <c r="U177" s="8">
        <v>3743620</v>
      </c>
      <c r="W177" s="8">
        <v>1457330</v>
      </c>
      <c r="Y177" s="8">
        <v>0</v>
      </c>
      <c r="AA177" s="8">
        <v>6297877</v>
      </c>
      <c r="AC177" s="8">
        <v>2138796</v>
      </c>
      <c r="AE177" s="8">
        <v>166780</v>
      </c>
      <c r="AG177" s="8">
        <v>1839020</v>
      </c>
      <c r="AI177" s="8">
        <v>437777</v>
      </c>
      <c r="AJ177" s="13" t="s">
        <v>421</v>
      </c>
      <c r="AK177" s="13"/>
      <c r="AL177" s="13" t="s">
        <v>33</v>
      </c>
      <c r="AN177" s="8">
        <v>1348542</v>
      </c>
      <c r="AP177" s="8">
        <v>1353395</v>
      </c>
      <c r="AR177" s="8">
        <v>0</v>
      </c>
      <c r="AT177" s="8">
        <v>959328</v>
      </c>
      <c r="AV177" s="8">
        <v>124867</v>
      </c>
      <c r="AX177" s="8">
        <v>0</v>
      </c>
      <c r="AZ177" s="9">
        <f t="shared" si="11"/>
        <v>65376686</v>
      </c>
      <c r="BB177" s="8">
        <v>665000</v>
      </c>
      <c r="BH177" s="8">
        <v>0</v>
      </c>
      <c r="BJ177" s="9">
        <f t="shared" si="9"/>
        <v>66041686</v>
      </c>
      <c r="BL177" s="9">
        <f>'Gov Fd Rv'!AU179-'Gov Fnd Exp'!BJ177</f>
        <v>1503774</v>
      </c>
      <c r="BN177" s="8">
        <v>7222564</v>
      </c>
      <c r="BP177" s="8">
        <v>-7785</v>
      </c>
      <c r="BR177" s="8">
        <v>0</v>
      </c>
      <c r="BT177" s="9">
        <f t="shared" si="10"/>
        <v>8718553</v>
      </c>
      <c r="BU177" s="9"/>
      <c r="BV177" s="9">
        <f>BT177-'Gov Fd BS'!AA177</f>
        <v>0</v>
      </c>
    </row>
    <row r="178" spans="1:74">
      <c r="A178" s="13" t="s">
        <v>398</v>
      </c>
      <c r="B178" s="13"/>
      <c r="C178" s="13" t="s">
        <v>32</v>
      </c>
      <c r="D178" s="13"/>
      <c r="E178" s="32">
        <v>47332</v>
      </c>
      <c r="G178" s="8">
        <v>7360759</v>
      </c>
      <c r="I178" s="8">
        <v>2158350</v>
      </c>
      <c r="K178" s="8">
        <v>74736</v>
      </c>
      <c r="M178" s="8">
        <v>795614</v>
      </c>
      <c r="O178" s="8">
        <v>1381780</v>
      </c>
      <c r="Q178" s="8">
        <v>1454889</v>
      </c>
      <c r="S178" s="8">
        <v>0</v>
      </c>
      <c r="U178" s="8">
        <f>29001+1371422</f>
        <v>1400423</v>
      </c>
      <c r="W178" s="8">
        <v>448243</v>
      </c>
      <c r="Y178" s="8">
        <v>365158</v>
      </c>
      <c r="AA178" s="8">
        <v>1761509</v>
      </c>
      <c r="AC178" s="8">
        <v>817882</v>
      </c>
      <c r="AE178" s="8">
        <v>240073</v>
      </c>
      <c r="AG178" s="8">
        <v>0</v>
      </c>
      <c r="AI178" s="8">
        <v>2117885</v>
      </c>
      <c r="AJ178" s="13" t="s">
        <v>398</v>
      </c>
      <c r="AK178" s="13"/>
      <c r="AL178" s="13" t="s">
        <v>32</v>
      </c>
      <c r="AN178" s="8">
        <v>645632</v>
      </c>
      <c r="AP178" s="8">
        <v>632405</v>
      </c>
      <c r="AR178" s="8">
        <v>0</v>
      </c>
      <c r="AT178" s="8">
        <v>193000</v>
      </c>
      <c r="AV178" s="8">
        <v>403875</v>
      </c>
      <c r="AX178" s="8">
        <v>0</v>
      </c>
      <c r="AZ178" s="9">
        <f t="shared" si="11"/>
        <v>22252213</v>
      </c>
      <c r="BB178" s="8">
        <v>20130</v>
      </c>
      <c r="BH178" s="8">
        <v>0</v>
      </c>
      <c r="BJ178" s="9">
        <f t="shared" si="9"/>
        <v>22272343</v>
      </c>
      <c r="BL178" s="9">
        <f>'Gov Fd Rv'!AU180-'Gov Fnd Exp'!BJ178</f>
        <v>-537693</v>
      </c>
      <c r="BN178" s="8">
        <v>5780283</v>
      </c>
      <c r="BP178" s="8">
        <v>0</v>
      </c>
      <c r="BR178" s="8">
        <v>0</v>
      </c>
      <c r="BT178" s="9">
        <f t="shared" si="10"/>
        <v>5242590</v>
      </c>
      <c r="BU178" s="9"/>
      <c r="BV178" s="9">
        <f>BT178-'Gov Fd BS'!AA178</f>
        <v>0</v>
      </c>
    </row>
    <row r="179" spans="1:74">
      <c r="A179" s="13" t="s">
        <v>494</v>
      </c>
      <c r="B179" s="13"/>
      <c r="C179" s="13" t="s">
        <v>44</v>
      </c>
      <c r="D179" s="13"/>
      <c r="E179" s="32">
        <v>48157</v>
      </c>
      <c r="G179" s="8">
        <v>7778244</v>
      </c>
      <c r="I179" s="8">
        <v>2080605</v>
      </c>
      <c r="K179" s="8">
        <v>277407</v>
      </c>
      <c r="M179" s="8">
        <v>1125025</v>
      </c>
      <c r="O179" s="8">
        <v>1226142</v>
      </c>
      <c r="Q179" s="8">
        <v>389560</v>
      </c>
      <c r="S179" s="8">
        <v>28077</v>
      </c>
      <c r="U179" s="8">
        <v>1468537</v>
      </c>
      <c r="W179" s="8">
        <v>389852</v>
      </c>
      <c r="Y179" s="8">
        <v>0</v>
      </c>
      <c r="AA179" s="8">
        <v>1219620</v>
      </c>
      <c r="AC179" s="8">
        <v>1490461</v>
      </c>
      <c r="AE179" s="8">
        <v>349818</v>
      </c>
      <c r="AG179" s="8">
        <v>614167</v>
      </c>
      <c r="AI179" s="8">
        <v>22772</v>
      </c>
      <c r="AJ179" s="13" t="s">
        <v>494</v>
      </c>
      <c r="AK179" s="13"/>
      <c r="AL179" s="13" t="s">
        <v>44</v>
      </c>
      <c r="AN179" s="8">
        <v>516668</v>
      </c>
      <c r="AP179" s="8">
        <f>395330+64301</f>
        <v>459631</v>
      </c>
      <c r="AR179" s="8">
        <v>0</v>
      </c>
      <c r="AT179" s="8">
        <v>3735</v>
      </c>
      <c r="AV179" s="8">
        <v>1245</v>
      </c>
      <c r="AX179" s="8">
        <v>0</v>
      </c>
      <c r="AZ179" s="9">
        <f t="shared" si="11"/>
        <v>19441566</v>
      </c>
      <c r="BB179" s="8">
        <v>1156433</v>
      </c>
      <c r="BH179" s="8">
        <v>0</v>
      </c>
      <c r="BJ179" s="9">
        <f t="shared" si="9"/>
        <v>20597999</v>
      </c>
      <c r="BL179" s="9">
        <f>'Gov Fd Rv'!AU181-'Gov Fnd Exp'!BJ179</f>
        <v>-1386999</v>
      </c>
      <c r="BN179" s="8">
        <v>6106792</v>
      </c>
      <c r="BP179" s="8">
        <v>-4267</v>
      </c>
      <c r="BR179" s="8">
        <v>0</v>
      </c>
      <c r="BT179" s="9">
        <f t="shared" si="10"/>
        <v>4715526</v>
      </c>
      <c r="BU179" s="9"/>
      <c r="BV179" s="9">
        <f>BT179-'Gov Fd BS'!AA179</f>
        <v>0</v>
      </c>
    </row>
    <row r="180" spans="1:74">
      <c r="A180" s="13" t="s">
        <v>399</v>
      </c>
      <c r="B180" s="13"/>
      <c r="C180" s="13" t="s">
        <v>32</v>
      </c>
      <c r="D180" s="13"/>
      <c r="E180" s="32">
        <v>47340</v>
      </c>
      <c r="G180" s="8">
        <v>34096620</v>
      </c>
      <c r="I180" s="8">
        <v>8530479</v>
      </c>
      <c r="K180" s="8">
        <v>0</v>
      </c>
      <c r="M180" s="8">
        <v>1262512</v>
      </c>
      <c r="O180" s="8">
        <v>3364945</v>
      </c>
      <c r="Q180" s="8">
        <v>7034242</v>
      </c>
      <c r="S180" s="8">
        <v>45353</v>
      </c>
      <c r="U180" s="8">
        <v>5143644</v>
      </c>
      <c r="W180" s="8">
        <v>1242472</v>
      </c>
      <c r="Y180" s="8">
        <v>178955</v>
      </c>
      <c r="AA180" s="8">
        <v>5779027</v>
      </c>
      <c r="AC180" s="8">
        <v>4649051</v>
      </c>
      <c r="AE180" s="8">
        <v>515339</v>
      </c>
      <c r="AG180" s="8">
        <v>1935880</v>
      </c>
      <c r="AI180" s="8">
        <v>863129</v>
      </c>
      <c r="AJ180" s="13" t="s">
        <v>399</v>
      </c>
      <c r="AK180" s="13"/>
      <c r="AL180" s="13" t="s">
        <v>32</v>
      </c>
      <c r="AN180" s="8">
        <v>2111890</v>
      </c>
      <c r="AP180" s="8">
        <v>1791491</v>
      </c>
      <c r="AR180" s="8">
        <v>0</v>
      </c>
      <c r="AT180" s="8">
        <v>1500000</v>
      </c>
      <c r="AV180" s="8">
        <v>750339</v>
      </c>
      <c r="AX180" s="8">
        <v>0</v>
      </c>
      <c r="AZ180" s="9">
        <f t="shared" si="11"/>
        <v>80795368</v>
      </c>
      <c r="BB180" s="8">
        <v>290917</v>
      </c>
      <c r="BH180" s="8">
        <v>0</v>
      </c>
      <c r="BJ180" s="9">
        <f t="shared" si="9"/>
        <v>81086285</v>
      </c>
      <c r="BL180" s="9">
        <f>'Gov Fd Rv'!AU182-'Gov Fnd Exp'!BJ180</f>
        <v>553828</v>
      </c>
      <c r="BN180" s="8">
        <v>30838863</v>
      </c>
      <c r="BP180" s="8">
        <v>0</v>
      </c>
      <c r="BR180" s="8">
        <v>0</v>
      </c>
      <c r="BT180" s="9">
        <f t="shared" si="10"/>
        <v>31392691</v>
      </c>
      <c r="BU180" s="9"/>
      <c r="BV180" s="9">
        <f>BT180-'Gov Fd BS'!AA180</f>
        <v>0</v>
      </c>
    </row>
    <row r="181" spans="1:74" hidden="1">
      <c r="A181" s="13" t="s">
        <v>722</v>
      </c>
      <c r="B181" s="13"/>
      <c r="C181" s="13" t="s">
        <v>70</v>
      </c>
      <c r="D181" s="13"/>
      <c r="E181" s="32">
        <v>50484</v>
      </c>
      <c r="G181" s="8">
        <v>0</v>
      </c>
      <c r="I181" s="8">
        <v>0</v>
      </c>
      <c r="K181" s="8">
        <v>0</v>
      </c>
      <c r="M181" s="8">
        <v>0</v>
      </c>
      <c r="O181" s="8">
        <v>0</v>
      </c>
      <c r="Q181" s="8">
        <v>0</v>
      </c>
      <c r="S181" s="8">
        <v>0</v>
      </c>
      <c r="U181" s="8">
        <v>0</v>
      </c>
      <c r="W181" s="8">
        <v>0</v>
      </c>
      <c r="Y181" s="8">
        <v>0</v>
      </c>
      <c r="AA181" s="8">
        <v>0</v>
      </c>
      <c r="AC181" s="8">
        <v>0</v>
      </c>
      <c r="AE181" s="8">
        <v>0</v>
      </c>
      <c r="AG181" s="8">
        <v>0</v>
      </c>
      <c r="AI181" s="8">
        <v>0</v>
      </c>
      <c r="AJ181" s="13" t="s">
        <v>722</v>
      </c>
      <c r="AK181" s="13"/>
      <c r="AL181" s="13" t="s">
        <v>70</v>
      </c>
      <c r="AN181" s="8">
        <v>0</v>
      </c>
      <c r="AP181" s="8">
        <v>0</v>
      </c>
      <c r="AR181" s="8">
        <v>0</v>
      </c>
      <c r="AT181" s="8">
        <v>0</v>
      </c>
      <c r="AV181" s="8">
        <v>0</v>
      </c>
      <c r="AX181" s="8">
        <v>0</v>
      </c>
      <c r="AZ181" s="9">
        <f t="shared" si="11"/>
        <v>0</v>
      </c>
      <c r="BB181" s="8">
        <v>0</v>
      </c>
      <c r="BH181" s="8">
        <v>0</v>
      </c>
      <c r="BJ181" s="9">
        <f t="shared" si="9"/>
        <v>0</v>
      </c>
      <c r="BL181" s="9">
        <f>'Gov Fd Rv'!AU183-'Gov Fnd Exp'!BJ181</f>
        <v>0</v>
      </c>
      <c r="BN181" s="8">
        <v>0</v>
      </c>
      <c r="BP181" s="8">
        <v>0</v>
      </c>
      <c r="BR181" s="8">
        <v>0</v>
      </c>
      <c r="BT181" s="9">
        <f t="shared" si="10"/>
        <v>0</v>
      </c>
      <c r="BU181" s="9"/>
      <c r="BV181" s="9">
        <f>BT181-'Gov Fd BS'!AA181</f>
        <v>0</v>
      </c>
    </row>
    <row r="182" spans="1:74">
      <c r="A182" s="13" t="s">
        <v>649</v>
      </c>
      <c r="B182" s="13"/>
      <c r="C182" s="13" t="s">
        <v>61</v>
      </c>
      <c r="D182" s="13"/>
      <c r="E182" s="32">
        <v>49783</v>
      </c>
      <c r="G182" s="8">
        <v>3498105</v>
      </c>
      <c r="I182" s="8">
        <v>421498</v>
      </c>
      <c r="K182" s="8">
        <v>75</v>
      </c>
      <c r="M182" s="8">
        <v>0</v>
      </c>
      <c r="O182" s="8">
        <v>551904</v>
      </c>
      <c r="Q182" s="8">
        <v>348391</v>
      </c>
      <c r="S182" s="8">
        <v>32294</v>
      </c>
      <c r="U182" s="8">
        <v>599236</v>
      </c>
      <c r="W182" s="8">
        <v>164208</v>
      </c>
      <c r="Y182" s="8">
        <v>639</v>
      </c>
      <c r="AA182" s="8">
        <v>558443</v>
      </c>
      <c r="AC182" s="8">
        <v>209516</v>
      </c>
      <c r="AE182" s="8">
        <v>54190</v>
      </c>
      <c r="AG182" s="8">
        <v>0</v>
      </c>
      <c r="AI182" s="8">
        <v>334579</v>
      </c>
      <c r="AJ182" s="13" t="s">
        <v>649</v>
      </c>
      <c r="AK182" s="13"/>
      <c r="AL182" s="13" t="s">
        <v>61</v>
      </c>
      <c r="AN182" s="8">
        <v>319826</v>
      </c>
      <c r="AP182" s="8">
        <v>3613362</v>
      </c>
      <c r="AR182" s="8">
        <v>0</v>
      </c>
      <c r="AT182" s="8">
        <v>106666</v>
      </c>
      <c r="AV182" s="8">
        <v>548466</v>
      </c>
      <c r="AX182" s="8">
        <v>8915</v>
      </c>
      <c r="AZ182" s="9">
        <f t="shared" si="11"/>
        <v>11370313</v>
      </c>
      <c r="BB182" s="8">
        <v>314595</v>
      </c>
      <c r="BH182" s="8">
        <v>0</v>
      </c>
      <c r="BJ182" s="9">
        <f t="shared" si="9"/>
        <v>11684908</v>
      </c>
      <c r="BL182" s="9">
        <f>'Gov Fd Rv'!AU184-'Gov Fnd Exp'!BJ182</f>
        <v>6044690</v>
      </c>
      <c r="BN182" s="8">
        <v>8561488</v>
      </c>
      <c r="BP182" s="8">
        <v>0</v>
      </c>
      <c r="BR182" s="8">
        <v>0</v>
      </c>
      <c r="BT182" s="9">
        <f t="shared" si="10"/>
        <v>14606178</v>
      </c>
      <c r="BU182" s="9"/>
      <c r="BV182" s="9">
        <f>BT182-'Gov Fd BS'!AA182</f>
        <v>0</v>
      </c>
    </row>
    <row r="183" spans="1:74">
      <c r="A183" s="13" t="s">
        <v>641</v>
      </c>
      <c r="B183" s="13"/>
      <c r="C183" s="13" t="s">
        <v>60</v>
      </c>
      <c r="D183" s="13"/>
      <c r="E183" s="13">
        <v>43992</v>
      </c>
      <c r="G183" s="8">
        <v>9877701</v>
      </c>
      <c r="I183" s="8">
        <v>2388133</v>
      </c>
      <c r="K183" s="8">
        <v>203518</v>
      </c>
      <c r="M183" s="8">
        <f>72259+1228032</f>
        <v>1300291</v>
      </c>
      <c r="O183" s="8">
        <v>895045</v>
      </c>
      <c r="Q183" s="8">
        <v>1743757</v>
      </c>
      <c r="S183" s="8">
        <v>36552</v>
      </c>
      <c r="U183" s="8">
        <v>1906760</v>
      </c>
      <c r="W183" s="8">
        <v>650758</v>
      </c>
      <c r="Y183" s="8">
        <v>57227</v>
      </c>
      <c r="AA183" s="8">
        <v>1931928</v>
      </c>
      <c r="AC183" s="8">
        <v>857664</v>
      </c>
      <c r="AE183" s="8">
        <v>41482</v>
      </c>
      <c r="AG183" s="8">
        <v>1117075</v>
      </c>
      <c r="AI183" s="8">
        <v>110778</v>
      </c>
      <c r="AJ183" s="13" t="s">
        <v>641</v>
      </c>
      <c r="AK183" s="13"/>
      <c r="AL183" s="13" t="s">
        <v>60</v>
      </c>
      <c r="AN183" s="8">
        <v>367779</v>
      </c>
      <c r="AP183" s="8">
        <v>351284</v>
      </c>
      <c r="AR183" s="8">
        <v>280474</v>
      </c>
      <c r="AT183" s="8">
        <v>752539</v>
      </c>
      <c r="AV183" s="8">
        <v>187598</v>
      </c>
      <c r="AX183" s="8">
        <v>0</v>
      </c>
      <c r="AZ183" s="9">
        <f t="shared" si="11"/>
        <v>25058343</v>
      </c>
      <c r="BB183" s="8">
        <v>281558</v>
      </c>
      <c r="BH183" s="8">
        <v>0</v>
      </c>
      <c r="BJ183" s="9">
        <f t="shared" si="9"/>
        <v>25339901</v>
      </c>
      <c r="BL183" s="9">
        <f>'Gov Fd Rv'!AU185-'Gov Fnd Exp'!BJ183</f>
        <v>735406</v>
      </c>
      <c r="BN183" s="8">
        <v>12301899</v>
      </c>
      <c r="BP183" s="8">
        <v>0</v>
      </c>
      <c r="BR183" s="8">
        <v>0</v>
      </c>
      <c r="BT183" s="9">
        <f t="shared" si="10"/>
        <v>13037305</v>
      </c>
      <c r="BU183" s="9"/>
      <c r="BV183" s="9">
        <f>BT183-'Gov Fd BS'!AA183</f>
        <v>0</v>
      </c>
    </row>
    <row r="184" spans="1:74">
      <c r="A184" s="13" t="s">
        <v>714</v>
      </c>
      <c r="B184" s="13"/>
      <c r="C184" s="13" t="s">
        <v>69</v>
      </c>
      <c r="D184" s="13"/>
      <c r="E184" s="32">
        <v>44008</v>
      </c>
      <c r="G184" s="8">
        <v>12706485</v>
      </c>
      <c r="I184" s="8">
        <v>3771462</v>
      </c>
      <c r="K184" s="8">
        <v>567442</v>
      </c>
      <c r="M184" s="8">
        <v>58460</v>
      </c>
      <c r="O184" s="8">
        <v>1416489</v>
      </c>
      <c r="Q184" s="8">
        <v>1263384</v>
      </c>
      <c r="S184" s="8">
        <v>25790</v>
      </c>
      <c r="U184" s="8">
        <v>1988506</v>
      </c>
      <c r="W184" s="8">
        <v>609188</v>
      </c>
      <c r="Y184" s="8">
        <v>144753</v>
      </c>
      <c r="AA184" s="8">
        <v>2322160</v>
      </c>
      <c r="AC184" s="8">
        <v>1239906</v>
      </c>
      <c r="AE184" s="8">
        <v>353265</v>
      </c>
      <c r="AG184" s="8">
        <v>0</v>
      </c>
      <c r="AI184" s="8">
        <v>1290229</v>
      </c>
      <c r="AJ184" s="13" t="s">
        <v>714</v>
      </c>
      <c r="AK184" s="13"/>
      <c r="AL184" s="13" t="s">
        <v>69</v>
      </c>
      <c r="AN184" s="8">
        <v>1206764</v>
      </c>
      <c r="AP184" s="8">
        <v>3161989</v>
      </c>
      <c r="AR184" s="8">
        <v>0</v>
      </c>
      <c r="AT184" s="8">
        <v>233821</v>
      </c>
      <c r="AV184" s="8">
        <v>232613</v>
      </c>
      <c r="AX184" s="8">
        <v>63684</v>
      </c>
      <c r="AZ184" s="9">
        <f t="shared" si="11"/>
        <v>32656390</v>
      </c>
      <c r="BB184" s="8">
        <v>0</v>
      </c>
      <c r="BH184" s="8">
        <v>2485620</v>
      </c>
      <c r="BJ184" s="9">
        <f t="shared" si="9"/>
        <v>35142010</v>
      </c>
      <c r="BL184" s="9">
        <f>'Gov Fd Rv'!AU186-'Gov Fnd Exp'!BJ184</f>
        <v>25820</v>
      </c>
      <c r="BN184" s="8">
        <v>6608115</v>
      </c>
      <c r="BP184" s="8">
        <v>0</v>
      </c>
      <c r="BR184" s="8">
        <v>0</v>
      </c>
      <c r="BT184" s="9">
        <f t="shared" si="10"/>
        <v>6633935</v>
      </c>
      <c r="BU184" s="9"/>
      <c r="BV184" s="9">
        <f>BT184-'Gov Fd BS'!AA184</f>
        <v>0</v>
      </c>
    </row>
    <row r="185" spans="1:74">
      <c r="A185" s="13" t="s">
        <v>572</v>
      </c>
      <c r="B185" s="13"/>
      <c r="C185" s="13" t="s">
        <v>51</v>
      </c>
      <c r="D185" s="13"/>
      <c r="E185" s="32">
        <v>48843</v>
      </c>
      <c r="G185" s="8">
        <v>9519527</v>
      </c>
      <c r="I185" s="8">
        <v>2335523</v>
      </c>
      <c r="K185" s="8">
        <v>176151</v>
      </c>
      <c r="M185" s="8">
        <v>315939</v>
      </c>
      <c r="O185" s="8">
        <v>727513</v>
      </c>
      <c r="Q185" s="8">
        <v>1000457</v>
      </c>
      <c r="S185" s="8">
        <v>110690</v>
      </c>
      <c r="U185" s="8">
        <v>1340259</v>
      </c>
      <c r="W185" s="8">
        <v>396190</v>
      </c>
      <c r="Y185" s="8">
        <v>0</v>
      </c>
      <c r="AA185" s="8">
        <v>1935510</v>
      </c>
      <c r="AC185" s="8">
        <v>1512843</v>
      </c>
      <c r="AE185" s="8">
        <v>197561</v>
      </c>
      <c r="AG185" s="8">
        <v>1122855</v>
      </c>
      <c r="AI185" s="8">
        <v>6580</v>
      </c>
      <c r="AJ185" s="13" t="s">
        <v>572</v>
      </c>
      <c r="AK185" s="13"/>
      <c r="AL185" s="13" t="s">
        <v>51</v>
      </c>
      <c r="AN185" s="8">
        <v>416051</v>
      </c>
      <c r="AP185" s="8">
        <v>719229</v>
      </c>
      <c r="AR185" s="8">
        <v>0</v>
      </c>
      <c r="AT185" s="8">
        <v>412156</v>
      </c>
      <c r="AV185" s="8">
        <v>338177</v>
      </c>
      <c r="AX185" s="8">
        <v>0</v>
      </c>
      <c r="AZ185" s="9">
        <f t="shared" si="11"/>
        <v>22583211</v>
      </c>
      <c r="BB185" s="8">
        <v>94000</v>
      </c>
      <c r="BH185" s="8">
        <v>0</v>
      </c>
      <c r="BJ185" s="9">
        <f t="shared" si="9"/>
        <v>22677211</v>
      </c>
      <c r="BL185" s="9">
        <f>'Gov Fd Rv'!AU187-'Gov Fnd Exp'!BJ185</f>
        <v>-1848487</v>
      </c>
      <c r="BN185" s="8">
        <v>7952352</v>
      </c>
      <c r="BP185" s="8">
        <v>0</v>
      </c>
      <c r="BR185" s="8">
        <v>0</v>
      </c>
      <c r="BT185" s="9">
        <f t="shared" si="10"/>
        <v>6103865</v>
      </c>
      <c r="BU185" s="9"/>
      <c r="BV185" s="9">
        <f>BT185-'Gov Fd BS'!AA185</f>
        <v>0</v>
      </c>
    </row>
    <row r="186" spans="1:74" hidden="1">
      <c r="A186" s="13" t="s">
        <v>330</v>
      </c>
      <c r="B186" s="13"/>
      <c r="C186" s="13" t="s">
        <v>21</v>
      </c>
      <c r="D186" s="13"/>
      <c r="E186" s="32">
        <v>46649</v>
      </c>
      <c r="G186" s="8">
        <v>0</v>
      </c>
      <c r="I186" s="8">
        <v>0</v>
      </c>
      <c r="K186" s="8">
        <v>0</v>
      </c>
      <c r="M186" s="8">
        <v>0</v>
      </c>
      <c r="O186" s="8">
        <v>0</v>
      </c>
      <c r="Q186" s="8">
        <v>0</v>
      </c>
      <c r="S186" s="8">
        <v>0</v>
      </c>
      <c r="U186" s="8">
        <v>0</v>
      </c>
      <c r="W186" s="8">
        <v>0</v>
      </c>
      <c r="Y186" s="8">
        <v>0</v>
      </c>
      <c r="AA186" s="8">
        <v>0</v>
      </c>
      <c r="AC186" s="8">
        <v>0</v>
      </c>
      <c r="AE186" s="8">
        <v>0</v>
      </c>
      <c r="AG186" s="8">
        <v>0</v>
      </c>
      <c r="AI186" s="8">
        <v>0</v>
      </c>
      <c r="AJ186" s="13" t="s">
        <v>330</v>
      </c>
      <c r="AK186" s="13"/>
      <c r="AL186" s="13" t="s">
        <v>21</v>
      </c>
      <c r="AN186" s="8">
        <v>0</v>
      </c>
      <c r="AP186" s="8">
        <v>0</v>
      </c>
      <c r="AR186" s="8">
        <v>0</v>
      </c>
      <c r="AT186" s="8">
        <v>0</v>
      </c>
      <c r="AV186" s="8">
        <v>0</v>
      </c>
      <c r="AX186" s="8">
        <v>0</v>
      </c>
      <c r="AZ186" s="9">
        <f t="shared" si="11"/>
        <v>0</v>
      </c>
      <c r="BB186" s="8">
        <v>0</v>
      </c>
      <c r="BH186" s="8">
        <v>0</v>
      </c>
      <c r="BJ186" s="9">
        <f t="shared" si="9"/>
        <v>0</v>
      </c>
      <c r="BL186" s="9">
        <f>'Gov Fd Rv'!AU188-'Gov Fnd Exp'!BJ186</f>
        <v>0</v>
      </c>
      <c r="BN186" s="8">
        <v>0</v>
      </c>
      <c r="BP186" s="8">
        <v>0</v>
      </c>
      <c r="BR186" s="8">
        <v>0</v>
      </c>
      <c r="BT186" s="9">
        <f t="shared" si="10"/>
        <v>0</v>
      </c>
      <c r="BU186" s="9"/>
      <c r="BV186" s="9">
        <f>BT186-'Gov Fd BS'!AA186</f>
        <v>0</v>
      </c>
    </row>
    <row r="187" spans="1:74">
      <c r="A187" s="13" t="s">
        <v>461</v>
      </c>
      <c r="B187" s="13"/>
      <c r="C187" s="13" t="s">
        <v>40</v>
      </c>
      <c r="D187" s="13"/>
      <c r="E187" s="32">
        <v>47852</v>
      </c>
      <c r="G187" s="8">
        <v>4528626</v>
      </c>
      <c r="I187" s="8">
        <v>1102511</v>
      </c>
      <c r="K187" s="8">
        <v>133940</v>
      </c>
      <c r="M187" s="8">
        <v>600</v>
      </c>
      <c r="O187" s="8">
        <v>398450</v>
      </c>
      <c r="Q187" s="8">
        <v>859181</v>
      </c>
      <c r="S187" s="8">
        <v>33755</v>
      </c>
      <c r="U187" s="8">
        <v>818609</v>
      </c>
      <c r="W187" s="8">
        <v>250113</v>
      </c>
      <c r="Y187" s="8">
        <v>68004</v>
      </c>
      <c r="AA187" s="8">
        <v>703944</v>
      </c>
      <c r="AC187" s="8">
        <v>514276</v>
      </c>
      <c r="AE187" s="8">
        <v>42112</v>
      </c>
      <c r="AG187" s="8">
        <v>0</v>
      </c>
      <c r="AI187" s="8">
        <v>343598</v>
      </c>
      <c r="AJ187" s="13" t="s">
        <v>461</v>
      </c>
      <c r="AK187" s="13"/>
      <c r="AL187" s="13" t="s">
        <v>40</v>
      </c>
      <c r="AN187" s="8">
        <v>447606</v>
      </c>
      <c r="AP187" s="8">
        <v>13222256</v>
      </c>
      <c r="AR187" s="8">
        <v>0</v>
      </c>
      <c r="AT187" s="8">
        <v>289000</v>
      </c>
      <c r="AV187" s="8">
        <v>408226</v>
      </c>
      <c r="AX187" s="8">
        <v>0</v>
      </c>
      <c r="AZ187" s="9">
        <f t="shared" si="11"/>
        <v>24164807</v>
      </c>
      <c r="BB187" s="8">
        <v>33600</v>
      </c>
      <c r="BH187" s="8">
        <v>0</v>
      </c>
      <c r="BJ187" s="9">
        <f t="shared" si="9"/>
        <v>24198407</v>
      </c>
      <c r="BL187" s="9">
        <f>'Gov Fd Rv'!AU189-'Gov Fnd Exp'!BJ187</f>
        <v>-3006984</v>
      </c>
      <c r="BN187" s="8">
        <v>8569338</v>
      </c>
      <c r="BP187" s="8">
        <v>0</v>
      </c>
      <c r="BR187" s="8">
        <v>0</v>
      </c>
      <c r="BT187" s="9">
        <f t="shared" si="10"/>
        <v>5562354</v>
      </c>
      <c r="BU187" s="9"/>
      <c r="BV187" s="9">
        <f>BT187-'Gov Fd BS'!AA187</f>
        <v>0</v>
      </c>
    </row>
    <row r="188" spans="1:74">
      <c r="A188" s="13"/>
      <c r="B188" s="13"/>
      <c r="C188" s="13"/>
      <c r="D188" s="13"/>
      <c r="E188" s="32"/>
      <c r="AJ188" s="13"/>
      <c r="AK188" s="13"/>
      <c r="AL188" s="13"/>
      <c r="AZ188" s="9"/>
      <c r="BJ188" s="9"/>
      <c r="BL188" s="9"/>
      <c r="BT188" s="9"/>
      <c r="BU188" s="9"/>
      <c r="BV188" s="9"/>
    </row>
    <row r="189" spans="1:74">
      <c r="A189" s="13"/>
      <c r="B189" s="13"/>
      <c r="C189" s="13"/>
      <c r="D189" s="13"/>
      <c r="E189" s="32"/>
      <c r="AI189" s="89" t="s">
        <v>819</v>
      </c>
      <c r="AJ189" s="13"/>
      <c r="AK189" s="13"/>
      <c r="AL189" s="13"/>
      <c r="AZ189" s="9"/>
      <c r="BJ189" s="9"/>
      <c r="BL189" s="9"/>
      <c r="BT189" s="89" t="s">
        <v>819</v>
      </c>
      <c r="BU189" s="9"/>
      <c r="BV189" s="9"/>
    </row>
    <row r="190" spans="1:74" s="35" customFormat="1">
      <c r="A190" s="34" t="s">
        <v>628</v>
      </c>
      <c r="B190" s="34"/>
      <c r="C190" s="34" t="s">
        <v>79</v>
      </c>
      <c r="D190" s="34"/>
      <c r="E190" s="34">
        <v>44016</v>
      </c>
      <c r="G190" s="35">
        <v>16684530</v>
      </c>
      <c r="I190" s="35">
        <v>5595987</v>
      </c>
      <c r="K190" s="35">
        <v>94290</v>
      </c>
      <c r="M190" s="35">
        <v>51399</v>
      </c>
      <c r="O190" s="35">
        <v>2314284</v>
      </c>
      <c r="Q190" s="35">
        <v>1870748</v>
      </c>
      <c r="S190" s="35">
        <v>46033</v>
      </c>
      <c r="U190" s="35">
        <v>2714848</v>
      </c>
      <c r="W190" s="35">
        <v>1160276</v>
      </c>
      <c r="Y190" s="35">
        <v>111180</v>
      </c>
      <c r="AA190" s="35">
        <v>3366192</v>
      </c>
      <c r="AC190" s="35">
        <v>1265022</v>
      </c>
      <c r="AE190" s="35">
        <v>91677</v>
      </c>
      <c r="AG190" s="35">
        <v>0</v>
      </c>
      <c r="AI190" s="35">
        <v>2355391</v>
      </c>
      <c r="AJ190" s="34" t="s">
        <v>628</v>
      </c>
      <c r="AK190" s="34"/>
      <c r="AL190" s="34" t="s">
        <v>79</v>
      </c>
      <c r="AN190" s="35">
        <v>691739</v>
      </c>
      <c r="AP190" s="35">
        <v>414385</v>
      </c>
      <c r="AR190" s="35">
        <v>0</v>
      </c>
      <c r="AT190" s="35">
        <v>130000</v>
      </c>
      <c r="AV190" s="35">
        <v>37627</v>
      </c>
      <c r="AX190" s="35">
        <v>0</v>
      </c>
      <c r="AZ190" s="44">
        <f t="shared" si="11"/>
        <v>38995608</v>
      </c>
      <c r="BB190" s="35">
        <v>0</v>
      </c>
      <c r="BH190" s="35">
        <v>0</v>
      </c>
      <c r="BJ190" s="44">
        <f t="shared" si="9"/>
        <v>38995608</v>
      </c>
      <c r="BL190" s="44">
        <f>'Gov Fd Rv'!AU190-'Gov Fnd Exp'!BJ190</f>
        <v>3543965</v>
      </c>
      <c r="BN190" s="35">
        <v>4904069</v>
      </c>
      <c r="BP190" s="35">
        <v>0</v>
      </c>
      <c r="BR190" s="35">
        <v>0</v>
      </c>
      <c r="BT190" s="44">
        <f t="shared" si="10"/>
        <v>8448034</v>
      </c>
      <c r="BU190" s="44"/>
      <c r="BV190" s="44">
        <f>BT190-'Gov Fd BS'!AA188</f>
        <v>0</v>
      </c>
    </row>
    <row r="191" spans="1:74">
      <c r="A191" s="13" t="s">
        <v>723</v>
      </c>
      <c r="B191" s="13"/>
      <c r="C191" s="13" t="s">
        <v>70</v>
      </c>
      <c r="D191" s="13"/>
      <c r="E191" s="32">
        <v>50492</v>
      </c>
      <c r="G191" s="8">
        <v>3495833</v>
      </c>
      <c r="I191" s="8">
        <v>934174</v>
      </c>
      <c r="K191" s="8">
        <v>273908</v>
      </c>
      <c r="M191" s="8">
        <v>0</v>
      </c>
      <c r="O191" s="8">
        <v>430673</v>
      </c>
      <c r="Q191" s="8">
        <v>197558</v>
      </c>
      <c r="S191" s="8">
        <v>58325</v>
      </c>
      <c r="U191" s="8">
        <v>843240</v>
      </c>
      <c r="W191" s="8">
        <v>276811</v>
      </c>
      <c r="Y191" s="8">
        <v>58</v>
      </c>
      <c r="AA191" s="8">
        <v>973538</v>
      </c>
      <c r="AC191" s="8">
        <v>679174</v>
      </c>
      <c r="AE191" s="8">
        <v>17346</v>
      </c>
      <c r="AG191" s="8">
        <v>397926</v>
      </c>
      <c r="AI191" s="8">
        <v>0</v>
      </c>
      <c r="AJ191" s="13" t="s">
        <v>723</v>
      </c>
      <c r="AK191" s="13"/>
      <c r="AL191" s="13" t="s">
        <v>70</v>
      </c>
      <c r="AN191" s="8">
        <v>155754</v>
      </c>
      <c r="AP191" s="8">
        <f>1771843+91689</f>
        <v>1863532</v>
      </c>
      <c r="AR191" s="8">
        <v>0</v>
      </c>
      <c r="AT191" s="8">
        <v>102366</v>
      </c>
      <c r="AV191" s="8">
        <v>128650</v>
      </c>
      <c r="AX191" s="8">
        <v>0</v>
      </c>
      <c r="AZ191" s="9">
        <f t="shared" si="11"/>
        <v>10828866</v>
      </c>
      <c r="BB191" s="8">
        <v>0</v>
      </c>
      <c r="BH191" s="8">
        <v>0</v>
      </c>
      <c r="BJ191" s="9">
        <f t="shared" si="9"/>
        <v>10828866</v>
      </c>
      <c r="BL191" s="9">
        <f>'Gov Fd Rv'!AU191-'Gov Fnd Exp'!BJ191</f>
        <v>-557176</v>
      </c>
      <c r="BN191" s="8">
        <v>2170211</v>
      </c>
      <c r="BP191" s="8">
        <v>0</v>
      </c>
      <c r="BR191" s="8">
        <v>0</v>
      </c>
      <c r="BT191" s="9">
        <f t="shared" si="10"/>
        <v>1613035</v>
      </c>
      <c r="BU191" s="9"/>
      <c r="BV191" s="9">
        <f>BT191-'Gov Fd BS'!AA189</f>
        <v>0</v>
      </c>
    </row>
    <row r="192" spans="1:74">
      <c r="A192" s="13" t="s">
        <v>360</v>
      </c>
      <c r="B192" s="13"/>
      <c r="C192" s="13" t="s">
        <v>27</v>
      </c>
      <c r="D192" s="13"/>
      <c r="E192" s="32">
        <v>46961</v>
      </c>
      <c r="G192" s="8">
        <v>36265900</v>
      </c>
      <c r="I192" s="8">
        <v>9961267</v>
      </c>
      <c r="K192" s="8">
        <v>897834</v>
      </c>
      <c r="M192" s="8">
        <v>5904</v>
      </c>
      <c r="O192" s="8">
        <v>3335452</v>
      </c>
      <c r="Q192" s="8">
        <v>4270215</v>
      </c>
      <c r="S192" s="8">
        <v>6040972</v>
      </c>
      <c r="U192" s="8">
        <v>505563</v>
      </c>
      <c r="W192" s="8">
        <v>1323788</v>
      </c>
      <c r="Y192" s="8">
        <v>13465</v>
      </c>
      <c r="AA192" s="8">
        <v>5700882</v>
      </c>
      <c r="AC192" s="8">
        <v>2330467</v>
      </c>
      <c r="AE192" s="8">
        <v>334211</v>
      </c>
      <c r="AG192" s="8">
        <v>0</v>
      </c>
      <c r="AI192" s="8">
        <f>1345075+62913</f>
        <v>1407988</v>
      </c>
      <c r="AJ192" s="13" t="s">
        <v>360</v>
      </c>
      <c r="AK192" s="13"/>
      <c r="AL192" s="13" t="s">
        <v>27</v>
      </c>
      <c r="AN192" s="8">
        <v>1193075</v>
      </c>
      <c r="AP192" s="8">
        <v>2965881</v>
      </c>
      <c r="AR192" s="8">
        <v>0</v>
      </c>
      <c r="AT192" s="8">
        <v>2378986</v>
      </c>
      <c r="AV192" s="8">
        <v>778299</v>
      </c>
      <c r="AX192" s="8">
        <v>0</v>
      </c>
      <c r="AZ192" s="9">
        <f t="shared" si="11"/>
        <v>79710149</v>
      </c>
      <c r="BB192" s="8">
        <v>0</v>
      </c>
      <c r="BH192" s="8">
        <v>0</v>
      </c>
      <c r="BJ192" s="9">
        <f t="shared" si="9"/>
        <v>79710149</v>
      </c>
      <c r="BL192" s="9">
        <f>'Gov Fd Rv'!AU192-'Gov Fnd Exp'!BJ192</f>
        <v>-3287004</v>
      </c>
      <c r="BN192" s="8">
        <v>37298704</v>
      </c>
      <c r="BP192" s="8">
        <v>83714</v>
      </c>
      <c r="BR192" s="8">
        <v>0</v>
      </c>
      <c r="BT192" s="9">
        <f t="shared" si="10"/>
        <v>34095414</v>
      </c>
      <c r="BU192" s="9"/>
      <c r="BV192" s="9">
        <f>BT192-'Gov Fd BS'!AA190</f>
        <v>0</v>
      </c>
    </row>
    <row r="193" spans="1:75">
      <c r="A193" s="13" t="s">
        <v>298</v>
      </c>
      <c r="B193" s="13"/>
      <c r="C193" s="13" t="s">
        <v>114</v>
      </c>
      <c r="D193" s="13"/>
      <c r="E193" s="32">
        <v>44024</v>
      </c>
      <c r="G193" s="8">
        <v>8336293</v>
      </c>
      <c r="I193" s="8">
        <v>2974095</v>
      </c>
      <c r="K193" s="8">
        <v>70871</v>
      </c>
      <c r="M193" s="8">
        <v>0</v>
      </c>
      <c r="O193" s="8">
        <v>854451</v>
      </c>
      <c r="Q193" s="8">
        <v>789113</v>
      </c>
      <c r="S193" s="8">
        <v>81468</v>
      </c>
      <c r="U193" s="8">
        <v>1373424</v>
      </c>
      <c r="W193" s="8">
        <v>429738</v>
      </c>
      <c r="Y193" s="8">
        <v>0</v>
      </c>
      <c r="AA193" s="8">
        <v>1706849</v>
      </c>
      <c r="AC193" s="8">
        <v>761983</v>
      </c>
      <c r="AE193" s="8">
        <v>193272</v>
      </c>
      <c r="AG193" s="8">
        <v>0</v>
      </c>
      <c r="AI193" s="8">
        <v>776831</v>
      </c>
      <c r="AJ193" s="13" t="s">
        <v>298</v>
      </c>
      <c r="AK193" s="13"/>
      <c r="AL193" s="13" t="s">
        <v>114</v>
      </c>
      <c r="AN193" s="8">
        <v>560865</v>
      </c>
      <c r="AP193" s="8">
        <v>13616204</v>
      </c>
      <c r="AR193" s="8">
        <v>0</v>
      </c>
      <c r="AT193" s="8">
        <v>322350</v>
      </c>
      <c r="AV193" s="8">
        <v>809495</v>
      </c>
      <c r="AX193" s="8">
        <v>0</v>
      </c>
      <c r="AZ193" s="9">
        <f t="shared" si="11"/>
        <v>33657302</v>
      </c>
      <c r="BB193" s="8">
        <v>1041465</v>
      </c>
      <c r="BH193" s="8">
        <v>0</v>
      </c>
      <c r="BJ193" s="9">
        <f t="shared" si="9"/>
        <v>34698767</v>
      </c>
      <c r="BL193" s="9">
        <f>'Gov Fd Rv'!AU193-'Gov Fnd Exp'!BJ193</f>
        <v>-10065733</v>
      </c>
      <c r="BN193" s="8">
        <v>16588510</v>
      </c>
      <c r="BP193" s="8">
        <v>0</v>
      </c>
      <c r="BR193" s="8">
        <v>235000</v>
      </c>
      <c r="BT193" s="9">
        <f t="shared" si="10"/>
        <v>6757777</v>
      </c>
      <c r="BU193" s="9"/>
      <c r="BV193" s="9">
        <f>BT193-'Gov Fd BS'!AA191</f>
        <v>0</v>
      </c>
    </row>
    <row r="194" spans="1:75">
      <c r="A194" s="13" t="s">
        <v>379</v>
      </c>
      <c r="B194" s="13"/>
      <c r="C194" s="13" t="s">
        <v>29</v>
      </c>
      <c r="D194" s="13"/>
      <c r="E194" s="32">
        <v>65680</v>
      </c>
      <c r="G194" s="8">
        <v>8623746</v>
      </c>
      <c r="I194" s="8">
        <v>3019070</v>
      </c>
      <c r="K194" s="8">
        <v>428902</v>
      </c>
      <c r="M194" s="8">
        <v>1835825</v>
      </c>
      <c r="O194" s="8">
        <v>536306</v>
      </c>
      <c r="Q194" s="8">
        <v>980666</v>
      </c>
      <c r="S194" s="8">
        <v>230006</v>
      </c>
      <c r="U194" s="8">
        <v>1592847</v>
      </c>
      <c r="W194" s="8">
        <v>634710</v>
      </c>
      <c r="Y194" s="8">
        <v>24401</v>
      </c>
      <c r="AA194" s="8">
        <v>2056267</v>
      </c>
      <c r="AC194" s="8">
        <v>2395421</v>
      </c>
      <c r="AE194" s="8">
        <v>487530</v>
      </c>
      <c r="AG194" s="8">
        <v>0</v>
      </c>
      <c r="AI194" s="8">
        <v>986937</v>
      </c>
      <c r="AJ194" s="13" t="s">
        <v>379</v>
      </c>
      <c r="AK194" s="13"/>
      <c r="AL194" s="13" t="s">
        <v>29</v>
      </c>
      <c r="AN194" s="8">
        <v>460820</v>
      </c>
      <c r="AP194" s="8">
        <v>12109023</v>
      </c>
      <c r="AR194" s="8">
        <v>0</v>
      </c>
      <c r="AT194" s="8">
        <v>550000</v>
      </c>
      <c r="AV194" s="8">
        <v>1987320</v>
      </c>
      <c r="AX194" s="8">
        <v>0</v>
      </c>
      <c r="AZ194" s="9">
        <f t="shared" si="11"/>
        <v>38939797</v>
      </c>
      <c r="BB194" s="8">
        <v>70960</v>
      </c>
      <c r="BH194" s="8">
        <v>0</v>
      </c>
      <c r="BJ194" s="9">
        <f t="shared" si="9"/>
        <v>39010757</v>
      </c>
      <c r="BL194" s="9">
        <f>'Gov Fd Rv'!AU194-'Gov Fnd Exp'!BJ194</f>
        <v>-8900545</v>
      </c>
      <c r="BN194" s="8">
        <v>44556035</v>
      </c>
      <c r="BP194" s="8">
        <v>0</v>
      </c>
      <c r="BR194" s="8">
        <v>0</v>
      </c>
      <c r="BT194" s="9">
        <f t="shared" si="10"/>
        <v>35655490</v>
      </c>
      <c r="BU194" s="9"/>
      <c r="BV194" s="9">
        <f>BT194-'Gov Fd BS'!AA192</f>
        <v>0</v>
      </c>
    </row>
    <row r="195" spans="1:75" s="35" customFormat="1">
      <c r="A195" s="34" t="s">
        <v>380</v>
      </c>
      <c r="B195" s="34"/>
      <c r="C195" s="34" t="s">
        <v>29</v>
      </c>
      <c r="D195" s="34"/>
      <c r="E195" s="34">
        <v>44032</v>
      </c>
      <c r="G195" s="8">
        <v>9271529</v>
      </c>
      <c r="H195" s="8"/>
      <c r="I195" s="8">
        <v>3281803</v>
      </c>
      <c r="J195" s="8"/>
      <c r="K195" s="8">
        <v>372739</v>
      </c>
      <c r="L195" s="8"/>
      <c r="M195" s="8">
        <v>0</v>
      </c>
      <c r="N195" s="8"/>
      <c r="O195" s="8">
        <v>1020915</v>
      </c>
      <c r="P195" s="8"/>
      <c r="Q195" s="8">
        <v>1221408</v>
      </c>
      <c r="R195" s="8"/>
      <c r="S195" s="8">
        <v>48604</v>
      </c>
      <c r="T195" s="8"/>
      <c r="U195" s="8">
        <v>1803832</v>
      </c>
      <c r="V195" s="8"/>
      <c r="W195" s="8">
        <v>404477</v>
      </c>
      <c r="X195" s="8"/>
      <c r="Y195" s="8">
        <v>0</v>
      </c>
      <c r="Z195" s="8"/>
      <c r="AA195" s="8">
        <v>1371648</v>
      </c>
      <c r="AB195" s="8"/>
      <c r="AC195" s="8">
        <v>1671319</v>
      </c>
      <c r="AD195" s="8"/>
      <c r="AE195" s="8">
        <v>99388</v>
      </c>
      <c r="AF195" s="8"/>
      <c r="AG195" s="8">
        <v>737786</v>
      </c>
      <c r="AH195" s="8"/>
      <c r="AI195" s="8">
        <v>27</v>
      </c>
      <c r="AJ195" s="34" t="s">
        <v>380</v>
      </c>
      <c r="AK195" s="34"/>
      <c r="AL195" s="34" t="s">
        <v>29</v>
      </c>
      <c r="AN195" s="8">
        <v>600502</v>
      </c>
      <c r="AO195" s="8"/>
      <c r="AP195" s="8">
        <v>5120830</v>
      </c>
      <c r="AQ195" s="8"/>
      <c r="AR195" s="8">
        <v>0</v>
      </c>
      <c r="AS195" s="8"/>
      <c r="AT195" s="8">
        <v>330000</v>
      </c>
      <c r="AU195" s="8"/>
      <c r="AV195" s="8">
        <v>1158094</v>
      </c>
      <c r="AW195" s="8"/>
      <c r="AX195" s="8">
        <v>0</v>
      </c>
      <c r="AY195" s="8"/>
      <c r="AZ195" s="9">
        <f t="shared" si="11"/>
        <v>28514901</v>
      </c>
      <c r="BA195" s="8"/>
      <c r="BB195" s="8">
        <v>0</v>
      </c>
      <c r="BC195" s="8"/>
      <c r="BD195" s="8"/>
      <c r="BE195" s="8"/>
      <c r="BF195" s="8"/>
      <c r="BG195" s="8"/>
      <c r="BH195" s="8">
        <v>0</v>
      </c>
      <c r="BI195" s="8"/>
      <c r="BJ195" s="9">
        <f t="shared" si="9"/>
        <v>28514901</v>
      </c>
      <c r="BK195" s="8"/>
      <c r="BL195" s="9">
        <f>'Gov Fd Rv'!AU195-'Gov Fnd Exp'!BJ195</f>
        <v>1012200</v>
      </c>
      <c r="BM195" s="8"/>
      <c r="BN195" s="8">
        <v>33474513</v>
      </c>
      <c r="BO195" s="8"/>
      <c r="BP195" s="8">
        <v>-7964</v>
      </c>
      <c r="BQ195" s="8"/>
      <c r="BR195" s="8">
        <v>0</v>
      </c>
      <c r="BS195" s="8"/>
      <c r="BT195" s="9">
        <f t="shared" si="10"/>
        <v>34478749</v>
      </c>
      <c r="BU195" s="9"/>
      <c r="BV195" s="9">
        <f>BT195-'Gov Fd BS'!AA193</f>
        <v>0</v>
      </c>
    </row>
    <row r="196" spans="1:75">
      <c r="A196" s="13" t="s">
        <v>701</v>
      </c>
      <c r="B196" s="13"/>
      <c r="C196" s="13" t="s">
        <v>65</v>
      </c>
      <c r="D196" s="13"/>
      <c r="E196" s="32">
        <v>50278</v>
      </c>
      <c r="G196" s="8">
        <v>5332659</v>
      </c>
      <c r="I196" s="8">
        <v>994514</v>
      </c>
      <c r="K196" s="8">
        <v>1865</v>
      </c>
      <c r="M196" s="8">
        <v>64746</v>
      </c>
      <c r="O196" s="8">
        <v>409992</v>
      </c>
      <c r="Q196" s="8">
        <v>568614</v>
      </c>
      <c r="S196" s="8">
        <v>16288</v>
      </c>
      <c r="U196" s="8">
        <v>1038057</v>
      </c>
      <c r="W196" s="8">
        <v>392998</v>
      </c>
      <c r="Y196" s="8">
        <v>0</v>
      </c>
      <c r="AA196" s="8">
        <v>825822</v>
      </c>
      <c r="AC196" s="8">
        <v>807703</v>
      </c>
      <c r="AE196" s="8">
        <v>109206</v>
      </c>
      <c r="AG196" s="8">
        <v>444953</v>
      </c>
      <c r="AI196" s="8">
        <v>0</v>
      </c>
      <c r="AJ196" s="13" t="s">
        <v>701</v>
      </c>
      <c r="AK196" s="13"/>
      <c r="AL196" s="13" t="s">
        <v>65</v>
      </c>
      <c r="AN196" s="8">
        <v>348192</v>
      </c>
      <c r="AP196" s="8">
        <v>1536</v>
      </c>
      <c r="AR196" s="8">
        <v>0</v>
      </c>
      <c r="AT196" s="8">
        <v>157052</v>
      </c>
      <c r="AV196" s="8">
        <v>58263</v>
      </c>
      <c r="AX196" s="8">
        <v>0</v>
      </c>
      <c r="AZ196" s="9">
        <f t="shared" si="11"/>
        <v>11572460</v>
      </c>
      <c r="BB196" s="8">
        <v>35000</v>
      </c>
      <c r="BH196" s="8">
        <v>0</v>
      </c>
      <c r="BJ196" s="9">
        <f t="shared" si="9"/>
        <v>11607460</v>
      </c>
      <c r="BL196" s="9">
        <f>'Gov Fd Rv'!AU196-'Gov Fnd Exp'!BJ196</f>
        <v>10259</v>
      </c>
      <c r="BN196" s="8">
        <v>3489554</v>
      </c>
      <c r="BP196" s="8">
        <v>0</v>
      </c>
      <c r="BR196" s="8">
        <v>0</v>
      </c>
      <c r="BT196" s="9">
        <f t="shared" si="10"/>
        <v>3499813</v>
      </c>
      <c r="BU196" s="9"/>
      <c r="BV196" s="9">
        <f>BT196-'Gov Fd BS'!AA194</f>
        <v>0</v>
      </c>
    </row>
    <row r="197" spans="1:75" hidden="1">
      <c r="A197" s="13" t="s">
        <v>312</v>
      </c>
      <c r="B197" s="13"/>
      <c r="C197" s="13" t="s">
        <v>20</v>
      </c>
      <c r="D197" s="13"/>
      <c r="E197" s="32">
        <v>44040</v>
      </c>
      <c r="G197" s="8">
        <v>0</v>
      </c>
      <c r="I197" s="8">
        <v>0</v>
      </c>
      <c r="K197" s="8">
        <v>0</v>
      </c>
      <c r="M197" s="8">
        <v>0</v>
      </c>
      <c r="O197" s="8">
        <v>0</v>
      </c>
      <c r="Q197" s="8">
        <v>0</v>
      </c>
      <c r="S197" s="8">
        <v>0</v>
      </c>
      <c r="U197" s="8">
        <v>0</v>
      </c>
      <c r="W197" s="8">
        <v>0</v>
      </c>
      <c r="Y197" s="8">
        <v>0</v>
      </c>
      <c r="AA197" s="8">
        <v>0</v>
      </c>
      <c r="AC197" s="8">
        <v>0</v>
      </c>
      <c r="AE197" s="8">
        <v>0</v>
      </c>
      <c r="AG197" s="8">
        <v>0</v>
      </c>
      <c r="AI197" s="8">
        <v>0</v>
      </c>
      <c r="AJ197" s="13" t="s">
        <v>312</v>
      </c>
      <c r="AK197" s="13"/>
      <c r="AL197" s="13" t="s">
        <v>20</v>
      </c>
      <c r="AN197" s="8">
        <v>0</v>
      </c>
      <c r="AP197" s="8">
        <v>0</v>
      </c>
      <c r="AR197" s="8">
        <v>0</v>
      </c>
      <c r="AT197" s="8">
        <v>0</v>
      </c>
      <c r="AV197" s="8">
        <v>0</v>
      </c>
      <c r="AX197" s="8">
        <v>0</v>
      </c>
      <c r="AZ197" s="9">
        <f t="shared" si="11"/>
        <v>0</v>
      </c>
      <c r="BB197" s="8">
        <v>0</v>
      </c>
      <c r="BH197" s="8">
        <v>0</v>
      </c>
      <c r="BJ197" s="9">
        <f t="shared" si="9"/>
        <v>0</v>
      </c>
      <c r="BL197" s="9">
        <f>'Gov Fd Rv'!AU197-'Gov Fnd Exp'!BJ197</f>
        <v>0</v>
      </c>
      <c r="BN197" s="8">
        <v>0</v>
      </c>
      <c r="BP197" s="8">
        <v>0</v>
      </c>
      <c r="BR197" s="8">
        <v>0</v>
      </c>
      <c r="BT197" s="9">
        <f t="shared" si="10"/>
        <v>0</v>
      </c>
      <c r="BU197" s="9"/>
      <c r="BV197" s="9">
        <f>BT197-'Gov Fd BS'!AA195</f>
        <v>0</v>
      </c>
    </row>
    <row r="198" spans="1:75">
      <c r="A198" s="12" t="s">
        <v>936</v>
      </c>
      <c r="B198" s="13"/>
      <c r="C198" s="13" t="s">
        <v>12</v>
      </c>
      <c r="D198" s="13"/>
      <c r="E198" s="32">
        <v>44057</v>
      </c>
      <c r="G198" s="8">
        <v>10015673</v>
      </c>
      <c r="I198" s="8">
        <v>2836545</v>
      </c>
      <c r="K198" s="8">
        <v>397286</v>
      </c>
      <c r="M198" s="8">
        <v>1279470</v>
      </c>
      <c r="O198" s="8">
        <v>1383002</v>
      </c>
      <c r="Q198" s="8">
        <v>583531</v>
      </c>
      <c r="S198" s="8">
        <v>17861</v>
      </c>
      <c r="U198" s="8">
        <v>1784624</v>
      </c>
      <c r="W198" s="8">
        <v>521256</v>
      </c>
      <c r="Y198" s="8">
        <v>14549</v>
      </c>
      <c r="AA198" s="8">
        <v>2315008</v>
      </c>
      <c r="AC198" s="8">
        <v>1374217</v>
      </c>
      <c r="AE198" s="8">
        <v>2760</v>
      </c>
      <c r="AG198" s="8">
        <v>0</v>
      </c>
      <c r="AI198" s="8">
        <v>1323659</v>
      </c>
      <c r="AJ198" s="13" t="s">
        <v>221</v>
      </c>
      <c r="AK198" s="13"/>
      <c r="AL198" s="13" t="s">
        <v>12</v>
      </c>
      <c r="AN198" s="8">
        <v>620177</v>
      </c>
      <c r="AP198" s="8">
        <v>998136</v>
      </c>
      <c r="AR198" s="8">
        <v>0</v>
      </c>
      <c r="AT198" s="8">
        <v>695000</v>
      </c>
      <c r="AV198" s="8">
        <v>857085</v>
      </c>
      <c r="AX198" s="8">
        <v>0</v>
      </c>
      <c r="AZ198" s="9">
        <f t="shared" si="11"/>
        <v>27019839</v>
      </c>
      <c r="BB198" s="8">
        <v>232274</v>
      </c>
      <c r="BH198" s="8">
        <v>0</v>
      </c>
      <c r="BJ198" s="9">
        <f t="shared" si="9"/>
        <v>27252113</v>
      </c>
      <c r="BL198" s="9">
        <f>'Gov Fd Rv'!AU198-'Gov Fnd Exp'!BJ198</f>
        <v>2335685</v>
      </c>
      <c r="BN198" s="8">
        <v>9656322</v>
      </c>
      <c r="BP198" s="8">
        <v>0</v>
      </c>
      <c r="BR198" s="8">
        <v>0</v>
      </c>
      <c r="BT198" s="9">
        <f t="shared" si="10"/>
        <v>11992007</v>
      </c>
      <c r="BU198" s="9"/>
      <c r="BV198" s="9">
        <f>BT198-'Gov Fd BS'!AA196</f>
        <v>0</v>
      </c>
    </row>
    <row r="199" spans="1:75">
      <c r="A199" s="13" t="s">
        <v>580</v>
      </c>
      <c r="B199" s="13"/>
      <c r="C199" s="13" t="s">
        <v>53</v>
      </c>
      <c r="D199" s="13"/>
      <c r="E199" s="32">
        <v>48942</v>
      </c>
      <c r="G199" s="8">
        <v>7103631</v>
      </c>
      <c r="I199" s="8">
        <v>1074595</v>
      </c>
      <c r="K199" s="8">
        <v>5131</v>
      </c>
      <c r="M199" s="8">
        <v>0</v>
      </c>
      <c r="O199" s="8">
        <v>347238</v>
      </c>
      <c r="Q199" s="8">
        <v>134981</v>
      </c>
      <c r="S199" s="8">
        <v>9425</v>
      </c>
      <c r="U199" s="8">
        <v>1056174</v>
      </c>
      <c r="W199" s="8">
        <v>376277</v>
      </c>
      <c r="Y199" s="8">
        <v>11513</v>
      </c>
      <c r="AA199" s="8">
        <v>987275</v>
      </c>
      <c r="AC199" s="8">
        <v>432063</v>
      </c>
      <c r="AE199" s="8">
        <v>335705</v>
      </c>
      <c r="AG199" s="8">
        <v>0</v>
      </c>
      <c r="AI199" s="8">
        <v>873</v>
      </c>
      <c r="AJ199" s="13" t="s">
        <v>580</v>
      </c>
      <c r="AK199" s="13"/>
      <c r="AL199" s="13" t="s">
        <v>53</v>
      </c>
      <c r="AN199" s="8">
        <v>524233</v>
      </c>
      <c r="AP199" s="8">
        <v>1895</v>
      </c>
      <c r="AR199" s="8">
        <v>0</v>
      </c>
      <c r="AT199" s="8">
        <v>359176</v>
      </c>
      <c r="AV199" s="8">
        <v>250958</v>
      </c>
      <c r="AX199" s="8">
        <v>0</v>
      </c>
      <c r="AZ199" s="9">
        <f t="shared" si="11"/>
        <v>13011143</v>
      </c>
      <c r="BB199" s="8">
        <v>88252</v>
      </c>
      <c r="BH199" s="8">
        <v>0</v>
      </c>
      <c r="BJ199" s="9">
        <f t="shared" si="9"/>
        <v>13099395</v>
      </c>
      <c r="BL199" s="9">
        <f>'Gov Fd Rv'!AU199-'Gov Fnd Exp'!BJ199</f>
        <v>245493</v>
      </c>
      <c r="BN199" s="8">
        <v>2466298</v>
      </c>
      <c r="BP199" s="8">
        <v>0</v>
      </c>
      <c r="BR199" s="8">
        <v>0</v>
      </c>
      <c r="BT199" s="9">
        <f t="shared" si="10"/>
        <v>2711791</v>
      </c>
      <c r="BU199" s="9"/>
      <c r="BV199" s="9">
        <f>BT199-'Gov Fd BS'!AA197</f>
        <v>0</v>
      </c>
    </row>
    <row r="200" spans="1:75">
      <c r="A200" s="13" t="s">
        <v>242</v>
      </c>
      <c r="B200" s="13"/>
      <c r="C200" s="13" t="s">
        <v>77</v>
      </c>
      <c r="D200" s="13"/>
      <c r="E200" s="32">
        <v>45377</v>
      </c>
      <c r="G200" s="8">
        <v>4460337</v>
      </c>
      <c r="I200" s="8">
        <v>801415</v>
      </c>
      <c r="K200" s="8">
        <v>163384</v>
      </c>
      <c r="M200" s="8">
        <f>7539+517</f>
        <v>8056</v>
      </c>
      <c r="O200" s="8">
        <v>246687</v>
      </c>
      <c r="Q200" s="8">
        <v>385832</v>
      </c>
      <c r="S200" s="8">
        <v>37073</v>
      </c>
      <c r="U200" s="8">
        <v>724668</v>
      </c>
      <c r="W200" s="8">
        <v>361902</v>
      </c>
      <c r="Y200" s="8">
        <v>45607</v>
      </c>
      <c r="AA200" s="8">
        <v>785231</v>
      </c>
      <c r="AC200" s="8">
        <v>549647</v>
      </c>
      <c r="AE200" s="8">
        <v>60361</v>
      </c>
      <c r="AG200" s="8">
        <v>0</v>
      </c>
      <c r="AI200" s="8">
        <v>375216</v>
      </c>
      <c r="AJ200" s="13" t="s">
        <v>242</v>
      </c>
      <c r="AK200" s="13"/>
      <c r="AL200" s="13" t="s">
        <v>77</v>
      </c>
      <c r="AN200" s="8">
        <v>176112</v>
      </c>
      <c r="AP200" s="8">
        <v>465949</v>
      </c>
      <c r="AR200" s="8">
        <v>0</v>
      </c>
      <c r="AT200" s="8">
        <v>286440</v>
      </c>
      <c r="AV200" s="8">
        <v>240621</v>
      </c>
      <c r="AX200" s="8">
        <v>0</v>
      </c>
      <c r="AZ200" s="9">
        <f t="shared" si="11"/>
        <v>10174538</v>
      </c>
      <c r="BB200" s="8">
        <v>0</v>
      </c>
      <c r="BH200" s="8">
        <v>0</v>
      </c>
      <c r="BJ200" s="9">
        <f t="shared" si="9"/>
        <v>10174538</v>
      </c>
      <c r="BL200" s="9">
        <f>'Gov Fd Rv'!AU200-'Gov Fnd Exp'!BJ200</f>
        <v>-564611</v>
      </c>
      <c r="BN200" s="8">
        <v>1896459</v>
      </c>
      <c r="BP200" s="8">
        <v>0</v>
      </c>
      <c r="BR200" s="8">
        <v>0</v>
      </c>
      <c r="BT200" s="9">
        <f t="shared" si="10"/>
        <v>1331848</v>
      </c>
      <c r="BU200" s="9"/>
      <c r="BV200" s="9">
        <f>BT200-'Gov Fd BS'!AA198</f>
        <v>0</v>
      </c>
    </row>
    <row r="201" spans="1:75">
      <c r="A201" s="13" t="s">
        <v>629</v>
      </c>
      <c r="B201" s="13"/>
      <c r="C201" s="13" t="s">
        <v>79</v>
      </c>
      <c r="D201" s="13"/>
      <c r="E201" s="32">
        <v>45385</v>
      </c>
      <c r="G201" s="8">
        <v>4648658</v>
      </c>
      <c r="I201" s="8">
        <v>649094</v>
      </c>
      <c r="K201" s="8">
        <v>148979</v>
      </c>
      <c r="M201" s="8">
        <v>9645</v>
      </c>
      <c r="O201" s="8">
        <v>393245</v>
      </c>
      <c r="Q201" s="8">
        <v>100933</v>
      </c>
      <c r="S201" s="8">
        <v>50953</v>
      </c>
      <c r="U201" s="8">
        <v>742973</v>
      </c>
      <c r="W201" s="8">
        <v>434945</v>
      </c>
      <c r="Y201" s="8">
        <v>6401</v>
      </c>
      <c r="AA201" s="8">
        <v>1054525</v>
      </c>
      <c r="AC201" s="8">
        <v>354195</v>
      </c>
      <c r="AE201" s="8">
        <v>3641</v>
      </c>
      <c r="AG201" s="8">
        <v>453988</v>
      </c>
      <c r="AI201" s="8">
        <v>135277</v>
      </c>
      <c r="AJ201" s="13" t="s">
        <v>629</v>
      </c>
      <c r="AK201" s="13"/>
      <c r="AL201" s="13" t="s">
        <v>79</v>
      </c>
      <c r="AN201" s="8">
        <v>346562</v>
      </c>
      <c r="AP201" s="8">
        <v>0</v>
      </c>
      <c r="AR201" s="8">
        <v>0</v>
      </c>
      <c r="AT201" s="8">
        <v>345000</v>
      </c>
      <c r="AV201" s="8">
        <v>132789</v>
      </c>
      <c r="AX201" s="8">
        <v>76190</v>
      </c>
      <c r="AZ201" s="9">
        <f t="shared" si="11"/>
        <v>10087993</v>
      </c>
      <c r="BB201" s="8">
        <v>107</v>
      </c>
      <c r="BH201" s="8">
        <v>3558656</v>
      </c>
      <c r="BJ201" s="9">
        <f t="shared" si="9"/>
        <v>13646756</v>
      </c>
      <c r="BL201" s="9">
        <f>'Gov Fd Rv'!AU201-'Gov Fnd Exp'!BJ201</f>
        <v>23455</v>
      </c>
      <c r="BN201" s="8">
        <v>4224606</v>
      </c>
      <c r="BP201" s="8">
        <v>0</v>
      </c>
      <c r="BR201" s="8">
        <v>0</v>
      </c>
      <c r="BT201" s="9">
        <f t="shared" si="10"/>
        <v>4248061</v>
      </c>
      <c r="BU201" s="9"/>
      <c r="BV201" s="9">
        <f>BT201-'Gov Fd BS'!AA199</f>
        <v>0</v>
      </c>
      <c r="BW201" s="9"/>
    </row>
    <row r="202" spans="1:75">
      <c r="A202" s="13" t="s">
        <v>684</v>
      </c>
      <c r="B202" s="13"/>
      <c r="C202" s="13" t="s">
        <v>64</v>
      </c>
      <c r="D202" s="13"/>
      <c r="E202" s="32">
        <v>44065</v>
      </c>
      <c r="G202" s="8">
        <v>6452538</v>
      </c>
      <c r="I202" s="8">
        <v>1424748</v>
      </c>
      <c r="K202" s="8">
        <v>130400</v>
      </c>
      <c r="M202" s="8">
        <v>740841</v>
      </c>
      <c r="O202" s="8">
        <v>921319</v>
      </c>
      <c r="Q202" s="8">
        <v>323398</v>
      </c>
      <c r="S202" s="8">
        <v>66772</v>
      </c>
      <c r="U202" s="8">
        <v>1059736</v>
      </c>
      <c r="W202" s="8">
        <v>754528</v>
      </c>
      <c r="Y202" s="8">
        <v>0</v>
      </c>
      <c r="AA202" s="8">
        <v>1412940</v>
      </c>
      <c r="AC202" s="8">
        <v>560790</v>
      </c>
      <c r="AE202" s="8">
        <v>4494</v>
      </c>
      <c r="AG202" s="8">
        <v>620921</v>
      </c>
      <c r="AI202" s="8">
        <v>222683</v>
      </c>
      <c r="AJ202" s="13" t="s">
        <v>684</v>
      </c>
      <c r="AK202" s="13"/>
      <c r="AL202" s="13" t="s">
        <v>64</v>
      </c>
      <c r="AN202" s="8">
        <v>465405</v>
      </c>
      <c r="AP202" s="8">
        <v>2294943</v>
      </c>
      <c r="AR202" s="8">
        <v>0</v>
      </c>
      <c r="AT202" s="8">
        <v>314766</v>
      </c>
      <c r="AV202" s="8">
        <v>446832</v>
      </c>
      <c r="AX202" s="8">
        <v>148446</v>
      </c>
      <c r="AZ202" s="9">
        <f t="shared" si="11"/>
        <v>18366500</v>
      </c>
      <c r="BB202" s="8">
        <v>2350267</v>
      </c>
      <c r="BH202" s="8">
        <v>0</v>
      </c>
      <c r="BJ202" s="9">
        <f t="shared" si="9"/>
        <v>20716767</v>
      </c>
      <c r="BL202" s="9">
        <f>'Gov Fd Rv'!AU202-'Gov Fnd Exp'!BJ202</f>
        <v>11593654</v>
      </c>
      <c r="BN202" s="8">
        <v>6848341</v>
      </c>
      <c r="BP202" s="8">
        <v>-7792</v>
      </c>
      <c r="BR202" s="8">
        <v>0</v>
      </c>
      <c r="BT202" s="9">
        <f t="shared" si="10"/>
        <v>18434203</v>
      </c>
      <c r="BU202" s="9"/>
      <c r="BV202" s="9">
        <f>BT202-'Gov Fd BS'!AA202</f>
        <v>0</v>
      </c>
    </row>
    <row r="203" spans="1:75">
      <c r="A203" s="13" t="s">
        <v>374</v>
      </c>
      <c r="B203" s="13"/>
      <c r="C203" s="13" t="s">
        <v>28</v>
      </c>
      <c r="D203" s="13"/>
      <c r="E203" s="32">
        <v>47068</v>
      </c>
      <c r="G203" s="8">
        <v>2362971</v>
      </c>
      <c r="I203" s="8">
        <v>662896</v>
      </c>
      <c r="K203" s="8">
        <v>96033</v>
      </c>
      <c r="M203" s="8">
        <v>0</v>
      </c>
      <c r="O203" s="8">
        <v>357195</v>
      </c>
      <c r="Q203" s="8">
        <v>237248</v>
      </c>
      <c r="S203" s="8">
        <v>37227</v>
      </c>
      <c r="U203" s="8">
        <v>478056</v>
      </c>
      <c r="W203" s="8">
        <v>174341</v>
      </c>
      <c r="Y203" s="8">
        <v>0</v>
      </c>
      <c r="AA203" s="8">
        <v>411574</v>
      </c>
      <c r="AC203" s="8">
        <v>370667</v>
      </c>
      <c r="AE203" s="8">
        <v>41394</v>
      </c>
      <c r="AG203" s="8">
        <v>0</v>
      </c>
      <c r="AI203" s="8">
        <v>159796</v>
      </c>
      <c r="AJ203" s="13" t="s">
        <v>374</v>
      </c>
      <c r="AK203" s="13"/>
      <c r="AL203" s="13" t="s">
        <v>28</v>
      </c>
      <c r="AN203" s="8">
        <v>177971</v>
      </c>
      <c r="AP203" s="8">
        <v>12366726</v>
      </c>
      <c r="AR203" s="8">
        <v>0</v>
      </c>
      <c r="AT203" s="8">
        <v>200000</v>
      </c>
      <c r="AV203" s="8">
        <v>248856</v>
      </c>
      <c r="AX203" s="8">
        <v>0</v>
      </c>
      <c r="AZ203" s="9">
        <f t="shared" si="11"/>
        <v>18382951</v>
      </c>
      <c r="BB203" s="8">
        <v>406753</v>
      </c>
      <c r="BH203" s="8">
        <v>1430802</v>
      </c>
      <c r="BJ203" s="9">
        <f t="shared" si="9"/>
        <v>20220506</v>
      </c>
      <c r="BL203" s="9">
        <f>'Gov Fd Rv'!AU203-'Gov Fnd Exp'!BJ203</f>
        <v>-10572199</v>
      </c>
      <c r="BN203" s="8">
        <v>15144589</v>
      </c>
      <c r="BP203" s="8">
        <v>0</v>
      </c>
      <c r="BR203" s="8">
        <v>0</v>
      </c>
      <c r="BT203" s="9">
        <f t="shared" si="10"/>
        <v>4572390</v>
      </c>
      <c r="BU203" s="9"/>
      <c r="BV203" s="9">
        <f>BT203-'Gov Fd BS'!AA203</f>
        <v>0</v>
      </c>
    </row>
    <row r="204" spans="1:75">
      <c r="A204" s="13" t="s">
        <v>273</v>
      </c>
      <c r="B204" s="13"/>
      <c r="C204" s="13" t="s">
        <v>116</v>
      </c>
      <c r="D204" s="13"/>
      <c r="E204" s="32">
        <v>46342</v>
      </c>
      <c r="G204" s="8">
        <v>8931083</v>
      </c>
      <c r="I204" s="8">
        <v>1773337</v>
      </c>
      <c r="K204" s="8">
        <v>462094</v>
      </c>
      <c r="M204" s="8">
        <v>10767</v>
      </c>
      <c r="O204" s="8">
        <v>1984352</v>
      </c>
      <c r="Q204" s="8">
        <v>3111452</v>
      </c>
      <c r="S204" s="8">
        <v>44180</v>
      </c>
      <c r="U204" s="8">
        <v>1456986</v>
      </c>
      <c r="W204" s="8">
        <v>525413</v>
      </c>
      <c r="Y204" s="8">
        <v>75463</v>
      </c>
      <c r="AA204" s="8">
        <v>2118425</v>
      </c>
      <c r="AC204" s="8">
        <v>1862296</v>
      </c>
      <c r="AE204" s="8">
        <v>0</v>
      </c>
      <c r="AG204" s="8">
        <v>1062131</v>
      </c>
      <c r="AI204" s="8">
        <v>100265</v>
      </c>
      <c r="AJ204" s="13" t="s">
        <v>273</v>
      </c>
      <c r="AK204" s="13"/>
      <c r="AL204" s="13" t="s">
        <v>116</v>
      </c>
      <c r="AN204" s="8">
        <v>439942</v>
      </c>
      <c r="AP204" s="8">
        <v>1367467</v>
      </c>
      <c r="AR204" s="8">
        <v>0</v>
      </c>
      <c r="AT204" s="8">
        <v>768838</v>
      </c>
      <c r="AV204" s="8">
        <v>571689</v>
      </c>
      <c r="AX204" s="8">
        <v>177333</v>
      </c>
      <c r="AZ204" s="9">
        <f t="shared" si="11"/>
        <v>26843513</v>
      </c>
      <c r="BB204" s="8">
        <v>217170</v>
      </c>
      <c r="BH204" s="8">
        <f>2629679+10130</f>
        <v>2639809</v>
      </c>
      <c r="BJ204" s="9">
        <f t="shared" si="9"/>
        <v>29700492</v>
      </c>
      <c r="BL204" s="9">
        <f>'Gov Fd Rv'!AU204-'Gov Fnd Exp'!BJ204</f>
        <v>1309692</v>
      </c>
      <c r="BN204" s="8">
        <v>4152175</v>
      </c>
      <c r="BP204" s="8">
        <v>0</v>
      </c>
      <c r="BR204" s="8">
        <v>0</v>
      </c>
      <c r="BT204" s="9">
        <f t="shared" si="10"/>
        <v>5461867</v>
      </c>
      <c r="BU204" s="9"/>
      <c r="BV204" s="9">
        <f>BT204-'Gov Fd BS'!AA204</f>
        <v>0</v>
      </c>
    </row>
    <row r="205" spans="1:75">
      <c r="A205" s="13" t="s">
        <v>258</v>
      </c>
      <c r="B205" s="13"/>
      <c r="C205" s="13" t="s">
        <v>259</v>
      </c>
      <c r="D205" s="13"/>
      <c r="E205" s="32">
        <v>46193</v>
      </c>
      <c r="G205" s="8">
        <v>6945606</v>
      </c>
      <c r="I205" s="8">
        <v>1895107</v>
      </c>
      <c r="K205" s="8">
        <v>150</v>
      </c>
      <c r="M205" s="8">
        <f>1302781+4505</f>
        <v>1307286</v>
      </c>
      <c r="O205" s="8">
        <v>996788</v>
      </c>
      <c r="Q205" s="8">
        <v>1211812</v>
      </c>
      <c r="S205" s="8">
        <v>83350</v>
      </c>
      <c r="U205" s="8">
        <v>1294868</v>
      </c>
      <c r="W205" s="8">
        <v>444276</v>
      </c>
      <c r="Y205" s="8">
        <v>133938</v>
      </c>
      <c r="AA205" s="8">
        <v>1445601</v>
      </c>
      <c r="AC205" s="8">
        <v>1354264</v>
      </c>
      <c r="AE205" s="8">
        <v>116556</v>
      </c>
      <c r="AG205" s="8">
        <v>0</v>
      </c>
      <c r="AI205" s="8">
        <v>656778</v>
      </c>
      <c r="AJ205" s="13" t="s">
        <v>258</v>
      </c>
      <c r="AK205" s="13"/>
      <c r="AL205" s="13" t="s">
        <v>259</v>
      </c>
      <c r="AN205" s="8">
        <v>491851</v>
      </c>
      <c r="AP205" s="8">
        <v>1905609</v>
      </c>
      <c r="AR205" s="8">
        <v>0</v>
      </c>
      <c r="AT205" s="8">
        <v>512149</v>
      </c>
      <c r="AV205" s="8">
        <v>885824</v>
      </c>
      <c r="AX205" s="8">
        <v>0</v>
      </c>
      <c r="AZ205" s="9">
        <f t="shared" si="11"/>
        <v>21681813</v>
      </c>
      <c r="BB205" s="8">
        <v>85859</v>
      </c>
      <c r="BH205" s="8">
        <v>61</v>
      </c>
      <c r="BJ205" s="9">
        <f t="shared" si="9"/>
        <v>21767733</v>
      </c>
      <c r="BL205" s="9">
        <f>'Gov Fd Rv'!AU205-'Gov Fnd Exp'!BJ205</f>
        <v>-228512</v>
      </c>
      <c r="BN205" s="8">
        <v>3877041</v>
      </c>
      <c r="BP205" s="8">
        <v>0</v>
      </c>
      <c r="BR205" s="8">
        <v>0</v>
      </c>
      <c r="BT205" s="9">
        <f t="shared" si="10"/>
        <v>3648529</v>
      </c>
      <c r="BU205" s="9"/>
      <c r="BV205" s="9">
        <f>BT205-'Gov Fd BS'!AA205</f>
        <v>0</v>
      </c>
    </row>
    <row r="206" spans="1:75">
      <c r="A206" s="13" t="s">
        <v>222</v>
      </c>
      <c r="B206" s="13"/>
      <c r="C206" s="13" t="s">
        <v>12</v>
      </c>
      <c r="D206" s="13"/>
      <c r="E206" s="32">
        <v>45864</v>
      </c>
      <c r="G206" s="8">
        <v>5609484</v>
      </c>
      <c r="I206" s="8">
        <v>924827</v>
      </c>
      <c r="K206" s="8">
        <v>166141</v>
      </c>
      <c r="M206" s="8">
        <v>0</v>
      </c>
      <c r="O206" s="8">
        <v>458891</v>
      </c>
      <c r="Q206" s="8">
        <v>326678</v>
      </c>
      <c r="S206" s="8">
        <v>17477</v>
      </c>
      <c r="U206" s="8">
        <v>1112733</v>
      </c>
      <c r="W206" s="8">
        <v>300148</v>
      </c>
      <c r="Y206" s="8">
        <v>29512</v>
      </c>
      <c r="AA206" s="8">
        <v>1146367</v>
      </c>
      <c r="AC206" s="8">
        <v>1379796</v>
      </c>
      <c r="AE206" s="8">
        <v>21766</v>
      </c>
      <c r="AG206" s="8">
        <v>504196</v>
      </c>
      <c r="AI206" s="8">
        <v>0</v>
      </c>
      <c r="AJ206" s="13" t="s">
        <v>222</v>
      </c>
      <c r="AK206" s="13"/>
      <c r="AL206" s="13" t="s">
        <v>12</v>
      </c>
      <c r="AN206" s="8">
        <v>378550</v>
      </c>
      <c r="AP206" s="8">
        <v>214597</v>
      </c>
      <c r="AR206" s="8">
        <v>0</v>
      </c>
      <c r="AT206" s="8">
        <v>312374</v>
      </c>
      <c r="AV206" s="8">
        <v>577311</v>
      </c>
      <c r="AX206" s="8">
        <v>210616</v>
      </c>
      <c r="AZ206" s="9">
        <f t="shared" si="11"/>
        <v>13691464</v>
      </c>
      <c r="BB206" s="8">
        <v>14000</v>
      </c>
      <c r="BH206" s="8">
        <v>0</v>
      </c>
      <c r="BJ206" s="9">
        <f t="shared" si="9"/>
        <v>13705464</v>
      </c>
      <c r="BL206" s="9">
        <f>'Gov Fd Rv'!AU206-'Gov Fnd Exp'!BJ206</f>
        <v>-115918</v>
      </c>
      <c r="BN206" s="8">
        <v>12788148</v>
      </c>
      <c r="BP206" s="8">
        <v>0</v>
      </c>
      <c r="BR206" s="8">
        <v>0</v>
      </c>
      <c r="BT206" s="9">
        <f>BL206+BN206+BP206+BR206-10</f>
        <v>12672220</v>
      </c>
      <c r="BU206" s="9"/>
      <c r="BV206" s="9">
        <f>BT206-'Gov Fd BS'!AA206</f>
        <v>0</v>
      </c>
    </row>
    <row r="207" spans="1:75">
      <c r="A207" s="13" t="s">
        <v>361</v>
      </c>
      <c r="B207" s="13"/>
      <c r="C207" s="13" t="s">
        <v>27</v>
      </c>
      <c r="D207" s="13"/>
      <c r="E207" s="32">
        <v>44073</v>
      </c>
      <c r="G207" s="8">
        <v>6868110</v>
      </c>
      <c r="I207" s="8">
        <v>2380375</v>
      </c>
      <c r="K207" s="8">
        <v>107463</v>
      </c>
      <c r="M207" s="8">
        <v>0</v>
      </c>
      <c r="O207" s="8">
        <v>1355388</v>
      </c>
      <c r="Q207" s="8">
        <v>562592</v>
      </c>
      <c r="S207" s="8">
        <v>18263</v>
      </c>
      <c r="U207" s="8">
        <v>1124211</v>
      </c>
      <c r="W207" s="8">
        <v>558614</v>
      </c>
      <c r="Y207" s="8">
        <v>29266</v>
      </c>
      <c r="AA207" s="8">
        <v>1395756</v>
      </c>
      <c r="AC207" s="8">
        <v>15381</v>
      </c>
      <c r="AE207" s="8">
        <v>63021</v>
      </c>
      <c r="AG207" s="8">
        <v>0</v>
      </c>
      <c r="AI207" s="8">
        <v>0</v>
      </c>
      <c r="AJ207" s="13" t="s">
        <v>361</v>
      </c>
      <c r="AK207" s="13"/>
      <c r="AL207" s="13" t="s">
        <v>27</v>
      </c>
      <c r="AN207" s="8">
        <v>718279</v>
      </c>
      <c r="AP207" s="8">
        <v>0</v>
      </c>
      <c r="AR207" s="8">
        <v>0</v>
      </c>
      <c r="AT207" s="8">
        <v>843533</v>
      </c>
      <c r="AV207" s="8">
        <v>385971</v>
      </c>
      <c r="AX207" s="8">
        <v>655524</v>
      </c>
      <c r="AZ207" s="9">
        <f t="shared" ref="AZ207:AZ270" si="12">SUM(G207:AX207)</f>
        <v>17081747</v>
      </c>
      <c r="BB207" s="8">
        <v>56764</v>
      </c>
      <c r="BH207" s="8">
        <v>0</v>
      </c>
      <c r="BJ207" s="9">
        <f t="shared" ref="BJ207:BJ270" si="13">AZ207+BB207+BH207</f>
        <v>17138511</v>
      </c>
      <c r="BL207" s="9">
        <f>'Gov Fd Rv'!AU207-'Gov Fnd Exp'!BJ207</f>
        <v>-216550</v>
      </c>
      <c r="BN207" s="8">
        <v>8426919</v>
      </c>
      <c r="BP207" s="8">
        <v>0</v>
      </c>
      <c r="BR207" s="8">
        <v>0</v>
      </c>
      <c r="BT207" s="9">
        <f t="shared" si="10"/>
        <v>8210369</v>
      </c>
      <c r="BU207" s="9"/>
      <c r="BV207" s="9">
        <f>BT207-'Gov Fd BS'!AA207</f>
        <v>0</v>
      </c>
    </row>
    <row r="208" spans="1:75">
      <c r="A208" s="13" t="s">
        <v>478</v>
      </c>
      <c r="B208" s="13"/>
      <c r="C208" s="13" t="s">
        <v>42</v>
      </c>
      <c r="D208" s="13"/>
      <c r="E208" s="32">
        <v>45393</v>
      </c>
      <c r="G208" s="8">
        <v>11178156</v>
      </c>
      <c r="I208" s="8">
        <v>1874110</v>
      </c>
      <c r="K208" s="8">
        <v>154153</v>
      </c>
      <c r="M208" s="8">
        <v>0</v>
      </c>
      <c r="O208" s="8">
        <v>1446558</v>
      </c>
      <c r="Q208" s="8">
        <v>1304547</v>
      </c>
      <c r="S208" s="8">
        <v>125069</v>
      </c>
      <c r="U208" s="8">
        <v>1655548</v>
      </c>
      <c r="W208" s="8">
        <v>715473</v>
      </c>
      <c r="Y208" s="8">
        <v>474</v>
      </c>
      <c r="AA208" s="8">
        <v>2258837</v>
      </c>
      <c r="AC208" s="8">
        <v>1703911</v>
      </c>
      <c r="AE208" s="8">
        <v>280651</v>
      </c>
      <c r="AG208" s="8">
        <v>0</v>
      </c>
      <c r="AI208" s="8">
        <v>30715</v>
      </c>
      <c r="AJ208" s="13" t="s">
        <v>478</v>
      </c>
      <c r="AK208" s="13"/>
      <c r="AL208" s="13" t="s">
        <v>42</v>
      </c>
      <c r="AN208" s="8">
        <v>711164</v>
      </c>
      <c r="AP208" s="8">
        <v>318698</v>
      </c>
      <c r="AR208" s="8">
        <v>0</v>
      </c>
      <c r="AT208" s="8">
        <v>1388780</v>
      </c>
      <c r="AV208" s="8">
        <v>1966256</v>
      </c>
      <c r="AX208" s="8">
        <v>0</v>
      </c>
      <c r="AZ208" s="9">
        <f t="shared" si="12"/>
        <v>27113100</v>
      </c>
      <c r="BB208" s="8">
        <v>0</v>
      </c>
      <c r="BH208" s="8">
        <v>0</v>
      </c>
      <c r="BJ208" s="9">
        <f t="shared" si="13"/>
        <v>27113100</v>
      </c>
      <c r="BL208" s="9">
        <f>'Gov Fd Rv'!AU208-'Gov Fnd Exp'!BJ208</f>
        <v>1361338</v>
      </c>
      <c r="BN208" s="8">
        <v>9527308</v>
      </c>
      <c r="BP208" s="8">
        <v>0</v>
      </c>
      <c r="BR208" s="8">
        <v>0</v>
      </c>
      <c r="BT208" s="9">
        <f t="shared" si="10"/>
        <v>10888646</v>
      </c>
      <c r="BU208" s="9"/>
      <c r="BV208" s="9">
        <f>BT208-'Gov Fd BS'!AA208</f>
        <v>0</v>
      </c>
    </row>
    <row r="209" spans="1:74">
      <c r="A209" s="13" t="s">
        <v>633</v>
      </c>
      <c r="B209" s="13"/>
      <c r="C209" s="13" t="s">
        <v>59</v>
      </c>
      <c r="D209" s="13"/>
      <c r="E209" s="32">
        <v>49619</v>
      </c>
      <c r="G209" s="8">
        <v>2569640</v>
      </c>
      <c r="I209" s="8">
        <v>694631</v>
      </c>
      <c r="K209" s="8">
        <v>174760</v>
      </c>
      <c r="M209" s="8">
        <v>587059</v>
      </c>
      <c r="O209" s="8">
        <v>441044</v>
      </c>
      <c r="Q209" s="8">
        <v>254249</v>
      </c>
      <c r="S209" s="8">
        <v>33952</v>
      </c>
      <c r="U209" s="8">
        <v>459199</v>
      </c>
      <c r="W209" s="8">
        <v>246726</v>
      </c>
      <c r="Y209" s="8">
        <v>0</v>
      </c>
      <c r="AA209" s="8">
        <v>699748</v>
      </c>
      <c r="AC209" s="8">
        <v>549225</v>
      </c>
      <c r="AE209" s="8">
        <v>0</v>
      </c>
      <c r="AG209" s="8">
        <v>0</v>
      </c>
      <c r="AI209" s="8">
        <v>291319</v>
      </c>
      <c r="AJ209" s="13" t="s">
        <v>633</v>
      </c>
      <c r="AK209" s="13"/>
      <c r="AL209" s="13" t="s">
        <v>59</v>
      </c>
      <c r="AN209" s="8">
        <v>126763</v>
      </c>
      <c r="AP209" s="8">
        <v>0</v>
      </c>
      <c r="AR209" s="8">
        <v>0</v>
      </c>
      <c r="AT209" s="8">
        <v>21407</v>
      </c>
      <c r="AV209" s="8">
        <v>1560</v>
      </c>
      <c r="AX209" s="8">
        <v>0</v>
      </c>
      <c r="AZ209" s="9">
        <f t="shared" si="12"/>
        <v>7151282</v>
      </c>
      <c r="BB209" s="8">
        <v>60000</v>
      </c>
      <c r="BH209" s="8">
        <v>0</v>
      </c>
      <c r="BJ209" s="9">
        <f t="shared" si="13"/>
        <v>7211282</v>
      </c>
      <c r="BL209" s="9">
        <f>'Gov Fd Rv'!AU209-'Gov Fnd Exp'!BJ209</f>
        <v>-438431</v>
      </c>
      <c r="BN209" s="8">
        <v>807352</v>
      </c>
      <c r="BP209" s="8">
        <v>0</v>
      </c>
      <c r="BR209" s="8">
        <v>0</v>
      </c>
      <c r="BT209" s="9">
        <f t="shared" ref="BT209:BT272" si="14">BL209+BN209+BP209+BR209</f>
        <v>368921</v>
      </c>
      <c r="BU209" s="9"/>
      <c r="BV209" s="9">
        <f>BT209-'Gov Fd BS'!AA209</f>
        <v>0</v>
      </c>
    </row>
    <row r="210" spans="1:74">
      <c r="A210" s="13" t="s">
        <v>633</v>
      </c>
      <c r="B210" s="13"/>
      <c r="C210" s="13" t="s">
        <v>63</v>
      </c>
      <c r="D210" s="13"/>
      <c r="E210" s="32">
        <v>50013</v>
      </c>
      <c r="G210" s="8">
        <v>14981671</v>
      </c>
      <c r="I210" s="8">
        <v>5359847</v>
      </c>
      <c r="K210" s="8">
        <v>346730</v>
      </c>
      <c r="M210" s="8">
        <v>1084959</v>
      </c>
      <c r="O210" s="8">
        <v>2471293</v>
      </c>
      <c r="Q210" s="8">
        <v>1771049</v>
      </c>
      <c r="S210" s="8">
        <v>41980</v>
      </c>
      <c r="U210" s="8">
        <v>2703851</v>
      </c>
      <c r="W210" s="8">
        <v>832663</v>
      </c>
      <c r="Y210" s="8">
        <v>166913</v>
      </c>
      <c r="AA210" s="8">
        <v>3572121</v>
      </c>
      <c r="AC210" s="8">
        <v>1940460</v>
      </c>
      <c r="AE210" s="8">
        <v>19950</v>
      </c>
      <c r="AG210" s="8">
        <v>1364209</v>
      </c>
      <c r="AI210" s="8">
        <v>817537</v>
      </c>
      <c r="AJ210" s="13" t="s">
        <v>633</v>
      </c>
      <c r="AK210" s="13"/>
      <c r="AL210" s="13" t="s">
        <v>63</v>
      </c>
      <c r="AN210" s="8">
        <v>296296</v>
      </c>
      <c r="AP210" s="8">
        <v>1269981</v>
      </c>
      <c r="AR210" s="8">
        <v>0</v>
      </c>
      <c r="AT210" s="8">
        <v>1199156</v>
      </c>
      <c r="AV210" s="8">
        <v>2075425</v>
      </c>
      <c r="AX210" s="8">
        <v>0</v>
      </c>
      <c r="AZ210" s="9">
        <f t="shared" si="12"/>
        <v>42316091</v>
      </c>
      <c r="BB210" s="8">
        <v>135022</v>
      </c>
      <c r="BH210" s="8">
        <v>0</v>
      </c>
      <c r="BJ210" s="9">
        <f t="shared" si="13"/>
        <v>42451113</v>
      </c>
      <c r="BL210" s="9">
        <f>'Gov Fd Rv'!AU210-'Gov Fnd Exp'!BJ210</f>
        <v>-2125318</v>
      </c>
      <c r="BN210" s="8">
        <v>6225233</v>
      </c>
      <c r="BP210" s="8">
        <v>0</v>
      </c>
      <c r="BR210" s="8">
        <v>0</v>
      </c>
      <c r="BT210" s="9">
        <f t="shared" si="14"/>
        <v>4099915</v>
      </c>
      <c r="BU210" s="9"/>
      <c r="BV210" s="9">
        <f>BT210-'Gov Fd BS'!AA210</f>
        <v>0</v>
      </c>
    </row>
    <row r="211" spans="1:74">
      <c r="A211" s="13" t="s">
        <v>633</v>
      </c>
      <c r="B211" s="13"/>
      <c r="C211" s="13" t="s">
        <v>71</v>
      </c>
      <c r="D211" s="13"/>
      <c r="E211" s="32">
        <v>50559</v>
      </c>
      <c r="G211" s="8">
        <v>4921018</v>
      </c>
      <c r="I211" s="8">
        <v>863809</v>
      </c>
      <c r="K211" s="8">
        <v>234705</v>
      </c>
      <c r="M211" s="8">
        <v>574619</v>
      </c>
      <c r="O211" s="8">
        <v>298926</v>
      </c>
      <c r="Q211" s="8">
        <v>244675</v>
      </c>
      <c r="S211" s="8">
        <v>65026</v>
      </c>
      <c r="U211" s="8">
        <v>794182</v>
      </c>
      <c r="W211" s="8">
        <v>323897</v>
      </c>
      <c r="Y211" s="8">
        <v>36</v>
      </c>
      <c r="AA211" s="8">
        <v>866561</v>
      </c>
      <c r="AC211" s="8">
        <v>586370</v>
      </c>
      <c r="AE211" s="8">
        <v>287276</v>
      </c>
      <c r="AG211" s="8">
        <v>354635</v>
      </c>
      <c r="AI211" s="8">
        <v>52636</v>
      </c>
      <c r="AJ211" s="13" t="s">
        <v>633</v>
      </c>
      <c r="AK211" s="13"/>
      <c r="AL211" s="13" t="s">
        <v>71</v>
      </c>
      <c r="AN211" s="8">
        <v>441376</v>
      </c>
      <c r="AP211" s="8">
        <v>129567</v>
      </c>
      <c r="AR211" s="8">
        <v>0</v>
      </c>
      <c r="AT211" s="8">
        <v>93862</v>
      </c>
      <c r="AV211" s="8">
        <v>21204</v>
      </c>
      <c r="AX211" s="8">
        <v>0</v>
      </c>
      <c r="AZ211" s="9">
        <f t="shared" si="12"/>
        <v>11154380</v>
      </c>
      <c r="BB211" s="8">
        <v>0</v>
      </c>
      <c r="BH211" s="8">
        <v>0</v>
      </c>
      <c r="BJ211" s="9">
        <f t="shared" si="13"/>
        <v>11154380</v>
      </c>
      <c r="BL211" s="9">
        <f>'Gov Fd Rv'!AU211-'Gov Fnd Exp'!BJ211</f>
        <v>894336</v>
      </c>
      <c r="BN211" s="8">
        <v>-520813</v>
      </c>
      <c r="BP211" s="8">
        <v>0</v>
      </c>
      <c r="BR211" s="8">
        <v>0</v>
      </c>
      <c r="BT211" s="9">
        <f t="shared" si="14"/>
        <v>373523</v>
      </c>
      <c r="BU211" s="9"/>
      <c r="BV211" s="9">
        <f>BT211-'Gov Fd BS'!AA211</f>
        <v>0</v>
      </c>
    </row>
    <row r="212" spans="1:74">
      <c r="A212" s="13" t="s">
        <v>390</v>
      </c>
      <c r="B212" s="13"/>
      <c r="C212" s="13" t="s">
        <v>117</v>
      </c>
      <c r="D212" s="13"/>
      <c r="E212" s="32">
        <v>47266</v>
      </c>
      <c r="G212" s="8">
        <v>5000816</v>
      </c>
      <c r="I212" s="8">
        <v>923482</v>
      </c>
      <c r="K212" s="8">
        <v>90853</v>
      </c>
      <c r="M212" s="8">
        <v>20193</v>
      </c>
      <c r="O212" s="8">
        <v>1121224</v>
      </c>
      <c r="Q212" s="8">
        <v>743764</v>
      </c>
      <c r="S212" s="8">
        <v>83180</v>
      </c>
      <c r="U212" s="8">
        <v>1211015</v>
      </c>
      <c r="W212" s="8">
        <v>393471</v>
      </c>
      <c r="Y212" s="8">
        <v>0</v>
      </c>
      <c r="AA212" s="8">
        <v>941728</v>
      </c>
      <c r="AC212" s="8">
        <v>813154</v>
      </c>
      <c r="AE212" s="8">
        <v>0</v>
      </c>
      <c r="AG212" s="8">
        <v>0</v>
      </c>
      <c r="AI212" s="8">
        <v>381775</v>
      </c>
      <c r="AJ212" s="13" t="s">
        <v>390</v>
      </c>
      <c r="AK212" s="13"/>
      <c r="AL212" s="13" t="s">
        <v>117</v>
      </c>
      <c r="AN212" s="8">
        <v>404542</v>
      </c>
      <c r="AP212" s="8">
        <v>82901</v>
      </c>
      <c r="AR212" s="8">
        <v>0</v>
      </c>
      <c r="AT212" s="8">
        <v>624000</v>
      </c>
      <c r="AV212" s="8">
        <v>299467</v>
      </c>
      <c r="AX212" s="8">
        <v>0</v>
      </c>
      <c r="AZ212" s="9">
        <f t="shared" si="12"/>
        <v>13135565</v>
      </c>
      <c r="BB212" s="8">
        <v>0</v>
      </c>
      <c r="BH212" s="8">
        <v>0</v>
      </c>
      <c r="BJ212" s="9">
        <f t="shared" si="13"/>
        <v>13135565</v>
      </c>
      <c r="BL212" s="9">
        <f>'Gov Fd Rv'!AU212-'Gov Fnd Exp'!BJ212</f>
        <v>1034300</v>
      </c>
      <c r="BN212" s="8">
        <v>2352093</v>
      </c>
      <c r="BP212" s="8">
        <v>0</v>
      </c>
      <c r="BR212" s="8">
        <v>0</v>
      </c>
      <c r="BT212" s="9">
        <f t="shared" si="14"/>
        <v>3386393</v>
      </c>
      <c r="BU212" s="9"/>
      <c r="BV212" s="9">
        <f>BT212-'Gov Fd BS'!AA212</f>
        <v>0</v>
      </c>
    </row>
    <row r="213" spans="1:74">
      <c r="A213" s="13" t="s">
        <v>442</v>
      </c>
      <c r="B213" s="13"/>
      <c r="C213" s="13" t="s">
        <v>440</v>
      </c>
      <c r="D213" s="13"/>
      <c r="E213" s="32">
        <v>45401</v>
      </c>
      <c r="G213" s="8">
        <v>9681707</v>
      </c>
      <c r="I213" s="8">
        <v>1460946</v>
      </c>
      <c r="K213" s="8">
        <v>502342</v>
      </c>
      <c r="M213" s="8">
        <v>890560</v>
      </c>
      <c r="O213" s="8">
        <v>751845</v>
      </c>
      <c r="Q213" s="8">
        <v>265022</v>
      </c>
      <c r="S213" s="8">
        <v>62137</v>
      </c>
      <c r="U213" s="8">
        <v>1686842</v>
      </c>
      <c r="W213" s="8">
        <v>417819</v>
      </c>
      <c r="Y213" s="8">
        <v>0</v>
      </c>
      <c r="AA213" s="8">
        <v>1830095</v>
      </c>
      <c r="AC213" s="8">
        <v>1215580</v>
      </c>
      <c r="AE213" s="8">
        <v>0</v>
      </c>
      <c r="AG213" s="8">
        <v>0</v>
      </c>
      <c r="AI213" s="8">
        <v>631684</v>
      </c>
      <c r="AJ213" s="13" t="s">
        <v>442</v>
      </c>
      <c r="AK213" s="13"/>
      <c r="AL213" s="13" t="s">
        <v>440</v>
      </c>
      <c r="AN213" s="8">
        <v>343389</v>
      </c>
      <c r="AP213" s="8">
        <v>0</v>
      </c>
      <c r="AR213" s="8">
        <v>0</v>
      </c>
      <c r="AT213" s="8">
        <v>145000</v>
      </c>
      <c r="AV213" s="8">
        <v>140985</v>
      </c>
      <c r="AX213" s="8">
        <v>0</v>
      </c>
      <c r="AZ213" s="9">
        <f t="shared" si="12"/>
        <v>20025953</v>
      </c>
      <c r="BB213" s="8">
        <v>34727</v>
      </c>
      <c r="BH213" s="8">
        <v>0</v>
      </c>
      <c r="BJ213" s="9">
        <f t="shared" si="13"/>
        <v>20060680</v>
      </c>
      <c r="BL213" s="9">
        <f>'Gov Fd Rv'!AU213-'Gov Fnd Exp'!BJ213</f>
        <v>282821</v>
      </c>
      <c r="BN213" s="8">
        <v>4310990</v>
      </c>
      <c r="BP213" s="8">
        <v>0</v>
      </c>
      <c r="BR213" s="8">
        <v>0</v>
      </c>
      <c r="BT213" s="9">
        <f t="shared" si="14"/>
        <v>4593811</v>
      </c>
      <c r="BU213" s="9"/>
      <c r="BV213" s="9">
        <f>BT213-'Gov Fd BS'!AA213</f>
        <v>0</v>
      </c>
    </row>
    <row r="214" spans="1:74">
      <c r="A214" s="13" t="s">
        <v>265</v>
      </c>
      <c r="B214" s="13"/>
      <c r="C214" s="13" t="s">
        <v>17</v>
      </c>
      <c r="D214" s="13"/>
      <c r="E214" s="32">
        <v>46235</v>
      </c>
      <c r="G214" s="8">
        <v>6740586</v>
      </c>
      <c r="I214" s="8">
        <v>1349359</v>
      </c>
      <c r="K214" s="8">
        <v>419332</v>
      </c>
      <c r="M214" s="8">
        <v>442515</v>
      </c>
      <c r="O214" s="8">
        <v>561084</v>
      </c>
      <c r="Q214" s="8">
        <v>451279</v>
      </c>
      <c r="S214" s="8">
        <v>90209</v>
      </c>
      <c r="U214" s="8">
        <v>1436495</v>
      </c>
      <c r="W214" s="8">
        <v>496563</v>
      </c>
      <c r="Y214" s="8">
        <v>215744</v>
      </c>
      <c r="AA214" s="8">
        <v>1401407</v>
      </c>
      <c r="AC214" s="8">
        <v>1149632</v>
      </c>
      <c r="AE214" s="8">
        <v>107070</v>
      </c>
      <c r="AG214" s="8">
        <v>0</v>
      </c>
      <c r="AI214" s="8">
        <v>662837</v>
      </c>
      <c r="AJ214" s="13" t="s">
        <v>265</v>
      </c>
      <c r="AK214" s="13"/>
      <c r="AL214" s="13" t="s">
        <v>17</v>
      </c>
      <c r="AN214" s="8">
        <v>345239</v>
      </c>
      <c r="AP214" s="8">
        <v>234394</v>
      </c>
      <c r="AR214" s="8">
        <v>0</v>
      </c>
      <c r="AT214" s="8">
        <v>23295</v>
      </c>
      <c r="AV214" s="8">
        <v>5314</v>
      </c>
      <c r="AX214" s="8">
        <v>0</v>
      </c>
      <c r="AZ214" s="9">
        <f t="shared" si="12"/>
        <v>16132354</v>
      </c>
      <c r="BB214" s="8">
        <v>0</v>
      </c>
      <c r="BH214" s="8">
        <v>0</v>
      </c>
      <c r="BJ214" s="9">
        <f t="shared" si="13"/>
        <v>16132354</v>
      </c>
      <c r="BL214" s="9">
        <f>'Gov Fd Rv'!AU214-'Gov Fnd Exp'!BJ214</f>
        <v>-55750</v>
      </c>
      <c r="BN214" s="8">
        <v>3037927</v>
      </c>
      <c r="BP214" s="8">
        <v>0</v>
      </c>
      <c r="BR214" s="8">
        <v>0</v>
      </c>
      <c r="BT214" s="9">
        <f t="shared" si="14"/>
        <v>2982177</v>
      </c>
      <c r="BU214" s="9"/>
      <c r="BV214" s="9">
        <f>BT214-'Gov Fd BS'!AA214</f>
        <v>0</v>
      </c>
    </row>
    <row r="215" spans="1:74">
      <c r="A215" s="13" t="s">
        <v>331</v>
      </c>
      <c r="B215" s="13"/>
      <c r="C215" s="13" t="s">
        <v>21</v>
      </c>
      <c r="D215" s="13"/>
      <c r="E215" s="32">
        <v>44099</v>
      </c>
      <c r="G215" s="8">
        <v>12195284</v>
      </c>
      <c r="I215" s="8">
        <v>3161781</v>
      </c>
      <c r="K215" s="8">
        <v>2092471</v>
      </c>
      <c r="M215" s="8">
        <f>65774+99369</f>
        <v>165143</v>
      </c>
      <c r="O215" s="8">
        <v>1305368</v>
      </c>
      <c r="Q215" s="8">
        <v>1837980</v>
      </c>
      <c r="S215" s="8">
        <v>66592</v>
      </c>
      <c r="U215" s="8">
        <v>2036596</v>
      </c>
      <c r="W215" s="8">
        <v>746642</v>
      </c>
      <c r="Y215" s="8">
        <v>7849</v>
      </c>
      <c r="AA215" s="8">
        <v>1573597</v>
      </c>
      <c r="AC215" s="8">
        <v>1004038</v>
      </c>
      <c r="AE215" s="8">
        <v>235368</v>
      </c>
      <c r="AG215" s="8">
        <v>0</v>
      </c>
      <c r="AI215" s="8">
        <v>914047</v>
      </c>
      <c r="AJ215" s="13" t="s">
        <v>331</v>
      </c>
      <c r="AK215" s="13"/>
      <c r="AL215" s="13" t="s">
        <v>21</v>
      </c>
      <c r="AN215" s="8">
        <v>643364</v>
      </c>
      <c r="AP215" s="8">
        <v>946377</v>
      </c>
      <c r="AR215" s="8">
        <v>0</v>
      </c>
      <c r="AT215" s="8">
        <v>0</v>
      </c>
      <c r="AV215" s="8">
        <v>0</v>
      </c>
      <c r="AX215" s="8">
        <v>15563</v>
      </c>
      <c r="AZ215" s="9">
        <f t="shared" si="12"/>
        <v>28948060</v>
      </c>
      <c r="BB215" s="8">
        <v>136115</v>
      </c>
      <c r="BH215" s="8">
        <v>0</v>
      </c>
      <c r="BJ215" s="9">
        <f t="shared" si="13"/>
        <v>29084175</v>
      </c>
      <c r="BL215" s="9">
        <f>'Gov Fd Rv'!AU215-'Gov Fnd Exp'!BJ215</f>
        <v>163284</v>
      </c>
      <c r="BN215" s="8">
        <v>8490670</v>
      </c>
      <c r="BP215" s="8">
        <v>0</v>
      </c>
      <c r="BR215" s="8">
        <v>0</v>
      </c>
      <c r="BT215" s="9">
        <f t="shared" si="14"/>
        <v>8653954</v>
      </c>
      <c r="BU215" s="9"/>
      <c r="BV215" s="9">
        <f>BT215-'Gov Fd BS'!AA215</f>
        <v>0</v>
      </c>
    </row>
    <row r="216" spans="1:74" hidden="1">
      <c r="A216" s="13" t="s">
        <v>362</v>
      </c>
      <c r="B216" s="13"/>
      <c r="C216" s="13" t="s">
        <v>27</v>
      </c>
      <c r="D216" s="13"/>
      <c r="E216" s="32">
        <v>46979</v>
      </c>
      <c r="G216" s="8">
        <v>0</v>
      </c>
      <c r="I216" s="8">
        <v>0</v>
      </c>
      <c r="K216" s="8">
        <v>0</v>
      </c>
      <c r="M216" s="8">
        <v>0</v>
      </c>
      <c r="O216" s="8">
        <v>0</v>
      </c>
      <c r="Q216" s="8">
        <v>0</v>
      </c>
      <c r="S216" s="8">
        <v>0</v>
      </c>
      <c r="U216" s="8">
        <v>0</v>
      </c>
      <c r="W216" s="8">
        <v>0</v>
      </c>
      <c r="Y216" s="8">
        <v>0</v>
      </c>
      <c r="AA216" s="8">
        <v>0</v>
      </c>
      <c r="AC216" s="8">
        <v>0</v>
      </c>
      <c r="AE216" s="8">
        <v>0</v>
      </c>
      <c r="AG216" s="8">
        <v>0</v>
      </c>
      <c r="AI216" s="8">
        <v>0</v>
      </c>
      <c r="AJ216" s="13" t="s">
        <v>362</v>
      </c>
      <c r="AK216" s="13"/>
      <c r="AL216" s="13" t="s">
        <v>27</v>
      </c>
      <c r="AN216" s="8">
        <v>0</v>
      </c>
      <c r="AP216" s="8">
        <v>0</v>
      </c>
      <c r="AR216" s="8">
        <v>0</v>
      </c>
      <c r="AT216" s="8">
        <v>0</v>
      </c>
      <c r="AV216" s="8">
        <v>0</v>
      </c>
      <c r="AX216" s="8">
        <v>0</v>
      </c>
      <c r="AZ216" s="9">
        <f t="shared" si="12"/>
        <v>0</v>
      </c>
      <c r="BB216" s="8">
        <v>0</v>
      </c>
      <c r="BH216" s="8">
        <v>0</v>
      </c>
      <c r="BJ216" s="9">
        <f t="shared" si="13"/>
        <v>0</v>
      </c>
      <c r="BL216" s="9">
        <f>'Gov Fd Rv'!AU216-'Gov Fnd Exp'!BJ216</f>
        <v>0</v>
      </c>
      <c r="BN216" s="8">
        <v>0</v>
      </c>
      <c r="BP216" s="8">
        <v>0</v>
      </c>
      <c r="BR216" s="8">
        <v>0</v>
      </c>
      <c r="BT216" s="9">
        <f t="shared" si="14"/>
        <v>0</v>
      </c>
      <c r="BU216" s="9"/>
      <c r="BV216" s="9">
        <f>BT216-'Gov Fd BS'!AA216</f>
        <v>0</v>
      </c>
    </row>
    <row r="217" spans="1:74">
      <c r="A217" s="13" t="s">
        <v>248</v>
      </c>
      <c r="B217" s="13"/>
      <c r="C217" s="13" t="s">
        <v>246</v>
      </c>
      <c r="D217" s="13"/>
      <c r="E217" s="32">
        <v>44107</v>
      </c>
      <c r="G217" s="8">
        <v>37983532</v>
      </c>
      <c r="I217" s="8">
        <v>11221440</v>
      </c>
      <c r="K217" s="8">
        <v>1793836</v>
      </c>
      <c r="M217" s="8">
        <v>261217</v>
      </c>
      <c r="O217" s="8">
        <v>6936362</v>
      </c>
      <c r="Q217" s="8">
        <v>5942026</v>
      </c>
      <c r="S217" s="8">
        <v>409169</v>
      </c>
      <c r="U217" s="8">
        <v>5156095</v>
      </c>
      <c r="W217" s="8">
        <v>1190900</v>
      </c>
      <c r="Y217" s="8">
        <v>444170</v>
      </c>
      <c r="AA217" s="8">
        <v>8545066</v>
      </c>
      <c r="AC217" s="8">
        <v>3169092</v>
      </c>
      <c r="AE217" s="8">
        <v>828244</v>
      </c>
      <c r="AG217" s="8">
        <v>4663397</v>
      </c>
      <c r="AI217" s="8">
        <v>3961</v>
      </c>
      <c r="AJ217" s="13" t="s">
        <v>248</v>
      </c>
      <c r="AK217" s="13"/>
      <c r="AL217" s="13" t="s">
        <v>246</v>
      </c>
      <c r="AN217" s="8">
        <v>1191571</v>
      </c>
      <c r="AP217" s="8">
        <v>15998123</v>
      </c>
      <c r="AR217" s="8">
        <v>0</v>
      </c>
      <c r="AT217" s="8">
        <v>2515900</v>
      </c>
      <c r="AV217" s="8">
        <v>5408271</v>
      </c>
      <c r="AX217" s="8">
        <v>0</v>
      </c>
      <c r="AZ217" s="9">
        <f t="shared" si="12"/>
        <v>113662372</v>
      </c>
      <c r="BB217" s="8">
        <v>36958310</v>
      </c>
      <c r="BH217" s="8">
        <v>0</v>
      </c>
      <c r="BJ217" s="9">
        <f t="shared" si="13"/>
        <v>150620682</v>
      </c>
      <c r="BL217" s="9">
        <f>'Gov Fd Rv'!AU217-'Gov Fnd Exp'!BJ217</f>
        <v>12573152</v>
      </c>
      <c r="BN217" s="8">
        <v>78491978</v>
      </c>
      <c r="BP217" s="8">
        <v>0</v>
      </c>
      <c r="BR217" s="8">
        <v>0</v>
      </c>
      <c r="BT217" s="9">
        <f t="shared" si="14"/>
        <v>91065130</v>
      </c>
      <c r="BU217" s="9"/>
      <c r="BV217" s="9">
        <f>BT217-'Gov Fd BS'!AA217</f>
        <v>0</v>
      </c>
    </row>
    <row r="218" spans="1:74">
      <c r="A218" s="13" t="s">
        <v>363</v>
      </c>
      <c r="B218" s="13"/>
      <c r="C218" s="13" t="s">
        <v>27</v>
      </c>
      <c r="D218" s="13"/>
      <c r="E218" s="32">
        <v>46953</v>
      </c>
      <c r="G218" s="8">
        <v>10055622</v>
      </c>
      <c r="I218" s="8">
        <v>2623717</v>
      </c>
      <c r="K218" s="8">
        <v>249253</v>
      </c>
      <c r="M218" s="8">
        <v>1859089</v>
      </c>
      <c r="O218" s="8">
        <v>878366</v>
      </c>
      <c r="Q218" s="8">
        <v>592884</v>
      </c>
      <c r="S218" s="8">
        <v>28951</v>
      </c>
      <c r="U218" s="8">
        <v>2087232</v>
      </c>
      <c r="W218" s="8">
        <v>1498525</v>
      </c>
      <c r="Y218" s="8">
        <v>28715</v>
      </c>
      <c r="AA218" s="8">
        <v>2677592</v>
      </c>
      <c r="AC218" s="8">
        <v>1021870</v>
      </c>
      <c r="AE218" s="8">
        <v>41361</v>
      </c>
      <c r="AG218" s="8">
        <v>0</v>
      </c>
      <c r="AI218" s="8">
        <v>1138582</v>
      </c>
      <c r="AJ218" s="13" t="s">
        <v>363</v>
      </c>
      <c r="AK218" s="13"/>
      <c r="AL218" s="13" t="s">
        <v>27</v>
      </c>
      <c r="AN218" s="8">
        <v>851937</v>
      </c>
      <c r="AP218" s="8">
        <v>19947726</v>
      </c>
      <c r="AR218" s="8">
        <v>0</v>
      </c>
      <c r="AT218" s="8">
        <v>640000</v>
      </c>
      <c r="AV218" s="8">
        <v>1112800</v>
      </c>
      <c r="AX218" s="8">
        <v>0</v>
      </c>
      <c r="AZ218" s="9">
        <f t="shared" si="12"/>
        <v>47334222</v>
      </c>
      <c r="BB218" s="8">
        <v>0</v>
      </c>
      <c r="BH218" s="8">
        <v>89</v>
      </c>
      <c r="BJ218" s="9">
        <f t="shared" si="13"/>
        <v>47334311</v>
      </c>
      <c r="BL218" s="9">
        <f>'Gov Fd Rv'!AU218-'Gov Fnd Exp'!BJ218</f>
        <v>-11608969</v>
      </c>
      <c r="BN218" s="8">
        <v>31253291</v>
      </c>
      <c r="BP218" s="8">
        <v>-8240</v>
      </c>
      <c r="BR218" s="8">
        <v>0</v>
      </c>
      <c r="BT218" s="9">
        <f t="shared" si="14"/>
        <v>19636082</v>
      </c>
      <c r="BU218" s="9"/>
      <c r="BV218" s="9">
        <f>BT218-'Gov Fd BS'!AA218</f>
        <v>0</v>
      </c>
    </row>
    <row r="219" spans="1:74">
      <c r="A219" s="13" t="s">
        <v>427</v>
      </c>
      <c r="B219" s="13"/>
      <c r="C219" s="13" t="s">
        <v>426</v>
      </c>
      <c r="D219" s="13"/>
      <c r="E219" s="32">
        <v>47498</v>
      </c>
      <c r="G219" s="8">
        <v>2207095</v>
      </c>
      <c r="I219" s="8">
        <v>300152</v>
      </c>
      <c r="K219" s="8">
        <v>195156</v>
      </c>
      <c r="M219" s="8">
        <v>0</v>
      </c>
      <c r="O219" s="8">
        <v>146698</v>
      </c>
      <c r="Q219" s="8">
        <v>85849</v>
      </c>
      <c r="S219" s="8">
        <v>75972</v>
      </c>
      <c r="U219" s="8">
        <v>436957</v>
      </c>
      <c r="W219" s="8">
        <v>198119</v>
      </c>
      <c r="Y219" s="8">
        <v>0</v>
      </c>
      <c r="AA219" s="8">
        <v>306274</v>
      </c>
      <c r="AC219" s="8">
        <v>237137</v>
      </c>
      <c r="AE219" s="8">
        <v>1004</v>
      </c>
      <c r="AG219" s="8">
        <v>0</v>
      </c>
      <c r="AI219" s="8">
        <v>150592</v>
      </c>
      <c r="AJ219" s="13" t="s">
        <v>427</v>
      </c>
      <c r="AK219" s="13"/>
      <c r="AL219" s="13" t="s">
        <v>426</v>
      </c>
      <c r="AN219" s="8">
        <v>194560</v>
      </c>
      <c r="AP219" s="8">
        <v>160808</v>
      </c>
      <c r="AR219" s="8">
        <v>0</v>
      </c>
      <c r="AT219" s="8">
        <v>3545000</v>
      </c>
      <c r="AV219" s="8">
        <v>101594</v>
      </c>
      <c r="AX219" s="8">
        <v>0</v>
      </c>
      <c r="AZ219" s="9">
        <f t="shared" si="12"/>
        <v>8342967</v>
      </c>
      <c r="BB219" s="8">
        <v>86700</v>
      </c>
      <c r="BH219" s="8">
        <v>0</v>
      </c>
      <c r="BJ219" s="9">
        <f t="shared" si="13"/>
        <v>8429667</v>
      </c>
      <c r="BL219" s="9">
        <f>'Gov Fd Rv'!AU219-'Gov Fnd Exp'!BJ219</f>
        <v>3987921</v>
      </c>
      <c r="BN219" s="8">
        <v>1678089</v>
      </c>
      <c r="BP219" s="8">
        <v>0</v>
      </c>
      <c r="BR219" s="8">
        <v>0</v>
      </c>
      <c r="BT219" s="9">
        <f t="shared" si="14"/>
        <v>5666010</v>
      </c>
      <c r="BU219" s="9"/>
      <c r="BV219" s="9">
        <f>BT219-'Gov Fd BS'!AA219</f>
        <v>0</v>
      </c>
    </row>
    <row r="220" spans="1:74">
      <c r="A220" s="13" t="s">
        <v>650</v>
      </c>
      <c r="B220" s="13"/>
      <c r="C220" s="13" t="s">
        <v>61</v>
      </c>
      <c r="D220" s="13"/>
      <c r="E220" s="32">
        <v>49791</v>
      </c>
      <c r="G220" s="8">
        <v>3428771</v>
      </c>
      <c r="I220" s="8">
        <v>925697</v>
      </c>
      <c r="K220" s="8">
        <v>84324</v>
      </c>
      <c r="M220" s="8">
        <v>734690</v>
      </c>
      <c r="O220" s="8">
        <v>360938</v>
      </c>
      <c r="Q220" s="8">
        <v>354683</v>
      </c>
      <c r="S220" s="8">
        <v>12625</v>
      </c>
      <c r="U220" s="8">
        <v>507052</v>
      </c>
      <c r="W220" s="8">
        <v>226025</v>
      </c>
      <c r="Y220" s="8">
        <v>953</v>
      </c>
      <c r="AA220" s="8">
        <v>798501</v>
      </c>
      <c r="AC220" s="8">
        <v>618189</v>
      </c>
      <c r="AE220" s="8">
        <v>12897</v>
      </c>
      <c r="AG220" s="8">
        <v>0</v>
      </c>
      <c r="AI220" s="8">
        <v>263225</v>
      </c>
      <c r="AJ220" s="13" t="s">
        <v>650</v>
      </c>
      <c r="AK220" s="13"/>
      <c r="AL220" s="13" t="s">
        <v>61</v>
      </c>
      <c r="AN220" s="8">
        <v>207930</v>
      </c>
      <c r="AP220" s="8">
        <v>39210</v>
      </c>
      <c r="AR220" s="8">
        <v>0</v>
      </c>
      <c r="AT220" s="8">
        <v>39610</v>
      </c>
      <c r="AV220" s="8">
        <v>15863</v>
      </c>
      <c r="AX220" s="8">
        <v>0</v>
      </c>
      <c r="AZ220" s="9">
        <f t="shared" si="12"/>
        <v>8631183</v>
      </c>
      <c r="BB220" s="8">
        <v>0</v>
      </c>
      <c r="BH220" s="8">
        <v>0</v>
      </c>
      <c r="BJ220" s="9">
        <f t="shared" si="13"/>
        <v>8631183</v>
      </c>
      <c r="BL220" s="9">
        <f>'Gov Fd Rv'!AU220-'Gov Fnd Exp'!BJ220</f>
        <v>-191218</v>
      </c>
      <c r="BN220" s="8">
        <v>2801629</v>
      </c>
      <c r="BP220" s="8">
        <v>0</v>
      </c>
      <c r="BR220" s="8">
        <v>0</v>
      </c>
      <c r="BT220" s="9">
        <f t="shared" si="14"/>
        <v>2610411</v>
      </c>
      <c r="BU220" s="9"/>
      <c r="BV220" s="9">
        <f>BT220-'Gov Fd BS'!AA220</f>
        <v>0</v>
      </c>
    </row>
    <row r="221" spans="1:74">
      <c r="A221" s="13" t="s">
        <v>434</v>
      </c>
      <c r="B221" s="13"/>
      <c r="C221" s="13" t="s">
        <v>433</v>
      </c>
      <c r="D221" s="13"/>
      <c r="E221" s="32">
        <v>45245</v>
      </c>
      <c r="G221" s="8">
        <v>8780450</v>
      </c>
      <c r="I221" s="8">
        <v>2157955</v>
      </c>
      <c r="K221" s="8">
        <v>332744</v>
      </c>
      <c r="M221" s="8">
        <v>109107</v>
      </c>
      <c r="O221" s="8">
        <v>929376</v>
      </c>
      <c r="Q221" s="8">
        <v>499799</v>
      </c>
      <c r="S221" s="8">
        <v>737530</v>
      </c>
      <c r="U221" s="8">
        <v>1473111</v>
      </c>
      <c r="W221" s="8">
        <v>508005</v>
      </c>
      <c r="Y221" s="8">
        <v>0</v>
      </c>
      <c r="AA221" s="8">
        <v>1337172</v>
      </c>
      <c r="AC221" s="8">
        <v>1635060</v>
      </c>
      <c r="AE221" s="8">
        <v>312460</v>
      </c>
      <c r="AG221" s="8">
        <v>938932</v>
      </c>
      <c r="AI221" s="8">
        <v>48382</v>
      </c>
      <c r="AJ221" s="13" t="s">
        <v>434</v>
      </c>
      <c r="AK221" s="13"/>
      <c r="AL221" s="13" t="s">
        <v>433</v>
      </c>
      <c r="AN221" s="8">
        <v>367526</v>
      </c>
      <c r="AP221" s="8">
        <v>291894</v>
      </c>
      <c r="AR221" s="8">
        <v>0</v>
      </c>
      <c r="AT221" s="8">
        <v>47504</v>
      </c>
      <c r="AV221" s="8">
        <v>3490</v>
      </c>
      <c r="AX221" s="8">
        <v>0</v>
      </c>
      <c r="AZ221" s="9">
        <f t="shared" si="12"/>
        <v>20510497</v>
      </c>
      <c r="BB221" s="8">
        <v>64708</v>
      </c>
      <c r="BH221" s="8">
        <v>0</v>
      </c>
      <c r="BJ221" s="9">
        <f t="shared" si="13"/>
        <v>20575205</v>
      </c>
      <c r="BL221" s="9">
        <f>'Gov Fd Rv'!AU221-'Gov Fnd Exp'!BJ221</f>
        <v>-1127601</v>
      </c>
      <c r="BN221" s="8">
        <v>5991763</v>
      </c>
      <c r="BP221" s="8">
        <v>27130</v>
      </c>
      <c r="BR221" s="8">
        <v>0</v>
      </c>
      <c r="BT221" s="9">
        <f t="shared" si="14"/>
        <v>4891292</v>
      </c>
      <c r="BU221" s="9"/>
      <c r="BV221" s="9">
        <f>BT221-'Gov Fd BS'!AA221</f>
        <v>0</v>
      </c>
    </row>
    <row r="222" spans="1:74">
      <c r="A222" s="13" t="s">
        <v>479</v>
      </c>
      <c r="B222" s="13"/>
      <c r="C222" s="13" t="s">
        <v>42</v>
      </c>
      <c r="D222" s="13"/>
      <c r="E222" s="32">
        <v>44115</v>
      </c>
      <c r="G222" s="8">
        <v>8670531</v>
      </c>
      <c r="I222" s="8">
        <v>0</v>
      </c>
      <c r="K222" s="8">
        <v>0</v>
      </c>
      <c r="M222" s="8">
        <v>0</v>
      </c>
      <c r="O222" s="8">
        <v>790332</v>
      </c>
      <c r="Q222" s="8">
        <v>362294</v>
      </c>
      <c r="S222" s="8">
        <v>10855</v>
      </c>
      <c r="U222" s="8">
        <v>1211911</v>
      </c>
      <c r="W222" s="8">
        <v>482568</v>
      </c>
      <c r="Y222" s="8">
        <v>44304</v>
      </c>
      <c r="AA222" s="8">
        <v>1261633</v>
      </c>
      <c r="AC222" s="8">
        <v>581873</v>
      </c>
      <c r="AE222" s="8">
        <v>238584</v>
      </c>
      <c r="AG222" s="8">
        <v>533326</v>
      </c>
      <c r="AI222" s="8">
        <v>5951</v>
      </c>
      <c r="AJ222" s="13" t="s">
        <v>479</v>
      </c>
      <c r="AK222" s="13"/>
      <c r="AL222" s="13" t="s">
        <v>42</v>
      </c>
      <c r="AN222" s="8">
        <v>449089</v>
      </c>
      <c r="AP222" s="8">
        <v>88201</v>
      </c>
      <c r="AR222" s="8">
        <v>0</v>
      </c>
      <c r="AT222" s="8">
        <v>809080</v>
      </c>
      <c r="AV222" s="8">
        <v>612393</v>
      </c>
      <c r="AX222" s="8">
        <v>0</v>
      </c>
      <c r="AZ222" s="9">
        <f t="shared" si="12"/>
        <v>16152925</v>
      </c>
      <c r="BB222" s="8">
        <v>0</v>
      </c>
      <c r="BH222" s="8">
        <v>0</v>
      </c>
      <c r="BJ222" s="9">
        <f t="shared" si="13"/>
        <v>16152925</v>
      </c>
      <c r="BL222" s="9">
        <f>'Gov Fd Rv'!AU222-'Gov Fnd Exp'!BJ222</f>
        <v>1011062</v>
      </c>
      <c r="BN222" s="8">
        <v>2765700</v>
      </c>
      <c r="BP222" s="8">
        <v>9871</v>
      </c>
      <c r="BR222" s="8">
        <v>0</v>
      </c>
      <c r="BT222" s="9">
        <f t="shared" si="14"/>
        <v>3786633</v>
      </c>
      <c r="BU222" s="9"/>
      <c r="BV222" s="9">
        <f>BT222-'Gov Fd BS'!AA222</f>
        <v>0</v>
      </c>
    </row>
    <row r="223" spans="1:74" hidden="1">
      <c r="A223" s="13" t="s">
        <v>335</v>
      </c>
      <c r="B223" s="13"/>
      <c r="C223" s="13" t="s">
        <v>22</v>
      </c>
      <c r="D223" s="13"/>
      <c r="E223" s="32">
        <v>45419</v>
      </c>
      <c r="G223" s="8">
        <v>0</v>
      </c>
      <c r="I223" s="8">
        <v>0</v>
      </c>
      <c r="K223" s="8">
        <v>0</v>
      </c>
      <c r="M223" s="8">
        <v>0</v>
      </c>
      <c r="O223" s="8">
        <v>0</v>
      </c>
      <c r="Q223" s="8">
        <v>0</v>
      </c>
      <c r="S223" s="8">
        <v>0</v>
      </c>
      <c r="U223" s="8">
        <v>0</v>
      </c>
      <c r="W223" s="8">
        <v>0</v>
      </c>
      <c r="Y223" s="8">
        <v>0</v>
      </c>
      <c r="AA223" s="8">
        <v>0</v>
      </c>
      <c r="AC223" s="8">
        <v>0</v>
      </c>
      <c r="AE223" s="8">
        <v>0</v>
      </c>
      <c r="AG223" s="8">
        <v>0</v>
      </c>
      <c r="AI223" s="8">
        <v>0</v>
      </c>
      <c r="AJ223" s="13" t="s">
        <v>335</v>
      </c>
      <c r="AK223" s="13"/>
      <c r="AL223" s="13" t="s">
        <v>22</v>
      </c>
      <c r="AN223" s="8">
        <v>0</v>
      </c>
      <c r="AP223" s="8">
        <v>0</v>
      </c>
      <c r="AR223" s="8">
        <v>0</v>
      </c>
      <c r="AT223" s="8">
        <v>0</v>
      </c>
      <c r="AV223" s="8">
        <v>0</v>
      </c>
      <c r="AX223" s="8">
        <v>0</v>
      </c>
      <c r="AZ223" s="9">
        <f t="shared" si="12"/>
        <v>0</v>
      </c>
      <c r="BB223" s="8">
        <v>0</v>
      </c>
      <c r="BH223" s="8">
        <v>0</v>
      </c>
      <c r="BJ223" s="9">
        <f t="shared" si="13"/>
        <v>0</v>
      </c>
      <c r="BL223" s="9">
        <f>'Gov Fd Rv'!AU223-'Gov Fnd Exp'!BJ223</f>
        <v>0</v>
      </c>
      <c r="BN223" s="8">
        <v>0</v>
      </c>
      <c r="BP223" s="8">
        <v>0</v>
      </c>
      <c r="BR223" s="8">
        <v>0</v>
      </c>
      <c r="BT223" s="9">
        <f t="shared" si="14"/>
        <v>0</v>
      </c>
      <c r="BU223" s="9"/>
      <c r="BV223" s="9">
        <f>BT223-'Gov Fd BS'!AA223</f>
        <v>0</v>
      </c>
    </row>
    <row r="224" spans="1:74">
      <c r="A224" s="13" t="s">
        <v>534</v>
      </c>
      <c r="B224" s="13"/>
      <c r="C224" s="13" t="s">
        <v>47</v>
      </c>
      <c r="D224" s="13"/>
      <c r="E224" s="32">
        <v>48496</v>
      </c>
      <c r="G224" s="8">
        <v>10902743</v>
      </c>
      <c r="I224" s="8">
        <v>2497941</v>
      </c>
      <c r="K224" s="8">
        <v>282569</v>
      </c>
      <c r="M224" s="8">
        <v>305858</v>
      </c>
      <c r="O224" s="8">
        <v>1300439</v>
      </c>
      <c r="Q224" s="8">
        <v>1367298</v>
      </c>
      <c r="S224" s="8">
        <v>33005</v>
      </c>
      <c r="U224" s="8">
        <v>2037368</v>
      </c>
      <c r="W224" s="8">
        <v>800733</v>
      </c>
      <c r="Y224" s="8">
        <v>44154</v>
      </c>
      <c r="AA224" s="8">
        <v>2830797</v>
      </c>
      <c r="AC224" s="8">
        <v>1520887</v>
      </c>
      <c r="AE224" s="8">
        <v>173502</v>
      </c>
      <c r="AG224" s="8">
        <v>923041</v>
      </c>
      <c r="AI224" s="8">
        <v>156897</v>
      </c>
      <c r="AJ224" s="13" t="s">
        <v>534</v>
      </c>
      <c r="AK224" s="13"/>
      <c r="AL224" s="13" t="s">
        <v>47</v>
      </c>
      <c r="AN224" s="8">
        <v>1006437</v>
      </c>
      <c r="AP224" s="8">
        <v>330717</v>
      </c>
      <c r="AR224" s="8">
        <v>0</v>
      </c>
      <c r="AT224" s="8">
        <v>1436075</v>
      </c>
      <c r="AV224" s="8">
        <v>1524434</v>
      </c>
      <c r="AX224" s="8">
        <v>0</v>
      </c>
      <c r="AZ224" s="9">
        <f t="shared" si="12"/>
        <v>29474895</v>
      </c>
      <c r="BB224" s="8">
        <v>18750</v>
      </c>
      <c r="BH224" s="8">
        <v>0</v>
      </c>
      <c r="BJ224" s="9">
        <f t="shared" si="13"/>
        <v>29493645</v>
      </c>
      <c r="BL224" s="9">
        <f>'Gov Fd Rv'!AU224-'Gov Fnd Exp'!BJ224</f>
        <v>-765933</v>
      </c>
      <c r="BN224" s="8">
        <v>13164009</v>
      </c>
      <c r="BP224" s="8">
        <v>0</v>
      </c>
      <c r="BR224" s="8">
        <v>0</v>
      </c>
      <c r="BT224" s="9">
        <f t="shared" si="14"/>
        <v>12398076</v>
      </c>
      <c r="BU224" s="9"/>
      <c r="BV224" s="9">
        <f>BT224-'Gov Fd BS'!AA224</f>
        <v>0</v>
      </c>
    </row>
    <row r="225" spans="1:74">
      <c r="A225" s="13" t="s">
        <v>534</v>
      </c>
      <c r="B225" s="13"/>
      <c r="C225" s="13" t="s">
        <v>78</v>
      </c>
      <c r="D225" s="13"/>
      <c r="E225" s="32">
        <v>48801</v>
      </c>
      <c r="G225" s="8">
        <v>6227894</v>
      </c>
      <c r="I225" s="8">
        <v>1930593</v>
      </c>
      <c r="K225" s="8">
        <v>134293</v>
      </c>
      <c r="M225" s="8">
        <v>0</v>
      </c>
      <c r="O225" s="8">
        <v>1189260</v>
      </c>
      <c r="Q225" s="8">
        <v>920935</v>
      </c>
      <c r="S225" s="8">
        <v>163330</v>
      </c>
      <c r="U225" s="8">
        <v>1166545</v>
      </c>
      <c r="W225" s="8">
        <v>371974</v>
      </c>
      <c r="Y225" s="8">
        <v>0</v>
      </c>
      <c r="AA225" s="8">
        <v>1312807</v>
      </c>
      <c r="AC225" s="8">
        <v>1111815</v>
      </c>
      <c r="AE225" s="8">
        <v>72130</v>
      </c>
      <c r="AG225" s="8">
        <v>0</v>
      </c>
      <c r="AI225" s="8">
        <v>670600</v>
      </c>
      <c r="AJ225" s="13" t="s">
        <v>534</v>
      </c>
      <c r="AK225" s="13"/>
      <c r="AL225" s="13" t="s">
        <v>78</v>
      </c>
      <c r="AN225" s="8">
        <v>345234</v>
      </c>
      <c r="AP225" s="8">
        <v>82784</v>
      </c>
      <c r="AR225" s="8">
        <v>0</v>
      </c>
      <c r="AT225" s="8">
        <v>108047</v>
      </c>
      <c r="AV225" s="8">
        <v>111305</v>
      </c>
      <c r="AX225" s="8">
        <v>0</v>
      </c>
      <c r="AZ225" s="9">
        <f t="shared" si="12"/>
        <v>15919546</v>
      </c>
      <c r="BB225" s="8">
        <v>0</v>
      </c>
      <c r="BH225" s="8">
        <v>0</v>
      </c>
      <c r="BJ225" s="9">
        <f t="shared" si="13"/>
        <v>15919546</v>
      </c>
      <c r="BL225" s="9">
        <f>'Gov Fd Rv'!AU225-'Gov Fnd Exp'!BJ225</f>
        <v>1747065</v>
      </c>
      <c r="BN225" s="8">
        <v>5437732</v>
      </c>
      <c r="BP225" s="8">
        <v>0</v>
      </c>
      <c r="BR225" s="8">
        <v>0</v>
      </c>
      <c r="BT225" s="9">
        <f t="shared" si="14"/>
        <v>7184797</v>
      </c>
      <c r="BU225" s="9"/>
      <c r="BV225" s="9">
        <f>BT225-'Gov Fd BS'!AA225</f>
        <v>0</v>
      </c>
    </row>
    <row r="226" spans="1:74">
      <c r="A226" s="13" t="s">
        <v>364</v>
      </c>
      <c r="B226" s="13"/>
      <c r="C226" s="13" t="s">
        <v>27</v>
      </c>
      <c r="D226" s="13"/>
      <c r="E226" s="32">
        <v>47019</v>
      </c>
      <c r="G226" s="8">
        <v>81632638</v>
      </c>
      <c r="I226" s="8">
        <v>16528021</v>
      </c>
      <c r="K226" s="8">
        <v>1176943</v>
      </c>
      <c r="M226" s="8">
        <v>0</v>
      </c>
      <c r="O226" s="8">
        <v>10345957</v>
      </c>
      <c r="Q226" s="8">
        <v>8749726</v>
      </c>
      <c r="S226" s="8">
        <v>305636</v>
      </c>
      <c r="U226" s="8">
        <v>9567995</v>
      </c>
      <c r="W226" s="8">
        <v>3433343</v>
      </c>
      <c r="Y226" s="8">
        <v>855111</v>
      </c>
      <c r="AA226" s="8">
        <v>12105860</v>
      </c>
      <c r="AC226" s="8">
        <v>8067378</v>
      </c>
      <c r="AE226" s="8">
        <v>634300</v>
      </c>
      <c r="AG226" s="8">
        <v>4326173</v>
      </c>
      <c r="AI226" s="8">
        <v>2258361</v>
      </c>
      <c r="AJ226" s="13" t="s">
        <v>364</v>
      </c>
      <c r="AK226" s="13"/>
      <c r="AL226" s="13" t="s">
        <v>27</v>
      </c>
      <c r="AN226" s="8">
        <v>3478139</v>
      </c>
      <c r="AP226" s="8">
        <f>197517+35663381+2967848</f>
        <v>38828746</v>
      </c>
      <c r="AR226" s="8">
        <v>0</v>
      </c>
      <c r="AT226" s="8">
        <v>10281042</v>
      </c>
      <c r="AV226" s="8">
        <v>6720102</v>
      </c>
      <c r="AX226" s="8">
        <v>6927</v>
      </c>
      <c r="AZ226" s="9">
        <f t="shared" si="12"/>
        <v>219302398</v>
      </c>
      <c r="BB226" s="8">
        <v>3224778</v>
      </c>
      <c r="BH226" s="8">
        <v>0</v>
      </c>
      <c r="BJ226" s="9">
        <f t="shared" si="13"/>
        <v>222527176</v>
      </c>
      <c r="BL226" s="9">
        <f>'Gov Fd Rv'!AU226-'Gov Fnd Exp'!BJ226</f>
        <v>-42069098</v>
      </c>
      <c r="BN226" s="8">
        <v>104669111</v>
      </c>
      <c r="BP226" s="8">
        <v>0</v>
      </c>
      <c r="BR226" s="8">
        <v>0</v>
      </c>
      <c r="BT226" s="9">
        <f t="shared" si="14"/>
        <v>62600013</v>
      </c>
      <c r="BU226" s="9"/>
      <c r="BV226" s="9">
        <f>BT226-'Gov Fd BS'!AA226</f>
        <v>0</v>
      </c>
    </row>
    <row r="227" spans="1:74">
      <c r="A227" s="13" t="s">
        <v>443</v>
      </c>
      <c r="B227" s="13"/>
      <c r="C227" s="13" t="s">
        <v>440</v>
      </c>
      <c r="D227" s="13"/>
      <c r="E227" s="32">
        <v>44123</v>
      </c>
      <c r="G227" s="8">
        <v>9437106</v>
      </c>
      <c r="I227" s="8">
        <v>2044492</v>
      </c>
      <c r="K227" s="8">
        <v>646111</v>
      </c>
      <c r="M227" s="8">
        <v>1876057</v>
      </c>
      <c r="O227" s="8">
        <v>866266</v>
      </c>
      <c r="Q227" s="8">
        <v>1725161</v>
      </c>
      <c r="S227" s="8">
        <v>0</v>
      </c>
      <c r="U227" s="8">
        <f>41617+2296394</f>
        <v>2338011</v>
      </c>
      <c r="W227" s="8">
        <v>627724</v>
      </c>
      <c r="Y227" s="8">
        <v>1438</v>
      </c>
      <c r="AA227" s="8">
        <v>1942039</v>
      </c>
      <c r="AC227" s="8">
        <v>1526188</v>
      </c>
      <c r="AE227" s="8">
        <v>122188</v>
      </c>
      <c r="AG227" s="8">
        <v>0</v>
      </c>
      <c r="AI227" s="8">
        <v>1157239</v>
      </c>
      <c r="AJ227" s="13" t="s">
        <v>443</v>
      </c>
      <c r="AK227" s="13"/>
      <c r="AL227" s="13" t="s">
        <v>440</v>
      </c>
      <c r="AN227" s="8">
        <v>457561</v>
      </c>
      <c r="AP227" s="8">
        <v>14605304</v>
      </c>
      <c r="AR227" s="8">
        <v>0</v>
      </c>
      <c r="AT227" s="8">
        <v>429739</v>
      </c>
      <c r="AV227" s="8">
        <v>608642</v>
      </c>
      <c r="AX227" s="8">
        <v>0</v>
      </c>
      <c r="AZ227" s="9">
        <f t="shared" si="12"/>
        <v>40411266</v>
      </c>
      <c r="BB227" s="8">
        <v>717127</v>
      </c>
      <c r="BH227" s="8">
        <v>0</v>
      </c>
      <c r="BJ227" s="9">
        <f t="shared" si="13"/>
        <v>41128393</v>
      </c>
      <c r="BL227" s="9">
        <f>'Gov Fd Rv'!AU227-'Gov Fnd Exp'!BJ227</f>
        <v>4687336</v>
      </c>
      <c r="BN227" s="8">
        <v>13660337</v>
      </c>
      <c r="BP227" s="8">
        <v>0</v>
      </c>
      <c r="BR227" s="8">
        <v>0</v>
      </c>
      <c r="BT227" s="9">
        <f t="shared" si="14"/>
        <v>18347673</v>
      </c>
      <c r="BU227" s="9"/>
      <c r="BV227" s="9">
        <f>BT227-'Gov Fd BS'!AA227</f>
        <v>0</v>
      </c>
    </row>
    <row r="228" spans="1:74">
      <c r="A228" s="13" t="s">
        <v>216</v>
      </c>
      <c r="B228" s="13"/>
      <c r="C228" s="13" t="s">
        <v>11</v>
      </c>
      <c r="D228" s="13"/>
      <c r="E228" s="32">
        <v>45823</v>
      </c>
      <c r="G228" s="8">
        <v>4280527</v>
      </c>
      <c r="I228" s="8">
        <v>651216</v>
      </c>
      <c r="K228" s="8">
        <v>368013</v>
      </c>
      <c r="M228" s="8">
        <v>235074</v>
      </c>
      <c r="O228" s="8">
        <v>369730</v>
      </c>
      <c r="Q228" s="8">
        <v>266606</v>
      </c>
      <c r="S228" s="8">
        <v>50177</v>
      </c>
      <c r="U228" s="8">
        <v>718054</v>
      </c>
      <c r="W228" s="8">
        <v>341984</v>
      </c>
      <c r="Y228" s="8">
        <v>0</v>
      </c>
      <c r="AA228" s="8">
        <v>604061</v>
      </c>
      <c r="AC228" s="8">
        <v>858528</v>
      </c>
      <c r="AE228" s="8">
        <v>0</v>
      </c>
      <c r="AG228" s="8">
        <v>0</v>
      </c>
      <c r="AI228" s="8">
        <v>2212</v>
      </c>
      <c r="AJ228" s="13" t="s">
        <v>216</v>
      </c>
      <c r="AK228" s="13"/>
      <c r="AL228" s="13" t="s">
        <v>11</v>
      </c>
      <c r="AN228" s="8">
        <v>220205</v>
      </c>
      <c r="AP228" s="8">
        <v>10000</v>
      </c>
      <c r="AR228" s="8">
        <v>0</v>
      </c>
      <c r="AT228" s="8">
        <v>0</v>
      </c>
      <c r="AV228" s="8">
        <v>0</v>
      </c>
      <c r="AX228" s="8">
        <v>0</v>
      </c>
      <c r="AZ228" s="9">
        <f t="shared" si="12"/>
        <v>8976387</v>
      </c>
      <c r="BB228" s="8">
        <v>29755</v>
      </c>
      <c r="BH228" s="8">
        <v>0</v>
      </c>
      <c r="BJ228" s="9">
        <f t="shared" si="13"/>
        <v>9006142</v>
      </c>
      <c r="BL228" s="9">
        <f>'Gov Fd Rv'!AU228-'Gov Fnd Exp'!BJ228</f>
        <v>-102120</v>
      </c>
      <c r="BN228" s="8">
        <v>875054</v>
      </c>
      <c r="BP228" s="8">
        <v>0</v>
      </c>
      <c r="BR228" s="8">
        <v>0</v>
      </c>
      <c r="BT228" s="9">
        <f t="shared" si="14"/>
        <v>772934</v>
      </c>
      <c r="BU228" s="9"/>
      <c r="BV228" s="9">
        <f>BT228-'Gov Fd BS'!AA228</f>
        <v>0</v>
      </c>
    </row>
    <row r="229" spans="1:74">
      <c r="A229" s="13" t="s">
        <v>435</v>
      </c>
      <c r="B229" s="13"/>
      <c r="C229" s="13" t="s">
        <v>34</v>
      </c>
      <c r="D229" s="13"/>
      <c r="E229" s="32">
        <v>47571</v>
      </c>
      <c r="G229" s="8">
        <v>2410996</v>
      </c>
      <c r="I229" s="8">
        <v>466398</v>
      </c>
      <c r="K229" s="8">
        <v>75004</v>
      </c>
      <c r="M229" s="8">
        <v>0</v>
      </c>
      <c r="O229" s="8">
        <v>232286</v>
      </c>
      <c r="Q229" s="8">
        <v>165902</v>
      </c>
      <c r="S229" s="8">
        <v>14430</v>
      </c>
      <c r="U229" s="8">
        <v>512598</v>
      </c>
      <c r="W229" s="8">
        <v>160934</v>
      </c>
      <c r="Y229" s="8">
        <v>7404</v>
      </c>
      <c r="AA229" s="8">
        <v>274092</v>
      </c>
      <c r="AC229" s="8">
        <v>218665</v>
      </c>
      <c r="AE229" s="8">
        <v>64408</v>
      </c>
      <c r="AG229" s="8">
        <v>0</v>
      </c>
      <c r="AI229" s="8">
        <v>212217</v>
      </c>
      <c r="AJ229" s="13" t="s">
        <v>435</v>
      </c>
      <c r="AK229" s="13"/>
      <c r="AL229" s="13" t="s">
        <v>34</v>
      </c>
      <c r="AN229" s="8">
        <v>224561</v>
      </c>
      <c r="AP229" s="8">
        <v>77594</v>
      </c>
      <c r="AR229" s="8">
        <v>0</v>
      </c>
      <c r="AT229" s="8">
        <v>100000</v>
      </c>
      <c r="AV229" s="8">
        <v>223474</v>
      </c>
      <c r="AX229" s="8">
        <v>0</v>
      </c>
      <c r="AZ229" s="9">
        <f t="shared" si="12"/>
        <v>5440963</v>
      </c>
      <c r="BB229" s="8">
        <v>7500</v>
      </c>
      <c r="BH229" s="8">
        <v>0</v>
      </c>
      <c r="BJ229" s="9">
        <f t="shared" si="13"/>
        <v>5448463</v>
      </c>
      <c r="BL229" s="9">
        <f>'Gov Fd Rv'!AU229-'Gov Fnd Exp'!BJ229</f>
        <v>179630</v>
      </c>
      <c r="BN229" s="8">
        <v>2656832</v>
      </c>
      <c r="BP229" s="8">
        <v>0</v>
      </c>
      <c r="BR229" s="8">
        <v>0</v>
      </c>
      <c r="BT229" s="9">
        <f t="shared" si="14"/>
        <v>2836462</v>
      </c>
      <c r="BU229" s="9"/>
      <c r="BV229" s="9">
        <f>BT229-'Gov Fd BS'!AA229</f>
        <v>0</v>
      </c>
    </row>
    <row r="230" spans="1:74">
      <c r="A230" s="13" t="s">
        <v>685</v>
      </c>
      <c r="B230" s="13"/>
      <c r="C230" s="13" t="s">
        <v>64</v>
      </c>
      <c r="D230" s="13"/>
      <c r="E230" s="13">
        <v>50161</v>
      </c>
      <c r="G230" s="8">
        <v>13277613</v>
      </c>
      <c r="I230" s="8">
        <v>3554180</v>
      </c>
      <c r="K230" s="8">
        <v>654670</v>
      </c>
      <c r="M230" s="8">
        <v>1136184</v>
      </c>
      <c r="O230" s="8">
        <v>1728716</v>
      </c>
      <c r="Q230" s="8">
        <v>1289884</v>
      </c>
      <c r="S230" s="8">
        <v>327013</v>
      </c>
      <c r="U230" s="8">
        <v>2475345</v>
      </c>
      <c r="W230" s="8">
        <v>678846</v>
      </c>
      <c r="Y230" s="8">
        <v>85870</v>
      </c>
      <c r="AA230" s="8">
        <v>3005198</v>
      </c>
      <c r="AC230" s="8">
        <v>1915199</v>
      </c>
      <c r="AE230" s="8">
        <v>18381</v>
      </c>
      <c r="AG230" s="8">
        <v>889647</v>
      </c>
      <c r="AI230" s="8">
        <v>169967</v>
      </c>
      <c r="AJ230" s="13" t="s">
        <v>685</v>
      </c>
      <c r="AK230" s="13"/>
      <c r="AL230" s="13" t="s">
        <v>64</v>
      </c>
      <c r="AN230" s="8">
        <v>682603</v>
      </c>
      <c r="AP230" s="8">
        <v>609016</v>
      </c>
      <c r="AR230" s="8">
        <v>0</v>
      </c>
      <c r="AT230" s="8">
        <v>536500</v>
      </c>
      <c r="AV230" s="8">
        <v>20277</v>
      </c>
      <c r="AX230" s="8">
        <v>0</v>
      </c>
      <c r="AZ230" s="9">
        <f t="shared" si="12"/>
        <v>33055109</v>
      </c>
      <c r="BB230" s="8">
        <v>0</v>
      </c>
      <c r="BH230" s="8">
        <v>0</v>
      </c>
      <c r="BJ230" s="9">
        <f t="shared" si="13"/>
        <v>33055109</v>
      </c>
      <c r="BL230" s="9">
        <f>'Gov Fd Rv'!AU230-'Gov Fnd Exp'!BJ230</f>
        <v>179841</v>
      </c>
      <c r="BN230" s="8">
        <v>-817280</v>
      </c>
      <c r="BP230" s="8">
        <v>0</v>
      </c>
      <c r="BR230" s="8">
        <v>0</v>
      </c>
      <c r="BT230" s="9">
        <f t="shared" si="14"/>
        <v>-637439</v>
      </c>
      <c r="BU230" s="9"/>
      <c r="BV230" s="9">
        <f>BT230-'Gov Fd BS'!AA230</f>
        <v>0</v>
      </c>
    </row>
    <row r="231" spans="1:74">
      <c r="A231" s="13" t="s">
        <v>686</v>
      </c>
      <c r="B231" s="13"/>
      <c r="C231" s="13" t="s">
        <v>64</v>
      </c>
      <c r="D231" s="13"/>
      <c r="E231" s="32">
        <v>45427</v>
      </c>
      <c r="G231" s="8">
        <v>8850799</v>
      </c>
      <c r="I231" s="8">
        <v>1827788</v>
      </c>
      <c r="K231" s="8">
        <v>318984</v>
      </c>
      <c r="M231" s="8">
        <v>0</v>
      </c>
      <c r="O231" s="8">
        <v>1009551</v>
      </c>
      <c r="Q231" s="8">
        <v>698567</v>
      </c>
      <c r="S231" s="8">
        <v>24261</v>
      </c>
      <c r="U231" s="8">
        <v>1366542</v>
      </c>
      <c r="W231" s="8">
        <v>523541</v>
      </c>
      <c r="Y231" s="8">
        <v>47355</v>
      </c>
      <c r="AA231" s="8">
        <v>1999722</v>
      </c>
      <c r="AC231" s="8">
        <v>1110024</v>
      </c>
      <c r="AE231" s="8">
        <v>353059</v>
      </c>
      <c r="AG231" s="8">
        <v>825229</v>
      </c>
      <c r="AI231" s="8">
        <v>399799</v>
      </c>
      <c r="AJ231" s="13" t="s">
        <v>686</v>
      </c>
      <c r="AK231" s="13"/>
      <c r="AL231" s="13" t="s">
        <v>64</v>
      </c>
      <c r="AN231" s="8">
        <v>619108</v>
      </c>
      <c r="AP231" s="8">
        <v>0</v>
      </c>
      <c r="AR231" s="8">
        <v>2202186</v>
      </c>
      <c r="AT231" s="8">
        <v>906614</v>
      </c>
      <c r="AV231" s="8">
        <v>992106</v>
      </c>
      <c r="AX231" s="8">
        <v>0</v>
      </c>
      <c r="AZ231" s="9">
        <f t="shared" si="12"/>
        <v>24075235</v>
      </c>
      <c r="BB231" s="8">
        <v>324982</v>
      </c>
      <c r="BH231" s="8">
        <v>0</v>
      </c>
      <c r="BJ231" s="9">
        <f t="shared" si="13"/>
        <v>24400217</v>
      </c>
      <c r="BL231" s="9">
        <f>'Gov Fd Rv'!AU231-'Gov Fnd Exp'!BJ231</f>
        <v>6640447</v>
      </c>
      <c r="BN231" s="8">
        <v>24375180</v>
      </c>
      <c r="BP231" s="8">
        <v>0</v>
      </c>
      <c r="BR231" s="8">
        <v>0</v>
      </c>
      <c r="BT231" s="9">
        <f t="shared" si="14"/>
        <v>31015627</v>
      </c>
      <c r="BU231" s="9"/>
      <c r="BV231" s="9">
        <f>BT231-'Gov Fd BS'!AA231</f>
        <v>0</v>
      </c>
    </row>
    <row r="232" spans="1:74">
      <c r="A232" s="13" t="s">
        <v>555</v>
      </c>
      <c r="B232" s="13"/>
      <c r="C232" s="13" t="s">
        <v>50</v>
      </c>
      <c r="D232" s="13"/>
      <c r="E232" s="32">
        <v>48751</v>
      </c>
      <c r="G232" s="8">
        <v>43132371</v>
      </c>
      <c r="I232" s="8">
        <v>0</v>
      </c>
      <c r="K232" s="8">
        <v>0</v>
      </c>
      <c r="M232" s="8">
        <v>0</v>
      </c>
      <c r="O232" s="8">
        <v>2767844</v>
      </c>
      <c r="Q232" s="8">
        <v>4134170</v>
      </c>
      <c r="S232" s="8">
        <v>31972</v>
      </c>
      <c r="U232" s="8">
        <v>3818024</v>
      </c>
      <c r="W232" s="8">
        <v>828486</v>
      </c>
      <c r="Y232" s="8">
        <v>475971</v>
      </c>
      <c r="AA232" s="8">
        <v>4949935</v>
      </c>
      <c r="AC232" s="8">
        <v>2833624</v>
      </c>
      <c r="AE232" s="8">
        <v>428737</v>
      </c>
      <c r="AG232" s="8">
        <v>2294305</v>
      </c>
      <c r="AI232" s="8">
        <v>627179</v>
      </c>
      <c r="AJ232" s="13" t="s">
        <v>555</v>
      </c>
      <c r="AK232" s="13"/>
      <c r="AL232" s="13" t="s">
        <v>50</v>
      </c>
      <c r="AN232" s="8">
        <v>946884</v>
      </c>
      <c r="AP232" s="8">
        <v>803151</v>
      </c>
      <c r="AR232" s="8">
        <v>0</v>
      </c>
      <c r="AT232" s="8">
        <v>307916</v>
      </c>
      <c r="AV232" s="8">
        <v>37783</v>
      </c>
      <c r="AX232" s="8">
        <v>0</v>
      </c>
      <c r="AZ232" s="9">
        <f t="shared" si="12"/>
        <v>68418352</v>
      </c>
      <c r="BB232" s="8">
        <v>0</v>
      </c>
      <c r="BH232" s="8">
        <v>0</v>
      </c>
      <c r="BJ232" s="9">
        <f t="shared" si="13"/>
        <v>68418352</v>
      </c>
      <c r="BL232" s="9">
        <f>'Gov Fd Rv'!AU232-'Gov Fnd Exp'!BJ232</f>
        <v>3208040</v>
      </c>
      <c r="BN232" s="8">
        <v>20548461</v>
      </c>
      <c r="BP232" s="8">
        <v>22492</v>
      </c>
      <c r="BR232" s="8">
        <v>0</v>
      </c>
      <c r="BT232" s="9">
        <f t="shared" si="14"/>
        <v>23778993</v>
      </c>
      <c r="BU232" s="9"/>
      <c r="BV232" s="9">
        <f>BT232-'Gov Fd BS'!AA232</f>
        <v>0</v>
      </c>
    </row>
    <row r="233" spans="1:74">
      <c r="A233" s="13" t="s">
        <v>671</v>
      </c>
      <c r="B233" s="13"/>
      <c r="C233" s="13" t="s">
        <v>63</v>
      </c>
      <c r="D233" s="13"/>
      <c r="E233" s="32">
        <v>50021</v>
      </c>
      <c r="G233" s="8">
        <v>27550179</v>
      </c>
      <c r="I233" s="8">
        <v>6024879</v>
      </c>
      <c r="K233" s="8">
        <v>359473</v>
      </c>
      <c r="M233" s="8">
        <v>699881</v>
      </c>
      <c r="O233" s="8">
        <v>4086644</v>
      </c>
      <c r="Q233" s="8">
        <v>4571010</v>
      </c>
      <c r="S233" s="8">
        <v>39191</v>
      </c>
      <c r="U233" s="8">
        <v>4192763</v>
      </c>
      <c r="W233" s="8">
        <v>1311073</v>
      </c>
      <c r="Y233" s="8">
        <v>529938</v>
      </c>
      <c r="AA233" s="8">
        <v>5160851</v>
      </c>
      <c r="AC233" s="8">
        <v>3208379</v>
      </c>
      <c r="AE233" s="8">
        <v>379276</v>
      </c>
      <c r="AG233" s="8">
        <v>1662998</v>
      </c>
      <c r="AI233" s="8">
        <v>31779</v>
      </c>
      <c r="AJ233" s="13" t="s">
        <v>671</v>
      </c>
      <c r="AK233" s="13"/>
      <c r="AL233" s="13" t="s">
        <v>63</v>
      </c>
      <c r="AN233" s="8">
        <v>1261363</v>
      </c>
      <c r="AP233" s="8">
        <v>4172880</v>
      </c>
      <c r="AR233" s="8">
        <v>0</v>
      </c>
      <c r="AT233" s="8">
        <v>5332240</v>
      </c>
      <c r="AV233" s="8">
        <v>1293851</v>
      </c>
      <c r="AX233" s="8">
        <v>1653332</v>
      </c>
      <c r="AZ233" s="9">
        <f t="shared" si="12"/>
        <v>73521980</v>
      </c>
      <c r="BB233" s="8">
        <v>230097</v>
      </c>
      <c r="BH233" s="8">
        <v>0</v>
      </c>
      <c r="BJ233" s="9">
        <f t="shared" si="13"/>
        <v>73752077</v>
      </c>
      <c r="BL233" s="9">
        <f>'Gov Fd Rv'!AU233-'Gov Fnd Exp'!BJ233</f>
        <v>-5010409</v>
      </c>
      <c r="BN233" s="8">
        <v>21217618</v>
      </c>
      <c r="BP233" s="8">
        <v>0</v>
      </c>
      <c r="BR233" s="8">
        <v>0</v>
      </c>
      <c r="BT233" s="9">
        <f t="shared" si="14"/>
        <v>16207209</v>
      </c>
      <c r="BU233" s="9"/>
      <c r="BV233" s="9">
        <f>BT233-'Gov Fd BS'!AA233</f>
        <v>0</v>
      </c>
    </row>
    <row r="234" spans="1:74">
      <c r="A234" s="13" t="s">
        <v>623</v>
      </c>
      <c r="B234" s="13"/>
      <c r="C234" s="13" t="s">
        <v>58</v>
      </c>
      <c r="D234" s="13"/>
      <c r="E234" s="13">
        <v>49502</v>
      </c>
      <c r="G234" s="8">
        <v>5710179</v>
      </c>
      <c r="I234" s="8">
        <v>1598756</v>
      </c>
      <c r="K234" s="8">
        <v>45</v>
      </c>
      <c r="M234" s="8">
        <v>64745</v>
      </c>
      <c r="O234" s="8">
        <v>339112</v>
      </c>
      <c r="Q234" s="8">
        <v>166469</v>
      </c>
      <c r="S234" s="8">
        <v>25789</v>
      </c>
      <c r="U234" s="8">
        <v>755846</v>
      </c>
      <c r="W234" s="8">
        <v>514666</v>
      </c>
      <c r="Y234" s="8">
        <v>0</v>
      </c>
      <c r="AA234" s="8">
        <v>1112773</v>
      </c>
      <c r="AC234" s="8">
        <v>870082</v>
      </c>
      <c r="AE234" s="8">
        <v>0</v>
      </c>
      <c r="AG234" s="8">
        <v>0</v>
      </c>
      <c r="AI234" s="8">
        <v>490634</v>
      </c>
      <c r="AJ234" s="13" t="s">
        <v>623</v>
      </c>
      <c r="AK234" s="13"/>
      <c r="AL234" s="13" t="s">
        <v>58</v>
      </c>
      <c r="AN234" s="8">
        <v>267452</v>
      </c>
      <c r="AP234" s="8">
        <v>543</v>
      </c>
      <c r="AR234" s="8">
        <v>0</v>
      </c>
      <c r="AT234" s="8">
        <v>105692</v>
      </c>
      <c r="AV234" s="8">
        <v>50572</v>
      </c>
      <c r="AX234" s="8">
        <v>0</v>
      </c>
      <c r="AZ234" s="9">
        <f t="shared" si="12"/>
        <v>12073355</v>
      </c>
      <c r="BB234" s="8">
        <v>2848</v>
      </c>
      <c r="BH234" s="8">
        <v>0</v>
      </c>
      <c r="BJ234" s="9">
        <f t="shared" si="13"/>
        <v>12076203</v>
      </c>
      <c r="BL234" s="9">
        <f>'Gov Fd Rv'!AU234-'Gov Fnd Exp'!BJ234</f>
        <v>409512</v>
      </c>
      <c r="BN234" s="8">
        <v>4640053</v>
      </c>
      <c r="BP234" s="8">
        <v>0</v>
      </c>
      <c r="BR234" s="8">
        <v>0</v>
      </c>
      <c r="BT234" s="9">
        <f t="shared" si="14"/>
        <v>5049565</v>
      </c>
      <c r="BU234" s="9"/>
      <c r="BV234" s="9">
        <f>BT234-'Gov Fd BS'!AA234</f>
        <v>0</v>
      </c>
    </row>
    <row r="235" spans="1:74">
      <c r="A235" s="13" t="s">
        <v>341</v>
      </c>
      <c r="B235" s="13"/>
      <c r="C235" s="13" t="s">
        <v>24</v>
      </c>
      <c r="D235" s="13"/>
      <c r="E235" s="32">
        <v>44131</v>
      </c>
      <c r="G235" s="8">
        <v>6503716</v>
      </c>
      <c r="I235" s="8">
        <v>1865270</v>
      </c>
      <c r="K235" s="8">
        <v>0</v>
      </c>
      <c r="M235" s="8">
        <v>67622</v>
      </c>
      <c r="O235" s="8">
        <v>491595</v>
      </c>
      <c r="Q235" s="8">
        <v>684646</v>
      </c>
      <c r="S235" s="8">
        <v>25818</v>
      </c>
      <c r="U235" s="8">
        <v>1369987</v>
      </c>
      <c r="W235" s="8">
        <v>539198</v>
      </c>
      <c r="Y235" s="8">
        <v>0</v>
      </c>
      <c r="AA235" s="8">
        <v>2515958</v>
      </c>
      <c r="AC235" s="8">
        <v>789081</v>
      </c>
      <c r="AE235" s="8">
        <v>1998</v>
      </c>
      <c r="AG235" s="8">
        <v>668295</v>
      </c>
      <c r="AI235" s="8">
        <v>218672</v>
      </c>
      <c r="AJ235" s="13" t="s">
        <v>341</v>
      </c>
      <c r="AK235" s="13"/>
      <c r="AL235" s="13" t="s">
        <v>24</v>
      </c>
      <c r="AN235" s="8">
        <v>517101</v>
      </c>
      <c r="AP235" s="8">
        <v>0</v>
      </c>
      <c r="AR235" s="8">
        <v>142385</v>
      </c>
      <c r="AT235" s="8">
        <v>470820</v>
      </c>
      <c r="AV235" s="8">
        <v>259978</v>
      </c>
      <c r="AX235" s="8">
        <v>127019</v>
      </c>
      <c r="AZ235" s="9">
        <f t="shared" si="12"/>
        <v>17259159</v>
      </c>
      <c r="BB235" s="8">
        <v>1306</v>
      </c>
      <c r="BH235" s="8">
        <v>3544630</v>
      </c>
      <c r="BJ235" s="9">
        <f t="shared" si="13"/>
        <v>20805095</v>
      </c>
      <c r="BL235" s="9">
        <f>'Gov Fd Rv'!AU235-'Gov Fnd Exp'!BJ235</f>
        <v>2217295</v>
      </c>
      <c r="BN235" s="8">
        <v>3333760</v>
      </c>
      <c r="BP235" s="8">
        <v>0</v>
      </c>
      <c r="BR235" s="8">
        <v>0</v>
      </c>
      <c r="BT235" s="9">
        <f t="shared" si="14"/>
        <v>5551055</v>
      </c>
      <c r="BU235" s="9"/>
      <c r="BV235" s="9">
        <f>BT235-'Gov Fd BS'!AA235</f>
        <v>0</v>
      </c>
    </row>
    <row r="236" spans="1:74">
      <c r="A236" s="13" t="s">
        <v>313</v>
      </c>
      <c r="B236" s="13"/>
      <c r="C236" s="13" t="s">
        <v>20</v>
      </c>
      <c r="D236" s="13"/>
      <c r="E236" s="32">
        <v>46565</v>
      </c>
      <c r="G236" s="8">
        <v>6976083</v>
      </c>
      <c r="I236" s="8">
        <v>244724</v>
      </c>
      <c r="K236" s="8">
        <v>0</v>
      </c>
      <c r="M236" s="8">
        <v>462381</v>
      </c>
      <c r="O236" s="8">
        <v>705358</v>
      </c>
      <c r="Q236" s="8">
        <v>1433817</v>
      </c>
      <c r="S236" s="8">
        <v>204039</v>
      </c>
      <c r="U236" s="8">
        <v>965733</v>
      </c>
      <c r="W236" s="8">
        <v>444283</v>
      </c>
      <c r="Y236" s="8">
        <v>226001</v>
      </c>
      <c r="AA236" s="8">
        <v>2105167</v>
      </c>
      <c r="AC236" s="8">
        <v>901395</v>
      </c>
      <c r="AE236" s="8">
        <v>5000</v>
      </c>
      <c r="AG236" s="8">
        <v>301592</v>
      </c>
      <c r="AI236" s="8">
        <v>204112</v>
      </c>
      <c r="AJ236" s="13" t="s">
        <v>313</v>
      </c>
      <c r="AK236" s="13"/>
      <c r="AL236" s="13" t="s">
        <v>20</v>
      </c>
      <c r="AN236" s="8">
        <v>495643</v>
      </c>
      <c r="AP236" s="8">
        <v>19813</v>
      </c>
      <c r="AR236" s="8">
        <v>0</v>
      </c>
      <c r="AT236" s="8">
        <v>930000</v>
      </c>
      <c r="AV236" s="8">
        <v>738473</v>
      </c>
      <c r="AX236" s="8">
        <v>0</v>
      </c>
      <c r="AZ236" s="9">
        <f t="shared" si="12"/>
        <v>17363614</v>
      </c>
      <c r="BB236" s="8">
        <v>69076</v>
      </c>
      <c r="BH236" s="8">
        <v>0</v>
      </c>
      <c r="BJ236" s="9">
        <f t="shared" si="13"/>
        <v>17432690</v>
      </c>
      <c r="BL236" s="9">
        <f>'[1]Gov Fd Rv'!AU238-'[1]Gov Fnd Exp'!BJ238</f>
        <v>1478458</v>
      </c>
      <c r="BN236" s="8">
        <v>383632</v>
      </c>
      <c r="BP236" s="8">
        <v>0</v>
      </c>
      <c r="BR236" s="8">
        <v>0</v>
      </c>
      <c r="BT236" s="9">
        <f t="shared" si="14"/>
        <v>1862090</v>
      </c>
      <c r="BU236" s="9"/>
      <c r="BV236" s="9">
        <f>BT236-'[1]Gov Fd BS'!AA238</f>
        <v>0</v>
      </c>
    </row>
    <row r="237" spans="1:74">
      <c r="A237" s="13" t="s">
        <v>456</v>
      </c>
      <c r="B237" s="13"/>
      <c r="C237" s="13" t="s">
        <v>39</v>
      </c>
      <c r="D237" s="13"/>
      <c r="E237" s="32">
        <v>47803</v>
      </c>
      <c r="G237" s="8">
        <v>9934203</v>
      </c>
      <c r="I237" s="8">
        <v>2509662</v>
      </c>
      <c r="K237" s="8">
        <v>319100</v>
      </c>
      <c r="M237" s="8">
        <f>2357+268353</f>
        <v>270710</v>
      </c>
      <c r="O237" s="8">
        <v>873002</v>
      </c>
      <c r="Q237" s="8">
        <v>980508</v>
      </c>
      <c r="S237" s="8">
        <v>12609</v>
      </c>
      <c r="U237" s="8">
        <v>1509164</v>
      </c>
      <c r="W237" s="8">
        <v>427267</v>
      </c>
      <c r="Y237" s="8">
        <v>9798</v>
      </c>
      <c r="AA237" s="8">
        <v>2413977</v>
      </c>
      <c r="AC237" s="8">
        <v>1172875</v>
      </c>
      <c r="AE237" s="8">
        <v>94793</v>
      </c>
      <c r="AG237" s="8">
        <v>791805</v>
      </c>
      <c r="AI237" s="8">
        <v>98848</v>
      </c>
      <c r="AJ237" s="13" t="s">
        <v>456</v>
      </c>
      <c r="AK237" s="13"/>
      <c r="AL237" s="13" t="s">
        <v>39</v>
      </c>
      <c r="AN237" s="8">
        <v>381872</v>
      </c>
      <c r="AP237" s="8">
        <f>26982+86450</f>
        <v>113432</v>
      </c>
      <c r="AR237" s="8">
        <v>203531</v>
      </c>
      <c r="AT237" s="8">
        <v>131891</v>
      </c>
      <c r="AV237" s="8">
        <v>41565</v>
      </c>
      <c r="AX237" s="8">
        <v>0</v>
      </c>
      <c r="AZ237" s="9">
        <f t="shared" si="12"/>
        <v>22290612</v>
      </c>
      <c r="BB237" s="8">
        <v>64577</v>
      </c>
      <c r="BH237" s="8">
        <v>0</v>
      </c>
      <c r="BJ237" s="9">
        <f t="shared" si="13"/>
        <v>22355189</v>
      </c>
      <c r="BL237" s="9">
        <f>'[1]Gov Fd Rv'!AU239-'[1]Gov Fnd Exp'!BJ239</f>
        <v>-597007</v>
      </c>
      <c r="BN237" s="8">
        <v>1166466</v>
      </c>
      <c r="BP237" s="8">
        <v>7873</v>
      </c>
      <c r="BR237" s="8">
        <v>0</v>
      </c>
      <c r="BT237" s="9">
        <f t="shared" si="14"/>
        <v>577332</v>
      </c>
      <c r="BU237" s="9"/>
      <c r="BV237" s="9">
        <f>BT237-'[1]Gov Fd BS'!AA239</f>
        <v>0</v>
      </c>
    </row>
    <row r="238" spans="1:74">
      <c r="A238" s="13" t="s">
        <v>400</v>
      </c>
      <c r="B238" s="13"/>
      <c r="C238" s="13" t="s">
        <v>32</v>
      </c>
      <c r="D238" s="13"/>
      <c r="E238" s="32">
        <v>45435</v>
      </c>
      <c r="G238" s="8">
        <v>13640285</v>
      </c>
      <c r="I238" s="8">
        <v>2476156</v>
      </c>
      <c r="K238" s="8">
        <v>89700</v>
      </c>
      <c r="M238" s="8">
        <v>1450927</v>
      </c>
      <c r="O238" s="8">
        <v>2114969</v>
      </c>
      <c r="Q238" s="8">
        <v>1754495</v>
      </c>
      <c r="S238" s="8">
        <v>17501</v>
      </c>
      <c r="U238" s="8">
        <v>2007590</v>
      </c>
      <c r="W238" s="8">
        <v>744228</v>
      </c>
      <c r="Y238" s="8">
        <v>63694</v>
      </c>
      <c r="AA238" s="8">
        <v>3230107</v>
      </c>
      <c r="AC238" s="8">
        <v>1603206</v>
      </c>
      <c r="AE238" s="8">
        <v>75554</v>
      </c>
      <c r="AG238" s="8">
        <v>732368</v>
      </c>
      <c r="AI238" s="8">
        <v>182281</v>
      </c>
      <c r="AJ238" s="13" t="s">
        <v>400</v>
      </c>
      <c r="AK238" s="13"/>
      <c r="AL238" s="13" t="s">
        <v>32</v>
      </c>
      <c r="AN238" s="8">
        <v>829151</v>
      </c>
      <c r="AP238" s="8">
        <f>692543+281303</f>
        <v>973846</v>
      </c>
      <c r="AR238" s="8">
        <v>924199</v>
      </c>
      <c r="AT238" s="8">
        <v>1998000</v>
      </c>
      <c r="AV238" s="8">
        <v>1793967</v>
      </c>
      <c r="AX238" s="8">
        <v>0</v>
      </c>
      <c r="AZ238" s="9">
        <f t="shared" si="12"/>
        <v>36702224</v>
      </c>
      <c r="BB238" s="8">
        <v>0</v>
      </c>
      <c r="BH238" s="8">
        <v>0</v>
      </c>
      <c r="BJ238" s="9">
        <f t="shared" si="13"/>
        <v>36702224</v>
      </c>
      <c r="BL238" s="9">
        <f>'[1]Gov Fd Rv'!AU240-'[1]Gov Fnd Exp'!BJ240</f>
        <v>3410763</v>
      </c>
      <c r="BN238" s="8">
        <v>25492434</v>
      </c>
      <c r="BP238" s="8">
        <v>0</v>
      </c>
      <c r="BR238" s="8">
        <v>0</v>
      </c>
      <c r="BT238" s="9">
        <f t="shared" si="14"/>
        <v>28903197</v>
      </c>
      <c r="BU238" s="9"/>
      <c r="BV238" s="9">
        <f>BT238-'[1]Gov Fd BS'!AA240</f>
        <v>0</v>
      </c>
    </row>
    <row r="239" spans="1:74">
      <c r="A239" s="13" t="s">
        <v>702</v>
      </c>
      <c r="B239" s="13"/>
      <c r="C239" s="13" t="s">
        <v>65</v>
      </c>
      <c r="D239" s="13"/>
      <c r="E239" s="32">
        <v>50286</v>
      </c>
      <c r="G239" s="8">
        <v>6299927</v>
      </c>
      <c r="I239" s="8">
        <v>1457050</v>
      </c>
      <c r="K239" s="8">
        <v>268778</v>
      </c>
      <c r="M239" s="8">
        <v>1446905</v>
      </c>
      <c r="O239" s="8">
        <v>496787</v>
      </c>
      <c r="Q239" s="8">
        <v>511521</v>
      </c>
      <c r="S239" s="8">
        <v>48076</v>
      </c>
      <c r="U239" s="8">
        <v>1185853</v>
      </c>
      <c r="W239" s="8">
        <v>403175</v>
      </c>
      <c r="Y239" s="8">
        <v>117384</v>
      </c>
      <c r="AA239" s="8">
        <v>2585050</v>
      </c>
      <c r="AC239" s="8">
        <v>1075648</v>
      </c>
      <c r="AE239" s="8">
        <v>27496</v>
      </c>
      <c r="AG239" s="8">
        <v>788717</v>
      </c>
      <c r="AI239" s="8">
        <v>11500</v>
      </c>
      <c r="AJ239" s="13" t="s">
        <v>702</v>
      </c>
      <c r="AK239" s="13"/>
      <c r="AL239" s="13" t="s">
        <v>65</v>
      </c>
      <c r="AN239" s="8">
        <v>451909</v>
      </c>
      <c r="AP239" s="8">
        <v>12161670</v>
      </c>
      <c r="AR239" s="8">
        <v>0</v>
      </c>
      <c r="AT239" s="8">
        <v>703279</v>
      </c>
      <c r="AV239" s="8">
        <v>463732</v>
      </c>
      <c r="AX239" s="8">
        <v>0</v>
      </c>
      <c r="AZ239" s="9">
        <f t="shared" si="12"/>
        <v>30504457</v>
      </c>
      <c r="BB239" s="8">
        <v>264841</v>
      </c>
      <c r="BH239" s="8">
        <v>560021</v>
      </c>
      <c r="BJ239" s="9">
        <f t="shared" si="13"/>
        <v>31329319</v>
      </c>
      <c r="BL239" s="9">
        <f>'[1]Gov Fd Rv'!AU241-'[1]Gov Fnd Exp'!BJ241</f>
        <v>-12179357</v>
      </c>
      <c r="BN239" s="8">
        <v>14743622</v>
      </c>
      <c r="BP239" s="8">
        <v>0</v>
      </c>
      <c r="BR239" s="8">
        <v>0</v>
      </c>
      <c r="BT239" s="9">
        <f t="shared" si="14"/>
        <v>2564265</v>
      </c>
      <c r="BU239" s="9"/>
      <c r="BV239" s="9">
        <f>BT239-'[1]Gov Fd BS'!AA241</f>
        <v>0</v>
      </c>
    </row>
    <row r="240" spans="1:74">
      <c r="A240" s="13" t="s">
        <v>474</v>
      </c>
      <c r="B240" s="13"/>
      <c r="C240" s="13" t="s">
        <v>471</v>
      </c>
      <c r="D240" s="13"/>
      <c r="E240" s="32">
        <v>44149</v>
      </c>
      <c r="G240" s="8">
        <v>6309025</v>
      </c>
      <c r="I240" s="8">
        <v>2007731</v>
      </c>
      <c r="K240" s="8">
        <v>464325</v>
      </c>
      <c r="M240" s="8">
        <v>0</v>
      </c>
      <c r="O240" s="8">
        <v>910033</v>
      </c>
      <c r="Q240" s="8">
        <v>531032</v>
      </c>
      <c r="S240" s="8">
        <v>162338</v>
      </c>
      <c r="U240" s="8">
        <v>1198034</v>
      </c>
      <c r="W240" s="8">
        <v>506912</v>
      </c>
      <c r="Y240" s="8">
        <v>0</v>
      </c>
      <c r="AA240" s="8">
        <v>1574087</v>
      </c>
      <c r="AC240" s="8">
        <v>502441</v>
      </c>
      <c r="AE240" s="8">
        <v>105741</v>
      </c>
      <c r="AG240" s="8">
        <v>693744</v>
      </c>
      <c r="AI240" s="8">
        <v>124974</v>
      </c>
      <c r="AJ240" s="13" t="s">
        <v>474</v>
      </c>
      <c r="AK240" s="13"/>
      <c r="AL240" s="13" t="s">
        <v>471</v>
      </c>
      <c r="AN240" s="8">
        <v>565841</v>
      </c>
      <c r="AP240" s="8">
        <v>12303214</v>
      </c>
      <c r="AR240" s="8">
        <v>0</v>
      </c>
      <c r="AT240" s="8">
        <v>10105</v>
      </c>
      <c r="AV240" s="8">
        <v>766811</v>
      </c>
      <c r="AX240" s="8">
        <v>0</v>
      </c>
      <c r="AZ240" s="9">
        <f t="shared" si="12"/>
        <v>28736388</v>
      </c>
      <c r="BB240" s="8">
        <v>75871</v>
      </c>
      <c r="BH240" s="8">
        <v>0</v>
      </c>
      <c r="BJ240" s="9">
        <f t="shared" si="13"/>
        <v>28812259</v>
      </c>
      <c r="BL240" s="9">
        <f>'[1]Gov Fd Rv'!AU242-'[1]Gov Fnd Exp'!BJ242</f>
        <v>3543775</v>
      </c>
      <c r="BN240" s="8">
        <v>24041300</v>
      </c>
      <c r="BP240" s="8">
        <v>0</v>
      </c>
      <c r="BR240" s="8">
        <v>0</v>
      </c>
      <c r="BT240" s="9">
        <f t="shared" si="14"/>
        <v>27585075</v>
      </c>
      <c r="BU240" s="9"/>
      <c r="BV240" s="9">
        <f>BT240-'[1]Gov Fd BS'!AA242</f>
        <v>0</v>
      </c>
    </row>
    <row r="241" spans="1:74" hidden="1">
      <c r="A241" s="12" t="s">
        <v>942</v>
      </c>
      <c r="B241" s="13"/>
      <c r="C241" s="13" t="s">
        <v>61</v>
      </c>
      <c r="D241" s="13"/>
      <c r="E241" s="32">
        <v>49809</v>
      </c>
      <c r="G241" s="8">
        <v>0</v>
      </c>
      <c r="I241" s="8">
        <v>0</v>
      </c>
      <c r="K241" s="8">
        <v>0</v>
      </c>
      <c r="M241" s="8">
        <v>0</v>
      </c>
      <c r="O241" s="8">
        <v>0</v>
      </c>
      <c r="Q241" s="8">
        <v>0</v>
      </c>
      <c r="S241" s="8">
        <v>0</v>
      </c>
      <c r="U241" s="8">
        <v>0</v>
      </c>
      <c r="W241" s="8">
        <v>0</v>
      </c>
      <c r="Y241" s="8">
        <v>0</v>
      </c>
      <c r="AA241" s="8">
        <v>0</v>
      </c>
      <c r="AC241" s="8">
        <v>0</v>
      </c>
      <c r="AE241" s="8">
        <v>0</v>
      </c>
      <c r="AG241" s="8">
        <v>0</v>
      </c>
      <c r="AI241" s="8">
        <v>0</v>
      </c>
      <c r="AJ241" s="12" t="s">
        <v>942</v>
      </c>
      <c r="AK241" s="13"/>
      <c r="AL241" s="13" t="s">
        <v>61</v>
      </c>
      <c r="AN241" s="8">
        <v>0</v>
      </c>
      <c r="AP241" s="8">
        <v>0</v>
      </c>
      <c r="AR241" s="8">
        <v>0</v>
      </c>
      <c r="AT241" s="8">
        <v>0</v>
      </c>
      <c r="AV241" s="8">
        <v>0</v>
      </c>
      <c r="AX241" s="8">
        <v>0</v>
      </c>
      <c r="AZ241" s="9">
        <f t="shared" si="12"/>
        <v>0</v>
      </c>
      <c r="BB241" s="8">
        <v>0</v>
      </c>
      <c r="BH241" s="8">
        <v>0</v>
      </c>
      <c r="BJ241" s="9">
        <f t="shared" si="13"/>
        <v>0</v>
      </c>
      <c r="BL241" s="9">
        <f>'[1]Gov Fd Rv'!AU243-'[1]Gov Fnd Exp'!BJ243</f>
        <v>0</v>
      </c>
      <c r="BN241" s="8">
        <v>0</v>
      </c>
      <c r="BP241" s="8">
        <v>0</v>
      </c>
      <c r="BR241" s="8">
        <v>0</v>
      </c>
      <c r="BT241" s="9">
        <f t="shared" si="14"/>
        <v>0</v>
      </c>
      <c r="BU241" s="9"/>
      <c r="BV241" s="9">
        <f>BT241-'[1]Gov Fd BS'!AA243</f>
        <v>0</v>
      </c>
    </row>
    <row r="242" spans="1:74" hidden="1">
      <c r="A242" s="12" t="s">
        <v>943</v>
      </c>
      <c r="B242" s="13"/>
      <c r="C242" s="13" t="s">
        <v>38</v>
      </c>
      <c r="D242" s="13"/>
      <c r="E242" s="32"/>
      <c r="G242" s="8">
        <v>0</v>
      </c>
      <c r="I242" s="8">
        <v>0</v>
      </c>
      <c r="K242" s="8">
        <v>0</v>
      </c>
      <c r="M242" s="8">
        <v>0</v>
      </c>
      <c r="O242" s="8">
        <v>0</v>
      </c>
      <c r="Q242" s="8">
        <v>0</v>
      </c>
      <c r="S242" s="8">
        <v>0</v>
      </c>
      <c r="U242" s="8">
        <v>0</v>
      </c>
      <c r="W242" s="8">
        <v>0</v>
      </c>
      <c r="Y242" s="8">
        <v>0</v>
      </c>
      <c r="AA242" s="8">
        <v>0</v>
      </c>
      <c r="AC242" s="8">
        <v>0</v>
      </c>
      <c r="AE242" s="8">
        <v>0</v>
      </c>
      <c r="AG242" s="8">
        <v>0</v>
      </c>
      <c r="AI242" s="8">
        <v>0</v>
      </c>
      <c r="AJ242" s="12" t="s">
        <v>943</v>
      </c>
      <c r="AK242" s="13"/>
      <c r="AL242" s="13" t="s">
        <v>38</v>
      </c>
      <c r="AN242" s="8">
        <v>0</v>
      </c>
      <c r="AP242" s="8">
        <v>0</v>
      </c>
      <c r="AR242" s="8">
        <v>0</v>
      </c>
      <c r="AT242" s="8">
        <v>0</v>
      </c>
      <c r="AV242" s="8">
        <v>0</v>
      </c>
      <c r="AX242" s="8">
        <v>0</v>
      </c>
      <c r="AZ242" s="9">
        <f t="shared" si="12"/>
        <v>0</v>
      </c>
      <c r="BB242" s="8">
        <v>0</v>
      </c>
      <c r="BH242" s="8">
        <v>0</v>
      </c>
      <c r="BJ242" s="9">
        <f t="shared" si="13"/>
        <v>0</v>
      </c>
      <c r="BL242" s="9">
        <f>'[1]Gov Fd Rv'!AU244-'[1]Gov Fnd Exp'!BJ244</f>
        <v>0</v>
      </c>
      <c r="BN242" s="8">
        <v>0</v>
      </c>
      <c r="BP242" s="8">
        <v>0</v>
      </c>
      <c r="BR242" s="8">
        <v>0</v>
      </c>
      <c r="BT242" s="9">
        <f t="shared" si="14"/>
        <v>0</v>
      </c>
      <c r="BU242" s="9"/>
      <c r="BV242" s="9">
        <f>BT242-'[1]Gov Fd BS'!AA244</f>
        <v>0</v>
      </c>
    </row>
    <row r="243" spans="1:74">
      <c r="A243" s="13" t="s">
        <v>657</v>
      </c>
      <c r="B243" s="13"/>
      <c r="C243" s="13" t="s">
        <v>62</v>
      </c>
      <c r="D243" s="13"/>
      <c r="E243" s="32">
        <v>49858</v>
      </c>
      <c r="G243" s="8">
        <v>22331562</v>
      </c>
      <c r="I243" s="8">
        <v>3443669</v>
      </c>
      <c r="K243" s="8">
        <v>1156024</v>
      </c>
      <c r="M243" s="8">
        <f>86093+1303840</f>
        <v>1389933</v>
      </c>
      <c r="O243" s="8">
        <v>2841714</v>
      </c>
      <c r="Q243" s="8">
        <v>2370672</v>
      </c>
      <c r="S243" s="8">
        <v>18087</v>
      </c>
      <c r="U243" s="8">
        <v>3282050</v>
      </c>
      <c r="W243" s="8">
        <v>1034174</v>
      </c>
      <c r="Y243" s="8">
        <v>493289</v>
      </c>
      <c r="AA243" s="8">
        <v>5070576</v>
      </c>
      <c r="AC243" s="8">
        <v>2769898</v>
      </c>
      <c r="AE243" s="8">
        <v>1264028</v>
      </c>
      <c r="AG243" s="8">
        <v>1478842</v>
      </c>
      <c r="AI243" s="8">
        <v>3805</v>
      </c>
      <c r="AJ243" s="13" t="s">
        <v>657</v>
      </c>
      <c r="AK243" s="13"/>
      <c r="AL243" s="13" t="s">
        <v>62</v>
      </c>
      <c r="AN243" s="8">
        <v>1652577</v>
      </c>
      <c r="AP243" s="8">
        <v>491207</v>
      </c>
      <c r="AR243" s="8">
        <v>46718</v>
      </c>
      <c r="AT243" s="8">
        <v>4342206</v>
      </c>
      <c r="AV243" s="8">
        <v>2869720</v>
      </c>
      <c r="AX243" s="8">
        <v>6845699</v>
      </c>
      <c r="AZ243" s="9">
        <f t="shared" si="12"/>
        <v>65196450</v>
      </c>
      <c r="BB243" s="8">
        <v>0</v>
      </c>
      <c r="BH243" s="8">
        <v>0</v>
      </c>
      <c r="BJ243" s="9">
        <f t="shared" si="13"/>
        <v>65196450</v>
      </c>
      <c r="BL243" s="9">
        <f>'[1]Gov Fd Rv'!AU245-'[1]Gov Fnd Exp'!BJ245</f>
        <v>-3899505</v>
      </c>
      <c r="BN243" s="8">
        <v>13592788</v>
      </c>
      <c r="BP243" s="8">
        <v>-55256</v>
      </c>
      <c r="BR243" s="8">
        <v>0</v>
      </c>
      <c r="BT243" s="9">
        <f t="shared" si="14"/>
        <v>9638027</v>
      </c>
      <c r="BU243" s="9"/>
      <c r="BV243" s="9">
        <f>BT243-'[1]Gov Fd BS'!AA245</f>
        <v>0</v>
      </c>
    </row>
    <row r="244" spans="1:74">
      <c r="A244" s="13" t="s">
        <v>518</v>
      </c>
      <c r="B244" s="13"/>
      <c r="C244" s="13" t="s">
        <v>45</v>
      </c>
      <c r="D244" s="13"/>
      <c r="E244" s="32">
        <v>48322</v>
      </c>
      <c r="G244" s="8">
        <v>4091664</v>
      </c>
      <c r="I244" s="8">
        <v>978652</v>
      </c>
      <c r="K244" s="8">
        <v>84118</v>
      </c>
      <c r="M244" s="8">
        <v>58333</v>
      </c>
      <c r="O244" s="8">
        <v>289495</v>
      </c>
      <c r="Q244" s="8">
        <v>227938</v>
      </c>
      <c r="S244" s="8">
        <v>54086</v>
      </c>
      <c r="U244" s="8">
        <v>711743</v>
      </c>
      <c r="W244" s="8">
        <v>450465</v>
      </c>
      <c r="Y244" s="8">
        <v>0</v>
      </c>
      <c r="AA244" s="8">
        <v>761864</v>
      </c>
      <c r="AC244" s="8">
        <v>727591</v>
      </c>
      <c r="AE244" s="8">
        <v>0</v>
      </c>
      <c r="AG244" s="8">
        <v>276922</v>
      </c>
      <c r="AI244" s="8">
        <v>3166</v>
      </c>
      <c r="AJ244" s="13" t="s">
        <v>518</v>
      </c>
      <c r="AK244" s="13"/>
      <c r="AL244" s="13" t="s">
        <v>45</v>
      </c>
      <c r="AN244" s="8">
        <v>393737</v>
      </c>
      <c r="AP244" s="8">
        <v>2903539</v>
      </c>
      <c r="AR244" s="8">
        <v>0</v>
      </c>
      <c r="AT244" s="8">
        <v>95000</v>
      </c>
      <c r="AV244" s="8">
        <v>681706</v>
      </c>
      <c r="AX244" s="8">
        <v>0</v>
      </c>
      <c r="AZ244" s="9">
        <f t="shared" si="12"/>
        <v>12790019</v>
      </c>
      <c r="BB244" s="8">
        <v>70036</v>
      </c>
      <c r="BH244" s="8">
        <v>0</v>
      </c>
      <c r="BJ244" s="9">
        <f t="shared" si="13"/>
        <v>12860055</v>
      </c>
      <c r="BL244" s="9">
        <f>'[1]Gov Fd Rv'!AU246-'[1]Gov Fnd Exp'!BJ246</f>
        <v>-1641996</v>
      </c>
      <c r="BN244" s="8">
        <v>16865248</v>
      </c>
      <c r="BP244" s="8">
        <v>0</v>
      </c>
      <c r="BR244" s="8">
        <v>0</v>
      </c>
      <c r="BT244" s="9">
        <f t="shared" si="14"/>
        <v>15223252</v>
      </c>
      <c r="BU244" s="9"/>
      <c r="BV244" s="9">
        <f>BT244-'[1]Gov Fd BS'!AA246</f>
        <v>0</v>
      </c>
    </row>
    <row r="245" spans="1:74">
      <c r="A245" s="13" t="s">
        <v>598</v>
      </c>
      <c r="B245" s="13"/>
      <c r="C245" s="13" t="s">
        <v>56</v>
      </c>
      <c r="D245" s="13"/>
      <c r="E245" s="32">
        <v>49205</v>
      </c>
      <c r="G245" s="8">
        <v>5982832</v>
      </c>
      <c r="I245" s="8">
        <v>1337716</v>
      </c>
      <c r="K245" s="8">
        <v>0</v>
      </c>
      <c r="M245" s="8">
        <v>24181</v>
      </c>
      <c r="O245" s="8">
        <v>593119</v>
      </c>
      <c r="Q245" s="8">
        <v>442592</v>
      </c>
      <c r="S245" s="8">
        <v>36586</v>
      </c>
      <c r="U245" s="8">
        <v>1007334</v>
      </c>
      <c r="W245" s="8">
        <v>294119</v>
      </c>
      <c r="Y245" s="8">
        <v>0</v>
      </c>
      <c r="AA245" s="8">
        <v>1327845</v>
      </c>
      <c r="AC245" s="8">
        <v>954292</v>
      </c>
      <c r="AE245" s="8">
        <v>140365</v>
      </c>
      <c r="AG245" s="8">
        <v>557989</v>
      </c>
      <c r="AI245" s="8">
        <v>0</v>
      </c>
      <c r="AJ245" s="13" t="s">
        <v>598</v>
      </c>
      <c r="AK245" s="13"/>
      <c r="AL245" s="13" t="s">
        <v>56</v>
      </c>
      <c r="AN245" s="8">
        <v>493080</v>
      </c>
      <c r="AP245" s="8">
        <v>0</v>
      </c>
      <c r="AR245" s="8">
        <v>0</v>
      </c>
      <c r="AT245" s="8">
        <v>184424</v>
      </c>
      <c r="AV245" s="8">
        <v>366950</v>
      </c>
      <c r="AX245" s="8">
        <v>0</v>
      </c>
      <c r="AZ245" s="9">
        <f t="shared" si="12"/>
        <v>13743424</v>
      </c>
      <c r="BB245" s="8">
        <v>0</v>
      </c>
      <c r="BH245" s="8">
        <v>0</v>
      </c>
      <c r="BJ245" s="9">
        <f t="shared" si="13"/>
        <v>13743424</v>
      </c>
      <c r="BL245" s="9">
        <f>'[1]Gov Fd Rv'!AU247-'[1]Gov Fnd Exp'!BJ247</f>
        <v>-32773</v>
      </c>
      <c r="BN245" s="8">
        <v>1168594</v>
      </c>
      <c r="BP245" s="8">
        <v>0</v>
      </c>
      <c r="BR245" s="8">
        <v>0</v>
      </c>
      <c r="BT245" s="9">
        <f t="shared" si="14"/>
        <v>1135821</v>
      </c>
      <c r="BU245" s="9"/>
      <c r="BV245" s="9">
        <f>BT245-'[1]Gov Fd BS'!AA247</f>
        <v>0</v>
      </c>
    </row>
    <row r="246" spans="1:74">
      <c r="A246" s="13" t="s">
        <v>223</v>
      </c>
      <c r="B246" s="13"/>
      <c r="C246" s="13" t="s">
        <v>12</v>
      </c>
      <c r="D246" s="13"/>
      <c r="E246" s="32">
        <v>45872</v>
      </c>
      <c r="G246" s="8">
        <v>7686069</v>
      </c>
      <c r="I246" s="8">
        <v>1148460</v>
      </c>
      <c r="K246" s="8">
        <v>134631</v>
      </c>
      <c r="M246" s="8">
        <v>0</v>
      </c>
      <c r="O246" s="8">
        <v>1359572</v>
      </c>
      <c r="Q246" s="8">
        <v>141205</v>
      </c>
      <c r="S246" s="8">
        <v>14535</v>
      </c>
      <c r="U246" s="8">
        <v>1027235</v>
      </c>
      <c r="W246" s="8">
        <v>495696</v>
      </c>
      <c r="Y246" s="8">
        <v>12409</v>
      </c>
      <c r="AA246" s="8">
        <v>1394848</v>
      </c>
      <c r="AC246" s="8">
        <v>1140368</v>
      </c>
      <c r="AE246" s="8">
        <v>105791</v>
      </c>
      <c r="AG246" s="8">
        <v>677422</v>
      </c>
      <c r="AI246" s="8">
        <v>119487</v>
      </c>
      <c r="AJ246" s="13" t="s">
        <v>223</v>
      </c>
      <c r="AK246" s="13"/>
      <c r="AL246" s="13" t="s">
        <v>12</v>
      </c>
      <c r="AN246" s="8">
        <v>418637</v>
      </c>
      <c r="AP246" s="8">
        <v>923200</v>
      </c>
      <c r="AR246" s="8">
        <v>0</v>
      </c>
      <c r="AT246" s="8">
        <v>51276</v>
      </c>
      <c r="AV246" s="8">
        <v>771369</v>
      </c>
      <c r="AX246" s="8">
        <v>234125</v>
      </c>
      <c r="AZ246" s="9">
        <f t="shared" si="12"/>
        <v>17856335</v>
      </c>
      <c r="BB246" s="8">
        <v>14845777</v>
      </c>
      <c r="BH246" s="8">
        <v>0</v>
      </c>
      <c r="BJ246" s="9">
        <f t="shared" si="13"/>
        <v>32702112</v>
      </c>
      <c r="BL246" s="9">
        <f>'[1]Gov Fd Rv'!AU248-'[1]Gov Fnd Exp'!BJ248</f>
        <v>26832985</v>
      </c>
      <c r="BN246" s="8">
        <v>3258816</v>
      </c>
      <c r="BP246" s="8">
        <v>0</v>
      </c>
      <c r="BR246" s="8">
        <v>0</v>
      </c>
      <c r="BT246" s="9">
        <f t="shared" si="14"/>
        <v>30091801</v>
      </c>
      <c r="BU246" s="9"/>
      <c r="BV246" s="9">
        <f>BT246-'[1]Gov Fd BS'!AA248-1</f>
        <v>0</v>
      </c>
    </row>
    <row r="247" spans="1:74">
      <c r="A247" s="13" t="s">
        <v>510</v>
      </c>
      <c r="B247" s="13"/>
      <c r="C247" s="13" t="s">
        <v>511</v>
      </c>
      <c r="D247" s="13"/>
      <c r="E247" s="32">
        <v>48256</v>
      </c>
      <c r="G247" s="8">
        <v>4756957</v>
      </c>
      <c r="I247" s="8">
        <v>1441644</v>
      </c>
      <c r="K247" s="8">
        <v>0</v>
      </c>
      <c r="M247" s="8">
        <v>23528</v>
      </c>
      <c r="O247" s="8">
        <v>476188</v>
      </c>
      <c r="Q247" s="8">
        <v>558143</v>
      </c>
      <c r="S247" s="8">
        <v>106348</v>
      </c>
      <c r="U247" s="8">
        <v>712235</v>
      </c>
      <c r="W247" s="8">
        <v>437932</v>
      </c>
      <c r="Y247" s="8">
        <v>81386</v>
      </c>
      <c r="AA247" s="8">
        <v>1268953</v>
      </c>
      <c r="AC247" s="8">
        <v>547020</v>
      </c>
      <c r="AE247" s="8">
        <v>320637</v>
      </c>
      <c r="AG247" s="8">
        <v>585470</v>
      </c>
      <c r="AI247" s="8">
        <v>0</v>
      </c>
      <c r="AJ247" s="13" t="s">
        <v>510</v>
      </c>
      <c r="AK247" s="13"/>
      <c r="AL247" s="13" t="s">
        <v>511</v>
      </c>
      <c r="AN247" s="8">
        <v>584590</v>
      </c>
      <c r="AP247" s="8">
        <v>812439</v>
      </c>
      <c r="AR247" s="8">
        <v>0</v>
      </c>
      <c r="AT247" s="8">
        <v>2358736</v>
      </c>
      <c r="AV247" s="8">
        <v>678604</v>
      </c>
      <c r="AX247" s="8">
        <v>0</v>
      </c>
      <c r="AZ247" s="9">
        <f t="shared" si="12"/>
        <v>15750810</v>
      </c>
      <c r="BB247" s="8">
        <v>514964</v>
      </c>
      <c r="BH247" s="8">
        <v>0</v>
      </c>
      <c r="BJ247" s="9">
        <f t="shared" si="13"/>
        <v>16265774</v>
      </c>
      <c r="BL247" s="9">
        <f>'[1]Gov Fd Rv'!AU249-'[1]Gov Fnd Exp'!BJ249</f>
        <v>75428</v>
      </c>
      <c r="BN247" s="8">
        <v>9819106</v>
      </c>
      <c r="BP247" s="8">
        <v>0</v>
      </c>
      <c r="BR247" s="8">
        <v>0</v>
      </c>
      <c r="BT247" s="9">
        <f t="shared" si="14"/>
        <v>9894534</v>
      </c>
      <c r="BU247" s="9"/>
      <c r="BV247" s="9">
        <f>BT247-'[1]Gov Fd BS'!AA249</f>
        <v>0</v>
      </c>
    </row>
    <row r="248" spans="1:74">
      <c r="A248" s="13" t="s">
        <v>556</v>
      </c>
      <c r="B248" s="13"/>
      <c r="C248" s="13" t="s">
        <v>50</v>
      </c>
      <c r="D248" s="13"/>
      <c r="E248" s="32">
        <v>48686</v>
      </c>
      <c r="G248" s="8">
        <v>2326218</v>
      </c>
      <c r="I248" s="8">
        <v>993598</v>
      </c>
      <c r="K248" s="8">
        <v>39577</v>
      </c>
      <c r="M248" s="8">
        <v>1531981</v>
      </c>
      <c r="O248" s="8">
        <v>287878</v>
      </c>
      <c r="Q248" s="8">
        <v>238235</v>
      </c>
      <c r="S248" s="8">
        <v>44483</v>
      </c>
      <c r="U248" s="8">
        <v>724528</v>
      </c>
      <c r="W248" s="8">
        <v>1274454</v>
      </c>
      <c r="Y248" s="8">
        <v>0</v>
      </c>
      <c r="AA248" s="8">
        <v>875378</v>
      </c>
      <c r="AC248" s="8">
        <v>618582</v>
      </c>
      <c r="AE248" s="8">
        <v>109303</v>
      </c>
      <c r="AG248" s="8">
        <v>0</v>
      </c>
      <c r="AI248" s="8">
        <v>414769</v>
      </c>
      <c r="AJ248" s="13" t="s">
        <v>556</v>
      </c>
      <c r="AK248" s="13"/>
      <c r="AL248" s="13" t="s">
        <v>50</v>
      </c>
      <c r="AN248" s="8">
        <v>126451</v>
      </c>
      <c r="AP248" s="8">
        <v>6009</v>
      </c>
      <c r="AR248" s="8">
        <v>0</v>
      </c>
      <c r="AT248" s="8">
        <v>46867</v>
      </c>
      <c r="AV248" s="8">
        <v>104581</v>
      </c>
      <c r="AX248" s="8">
        <v>0</v>
      </c>
      <c r="AZ248" s="9">
        <f t="shared" si="12"/>
        <v>9762892</v>
      </c>
      <c r="BB248" s="8">
        <v>52339</v>
      </c>
      <c r="BH248" s="8">
        <v>0</v>
      </c>
      <c r="BJ248" s="9">
        <f t="shared" si="13"/>
        <v>9815231</v>
      </c>
      <c r="BL248" s="9">
        <f>'[1]Gov Fd Rv'!AU250-'[1]Gov Fnd Exp'!BJ250</f>
        <v>-169596</v>
      </c>
      <c r="BN248" s="8">
        <v>-110869</v>
      </c>
      <c r="BP248" s="8">
        <v>2040</v>
      </c>
      <c r="BR248" s="8">
        <v>0</v>
      </c>
      <c r="BT248" s="9">
        <f t="shared" si="14"/>
        <v>-278425</v>
      </c>
      <c r="BU248" s="9"/>
      <c r="BV248" s="9">
        <f>BT248-'[1]Gov Fd BS'!AA250</f>
        <v>0</v>
      </c>
    </row>
    <row r="249" spans="1:74">
      <c r="A249" s="13" t="s">
        <v>480</v>
      </c>
      <c r="B249" s="13"/>
      <c r="C249" s="13" t="s">
        <v>42</v>
      </c>
      <c r="D249" s="13"/>
      <c r="E249" s="32">
        <v>47985</v>
      </c>
      <c r="G249" s="8">
        <v>6109658</v>
      </c>
      <c r="I249" s="8">
        <v>1144824</v>
      </c>
      <c r="K249" s="8">
        <v>205985</v>
      </c>
      <c r="M249" s="8">
        <v>209356</v>
      </c>
      <c r="O249" s="8">
        <v>597080</v>
      </c>
      <c r="Q249" s="8">
        <v>549120</v>
      </c>
      <c r="S249" s="8">
        <v>54256</v>
      </c>
      <c r="U249" s="8">
        <v>1001851</v>
      </c>
      <c r="W249" s="8">
        <v>371088</v>
      </c>
      <c r="Y249" s="8">
        <v>0</v>
      </c>
      <c r="AA249" s="8">
        <v>1182650</v>
      </c>
      <c r="AC249" s="8">
        <v>747606</v>
      </c>
      <c r="AE249" s="8">
        <v>72696</v>
      </c>
      <c r="AG249" s="8">
        <v>466229</v>
      </c>
      <c r="AI249" s="8">
        <v>0</v>
      </c>
      <c r="AJ249" s="13" t="s">
        <v>480</v>
      </c>
      <c r="AK249" s="13"/>
      <c r="AL249" s="13" t="s">
        <v>42</v>
      </c>
      <c r="AN249" s="8">
        <v>499489</v>
      </c>
      <c r="AP249" s="8">
        <v>0</v>
      </c>
      <c r="AR249" s="8">
        <v>0</v>
      </c>
      <c r="AT249" s="8">
        <v>127429</v>
      </c>
      <c r="AV249" s="8">
        <v>32203</v>
      </c>
      <c r="AX249" s="8">
        <v>0</v>
      </c>
      <c r="AZ249" s="9">
        <f t="shared" si="12"/>
        <v>13371520</v>
      </c>
      <c r="BB249" s="8">
        <v>124160</v>
      </c>
      <c r="BH249" s="8">
        <v>0</v>
      </c>
      <c r="BJ249" s="9">
        <f t="shared" si="13"/>
        <v>13495680</v>
      </c>
      <c r="BL249" s="9">
        <f>'Gov Fd Rv'!AU249-'Gov Fnd Exp'!BJ249</f>
        <v>480404</v>
      </c>
      <c r="BN249" s="8">
        <v>3419245</v>
      </c>
      <c r="BP249" s="8">
        <v>0</v>
      </c>
      <c r="BR249" s="8">
        <v>0</v>
      </c>
      <c r="BT249" s="9">
        <f t="shared" si="14"/>
        <v>3899649</v>
      </c>
      <c r="BU249" s="9"/>
      <c r="BV249" s="9">
        <f>BT249-'Gov Fd BS'!AA249</f>
        <v>0</v>
      </c>
    </row>
    <row r="250" spans="1:74">
      <c r="A250" s="13" t="s">
        <v>512</v>
      </c>
      <c r="B250" s="13"/>
      <c r="C250" s="13" t="s">
        <v>511</v>
      </c>
      <c r="D250" s="13"/>
      <c r="E250" s="32">
        <v>48264</v>
      </c>
      <c r="G250" s="8">
        <v>7282020</v>
      </c>
      <c r="I250" s="8">
        <v>1207032</v>
      </c>
      <c r="K250" s="8">
        <v>139988</v>
      </c>
      <c r="M250" s="8">
        <v>19933</v>
      </c>
      <c r="O250" s="8">
        <v>1043022</v>
      </c>
      <c r="Q250" s="8">
        <v>708800</v>
      </c>
      <c r="S250" s="8">
        <v>130123</v>
      </c>
      <c r="U250" s="8">
        <v>1393900</v>
      </c>
      <c r="W250" s="8">
        <v>449711</v>
      </c>
      <c r="Y250" s="8">
        <v>11090</v>
      </c>
      <c r="AA250" s="8">
        <v>1687008</v>
      </c>
      <c r="AC250" s="8">
        <v>1184030</v>
      </c>
      <c r="AE250" s="8">
        <v>0</v>
      </c>
      <c r="AG250" s="8">
        <v>642984</v>
      </c>
      <c r="AI250" s="8">
        <v>0</v>
      </c>
      <c r="AJ250" s="13" t="s">
        <v>512</v>
      </c>
      <c r="AK250" s="13"/>
      <c r="AL250" s="13" t="s">
        <v>511</v>
      </c>
      <c r="AN250" s="8">
        <v>542229</v>
      </c>
      <c r="AP250" s="8">
        <v>613036</v>
      </c>
      <c r="AR250" s="8">
        <v>0</v>
      </c>
      <c r="AT250" s="8">
        <v>590897</v>
      </c>
      <c r="AV250" s="8">
        <v>806727</v>
      </c>
      <c r="AX250" s="8">
        <v>158025</v>
      </c>
      <c r="AZ250" s="9">
        <f t="shared" si="12"/>
        <v>18610555</v>
      </c>
      <c r="BB250" s="8">
        <v>159628</v>
      </c>
      <c r="BH250" s="8">
        <v>9916479</v>
      </c>
      <c r="BJ250" s="9">
        <f t="shared" si="13"/>
        <v>28686662</v>
      </c>
      <c r="BL250" s="9">
        <f>'Gov Fd Rv'!AU250-'Gov Fnd Exp'!BJ250</f>
        <v>1661165</v>
      </c>
      <c r="BN250" s="8">
        <v>3315909</v>
      </c>
      <c r="BP250" s="8">
        <v>0</v>
      </c>
      <c r="BR250" s="8">
        <v>0</v>
      </c>
      <c r="BT250" s="9">
        <f t="shared" si="14"/>
        <v>4977074</v>
      </c>
      <c r="BU250" s="9"/>
      <c r="BV250" s="9">
        <f>BT250-'Gov Fd BS'!AA250</f>
        <v>0</v>
      </c>
    </row>
    <row r="251" spans="1:74">
      <c r="A251" s="13" t="s">
        <v>687</v>
      </c>
      <c r="B251" s="13"/>
      <c r="C251" s="13" t="s">
        <v>64</v>
      </c>
      <c r="D251" s="13"/>
      <c r="E251" s="32">
        <v>50179</v>
      </c>
      <c r="G251" s="8">
        <v>3831969</v>
      </c>
      <c r="I251" s="8">
        <v>612573</v>
      </c>
      <c r="K251" s="8">
        <v>83310</v>
      </c>
      <c r="M251" s="8">
        <v>0</v>
      </c>
      <c r="O251" s="8">
        <v>353452</v>
      </c>
      <c r="Q251" s="8">
        <v>132830</v>
      </c>
      <c r="S251" s="8">
        <v>56231</v>
      </c>
      <c r="U251" s="8">
        <v>712641</v>
      </c>
      <c r="W251" s="8">
        <v>310974</v>
      </c>
      <c r="Y251" s="8">
        <v>0</v>
      </c>
      <c r="AA251" s="8">
        <v>726169</v>
      </c>
      <c r="AC251" s="8">
        <v>809254</v>
      </c>
      <c r="AE251" s="8">
        <v>102936</v>
      </c>
      <c r="AG251" s="8">
        <v>0</v>
      </c>
      <c r="AI251" s="8">
        <v>434596</v>
      </c>
      <c r="AJ251" s="13" t="s">
        <v>687</v>
      </c>
      <c r="AK251" s="13"/>
      <c r="AL251" s="13" t="s">
        <v>64</v>
      </c>
      <c r="AN251" s="8">
        <v>228296</v>
      </c>
      <c r="AP251" s="8">
        <v>657381</v>
      </c>
      <c r="AR251" s="8">
        <v>0</v>
      </c>
      <c r="AT251" s="8">
        <v>305875</v>
      </c>
      <c r="AV251" s="8">
        <v>340253</v>
      </c>
      <c r="AX251" s="8">
        <v>0</v>
      </c>
      <c r="AZ251" s="9">
        <f t="shared" si="12"/>
        <v>9698740</v>
      </c>
      <c r="BB251" s="8">
        <v>1250497</v>
      </c>
      <c r="BH251" s="8">
        <v>0</v>
      </c>
      <c r="BJ251" s="9">
        <f t="shared" si="13"/>
        <v>10949237</v>
      </c>
      <c r="BL251" s="9">
        <f>'Gov Fd Rv'!AU251-'Gov Fnd Exp'!BJ251</f>
        <v>-162754</v>
      </c>
      <c r="BN251" s="8">
        <v>2908387</v>
      </c>
      <c r="BP251" s="8">
        <v>0</v>
      </c>
      <c r="BR251" s="8">
        <v>0</v>
      </c>
      <c r="BT251" s="9">
        <f t="shared" si="14"/>
        <v>2745633</v>
      </c>
      <c r="BU251" s="9"/>
      <c r="BV251" s="9">
        <f>BT251-'Gov Fd BS'!AA251</f>
        <v>0</v>
      </c>
    </row>
    <row r="252" spans="1:74">
      <c r="A252" s="13" t="s">
        <v>342</v>
      </c>
      <c r="B252" s="13"/>
      <c r="C252" s="13" t="s">
        <v>24</v>
      </c>
      <c r="D252" s="13"/>
      <c r="E252" s="32">
        <v>46797</v>
      </c>
      <c r="G252" s="8">
        <v>498901</v>
      </c>
      <c r="I252" s="8">
        <v>39430</v>
      </c>
      <c r="K252" s="8">
        <v>0</v>
      </c>
      <c r="M252" s="8">
        <v>0</v>
      </c>
      <c r="O252" s="8">
        <v>43476</v>
      </c>
      <c r="Q252" s="8">
        <v>93257</v>
      </c>
      <c r="S252" s="8">
        <v>29291</v>
      </c>
      <c r="U252" s="8">
        <v>104902</v>
      </c>
      <c r="W252" s="8">
        <v>44189</v>
      </c>
      <c r="Y252" s="8">
        <v>5098</v>
      </c>
      <c r="AA252" s="8">
        <v>127247</v>
      </c>
      <c r="AC252" s="8">
        <v>0</v>
      </c>
      <c r="AE252" s="8">
        <v>0</v>
      </c>
      <c r="AG252" s="8">
        <v>0</v>
      </c>
      <c r="AI252" s="8">
        <v>0</v>
      </c>
      <c r="AJ252" s="13" t="s">
        <v>342</v>
      </c>
      <c r="AK252" s="13"/>
      <c r="AL252" s="13" t="s">
        <v>24</v>
      </c>
      <c r="AN252" s="8">
        <v>626</v>
      </c>
      <c r="AP252" s="8">
        <v>112535</v>
      </c>
      <c r="AR252" s="8">
        <v>0</v>
      </c>
      <c r="AT252" s="8">
        <v>115000</v>
      </c>
      <c r="AV252" s="8">
        <v>14012</v>
      </c>
      <c r="AX252" s="8">
        <v>0</v>
      </c>
      <c r="AZ252" s="9">
        <f t="shared" si="12"/>
        <v>1227964</v>
      </c>
      <c r="BB252" s="8">
        <v>0</v>
      </c>
      <c r="BH252" s="8">
        <v>0</v>
      </c>
      <c r="BJ252" s="9">
        <f t="shared" si="13"/>
        <v>1227964</v>
      </c>
      <c r="BL252" s="9">
        <f>'Gov Fd Rv'!AU252-'Gov Fnd Exp'!BJ252</f>
        <v>-37370</v>
      </c>
      <c r="BN252" s="8">
        <v>478712</v>
      </c>
      <c r="BP252" s="8">
        <v>0</v>
      </c>
      <c r="BR252" s="8">
        <v>0</v>
      </c>
      <c r="BT252" s="9">
        <f t="shared" si="14"/>
        <v>441342</v>
      </c>
      <c r="BU252" s="9"/>
      <c r="BV252" s="9">
        <f>BT252-'Gov Fd BS'!AA252</f>
        <v>0</v>
      </c>
    </row>
    <row r="253" spans="1:74">
      <c r="A253" s="13" t="s">
        <v>384</v>
      </c>
      <c r="B253" s="13"/>
      <c r="C253" s="13" t="s">
        <v>30</v>
      </c>
      <c r="D253" s="13"/>
      <c r="E253" s="32">
        <v>47191</v>
      </c>
      <c r="G253" s="8">
        <v>14432049</v>
      </c>
      <c r="I253" s="8">
        <v>3637612</v>
      </c>
      <c r="K253" s="8">
        <v>145083</v>
      </c>
      <c r="M253" s="8">
        <v>506053</v>
      </c>
      <c r="O253" s="8">
        <v>2654830</v>
      </c>
      <c r="Q253" s="8">
        <v>1140026</v>
      </c>
      <c r="S253" s="8">
        <v>50567</v>
      </c>
      <c r="U253" s="8">
        <v>2871343</v>
      </c>
      <c r="W253" s="8">
        <v>1067841</v>
      </c>
      <c r="Y253" s="8">
        <v>44496</v>
      </c>
      <c r="AA253" s="8">
        <v>4004541</v>
      </c>
      <c r="AC253" s="8">
        <v>2754177</v>
      </c>
      <c r="AE253" s="8">
        <v>7958</v>
      </c>
      <c r="AG253" s="8">
        <v>0</v>
      </c>
      <c r="AI253" s="8">
        <f>111957+16797</f>
        <v>128754</v>
      </c>
      <c r="AJ253" s="13" t="s">
        <v>384</v>
      </c>
      <c r="AK253" s="13"/>
      <c r="AL253" s="13" t="s">
        <v>30</v>
      </c>
      <c r="AN253" s="8">
        <v>1371274</v>
      </c>
      <c r="AP253" s="8">
        <v>827136</v>
      </c>
      <c r="AR253" s="8">
        <v>0</v>
      </c>
      <c r="AT253" s="8">
        <v>1253500</v>
      </c>
      <c r="AV253" s="8">
        <v>2193767</v>
      </c>
      <c r="AX253" s="8">
        <v>0</v>
      </c>
      <c r="AZ253" s="9">
        <f t="shared" si="12"/>
        <v>39091007</v>
      </c>
      <c r="BB253" s="8">
        <v>116585</v>
      </c>
      <c r="BH253" s="8">
        <v>0</v>
      </c>
      <c r="BJ253" s="9">
        <f t="shared" si="13"/>
        <v>39207592</v>
      </c>
      <c r="BL253" s="9">
        <f>'Gov Fd Rv'!AU253-'Gov Fnd Exp'!BJ253</f>
        <v>-39081</v>
      </c>
      <c r="BN253" s="8">
        <v>13697451</v>
      </c>
      <c r="BP253" s="8">
        <v>0</v>
      </c>
      <c r="BR253" s="8">
        <v>0</v>
      </c>
      <c r="BT253" s="9">
        <f t="shared" si="14"/>
        <v>13658370</v>
      </c>
      <c r="BU253" s="9"/>
      <c r="BV253" s="9">
        <f>BT253-'Gov Fd BS'!AA253</f>
        <v>0</v>
      </c>
    </row>
    <row r="254" spans="1:74">
      <c r="A254" s="13" t="s">
        <v>599</v>
      </c>
      <c r="B254" s="13"/>
      <c r="C254" s="13" t="s">
        <v>56</v>
      </c>
      <c r="D254" s="13"/>
      <c r="E254" s="32">
        <v>44164</v>
      </c>
      <c r="G254" s="8">
        <v>17880017</v>
      </c>
      <c r="I254" s="8">
        <v>4141452</v>
      </c>
      <c r="K254" s="8">
        <v>2086021</v>
      </c>
      <c r="M254" s="8">
        <f>113421+1085926</f>
        <v>1199347</v>
      </c>
      <c r="O254" s="8">
        <v>2379852</v>
      </c>
      <c r="Q254" s="8">
        <v>2915983</v>
      </c>
      <c r="S254" s="8">
        <v>193924</v>
      </c>
      <c r="U254" s="8">
        <v>3311145</v>
      </c>
      <c r="W254" s="8">
        <v>946490</v>
      </c>
      <c r="Y254" s="8">
        <v>338490</v>
      </c>
      <c r="AA254" s="8">
        <v>3791445</v>
      </c>
      <c r="AC254" s="8">
        <v>1419827</v>
      </c>
      <c r="AE254" s="8">
        <v>385351</v>
      </c>
      <c r="AG254" s="8">
        <v>1344637</v>
      </c>
      <c r="AI254" s="8">
        <v>483485</v>
      </c>
      <c r="AJ254" s="13" t="s">
        <v>599</v>
      </c>
      <c r="AK254" s="13"/>
      <c r="AL254" s="13" t="s">
        <v>56</v>
      </c>
      <c r="AN254" s="8">
        <v>1101369</v>
      </c>
      <c r="AP254" s="8">
        <v>333089</v>
      </c>
      <c r="AR254" s="8">
        <v>10094</v>
      </c>
      <c r="AT254" s="8">
        <v>2116067</v>
      </c>
      <c r="AV254" s="8">
        <v>759442</v>
      </c>
      <c r="AX254" s="8">
        <v>60650</v>
      </c>
      <c r="AZ254" s="9">
        <f t="shared" si="12"/>
        <v>47198177</v>
      </c>
      <c r="BB254" s="8">
        <v>628365</v>
      </c>
      <c r="BH254" s="8">
        <v>2193876</v>
      </c>
      <c r="BJ254" s="9">
        <f t="shared" si="13"/>
        <v>50020418</v>
      </c>
      <c r="BL254" s="9">
        <f>'Gov Fd Rv'!AU254-'Gov Fnd Exp'!BJ254</f>
        <v>1696854</v>
      </c>
      <c r="BN254" s="8">
        <v>10381107</v>
      </c>
      <c r="BP254" s="8">
        <v>0</v>
      </c>
      <c r="BR254" s="8">
        <v>0</v>
      </c>
      <c r="BT254" s="9">
        <f t="shared" si="14"/>
        <v>12077961</v>
      </c>
      <c r="BU254" s="9"/>
      <c r="BV254" s="9">
        <f>BT254-'Gov Fd BS'!AA254</f>
        <v>0</v>
      </c>
    </row>
    <row r="255" spans="1:74">
      <c r="A255" s="13" t="s">
        <v>428</v>
      </c>
      <c r="B255" s="13"/>
      <c r="C255" s="13" t="s">
        <v>426</v>
      </c>
      <c r="D255" s="13"/>
      <c r="E255" s="32">
        <v>44172</v>
      </c>
      <c r="G255" s="8">
        <v>9351581</v>
      </c>
      <c r="I255" s="8">
        <v>2382120</v>
      </c>
      <c r="K255" s="8">
        <v>269652</v>
      </c>
      <c r="M255" s="8">
        <v>0</v>
      </c>
      <c r="O255" s="8">
        <v>552744</v>
      </c>
      <c r="Q255" s="8">
        <v>732646</v>
      </c>
      <c r="S255" s="8">
        <v>48986</v>
      </c>
      <c r="U255" s="8">
        <v>1702462</v>
      </c>
      <c r="W255" s="8">
        <v>457516</v>
      </c>
      <c r="Y255" s="8">
        <v>0</v>
      </c>
      <c r="AA255" s="8">
        <v>1729282</v>
      </c>
      <c r="AC255" s="8">
        <v>676150</v>
      </c>
      <c r="AE255" s="8">
        <v>35077</v>
      </c>
      <c r="AG255" s="8">
        <v>0</v>
      </c>
      <c r="AI255" s="8">
        <v>874056</v>
      </c>
      <c r="AJ255" s="13" t="s">
        <v>428</v>
      </c>
      <c r="AK255" s="13"/>
      <c r="AL255" s="13" t="s">
        <v>426</v>
      </c>
      <c r="AN255" s="8">
        <v>218297</v>
      </c>
      <c r="AP255" s="8">
        <v>0</v>
      </c>
      <c r="AR255" s="8">
        <v>0</v>
      </c>
      <c r="AT255" s="8">
        <v>0</v>
      </c>
      <c r="AV255" s="8">
        <v>0</v>
      </c>
      <c r="AX255" s="8">
        <v>0</v>
      </c>
      <c r="AZ255" s="9">
        <f t="shared" si="12"/>
        <v>19030569</v>
      </c>
      <c r="BB255" s="8">
        <v>10441</v>
      </c>
      <c r="BH255" s="8">
        <v>0</v>
      </c>
      <c r="BJ255" s="9">
        <f t="shared" si="13"/>
        <v>19041010</v>
      </c>
      <c r="BL255" s="9">
        <f>'Gov Fd Rv'!AU255-'Gov Fnd Exp'!BJ255</f>
        <v>-225064</v>
      </c>
      <c r="BN255" s="8">
        <v>3489457</v>
      </c>
      <c r="BP255" s="8">
        <v>0</v>
      </c>
      <c r="BR255" s="8">
        <v>0</v>
      </c>
      <c r="BT255" s="9">
        <f t="shared" si="14"/>
        <v>3264393</v>
      </c>
      <c r="BU255" s="9"/>
      <c r="BV255" s="9">
        <f>BT255-'Gov Fd BS'!AA255</f>
        <v>0</v>
      </c>
    </row>
    <row r="256" spans="1:74">
      <c r="A256" s="13" t="s">
        <v>557</v>
      </c>
      <c r="B256" s="13"/>
      <c r="C256" s="13" t="s">
        <v>50</v>
      </c>
      <c r="D256" s="13"/>
      <c r="E256" s="32">
        <v>44180</v>
      </c>
      <c r="G256" s="8">
        <v>32454270</v>
      </c>
      <c r="I256" s="8">
        <v>7775400</v>
      </c>
      <c r="K256" s="8">
        <v>1987377</v>
      </c>
      <c r="M256" s="8">
        <v>4290921</v>
      </c>
      <c r="O256" s="8">
        <v>6523471</v>
      </c>
      <c r="Q256" s="8">
        <v>4675328</v>
      </c>
      <c r="S256" s="8">
        <v>68541</v>
      </c>
      <c r="U256" s="8">
        <v>6716620</v>
      </c>
      <c r="W256" s="8">
        <v>1884587</v>
      </c>
      <c r="Y256" s="8">
        <v>568496</v>
      </c>
      <c r="AA256" s="8">
        <v>8276731</v>
      </c>
      <c r="AC256" s="8">
        <v>3352988</v>
      </c>
      <c r="AE256" s="8">
        <v>1667372</v>
      </c>
      <c r="AG256" s="8">
        <v>0</v>
      </c>
      <c r="AI256" s="8">
        <v>4832456</v>
      </c>
      <c r="AJ256" s="13" t="s">
        <v>557</v>
      </c>
      <c r="AK256" s="13"/>
      <c r="AL256" s="13" t="s">
        <v>50</v>
      </c>
      <c r="AN256" s="8">
        <v>1676487</v>
      </c>
      <c r="AP256" s="8">
        <v>558345</v>
      </c>
      <c r="AR256" s="8">
        <v>0</v>
      </c>
      <c r="AT256" s="8">
        <v>3746555</v>
      </c>
      <c r="AV256" s="8">
        <v>4716400</v>
      </c>
      <c r="AX256" s="8">
        <v>0</v>
      </c>
      <c r="AZ256" s="9">
        <f t="shared" si="12"/>
        <v>95772345</v>
      </c>
      <c r="BB256" s="8">
        <v>13500</v>
      </c>
      <c r="BH256" s="8">
        <v>0</v>
      </c>
      <c r="BJ256" s="9">
        <f t="shared" si="13"/>
        <v>95785845</v>
      </c>
      <c r="BL256" s="9">
        <f>'Gov Fd Rv'!AU258-'Gov Fnd Exp'!BJ256</f>
        <v>-2090008</v>
      </c>
      <c r="BN256" s="8">
        <f>16190729-285444</f>
        <v>15905285</v>
      </c>
      <c r="BP256" s="8">
        <v>2318</v>
      </c>
      <c r="BR256" s="8">
        <v>0</v>
      </c>
      <c r="BT256" s="9">
        <f t="shared" si="14"/>
        <v>13817595</v>
      </c>
      <c r="BU256" s="9"/>
      <c r="BV256" s="9">
        <f>BT256-'Gov Fd BS'!AA256</f>
        <v>0</v>
      </c>
    </row>
    <row r="257" spans="1:74">
      <c r="A257" s="13" t="s">
        <v>495</v>
      </c>
      <c r="B257" s="13"/>
      <c r="C257" s="13" t="s">
        <v>44</v>
      </c>
      <c r="D257" s="13"/>
      <c r="E257" s="32">
        <v>48165</v>
      </c>
      <c r="G257" s="8">
        <v>6733121</v>
      </c>
      <c r="I257" s="8">
        <v>1181419</v>
      </c>
      <c r="K257" s="8">
        <v>97689</v>
      </c>
      <c r="M257" s="8">
        <v>71238</v>
      </c>
      <c r="O257" s="8">
        <v>824645</v>
      </c>
      <c r="Q257" s="8">
        <v>450490</v>
      </c>
      <c r="S257" s="8">
        <v>39158</v>
      </c>
      <c r="U257" s="8">
        <v>1121363</v>
      </c>
      <c r="W257" s="8">
        <v>391455</v>
      </c>
      <c r="Y257" s="8">
        <v>0</v>
      </c>
      <c r="AA257" s="8">
        <v>1167067</v>
      </c>
      <c r="AC257" s="8">
        <v>838352</v>
      </c>
      <c r="AE257" s="8">
        <v>242335</v>
      </c>
      <c r="AG257" s="8">
        <v>451830</v>
      </c>
      <c r="AI257" s="8">
        <v>53523</v>
      </c>
      <c r="AJ257" s="13" t="s">
        <v>495</v>
      </c>
      <c r="AK257" s="13"/>
      <c r="AL257" s="13" t="s">
        <v>44</v>
      </c>
      <c r="AN257" s="8">
        <v>354924</v>
      </c>
      <c r="AP257" s="8">
        <v>244543</v>
      </c>
      <c r="AR257" s="8">
        <v>118761</v>
      </c>
      <c r="AT257" s="8">
        <v>605000</v>
      </c>
      <c r="AV257" s="8">
        <v>738034</v>
      </c>
      <c r="AX257" s="8">
        <v>0</v>
      </c>
      <c r="AZ257" s="9">
        <f t="shared" si="12"/>
        <v>15724947</v>
      </c>
      <c r="BB257" s="8">
        <v>11687</v>
      </c>
      <c r="BH257" s="8">
        <v>0</v>
      </c>
      <c r="BJ257" s="9">
        <f t="shared" si="13"/>
        <v>15736634</v>
      </c>
      <c r="BL257" s="9">
        <f>'Gov Fd Rv'!AU259-'Gov Fnd Exp'!BJ257</f>
        <v>1488031</v>
      </c>
      <c r="BN257" s="8">
        <v>5332261</v>
      </c>
      <c r="BP257" s="8">
        <v>0</v>
      </c>
      <c r="BR257" s="8">
        <v>0</v>
      </c>
      <c r="BT257" s="9">
        <f t="shared" si="14"/>
        <v>6820292</v>
      </c>
      <c r="BU257" s="9"/>
      <c r="BV257" s="9">
        <f>BT257-'Gov Fd BS'!AA257</f>
        <v>0</v>
      </c>
    </row>
    <row r="258" spans="1:74">
      <c r="A258" s="13" t="s">
        <v>715</v>
      </c>
      <c r="B258" s="13"/>
      <c r="C258" s="13" t="s">
        <v>69</v>
      </c>
      <c r="D258" s="13"/>
      <c r="E258" s="32">
        <v>50435</v>
      </c>
      <c r="G258" s="8">
        <v>17123111</v>
      </c>
      <c r="I258" s="8">
        <v>3852724</v>
      </c>
      <c r="K258" s="8">
        <v>0</v>
      </c>
      <c r="M258" s="8">
        <v>648711</v>
      </c>
      <c r="O258" s="8">
        <v>1824263</v>
      </c>
      <c r="Q258" s="8">
        <v>1332131</v>
      </c>
      <c r="S258" s="8">
        <v>85957</v>
      </c>
      <c r="U258" s="8">
        <v>3128768</v>
      </c>
      <c r="W258" s="8">
        <v>935033</v>
      </c>
      <c r="Y258" s="8">
        <v>291632</v>
      </c>
      <c r="AA258" s="8">
        <v>4195984</v>
      </c>
      <c r="AC258" s="8">
        <v>2288340</v>
      </c>
      <c r="AE258" s="8">
        <v>230662</v>
      </c>
      <c r="AG258" s="8">
        <v>0</v>
      </c>
      <c r="AI258" s="8">
        <v>764663</v>
      </c>
      <c r="AJ258" s="13" t="s">
        <v>715</v>
      </c>
      <c r="AK258" s="13"/>
      <c r="AL258" s="13" t="s">
        <v>69</v>
      </c>
      <c r="AN258" s="8">
        <v>1141338</v>
      </c>
      <c r="AP258" s="8">
        <v>6421432</v>
      </c>
      <c r="AR258" s="8">
        <v>0</v>
      </c>
      <c r="AT258" s="8">
        <v>29286382</v>
      </c>
      <c r="AV258" s="8">
        <v>2943189</v>
      </c>
      <c r="AX258" s="8">
        <v>0</v>
      </c>
      <c r="AZ258" s="9">
        <f t="shared" si="12"/>
        <v>76494320</v>
      </c>
      <c r="BB258" s="8">
        <v>1989999</v>
      </c>
      <c r="BH258" s="8">
        <v>0</v>
      </c>
      <c r="BJ258" s="9">
        <f t="shared" si="13"/>
        <v>78484319</v>
      </c>
      <c r="BL258" s="9">
        <f>'Gov Fd Rv'!AU260-'Gov Fnd Exp'!BJ258</f>
        <v>-4235626</v>
      </c>
      <c r="BN258" s="8">
        <v>36165071</v>
      </c>
      <c r="BP258" s="8">
        <v>0</v>
      </c>
      <c r="BR258" s="8">
        <v>0</v>
      </c>
      <c r="BT258" s="9">
        <f t="shared" si="14"/>
        <v>31929445</v>
      </c>
      <c r="BU258" s="9"/>
      <c r="BV258" s="9">
        <f>BT258-'Gov Fd BS'!AA258</f>
        <v>0</v>
      </c>
    </row>
    <row r="259" spans="1:74" hidden="1">
      <c r="A259" s="13" t="s">
        <v>464</v>
      </c>
      <c r="B259" s="13"/>
      <c r="C259" s="13" t="s">
        <v>41</v>
      </c>
      <c r="D259" s="13"/>
      <c r="E259" s="32">
        <v>47878</v>
      </c>
      <c r="G259" s="8">
        <v>0</v>
      </c>
      <c r="I259" s="8">
        <v>0</v>
      </c>
      <c r="K259" s="8">
        <v>0</v>
      </c>
      <c r="M259" s="8">
        <v>0</v>
      </c>
      <c r="O259" s="8">
        <v>0</v>
      </c>
      <c r="Q259" s="8">
        <v>0</v>
      </c>
      <c r="S259" s="8">
        <v>0</v>
      </c>
      <c r="U259" s="8">
        <v>0</v>
      </c>
      <c r="W259" s="8">
        <v>0</v>
      </c>
      <c r="Y259" s="8">
        <v>0</v>
      </c>
      <c r="AA259" s="8">
        <v>0</v>
      </c>
      <c r="AC259" s="8">
        <v>0</v>
      </c>
      <c r="AE259" s="8">
        <v>0</v>
      </c>
      <c r="AG259" s="8">
        <v>0</v>
      </c>
      <c r="AI259" s="8">
        <v>0</v>
      </c>
      <c r="AJ259" s="13" t="s">
        <v>464</v>
      </c>
      <c r="AK259" s="13"/>
      <c r="AL259" s="13" t="s">
        <v>41</v>
      </c>
      <c r="AN259" s="8">
        <v>0</v>
      </c>
      <c r="AP259" s="8">
        <v>0</v>
      </c>
      <c r="AR259" s="8">
        <v>0</v>
      </c>
      <c r="AT259" s="8">
        <v>0</v>
      </c>
      <c r="AV259" s="8">
        <v>0</v>
      </c>
      <c r="AX259" s="8">
        <v>0</v>
      </c>
      <c r="AZ259" s="9">
        <f t="shared" si="12"/>
        <v>0</v>
      </c>
      <c r="BB259" s="8">
        <v>0</v>
      </c>
      <c r="BH259" s="8">
        <v>0</v>
      </c>
      <c r="BJ259" s="9">
        <f t="shared" si="13"/>
        <v>0</v>
      </c>
      <c r="BL259" s="9">
        <f>'Gov Fd Rv'!AU261-'Gov Fnd Exp'!BJ259</f>
        <v>0</v>
      </c>
      <c r="BN259" s="8">
        <v>0</v>
      </c>
      <c r="BP259" s="8">
        <v>0</v>
      </c>
      <c r="BR259" s="8">
        <v>0</v>
      </c>
      <c r="BT259" s="9">
        <f t="shared" si="14"/>
        <v>0</v>
      </c>
      <c r="BU259" s="9"/>
      <c r="BV259" s="9">
        <f>BT259-'Gov Fd BS'!AA259</f>
        <v>0</v>
      </c>
    </row>
    <row r="260" spans="1:74">
      <c r="A260" s="13" t="s">
        <v>688</v>
      </c>
      <c r="B260" s="13"/>
      <c r="C260" s="13" t="s">
        <v>64</v>
      </c>
      <c r="D260" s="13"/>
      <c r="E260" s="32">
        <v>50245</v>
      </c>
      <c r="G260" s="8">
        <v>6645692</v>
      </c>
      <c r="I260" s="8">
        <v>1568049</v>
      </c>
      <c r="K260" s="8">
        <v>95723</v>
      </c>
      <c r="M260" s="8">
        <v>485893</v>
      </c>
      <c r="O260" s="8">
        <v>615999</v>
      </c>
      <c r="Q260" s="8">
        <v>273418</v>
      </c>
      <c r="S260" s="8">
        <v>53776</v>
      </c>
      <c r="U260" s="8">
        <v>1150910</v>
      </c>
      <c r="W260" s="8">
        <v>310598</v>
      </c>
      <c r="Y260" s="8">
        <v>0</v>
      </c>
      <c r="AA260" s="8">
        <v>1331858</v>
      </c>
      <c r="AC260" s="8">
        <v>627310</v>
      </c>
      <c r="AE260" s="8">
        <v>111329</v>
      </c>
      <c r="AG260" s="8">
        <v>634044</v>
      </c>
      <c r="AI260" s="8">
        <v>8150</v>
      </c>
      <c r="AJ260" s="13" t="s">
        <v>688</v>
      </c>
      <c r="AK260" s="13"/>
      <c r="AL260" s="13" t="s">
        <v>64</v>
      </c>
      <c r="AN260" s="8">
        <v>315278</v>
      </c>
      <c r="AP260" s="8">
        <v>118899</v>
      </c>
      <c r="AR260" s="8">
        <v>0</v>
      </c>
      <c r="AT260" s="8">
        <v>484750</v>
      </c>
      <c r="AV260" s="8">
        <v>440297</v>
      </c>
      <c r="AX260" s="8">
        <v>0</v>
      </c>
      <c r="AZ260" s="9">
        <f t="shared" si="12"/>
        <v>15271973</v>
      </c>
      <c r="BB260" s="8">
        <v>0</v>
      </c>
      <c r="BH260" s="8">
        <v>0</v>
      </c>
      <c r="BJ260" s="9">
        <f t="shared" si="13"/>
        <v>15271973</v>
      </c>
      <c r="BL260" s="9">
        <f>'Gov Fd Rv'!AU262-'Gov Fnd Exp'!BJ260</f>
        <v>-464584</v>
      </c>
      <c r="BN260" s="8">
        <f>5976665-43243</f>
        <v>5933422</v>
      </c>
      <c r="BP260" s="8">
        <v>3473</v>
      </c>
      <c r="BR260" s="8">
        <v>0</v>
      </c>
      <c r="BT260" s="9">
        <f t="shared" si="14"/>
        <v>5472311</v>
      </c>
      <c r="BU260" s="9"/>
      <c r="BV260" s="9">
        <f>BT260-'Gov Fd BS'!AA260</f>
        <v>0</v>
      </c>
    </row>
    <row r="261" spans="1:74">
      <c r="A261" s="13" t="s">
        <v>658</v>
      </c>
      <c r="B261" s="13"/>
      <c r="C261" s="13" t="s">
        <v>62</v>
      </c>
      <c r="D261" s="13"/>
      <c r="E261" s="32">
        <v>49866</v>
      </c>
      <c r="G261" s="8">
        <v>13355648</v>
      </c>
      <c r="I261" s="8">
        <v>2879394</v>
      </c>
      <c r="K261" s="8">
        <v>441430</v>
      </c>
      <c r="M261" s="8">
        <v>1082927</v>
      </c>
      <c r="O261" s="8">
        <v>980176</v>
      </c>
      <c r="Q261" s="8">
        <v>1608576</v>
      </c>
      <c r="S261" s="8">
        <v>23637</v>
      </c>
      <c r="U261" s="8">
        <v>2608040</v>
      </c>
      <c r="W261" s="8">
        <v>649761</v>
      </c>
      <c r="Y261" s="8">
        <v>81217</v>
      </c>
      <c r="AA261" s="8">
        <v>2994011</v>
      </c>
      <c r="AC261" s="8">
        <v>2201008</v>
      </c>
      <c r="AE261" s="8">
        <v>162240</v>
      </c>
      <c r="AG261" s="8">
        <v>0</v>
      </c>
      <c r="AI261" s="8">
        <v>466988</v>
      </c>
      <c r="AJ261" s="13" t="s">
        <v>658</v>
      </c>
      <c r="AK261" s="13"/>
      <c r="AL261" s="13" t="s">
        <v>62</v>
      </c>
      <c r="AN261" s="8">
        <v>926583</v>
      </c>
      <c r="AP261" s="8">
        <v>289749</v>
      </c>
      <c r="AR261" s="8">
        <v>0</v>
      </c>
      <c r="AT261" s="8">
        <v>523156</v>
      </c>
      <c r="AV261" s="8">
        <v>1558010</v>
      </c>
      <c r="AX261" s="8">
        <v>0</v>
      </c>
      <c r="AZ261" s="9">
        <f t="shared" si="12"/>
        <v>32832551</v>
      </c>
      <c r="BB261" s="8">
        <v>53789</v>
      </c>
      <c r="BH261" s="8">
        <v>0</v>
      </c>
      <c r="BJ261" s="9">
        <f t="shared" si="13"/>
        <v>32886340</v>
      </c>
      <c r="BL261" s="9">
        <f>'Gov Fd Rv'!AU263-'Gov Fnd Exp'!BJ261</f>
        <v>1428735</v>
      </c>
      <c r="BN261" s="8">
        <v>3688849</v>
      </c>
      <c r="BP261" s="8">
        <v>0</v>
      </c>
      <c r="BR261" s="8">
        <v>0</v>
      </c>
      <c r="BT261" s="9">
        <f t="shared" si="14"/>
        <v>5117584</v>
      </c>
      <c r="BU261" s="9"/>
      <c r="BV261" s="9">
        <f>BT261-'Gov Fd BS'!AA261</f>
        <v>0</v>
      </c>
    </row>
    <row r="262" spans="1:74">
      <c r="A262" s="13" t="s">
        <v>658</v>
      </c>
      <c r="B262" s="13"/>
      <c r="C262" s="13" t="s">
        <v>72</v>
      </c>
      <c r="D262" s="13"/>
      <c r="E262" s="32">
        <v>50690</v>
      </c>
      <c r="G262" s="8">
        <v>6819468</v>
      </c>
      <c r="I262" s="8">
        <v>1698701</v>
      </c>
      <c r="K262" s="8">
        <v>307420</v>
      </c>
      <c r="M262" s="8">
        <v>0</v>
      </c>
      <c r="O262" s="8">
        <v>649661</v>
      </c>
      <c r="Q262" s="8">
        <v>548463</v>
      </c>
      <c r="S262" s="8">
        <v>165902</v>
      </c>
      <c r="U262" s="8">
        <v>1008024</v>
      </c>
      <c r="W262" s="8">
        <v>458117</v>
      </c>
      <c r="Y262" s="8">
        <v>0</v>
      </c>
      <c r="AA262" s="8">
        <v>1615866</v>
      </c>
      <c r="AC262" s="8">
        <v>1257373</v>
      </c>
      <c r="AE262" s="8">
        <v>129520</v>
      </c>
      <c r="AG262" s="8">
        <v>487444</v>
      </c>
      <c r="AI262" s="8">
        <v>116745</v>
      </c>
      <c r="AJ262" s="13" t="s">
        <v>658</v>
      </c>
      <c r="AK262" s="13"/>
      <c r="AL262" s="13" t="s">
        <v>72</v>
      </c>
      <c r="AN262" s="8">
        <v>616150</v>
      </c>
      <c r="AP262" s="8">
        <v>857078</v>
      </c>
      <c r="AR262" s="8">
        <v>0</v>
      </c>
      <c r="AT262" s="8">
        <v>945000</v>
      </c>
      <c r="AV262" s="8">
        <v>474788</v>
      </c>
      <c r="AX262" s="8">
        <v>0</v>
      </c>
      <c r="AZ262" s="9">
        <f t="shared" si="12"/>
        <v>18155720</v>
      </c>
      <c r="BB262" s="8">
        <v>62582</v>
      </c>
      <c r="BH262" s="8">
        <v>0</v>
      </c>
      <c r="BJ262" s="9">
        <f t="shared" si="13"/>
        <v>18218302</v>
      </c>
      <c r="BL262" s="9">
        <f>'Gov Fd Rv'!AU264-'Gov Fnd Exp'!BJ262</f>
        <v>262270</v>
      </c>
      <c r="BN262" s="8">
        <f>4633007-38202</f>
        <v>4594805</v>
      </c>
      <c r="BP262" s="8">
        <v>0</v>
      </c>
      <c r="BR262" s="8">
        <v>0</v>
      </c>
      <c r="BT262" s="9">
        <f t="shared" si="14"/>
        <v>4857075</v>
      </c>
      <c r="BU262" s="9"/>
      <c r="BV262" s="9">
        <f>BT262-'Gov Fd BS'!AA262</f>
        <v>0</v>
      </c>
    </row>
    <row r="263" spans="1:74">
      <c r="A263" s="13" t="s">
        <v>689</v>
      </c>
      <c r="B263" s="13"/>
      <c r="C263" s="13" t="s">
        <v>64</v>
      </c>
      <c r="D263" s="13"/>
      <c r="E263" s="32">
        <v>50187</v>
      </c>
      <c r="G263" s="8">
        <v>8140070</v>
      </c>
      <c r="I263" s="8">
        <v>2750851</v>
      </c>
      <c r="K263" s="8">
        <v>50976</v>
      </c>
      <c r="M263" s="8">
        <v>0</v>
      </c>
      <c r="O263" s="8">
        <v>951485</v>
      </c>
      <c r="Q263" s="8">
        <v>972745</v>
      </c>
      <c r="S263" s="8">
        <v>29949</v>
      </c>
      <c r="U263" s="8">
        <v>1529597</v>
      </c>
      <c r="W263" s="8">
        <v>422189</v>
      </c>
      <c r="Y263" s="8">
        <v>0</v>
      </c>
      <c r="AA263" s="8">
        <v>1753460</v>
      </c>
      <c r="AC263" s="8">
        <v>828545</v>
      </c>
      <c r="AE263" s="8">
        <v>0</v>
      </c>
      <c r="AG263" s="8">
        <v>641752</v>
      </c>
      <c r="AI263" s="8">
        <v>8079</v>
      </c>
      <c r="AJ263" s="13" t="s">
        <v>689</v>
      </c>
      <c r="AK263" s="13"/>
      <c r="AL263" s="13" t="s">
        <v>64</v>
      </c>
      <c r="AN263" s="8">
        <v>444093</v>
      </c>
      <c r="AP263" s="8">
        <v>137323</v>
      </c>
      <c r="AR263" s="8">
        <v>0</v>
      </c>
      <c r="AT263" s="8">
        <v>393301</v>
      </c>
      <c r="AV263" s="8">
        <v>399363</v>
      </c>
      <c r="AX263" s="8">
        <v>0</v>
      </c>
      <c r="AZ263" s="9">
        <f t="shared" si="12"/>
        <v>19453778</v>
      </c>
      <c r="BB263" s="8">
        <v>42765</v>
      </c>
      <c r="BH263" s="8">
        <v>0</v>
      </c>
      <c r="BJ263" s="9">
        <f t="shared" si="13"/>
        <v>19496543</v>
      </c>
      <c r="BL263" s="9">
        <f>'Gov Fd Rv'!AU265-'Gov Fnd Exp'!BJ263</f>
        <v>-1495600</v>
      </c>
      <c r="BN263" s="8">
        <v>-12643</v>
      </c>
      <c r="BP263" s="8">
        <v>0</v>
      </c>
      <c r="BR263" s="8">
        <v>0</v>
      </c>
      <c r="BT263" s="9">
        <f t="shared" si="14"/>
        <v>-1508243</v>
      </c>
      <c r="BU263" s="9"/>
      <c r="BV263" s="9">
        <f>BT263-'Gov Fd BS'!AA263</f>
        <v>0</v>
      </c>
    </row>
    <row r="264" spans="1:74">
      <c r="A264" s="13" t="s">
        <v>314</v>
      </c>
      <c r="B264" s="13"/>
      <c r="C264" s="13" t="s">
        <v>20</v>
      </c>
      <c r="D264" s="13"/>
      <c r="E264" s="32">
        <v>44198</v>
      </c>
      <c r="G264" s="8">
        <v>26268949</v>
      </c>
      <c r="I264" s="8">
        <v>11462283</v>
      </c>
      <c r="K264" s="8">
        <v>3644517</v>
      </c>
      <c r="M264" s="8">
        <v>3361374</v>
      </c>
      <c r="O264" s="8">
        <v>4844015</v>
      </c>
      <c r="Q264" s="8">
        <v>4933855</v>
      </c>
      <c r="S264" s="8">
        <v>104264</v>
      </c>
      <c r="U264" s="8">
        <v>3157474</v>
      </c>
      <c r="W264" s="8">
        <v>1765974</v>
      </c>
      <c r="Y264" s="8">
        <v>1296559</v>
      </c>
      <c r="AA264" s="8">
        <v>8849699</v>
      </c>
      <c r="AC264" s="8">
        <v>69344</v>
      </c>
      <c r="AE264" s="8">
        <v>421494</v>
      </c>
      <c r="AG264" s="8">
        <v>0</v>
      </c>
      <c r="AI264" s="8">
        <v>1460968</v>
      </c>
      <c r="AJ264" s="13" t="s">
        <v>314</v>
      </c>
      <c r="AK264" s="13"/>
      <c r="AL264" s="13" t="s">
        <v>20</v>
      </c>
      <c r="AN264" s="8">
        <v>1235893</v>
      </c>
      <c r="AP264" s="8">
        <v>32496478</v>
      </c>
      <c r="AR264" s="8">
        <v>969511</v>
      </c>
      <c r="AT264" s="8">
        <v>26164052</v>
      </c>
      <c r="AV264" s="8">
        <v>5747388</v>
      </c>
      <c r="AX264" s="8">
        <v>404824</v>
      </c>
      <c r="AZ264" s="9">
        <f t="shared" si="12"/>
        <v>138658915</v>
      </c>
      <c r="BB264" s="8">
        <v>35000</v>
      </c>
      <c r="BH264" s="8">
        <v>0</v>
      </c>
      <c r="BJ264" s="9">
        <f t="shared" si="13"/>
        <v>138693915</v>
      </c>
      <c r="BL264" s="9">
        <f>'Gov Fd Rv'!AU266-'Gov Fnd Exp'!BJ264</f>
        <v>-7123761</v>
      </c>
      <c r="BN264" s="8">
        <f>61078035-596534</f>
        <v>60481501</v>
      </c>
      <c r="BP264" s="8">
        <v>0</v>
      </c>
      <c r="BR264" s="8">
        <v>0</v>
      </c>
      <c r="BT264" s="9">
        <f t="shared" si="14"/>
        <v>53357740</v>
      </c>
      <c r="BU264" s="9"/>
      <c r="BV264" s="9">
        <f>BT264-'Gov Fd BS'!AA264</f>
        <v>0</v>
      </c>
    </row>
    <row r="265" spans="1:74">
      <c r="A265" s="13" t="s">
        <v>900</v>
      </c>
      <c r="B265" s="13"/>
      <c r="C265" s="13" t="s">
        <v>42</v>
      </c>
      <c r="D265" s="13"/>
      <c r="E265" s="32">
        <v>47993</v>
      </c>
      <c r="G265" s="8">
        <v>11939626</v>
      </c>
      <c r="I265" s="8">
        <v>0</v>
      </c>
      <c r="K265" s="8">
        <v>0</v>
      </c>
      <c r="M265" s="8">
        <v>0</v>
      </c>
      <c r="O265" s="8">
        <v>1325390</v>
      </c>
      <c r="Q265" s="8">
        <v>449601</v>
      </c>
      <c r="S265" s="8">
        <v>52022</v>
      </c>
      <c r="U265" s="8">
        <v>1608052</v>
      </c>
      <c r="W265" s="8">
        <v>655847</v>
      </c>
      <c r="Y265" s="8">
        <v>15857</v>
      </c>
      <c r="AA265" s="8">
        <v>1989400</v>
      </c>
      <c r="AC265" s="8">
        <v>1583046</v>
      </c>
      <c r="AE265" s="8">
        <v>230891</v>
      </c>
      <c r="AG265" s="8">
        <v>0</v>
      </c>
      <c r="AI265" s="8">
        <v>25112</v>
      </c>
      <c r="AJ265" s="13" t="s">
        <v>481</v>
      </c>
      <c r="AK265" s="13"/>
      <c r="AL265" s="13" t="s">
        <v>42</v>
      </c>
      <c r="AN265" s="8">
        <v>371969</v>
      </c>
      <c r="AP265" s="8">
        <v>0</v>
      </c>
      <c r="AR265" s="8">
        <v>0</v>
      </c>
      <c r="AT265" s="8">
        <v>726254</v>
      </c>
      <c r="AV265" s="8">
        <v>584020</v>
      </c>
      <c r="AX265" s="8">
        <v>0</v>
      </c>
      <c r="AZ265" s="9">
        <f t="shared" si="12"/>
        <v>21557087</v>
      </c>
      <c r="BB265" s="8">
        <v>0</v>
      </c>
      <c r="BH265" s="8">
        <v>0</v>
      </c>
      <c r="BJ265" s="9">
        <f t="shared" si="13"/>
        <v>21557087</v>
      </c>
      <c r="BL265" s="9">
        <f>'Gov Fd Rv'!AU267-'Gov Fnd Exp'!BJ265</f>
        <v>43282</v>
      </c>
      <c r="BN265" s="8">
        <f>5846462-160233</f>
        <v>5686229</v>
      </c>
      <c r="BP265" s="8">
        <v>5096</v>
      </c>
      <c r="BR265" s="8">
        <v>0</v>
      </c>
      <c r="BT265" s="9">
        <f t="shared" si="14"/>
        <v>5734607</v>
      </c>
      <c r="BU265" s="9"/>
      <c r="BV265" s="9">
        <f>BT265-'Gov Fd BS'!AA265</f>
        <v>0</v>
      </c>
    </row>
    <row r="266" spans="1:74">
      <c r="A266" s="13" t="s">
        <v>249</v>
      </c>
      <c r="B266" s="13"/>
      <c r="C266" s="13" t="s">
        <v>246</v>
      </c>
      <c r="D266" s="13"/>
      <c r="E266" s="32">
        <v>46110</v>
      </c>
      <c r="G266" s="8">
        <v>67168954</v>
      </c>
      <c r="I266" s="8">
        <v>12086711</v>
      </c>
      <c r="K266" s="8">
        <v>97588</v>
      </c>
      <c r="M266" s="8">
        <v>2603832</v>
      </c>
      <c r="O266" s="8">
        <v>11839061</v>
      </c>
      <c r="Q266" s="8">
        <v>10827641</v>
      </c>
      <c r="S266" s="8">
        <v>78578</v>
      </c>
      <c r="U266" s="8">
        <v>14377494</v>
      </c>
      <c r="W266" s="8">
        <v>1282321</v>
      </c>
      <c r="Y266" s="8">
        <v>269953</v>
      </c>
      <c r="AA266" s="8">
        <v>13243610</v>
      </c>
      <c r="AC266" s="8">
        <v>16648154</v>
      </c>
      <c r="AE266" s="8">
        <v>4002284</v>
      </c>
      <c r="AG266" s="8">
        <v>0</v>
      </c>
      <c r="AI266" s="8">
        <v>272258</v>
      </c>
      <c r="AJ266" s="13" t="s">
        <v>249</v>
      </c>
      <c r="AK266" s="13"/>
      <c r="AL266" s="13" t="s">
        <v>246</v>
      </c>
      <c r="AN266" s="8">
        <v>3106657</v>
      </c>
      <c r="AP266" s="8">
        <v>39600065</v>
      </c>
      <c r="AR266" s="8">
        <v>0</v>
      </c>
      <c r="AT266" s="8">
        <v>4660658</v>
      </c>
      <c r="AV266" s="8">
        <v>8873127</v>
      </c>
      <c r="AX266" s="8">
        <v>0</v>
      </c>
      <c r="AZ266" s="9">
        <f t="shared" si="12"/>
        <v>211038946</v>
      </c>
      <c r="BB266" s="8">
        <v>1926628</v>
      </c>
      <c r="BH266" s="8">
        <v>0</v>
      </c>
      <c r="BJ266" s="9">
        <f t="shared" si="13"/>
        <v>212965574</v>
      </c>
      <c r="BL266" s="9">
        <f>'Gov Fd Rv'!AU268-'Gov Fnd Exp'!BJ266</f>
        <v>-38526134</v>
      </c>
      <c r="BN266" s="8">
        <f>95915857-25836</f>
        <v>95890021</v>
      </c>
      <c r="BP266" s="8">
        <v>0</v>
      </c>
      <c r="BR266" s="8">
        <v>0</v>
      </c>
      <c r="BT266" s="9">
        <f t="shared" si="14"/>
        <v>57363887</v>
      </c>
      <c r="BU266" s="9"/>
      <c r="BV266" s="9">
        <f>BT266-'Gov Fd BS'!AA266</f>
        <v>0</v>
      </c>
    </row>
    <row r="267" spans="1:74">
      <c r="A267" s="13" t="s">
        <v>249</v>
      </c>
      <c r="B267" s="13"/>
      <c r="C267" s="13" t="s">
        <v>79</v>
      </c>
      <c r="D267" s="13"/>
      <c r="E267" s="32">
        <v>49569</v>
      </c>
      <c r="G267" s="8">
        <v>5038375</v>
      </c>
      <c r="I267" s="8">
        <v>1539168</v>
      </c>
      <c r="K267" s="8">
        <v>15659</v>
      </c>
      <c r="M267" s="8">
        <v>28354</v>
      </c>
      <c r="O267" s="8">
        <v>590276</v>
      </c>
      <c r="Q267" s="8">
        <v>433346</v>
      </c>
      <c r="S267" s="8">
        <v>24219</v>
      </c>
      <c r="U267" s="8">
        <v>818738</v>
      </c>
      <c r="W267" s="8">
        <v>189414</v>
      </c>
      <c r="Y267" s="8">
        <v>149012</v>
      </c>
      <c r="AA267" s="8">
        <v>1039793</v>
      </c>
      <c r="AC267" s="8">
        <v>751391</v>
      </c>
      <c r="AE267" s="8">
        <v>53228</v>
      </c>
      <c r="AG267" s="8">
        <v>495614</v>
      </c>
      <c r="AI267" s="8">
        <v>22457</v>
      </c>
      <c r="AJ267" s="13" t="s">
        <v>249</v>
      </c>
      <c r="AK267" s="13"/>
      <c r="AL267" s="13" t="s">
        <v>79</v>
      </c>
      <c r="AN267" s="8">
        <v>285222</v>
      </c>
      <c r="AP267" s="8">
        <f>52750+458634</f>
        <v>511384</v>
      </c>
      <c r="AR267" s="8">
        <v>0</v>
      </c>
      <c r="AT267" s="8">
        <v>19643391</v>
      </c>
      <c r="AV267" s="8">
        <v>377323</v>
      </c>
      <c r="AX267" s="8">
        <v>491696</v>
      </c>
      <c r="AZ267" s="9">
        <f t="shared" si="12"/>
        <v>32498060</v>
      </c>
      <c r="BB267" s="8">
        <v>35421</v>
      </c>
      <c r="BH267" s="8">
        <v>0</v>
      </c>
      <c r="BJ267" s="9">
        <f t="shared" si="13"/>
        <v>32533481</v>
      </c>
      <c r="BL267" s="9">
        <f>'Gov Fd Rv'!AU269-'Gov Fnd Exp'!BJ267</f>
        <v>20687145</v>
      </c>
      <c r="BN267" s="8">
        <v>32163</v>
      </c>
      <c r="BP267" s="8">
        <v>0</v>
      </c>
      <c r="BR267" s="8">
        <v>0</v>
      </c>
      <c r="BT267" s="9">
        <f t="shared" si="14"/>
        <v>20719308</v>
      </c>
      <c r="BU267" s="9"/>
      <c r="BV267" s="9">
        <f>BT267-'Gov Fd BS'!AA267</f>
        <v>0</v>
      </c>
    </row>
    <row r="268" spans="1:74">
      <c r="A268" s="13" t="s">
        <v>351</v>
      </c>
      <c r="B268" s="13"/>
      <c r="C268" s="13" t="s">
        <v>25</v>
      </c>
      <c r="D268" s="13"/>
      <c r="E268" s="32">
        <v>44206</v>
      </c>
      <c r="G268" s="8">
        <v>22981893</v>
      </c>
      <c r="I268" s="8">
        <v>6614211</v>
      </c>
      <c r="K268" s="8">
        <v>1637388</v>
      </c>
      <c r="M268" s="8">
        <v>150</v>
      </c>
      <c r="O268" s="8">
        <v>2453272</v>
      </c>
      <c r="Q268" s="8">
        <v>3234901</v>
      </c>
      <c r="S268" s="8">
        <v>66610</v>
      </c>
      <c r="U268" s="8">
        <v>3454350</v>
      </c>
      <c r="W268" s="8">
        <v>1184332</v>
      </c>
      <c r="Y268" s="8">
        <v>722966</v>
      </c>
      <c r="AA268" s="8">
        <v>4245530</v>
      </c>
      <c r="AC268" s="8">
        <v>1770288</v>
      </c>
      <c r="AE268" s="8">
        <v>457157</v>
      </c>
      <c r="AG268" s="8">
        <v>2288593</v>
      </c>
      <c r="AI268" s="8">
        <v>918849</v>
      </c>
      <c r="AJ268" s="13" t="s">
        <v>351</v>
      </c>
      <c r="AK268" s="13"/>
      <c r="AL268" s="13" t="s">
        <v>25</v>
      </c>
      <c r="AN268" s="8">
        <v>751887</v>
      </c>
      <c r="AP268" s="8">
        <v>629953</v>
      </c>
      <c r="AR268" s="8">
        <v>43367</v>
      </c>
      <c r="AT268" s="8">
        <v>297901</v>
      </c>
      <c r="AV268" s="8">
        <v>12785</v>
      </c>
      <c r="AX268" s="8">
        <v>0</v>
      </c>
      <c r="AZ268" s="9">
        <f t="shared" si="12"/>
        <v>53766383</v>
      </c>
      <c r="BB268" s="8">
        <v>7617029</v>
      </c>
      <c r="BH268" s="8">
        <v>0</v>
      </c>
      <c r="BJ268" s="9">
        <f t="shared" si="13"/>
        <v>61383412</v>
      </c>
      <c r="BL268" s="9">
        <f>'Gov Fd Rv'!AU270-'Gov Fnd Exp'!BJ268</f>
        <v>11969523</v>
      </c>
      <c r="BN268" s="8">
        <v>8391747</v>
      </c>
      <c r="BP268" s="8">
        <v>0</v>
      </c>
      <c r="BR268" s="8">
        <v>0</v>
      </c>
      <c r="BT268" s="9">
        <f t="shared" si="14"/>
        <v>20361270</v>
      </c>
      <c r="BU268" s="9"/>
      <c r="BV268" s="9">
        <f>BT268-'Gov Fd BS'!AA268</f>
        <v>0</v>
      </c>
    </row>
    <row r="269" spans="1:74" hidden="1">
      <c r="A269" s="13" t="s">
        <v>716</v>
      </c>
      <c r="B269" s="13"/>
      <c r="C269" s="13" t="s">
        <v>69</v>
      </c>
      <c r="D269" s="13"/>
      <c r="E269" s="32">
        <v>44214</v>
      </c>
      <c r="G269" s="8">
        <v>0</v>
      </c>
      <c r="I269" s="8">
        <v>0</v>
      </c>
      <c r="K269" s="8">
        <v>0</v>
      </c>
      <c r="M269" s="8">
        <v>0</v>
      </c>
      <c r="O269" s="8">
        <v>0</v>
      </c>
      <c r="Q269" s="8">
        <v>0</v>
      </c>
      <c r="S269" s="8">
        <v>0</v>
      </c>
      <c r="U269" s="8">
        <v>0</v>
      </c>
      <c r="W269" s="8">
        <v>0</v>
      </c>
      <c r="Y269" s="8">
        <v>0</v>
      </c>
      <c r="AA269" s="8">
        <v>0</v>
      </c>
      <c r="AC269" s="8">
        <v>0</v>
      </c>
      <c r="AE269" s="8">
        <v>0</v>
      </c>
      <c r="AG269" s="8">
        <v>0</v>
      </c>
      <c r="AI269" s="8">
        <v>0</v>
      </c>
      <c r="AJ269" s="13" t="s">
        <v>716</v>
      </c>
      <c r="AK269" s="13"/>
      <c r="AL269" s="13" t="s">
        <v>69</v>
      </c>
      <c r="AN269" s="8">
        <v>0</v>
      </c>
      <c r="AP269" s="8">
        <v>0</v>
      </c>
      <c r="AR269" s="8">
        <v>0</v>
      </c>
      <c r="AT269" s="8">
        <v>0</v>
      </c>
      <c r="AV269" s="8">
        <v>0</v>
      </c>
      <c r="AX269" s="8">
        <v>0</v>
      </c>
      <c r="AZ269" s="9">
        <f t="shared" si="12"/>
        <v>0</v>
      </c>
      <c r="BB269" s="8">
        <v>0</v>
      </c>
      <c r="BH269" s="8">
        <v>0</v>
      </c>
      <c r="BJ269" s="9">
        <f t="shared" si="13"/>
        <v>0</v>
      </c>
      <c r="BL269" s="9">
        <f>'Gov Fd Rv'!AU271-'Gov Fnd Exp'!BJ269</f>
        <v>0</v>
      </c>
      <c r="BN269" s="8">
        <v>0</v>
      </c>
      <c r="BP269" s="8">
        <v>0</v>
      </c>
      <c r="BR269" s="8">
        <v>0</v>
      </c>
      <c r="BT269" s="9">
        <f t="shared" si="14"/>
        <v>0</v>
      </c>
      <c r="BU269" s="9"/>
      <c r="BV269" s="9">
        <f>BT269-'Gov Fd BS'!AA269</f>
        <v>0</v>
      </c>
    </row>
    <row r="270" spans="1:74">
      <c r="A270" s="13" t="s">
        <v>385</v>
      </c>
      <c r="B270" s="13"/>
      <c r="C270" s="13" t="s">
        <v>30</v>
      </c>
      <c r="D270" s="13"/>
      <c r="E270" s="13">
        <v>47209</v>
      </c>
      <c r="G270" s="8">
        <v>2525371</v>
      </c>
      <c r="I270" s="8">
        <v>1130886</v>
      </c>
      <c r="K270" s="8">
        <v>133062</v>
      </c>
      <c r="M270" s="8">
        <v>0</v>
      </c>
      <c r="O270" s="8">
        <v>104900</v>
      </c>
      <c r="Q270" s="8">
        <v>109878</v>
      </c>
      <c r="S270" s="8">
        <v>19452</v>
      </c>
      <c r="U270" s="8">
        <v>436093</v>
      </c>
      <c r="W270" s="8">
        <v>255347</v>
      </c>
      <c r="Y270" s="8">
        <v>0</v>
      </c>
      <c r="AA270" s="8">
        <v>544865</v>
      </c>
      <c r="AC270" s="8">
        <v>464653</v>
      </c>
      <c r="AE270" s="8">
        <v>13462</v>
      </c>
      <c r="AG270" s="8">
        <v>161727</v>
      </c>
      <c r="AI270" s="8">
        <v>5787</v>
      </c>
      <c r="AJ270" s="13" t="s">
        <v>385</v>
      </c>
      <c r="AK270" s="13"/>
      <c r="AL270" s="13" t="s">
        <v>30</v>
      </c>
      <c r="AN270" s="8">
        <v>138600</v>
      </c>
      <c r="AP270" s="8">
        <v>7604</v>
      </c>
      <c r="AR270" s="8">
        <v>0</v>
      </c>
      <c r="AT270" s="8">
        <v>0</v>
      </c>
      <c r="AV270" s="8">
        <v>0</v>
      </c>
      <c r="AX270" s="8">
        <v>0</v>
      </c>
      <c r="AZ270" s="9">
        <f t="shared" si="12"/>
        <v>6051687</v>
      </c>
      <c r="BB270" s="8">
        <v>10000</v>
      </c>
      <c r="BH270" s="8">
        <v>0</v>
      </c>
      <c r="BJ270" s="9">
        <f t="shared" si="13"/>
        <v>6061687</v>
      </c>
      <c r="BL270" s="9">
        <f>'Gov Fd Rv'!AU272-'Gov Fnd Exp'!BJ270</f>
        <v>-119625</v>
      </c>
      <c r="BN270" s="8">
        <v>738111</v>
      </c>
      <c r="BP270" s="8">
        <v>0</v>
      </c>
      <c r="BR270" s="8">
        <v>0</v>
      </c>
      <c r="BT270" s="9">
        <f t="shared" si="14"/>
        <v>618486</v>
      </c>
      <c r="BU270" s="9"/>
      <c r="BV270" s="9">
        <f>BT270-'Gov Fd BS'!AA270</f>
        <v>0</v>
      </c>
    </row>
    <row r="271" spans="1:74" hidden="1">
      <c r="A271" s="13" t="s">
        <v>609</v>
      </c>
      <c r="B271" s="13"/>
      <c r="C271" s="13" t="s">
        <v>608</v>
      </c>
      <c r="D271" s="13"/>
      <c r="E271" s="32">
        <v>49353</v>
      </c>
      <c r="G271" s="8">
        <v>0</v>
      </c>
      <c r="I271" s="8">
        <v>0</v>
      </c>
      <c r="K271" s="8">
        <v>0</v>
      </c>
      <c r="M271" s="8">
        <v>0</v>
      </c>
      <c r="O271" s="8">
        <v>0</v>
      </c>
      <c r="Q271" s="8">
        <v>0</v>
      </c>
      <c r="S271" s="8">
        <v>0</v>
      </c>
      <c r="U271" s="8">
        <v>0</v>
      </c>
      <c r="W271" s="8">
        <v>0</v>
      </c>
      <c r="Y271" s="8">
        <v>0</v>
      </c>
      <c r="AA271" s="8">
        <v>0</v>
      </c>
      <c r="AC271" s="8">
        <v>0</v>
      </c>
      <c r="AE271" s="8">
        <v>0</v>
      </c>
      <c r="AG271" s="8">
        <v>0</v>
      </c>
      <c r="AI271" s="8">
        <v>0</v>
      </c>
      <c r="AJ271" s="13" t="s">
        <v>609</v>
      </c>
      <c r="AK271" s="13"/>
      <c r="AL271" s="13" t="s">
        <v>608</v>
      </c>
      <c r="AN271" s="8">
        <v>0</v>
      </c>
      <c r="AP271" s="8">
        <v>0</v>
      </c>
      <c r="AR271" s="8">
        <v>0</v>
      </c>
      <c r="AT271" s="8">
        <v>0</v>
      </c>
      <c r="AV271" s="8">
        <v>0</v>
      </c>
      <c r="AX271" s="8">
        <v>0</v>
      </c>
      <c r="AZ271" s="9">
        <f t="shared" ref="AZ271:AZ336" si="15">SUM(G271:AX271)</f>
        <v>0</v>
      </c>
      <c r="BB271" s="8">
        <v>0</v>
      </c>
      <c r="BH271" s="8">
        <v>0</v>
      </c>
      <c r="BJ271" s="9">
        <f t="shared" ref="BJ271:BJ336" si="16">AZ271+BB271+BH271</f>
        <v>0</v>
      </c>
      <c r="BL271" s="9">
        <f>'Gov Fd Rv'!AU273-'Gov Fnd Exp'!BJ271</f>
        <v>0</v>
      </c>
      <c r="BN271" s="8">
        <v>0</v>
      </c>
      <c r="BP271" s="8">
        <v>0</v>
      </c>
      <c r="BR271" s="8">
        <v>0</v>
      </c>
      <c r="BT271" s="9">
        <f t="shared" si="14"/>
        <v>0</v>
      </c>
      <c r="BU271" s="9"/>
      <c r="BV271" s="9">
        <f>BT271-'Gov Fd BS'!AA271</f>
        <v>0</v>
      </c>
    </row>
    <row r="272" spans="1:74">
      <c r="A272" s="13" t="s">
        <v>615</v>
      </c>
      <c r="B272" s="13"/>
      <c r="C272" s="13" t="s">
        <v>113</v>
      </c>
      <c r="D272" s="13"/>
      <c r="E272" s="32">
        <v>49437</v>
      </c>
      <c r="G272" s="8">
        <v>9741059</v>
      </c>
      <c r="I272" s="8">
        <v>2019691</v>
      </c>
      <c r="K272" s="8">
        <v>0</v>
      </c>
      <c r="M272" s="8">
        <v>886355</v>
      </c>
      <c r="O272" s="8">
        <v>704865</v>
      </c>
      <c r="Q272" s="8">
        <v>1515643</v>
      </c>
      <c r="S272" s="8">
        <v>24589</v>
      </c>
      <c r="U272" s="8">
        <v>1883846</v>
      </c>
      <c r="W272" s="8">
        <v>545004</v>
      </c>
      <c r="Y272" s="8">
        <v>8669</v>
      </c>
      <c r="AA272" s="8">
        <v>1970748</v>
      </c>
      <c r="AC272" s="8">
        <v>1355516</v>
      </c>
      <c r="AE272" s="8">
        <v>156123</v>
      </c>
      <c r="AG272" s="8">
        <v>984582</v>
      </c>
      <c r="AI272" s="8">
        <v>13021</v>
      </c>
      <c r="AJ272" s="13" t="s">
        <v>615</v>
      </c>
      <c r="AK272" s="13"/>
      <c r="AL272" s="13" t="s">
        <v>113</v>
      </c>
      <c r="AN272" s="8">
        <v>1111027</v>
      </c>
      <c r="AP272" s="8">
        <v>503176</v>
      </c>
      <c r="AR272" s="8">
        <v>0</v>
      </c>
      <c r="AT272" s="8">
        <v>158430</v>
      </c>
      <c r="AV272" s="8">
        <v>681</v>
      </c>
      <c r="AX272" s="8">
        <v>0</v>
      </c>
      <c r="AZ272" s="9">
        <f t="shared" si="15"/>
        <v>23583025</v>
      </c>
      <c r="BB272" s="8">
        <v>0</v>
      </c>
      <c r="BH272" s="8">
        <v>4379</v>
      </c>
      <c r="BJ272" s="9">
        <f t="shared" si="16"/>
        <v>23587404</v>
      </c>
      <c r="BL272" s="9">
        <f>'Gov Fd Rv'!AU274-'Gov Fnd Exp'!BJ272</f>
        <v>1042949</v>
      </c>
      <c r="BN272" s="8">
        <f>2739246-155437</f>
        <v>2583809</v>
      </c>
      <c r="BP272" s="8">
        <v>-268</v>
      </c>
      <c r="BR272" s="8">
        <v>0</v>
      </c>
      <c r="BT272" s="9">
        <f t="shared" si="14"/>
        <v>3626490</v>
      </c>
      <c r="BU272" s="9"/>
      <c r="BV272" s="9">
        <f>BT272-'Gov Fd BS'!AA272</f>
        <v>0</v>
      </c>
    </row>
    <row r="273" spans="1:74">
      <c r="A273" s="13" t="s">
        <v>436</v>
      </c>
      <c r="B273" s="13"/>
      <c r="C273" s="13" t="s">
        <v>34</v>
      </c>
      <c r="D273" s="13"/>
      <c r="E273" s="32">
        <v>47589</v>
      </c>
      <c r="G273" s="8">
        <v>4299482</v>
      </c>
      <c r="I273" s="8">
        <v>2036979</v>
      </c>
      <c r="K273" s="8">
        <v>157888</v>
      </c>
      <c r="M273" s="8">
        <v>439137</v>
      </c>
      <c r="O273" s="8">
        <v>669737</v>
      </c>
      <c r="Q273" s="8">
        <v>456776</v>
      </c>
      <c r="S273" s="8">
        <v>44651</v>
      </c>
      <c r="U273" s="8">
        <v>759956</v>
      </c>
      <c r="W273" s="8">
        <v>309278</v>
      </c>
      <c r="Y273" s="8">
        <v>0</v>
      </c>
      <c r="AA273" s="8">
        <v>809139</v>
      </c>
      <c r="AC273" s="8">
        <v>602060</v>
      </c>
      <c r="AE273" s="8">
        <v>253335</v>
      </c>
      <c r="AG273" s="8">
        <v>0</v>
      </c>
      <c r="AI273" s="8">
        <v>468143</v>
      </c>
      <c r="AJ273" s="13" t="s">
        <v>436</v>
      </c>
      <c r="AK273" s="13"/>
      <c r="AL273" s="13" t="s">
        <v>34</v>
      </c>
      <c r="AN273" s="8">
        <v>452980</v>
      </c>
      <c r="AP273" s="8">
        <v>36967</v>
      </c>
      <c r="AR273" s="8">
        <v>0</v>
      </c>
      <c r="AT273" s="8">
        <v>230000</v>
      </c>
      <c r="AV273" s="8">
        <v>74528</v>
      </c>
      <c r="AX273" s="8">
        <v>0</v>
      </c>
      <c r="AZ273" s="9">
        <f t="shared" si="15"/>
        <v>12101036</v>
      </c>
      <c r="BB273" s="8">
        <v>0</v>
      </c>
      <c r="BH273" s="8">
        <v>0</v>
      </c>
      <c r="BJ273" s="9">
        <f t="shared" si="16"/>
        <v>12101036</v>
      </c>
      <c r="BL273" s="9">
        <f>'Gov Fd Rv'!AU275-'Gov Fnd Exp'!BJ273</f>
        <v>1356756</v>
      </c>
      <c r="BN273" s="8">
        <v>1986459</v>
      </c>
      <c r="BP273" s="8">
        <v>0</v>
      </c>
      <c r="BR273" s="8">
        <v>0</v>
      </c>
      <c r="BT273" s="9">
        <f t="shared" ref="BT273:BT338" si="17">BL273+BN273+BP273+BR273</f>
        <v>3343215</v>
      </c>
      <c r="BU273" s="9"/>
      <c r="BV273" s="9">
        <f>BT273-'Gov Fd BS'!AA273</f>
        <v>0</v>
      </c>
    </row>
    <row r="274" spans="1:74">
      <c r="A274" s="13" t="s">
        <v>690</v>
      </c>
      <c r="B274" s="13"/>
      <c r="C274" s="13" t="s">
        <v>64</v>
      </c>
      <c r="D274" s="13"/>
      <c r="E274" s="32">
        <v>50195</v>
      </c>
      <c r="G274" s="8">
        <v>8169033</v>
      </c>
      <c r="I274" s="8">
        <v>1227031</v>
      </c>
      <c r="K274" s="8">
        <v>73190</v>
      </c>
      <c r="M274" s="8">
        <f>2273+50626</f>
        <v>52899</v>
      </c>
      <c r="O274" s="8">
        <v>470746</v>
      </c>
      <c r="Q274" s="8">
        <v>553243</v>
      </c>
      <c r="S274" s="8">
        <v>5563</v>
      </c>
      <c r="U274" s="8">
        <v>2703856</v>
      </c>
      <c r="W274" s="8">
        <v>509083</v>
      </c>
      <c r="Y274" s="8">
        <v>19408</v>
      </c>
      <c r="AA274" s="8">
        <v>1933799</v>
      </c>
      <c r="AC274" s="8">
        <v>984258</v>
      </c>
      <c r="AE274" s="8">
        <v>61350</v>
      </c>
      <c r="AG274" s="8">
        <v>750525</v>
      </c>
      <c r="AI274" s="8">
        <v>46273</v>
      </c>
      <c r="AJ274" s="13" t="s">
        <v>690</v>
      </c>
      <c r="AK274" s="13"/>
      <c r="AL274" s="13" t="s">
        <v>64</v>
      </c>
      <c r="AN274" s="8">
        <v>446200</v>
      </c>
      <c r="AP274" s="8">
        <v>0</v>
      </c>
      <c r="AR274" s="8">
        <v>0</v>
      </c>
      <c r="AT274" s="8">
        <v>600000</v>
      </c>
      <c r="AV274" s="8">
        <v>284057</v>
      </c>
      <c r="AX274" s="8">
        <v>0</v>
      </c>
      <c r="AZ274" s="9">
        <f t="shared" si="15"/>
        <v>18890514</v>
      </c>
      <c r="BB274" s="8">
        <v>3522242</v>
      </c>
      <c r="BH274" s="8">
        <v>0</v>
      </c>
      <c r="BJ274" s="9">
        <f t="shared" si="16"/>
        <v>22412756</v>
      </c>
      <c r="BL274" s="9">
        <f>'Gov Fd Rv'!AU276-'Gov Fnd Exp'!BJ274</f>
        <v>-278568</v>
      </c>
      <c r="BN274" s="8">
        <v>-881855</v>
      </c>
      <c r="BP274" s="8">
        <v>-12108</v>
      </c>
      <c r="BR274" s="8">
        <v>0</v>
      </c>
      <c r="BT274" s="9">
        <f t="shared" si="17"/>
        <v>-1172531</v>
      </c>
      <c r="BU274" s="9"/>
      <c r="BV274" s="9">
        <f>BT274-'Gov Fd BS'!AA274</f>
        <v>0</v>
      </c>
    </row>
    <row r="275" spans="1:74">
      <c r="A275" s="13"/>
      <c r="B275" s="13"/>
      <c r="C275" s="13"/>
      <c r="D275" s="13"/>
      <c r="E275" s="32"/>
      <c r="AJ275" s="13"/>
      <c r="AK275" s="13"/>
      <c r="AL275" s="13"/>
      <c r="AZ275" s="9"/>
      <c r="BJ275" s="9"/>
      <c r="BL275" s="9"/>
      <c r="BT275" s="9"/>
      <c r="BU275" s="9"/>
      <c r="BV275" s="9"/>
    </row>
    <row r="276" spans="1:74">
      <c r="A276" s="13"/>
      <c r="B276" s="13"/>
      <c r="C276" s="13"/>
      <c r="D276" s="13"/>
      <c r="E276" s="32"/>
      <c r="AI276" s="89" t="s">
        <v>819</v>
      </c>
      <c r="AJ276" s="13"/>
      <c r="AK276" s="13"/>
      <c r="AL276" s="13"/>
      <c r="AZ276" s="9"/>
      <c r="BJ276" s="9"/>
      <c r="BL276" s="9"/>
      <c r="BT276" s="89" t="s">
        <v>819</v>
      </c>
      <c r="BU276" s="9"/>
      <c r="BV276" s="9"/>
    </row>
    <row r="277" spans="1:74" s="35" customFormat="1">
      <c r="A277" s="34" t="s">
        <v>906</v>
      </c>
      <c r="B277" s="34"/>
      <c r="C277" s="34" t="s">
        <v>25</v>
      </c>
      <c r="D277" s="34"/>
      <c r="E277" s="34">
        <v>46888</v>
      </c>
      <c r="G277" s="35">
        <v>5033289</v>
      </c>
      <c r="I277" s="35">
        <v>1414627</v>
      </c>
      <c r="K277" s="35">
        <v>411770</v>
      </c>
      <c r="M277" s="35">
        <v>142393</v>
      </c>
      <c r="O277" s="35">
        <v>604129</v>
      </c>
      <c r="Q277" s="35">
        <v>534819</v>
      </c>
      <c r="S277" s="35">
        <v>88973</v>
      </c>
      <c r="U277" s="35">
        <v>1108488</v>
      </c>
      <c r="W277" s="35">
        <v>434525</v>
      </c>
      <c r="Y277" s="35">
        <v>0</v>
      </c>
      <c r="AA277" s="35">
        <v>1413342</v>
      </c>
      <c r="AC277" s="35">
        <v>571519</v>
      </c>
      <c r="AE277" s="35">
        <v>0</v>
      </c>
      <c r="AG277" s="35">
        <v>0</v>
      </c>
      <c r="AI277" s="35">
        <v>506105</v>
      </c>
      <c r="AJ277" s="34" t="s">
        <v>352</v>
      </c>
      <c r="AK277" s="34"/>
      <c r="AL277" s="34" t="s">
        <v>25</v>
      </c>
      <c r="AN277" s="35">
        <v>524835</v>
      </c>
      <c r="AP277" s="35">
        <v>54459</v>
      </c>
      <c r="AR277" s="35">
        <v>0</v>
      </c>
      <c r="AT277" s="35">
        <v>438063</v>
      </c>
      <c r="AV277" s="35">
        <v>316805</v>
      </c>
      <c r="AX277" s="35">
        <v>0</v>
      </c>
      <c r="AZ277" s="44">
        <f t="shared" si="15"/>
        <v>13598141</v>
      </c>
      <c r="BB277" s="35">
        <v>6958854</v>
      </c>
      <c r="BH277" s="35">
        <v>0</v>
      </c>
      <c r="BJ277" s="44">
        <f t="shared" si="16"/>
        <v>20556995</v>
      </c>
      <c r="BL277" s="44">
        <f>'Gov Fd Rv'!AU277-'Gov Fnd Exp'!BJ277</f>
        <v>7794542</v>
      </c>
      <c r="BN277" s="35">
        <f>5240898-99429</f>
        <v>5141469</v>
      </c>
      <c r="BP277" s="35">
        <v>0</v>
      </c>
      <c r="BR277" s="35">
        <v>0</v>
      </c>
      <c r="BT277" s="44">
        <f t="shared" si="17"/>
        <v>12936011</v>
      </c>
      <c r="BU277" s="44"/>
      <c r="BV277" s="44">
        <f>BT277-'Gov Fd BS'!AA275</f>
        <v>0</v>
      </c>
    </row>
    <row r="278" spans="1:74">
      <c r="A278" s="13" t="s">
        <v>422</v>
      </c>
      <c r="B278" s="13"/>
      <c r="C278" s="13" t="s">
        <v>33</v>
      </c>
      <c r="D278" s="13"/>
      <c r="E278" s="32">
        <v>47449</v>
      </c>
      <c r="G278" s="8">
        <v>5829689</v>
      </c>
      <c r="I278" s="8">
        <v>1177837</v>
      </c>
      <c r="K278" s="8">
        <v>307585</v>
      </c>
      <c r="M278" s="8">
        <v>0</v>
      </c>
      <c r="O278" s="8">
        <v>933523</v>
      </c>
      <c r="Q278" s="8">
        <v>544595</v>
      </c>
      <c r="S278" s="8">
        <v>10330</v>
      </c>
      <c r="U278" s="8">
        <v>880883</v>
      </c>
      <c r="W278" s="8">
        <v>311311</v>
      </c>
      <c r="Y278" s="8">
        <v>1768</v>
      </c>
      <c r="AA278" s="8">
        <v>1213230</v>
      </c>
      <c r="AC278" s="8">
        <v>728151</v>
      </c>
      <c r="AE278" s="8">
        <v>137364</v>
      </c>
      <c r="AG278" s="8">
        <v>0</v>
      </c>
      <c r="AI278" s="8">
        <v>452801</v>
      </c>
      <c r="AJ278" s="13" t="s">
        <v>422</v>
      </c>
      <c r="AK278" s="13"/>
      <c r="AL278" s="13" t="s">
        <v>33</v>
      </c>
      <c r="AN278" s="8">
        <v>404996</v>
      </c>
      <c r="AP278" s="8">
        <v>529738</v>
      </c>
      <c r="AR278" s="8">
        <v>0</v>
      </c>
      <c r="AT278" s="8">
        <v>520000</v>
      </c>
      <c r="AV278" s="8">
        <v>114845</v>
      </c>
      <c r="AX278" s="8">
        <v>0</v>
      </c>
      <c r="AZ278" s="9">
        <f t="shared" si="15"/>
        <v>14098646</v>
      </c>
      <c r="BB278" s="8">
        <v>423784</v>
      </c>
      <c r="BH278" s="8">
        <v>0</v>
      </c>
      <c r="BJ278" s="9">
        <f t="shared" si="16"/>
        <v>14522430</v>
      </c>
      <c r="BL278" s="9">
        <f>'Gov Fd Rv'!AU278-'Gov Fnd Exp'!BJ278</f>
        <v>-657057</v>
      </c>
      <c r="BN278" s="8">
        <f>6666134-2000</f>
        <v>6664134</v>
      </c>
      <c r="BP278" s="8">
        <v>0</v>
      </c>
      <c r="BR278" s="8">
        <v>0</v>
      </c>
      <c r="BT278" s="9">
        <f t="shared" si="17"/>
        <v>6007077</v>
      </c>
      <c r="BU278" s="9"/>
      <c r="BV278" s="9">
        <f>BT278-'Gov Fd BS'!AA276</f>
        <v>0</v>
      </c>
    </row>
    <row r="279" spans="1:74">
      <c r="A279" s="13" t="s">
        <v>482</v>
      </c>
      <c r="B279" s="13"/>
      <c r="C279" s="13" t="s">
        <v>42</v>
      </c>
      <c r="D279" s="13"/>
      <c r="E279" s="32">
        <v>48009</v>
      </c>
      <c r="G279" s="8">
        <v>10234984</v>
      </c>
      <c r="I279" s="8">
        <v>2359107</v>
      </c>
      <c r="K279" s="8">
        <v>167387</v>
      </c>
      <c r="M279" s="8">
        <v>320333</v>
      </c>
      <c r="O279" s="8">
        <v>1083952</v>
      </c>
      <c r="Q279" s="8">
        <v>1066938</v>
      </c>
      <c r="S279" s="8">
        <v>73888</v>
      </c>
      <c r="U279" s="8">
        <v>1910065</v>
      </c>
      <c r="W279" s="8">
        <v>572899</v>
      </c>
      <c r="Y279" s="8">
        <v>0</v>
      </c>
      <c r="AA279" s="8">
        <v>2902533</v>
      </c>
      <c r="AC279" s="8">
        <v>2041994</v>
      </c>
      <c r="AE279" s="8">
        <v>215657</v>
      </c>
      <c r="AG279" s="8">
        <v>1058671</v>
      </c>
      <c r="AI279" s="8">
        <v>0</v>
      </c>
      <c r="AJ279" s="13" t="s">
        <v>482</v>
      </c>
      <c r="AK279" s="13"/>
      <c r="AL279" s="13" t="s">
        <v>42</v>
      </c>
      <c r="AN279" s="8">
        <v>511168</v>
      </c>
      <c r="AP279" s="8">
        <v>309284</v>
      </c>
      <c r="AR279" s="8">
        <v>0</v>
      </c>
      <c r="AT279" s="8">
        <v>1739358</v>
      </c>
      <c r="AV279" s="8">
        <v>2742674</v>
      </c>
      <c r="AX279" s="8">
        <v>172526</v>
      </c>
      <c r="AZ279" s="9">
        <f t="shared" si="15"/>
        <v>29483418</v>
      </c>
      <c r="BB279" s="8">
        <v>40348</v>
      </c>
      <c r="BH279" s="8">
        <v>9761244</v>
      </c>
      <c r="BJ279" s="9">
        <f t="shared" si="16"/>
        <v>39285010</v>
      </c>
      <c r="BL279" s="9">
        <f>'Gov Fd Rv'!AU279-'Gov Fnd Exp'!BJ279</f>
        <v>322199</v>
      </c>
      <c r="BN279" s="8">
        <v>8193685</v>
      </c>
      <c r="BP279" s="8">
        <v>0</v>
      </c>
      <c r="BR279" s="8">
        <v>0</v>
      </c>
      <c r="BT279" s="9">
        <f t="shared" si="17"/>
        <v>8515884</v>
      </c>
      <c r="BU279" s="9"/>
      <c r="BV279" s="9">
        <f>BT279-'Gov Fd BS'!AA277</f>
        <v>0</v>
      </c>
    </row>
    <row r="280" spans="1:74">
      <c r="A280" s="13" t="s">
        <v>483</v>
      </c>
      <c r="B280" s="13"/>
      <c r="C280" s="13" t="s">
        <v>42</v>
      </c>
      <c r="D280" s="13"/>
      <c r="E280" s="32">
        <v>48017</v>
      </c>
      <c r="G280" s="8">
        <v>6716157</v>
      </c>
      <c r="I280" s="8">
        <v>1273539</v>
      </c>
      <c r="K280" s="8">
        <v>280224</v>
      </c>
      <c r="M280" s="8">
        <v>53216</v>
      </c>
      <c r="O280" s="8">
        <v>499148</v>
      </c>
      <c r="Q280" s="8">
        <v>772537</v>
      </c>
      <c r="S280" s="8">
        <v>528065</v>
      </c>
      <c r="U280" s="8">
        <v>1819563</v>
      </c>
      <c r="W280" s="8">
        <v>417845</v>
      </c>
      <c r="Y280" s="8">
        <v>37996</v>
      </c>
      <c r="AA280" s="8">
        <v>1577648</v>
      </c>
      <c r="AC280" s="8">
        <v>1128974</v>
      </c>
      <c r="AE280" s="8">
        <v>138872</v>
      </c>
      <c r="AG280" s="8">
        <v>0</v>
      </c>
      <c r="AI280" s="8">
        <v>803767</v>
      </c>
      <c r="AJ280" s="13" t="s">
        <v>483</v>
      </c>
      <c r="AK280" s="13"/>
      <c r="AL280" s="13" t="s">
        <v>42</v>
      </c>
      <c r="AN280" s="8">
        <v>454887</v>
      </c>
      <c r="AP280" s="8">
        <v>20371361</v>
      </c>
      <c r="AR280" s="8">
        <v>0</v>
      </c>
      <c r="AT280" s="8">
        <v>708179</v>
      </c>
      <c r="AV280" s="8">
        <v>614936</v>
      </c>
      <c r="AX280" s="8">
        <v>0</v>
      </c>
      <c r="AZ280" s="9">
        <f t="shared" si="15"/>
        <v>38196914</v>
      </c>
      <c r="BB280" s="8">
        <v>88150</v>
      </c>
      <c r="BH280" s="8">
        <v>0</v>
      </c>
      <c r="BJ280" s="9">
        <f t="shared" si="16"/>
        <v>38285064</v>
      </c>
      <c r="BL280" s="9">
        <f>'Gov Fd Rv'!AU280-'Gov Fnd Exp'!BJ280</f>
        <v>-5782458</v>
      </c>
      <c r="BN280" s="8">
        <f>17405415-808017</f>
        <v>16597398</v>
      </c>
      <c r="BP280" s="8">
        <v>0</v>
      </c>
      <c r="BR280" s="8">
        <v>0</v>
      </c>
      <c r="BT280" s="9">
        <f t="shared" si="17"/>
        <v>10814940</v>
      </c>
      <c r="BU280" s="9"/>
      <c r="BV280" s="9">
        <f>BT280-'Gov Fd BS'!AA278</f>
        <v>0</v>
      </c>
    </row>
    <row r="281" spans="1:74">
      <c r="A281" s="13" t="s">
        <v>710</v>
      </c>
      <c r="B281" s="13"/>
      <c r="C281" s="13" t="s">
        <v>67</v>
      </c>
      <c r="D281" s="13"/>
      <c r="E281" s="32">
        <v>50369</v>
      </c>
      <c r="G281" s="8">
        <v>3223180</v>
      </c>
      <c r="I281" s="8">
        <v>1454554</v>
      </c>
      <c r="K281" s="8">
        <v>173856</v>
      </c>
      <c r="M281" s="8">
        <v>685693</v>
      </c>
      <c r="O281" s="8">
        <v>189804</v>
      </c>
      <c r="Q281" s="8">
        <v>284151</v>
      </c>
      <c r="S281" s="8">
        <v>29735</v>
      </c>
      <c r="U281" s="8">
        <v>896026</v>
      </c>
      <c r="W281" s="8">
        <v>255927</v>
      </c>
      <c r="Y281" s="8">
        <v>0</v>
      </c>
      <c r="AA281" s="8">
        <v>485119</v>
      </c>
      <c r="AC281" s="8">
        <v>333710</v>
      </c>
      <c r="AE281" s="8">
        <v>14978</v>
      </c>
      <c r="AG281" s="8">
        <v>297314</v>
      </c>
      <c r="AI281" s="8">
        <v>21640</v>
      </c>
      <c r="AJ281" s="13" t="s">
        <v>710</v>
      </c>
      <c r="AK281" s="13"/>
      <c r="AL281" s="13" t="s">
        <v>67</v>
      </c>
      <c r="AN281" s="8">
        <v>217872</v>
      </c>
      <c r="AP281" s="8">
        <v>11653910</v>
      </c>
      <c r="AR281" s="8">
        <v>0</v>
      </c>
      <c r="AT281" s="8">
        <v>330000</v>
      </c>
      <c r="AV281" s="8">
        <v>537124</v>
      </c>
      <c r="AX281" s="8">
        <v>0</v>
      </c>
      <c r="AZ281" s="9">
        <f t="shared" si="15"/>
        <v>21084593</v>
      </c>
      <c r="BB281" s="8">
        <v>4000</v>
      </c>
      <c r="BH281" s="8">
        <v>0</v>
      </c>
      <c r="BJ281" s="9">
        <f t="shared" si="16"/>
        <v>21088593</v>
      </c>
      <c r="BL281" s="9">
        <f>'Gov Fd Rv'!AU281-'Gov Fnd Exp'!BJ281</f>
        <v>-4021966</v>
      </c>
      <c r="BN281" s="8">
        <v>17571133</v>
      </c>
      <c r="BP281" s="8">
        <v>0</v>
      </c>
      <c r="BR281" s="8">
        <v>0</v>
      </c>
      <c r="BT281" s="9">
        <f t="shared" si="17"/>
        <v>13549167</v>
      </c>
      <c r="BU281" s="9"/>
      <c r="BV281" s="9">
        <f>BT281-'Gov Fd BS'!AA279</f>
        <v>0</v>
      </c>
    </row>
    <row r="282" spans="1:74">
      <c r="A282" s="13" t="s">
        <v>287</v>
      </c>
      <c r="B282" s="13"/>
      <c r="C282" s="13" t="s">
        <v>115</v>
      </c>
      <c r="D282" s="13"/>
      <c r="E282" s="32">
        <v>45450</v>
      </c>
      <c r="G282" s="8">
        <v>4474222</v>
      </c>
      <c r="I282" s="8">
        <v>1081130</v>
      </c>
      <c r="K282" s="8">
        <v>83574</v>
      </c>
      <c r="M282" s="8">
        <v>295185</v>
      </c>
      <c r="O282" s="8">
        <v>482190</v>
      </c>
      <c r="Q282" s="8">
        <v>140892</v>
      </c>
      <c r="S282" s="8">
        <v>33015</v>
      </c>
      <c r="U282" s="8">
        <v>710445</v>
      </c>
      <c r="W282" s="8">
        <v>243408</v>
      </c>
      <c r="Y282" s="8">
        <v>0</v>
      </c>
      <c r="AA282" s="8">
        <v>823129</v>
      </c>
      <c r="AC282" s="8">
        <v>403043</v>
      </c>
      <c r="AE282" s="8">
        <v>43970</v>
      </c>
      <c r="AG282" s="8">
        <v>452763</v>
      </c>
      <c r="AI282" s="8">
        <v>0</v>
      </c>
      <c r="AJ282" s="13" t="s">
        <v>287</v>
      </c>
      <c r="AK282" s="13"/>
      <c r="AL282" s="13" t="s">
        <v>115</v>
      </c>
      <c r="AN282" s="8">
        <v>211465</v>
      </c>
      <c r="AP282" s="8">
        <v>449788</v>
      </c>
      <c r="AR282" s="8">
        <v>0</v>
      </c>
      <c r="AT282" s="8">
        <v>201000</v>
      </c>
      <c r="AV282" s="8">
        <v>230231</v>
      </c>
      <c r="AX282" s="8">
        <v>0</v>
      </c>
      <c r="AZ282" s="9">
        <f t="shared" si="15"/>
        <v>10359450</v>
      </c>
      <c r="BB282" s="8">
        <v>0</v>
      </c>
      <c r="BH282" s="8">
        <v>0</v>
      </c>
      <c r="BJ282" s="9">
        <f t="shared" si="16"/>
        <v>10359450</v>
      </c>
      <c r="BL282" s="9">
        <f>'Gov Fd Rv'!AU282-'Gov Fnd Exp'!BJ282</f>
        <v>1382099</v>
      </c>
      <c r="BN282" s="8">
        <v>2640155</v>
      </c>
      <c r="BP282" s="8">
        <v>0</v>
      </c>
      <c r="BR282" s="8">
        <v>0</v>
      </c>
      <c r="BT282" s="9">
        <f t="shared" si="17"/>
        <v>4022254</v>
      </c>
      <c r="BU282" s="9"/>
      <c r="BV282" s="9">
        <f>BT282-'Gov Fd BS'!AA280</f>
        <v>0</v>
      </c>
    </row>
    <row r="283" spans="1:74">
      <c r="A283" s="13" t="s">
        <v>717</v>
      </c>
      <c r="B283" s="13"/>
      <c r="C283" s="13" t="s">
        <v>69</v>
      </c>
      <c r="D283" s="13"/>
      <c r="E283" s="32">
        <v>50443</v>
      </c>
      <c r="G283" s="8">
        <v>13935470</v>
      </c>
      <c r="I283" s="8">
        <v>3139401</v>
      </c>
      <c r="K283" s="8">
        <v>639</v>
      </c>
      <c r="M283" s="8">
        <v>937351</v>
      </c>
      <c r="O283" s="8">
        <v>1414561</v>
      </c>
      <c r="Q283" s="8">
        <v>1641364</v>
      </c>
      <c r="S283" s="8">
        <v>43126</v>
      </c>
      <c r="U283" s="8">
        <v>2710327</v>
      </c>
      <c r="W283" s="8">
        <v>770838</v>
      </c>
      <c r="Y283" s="8">
        <v>215824</v>
      </c>
      <c r="AA283" s="8">
        <v>5341334</v>
      </c>
      <c r="AC283" s="8">
        <v>3498520</v>
      </c>
      <c r="AE283" s="8">
        <v>1192014</v>
      </c>
      <c r="AG283" s="8">
        <v>0</v>
      </c>
      <c r="AI283" s="8">
        <v>1557860</v>
      </c>
      <c r="AJ283" s="13" t="s">
        <v>717</v>
      </c>
      <c r="AK283" s="13"/>
      <c r="AL283" s="13" t="s">
        <v>69</v>
      </c>
      <c r="AN283" s="8">
        <v>971917</v>
      </c>
      <c r="AP283" s="8">
        <v>25242791</v>
      </c>
      <c r="AR283" s="8">
        <v>0</v>
      </c>
      <c r="AT283" s="8">
        <v>3223495</v>
      </c>
      <c r="AV283" s="8">
        <v>2849713</v>
      </c>
      <c r="AX283" s="8">
        <v>0</v>
      </c>
      <c r="AZ283" s="9">
        <f t="shared" si="15"/>
        <v>68686545</v>
      </c>
      <c r="BB283" s="8">
        <v>6363668</v>
      </c>
      <c r="BH283" s="8">
        <v>0</v>
      </c>
      <c r="BJ283" s="9">
        <f t="shared" si="16"/>
        <v>75050213</v>
      </c>
      <c r="BL283" s="9">
        <f>'Gov Fd Rv'!AU283-'Gov Fnd Exp'!BJ283</f>
        <v>-24271707</v>
      </c>
      <c r="BN283" s="8">
        <f>53631132-3890000</f>
        <v>49741132</v>
      </c>
      <c r="BP283" s="8">
        <v>0</v>
      </c>
      <c r="BR283" s="8">
        <v>0</v>
      </c>
      <c r="BT283" s="9">
        <f t="shared" si="17"/>
        <v>25469425</v>
      </c>
      <c r="BU283" s="9"/>
      <c r="BV283" s="9">
        <f>BT283-'Gov Fd BS'!AA281</f>
        <v>0</v>
      </c>
    </row>
    <row r="284" spans="1:74" hidden="1">
      <c r="A284" s="13" t="s">
        <v>401</v>
      </c>
      <c r="B284" s="13"/>
      <c r="C284" s="13" t="s">
        <v>32</v>
      </c>
      <c r="D284" s="13"/>
      <c r="E284" s="32">
        <v>44230</v>
      </c>
      <c r="G284" s="8">
        <v>0</v>
      </c>
      <c r="I284" s="8">
        <v>0</v>
      </c>
      <c r="K284" s="8">
        <v>0</v>
      </c>
      <c r="M284" s="8">
        <v>0</v>
      </c>
      <c r="O284" s="8">
        <v>0</v>
      </c>
      <c r="Q284" s="8">
        <v>0</v>
      </c>
      <c r="S284" s="8">
        <v>0</v>
      </c>
      <c r="U284" s="8">
        <v>0</v>
      </c>
      <c r="W284" s="8">
        <v>0</v>
      </c>
      <c r="Y284" s="8">
        <v>0</v>
      </c>
      <c r="AA284" s="8">
        <v>0</v>
      </c>
      <c r="AC284" s="8">
        <v>0</v>
      </c>
      <c r="AE284" s="8">
        <v>0</v>
      </c>
      <c r="AG284" s="8">
        <v>0</v>
      </c>
      <c r="AI284" s="8">
        <v>0</v>
      </c>
      <c r="AJ284" s="13" t="s">
        <v>401</v>
      </c>
      <c r="AK284" s="13"/>
      <c r="AL284" s="13" t="s">
        <v>32</v>
      </c>
      <c r="AN284" s="8">
        <v>0</v>
      </c>
      <c r="AP284" s="8">
        <v>0</v>
      </c>
      <c r="AR284" s="8">
        <v>0</v>
      </c>
      <c r="AT284" s="8">
        <v>0</v>
      </c>
      <c r="AV284" s="8">
        <v>0</v>
      </c>
      <c r="AX284" s="8">
        <v>0</v>
      </c>
      <c r="AZ284" s="9">
        <f t="shared" si="15"/>
        <v>0</v>
      </c>
      <c r="BB284" s="8">
        <v>0</v>
      </c>
      <c r="BH284" s="8">
        <v>0</v>
      </c>
      <c r="BJ284" s="9">
        <f t="shared" si="16"/>
        <v>0</v>
      </c>
      <c r="BL284" s="9">
        <f>'Gov Fd Rv'!AU284-'Gov Fnd Exp'!BJ284</f>
        <v>0</v>
      </c>
      <c r="BN284" s="8">
        <v>0</v>
      </c>
      <c r="BP284" s="8">
        <v>0</v>
      </c>
      <c r="BR284" s="8">
        <v>0</v>
      </c>
      <c r="BT284" s="9">
        <f t="shared" si="17"/>
        <v>0</v>
      </c>
      <c r="BU284" s="9"/>
      <c r="BV284" s="9">
        <f>BT284-'Gov Fd BS'!AA282</f>
        <v>0</v>
      </c>
    </row>
    <row r="285" spans="1:74">
      <c r="A285" s="13" t="s">
        <v>589</v>
      </c>
      <c r="B285" s="13"/>
      <c r="C285" s="13" t="s">
        <v>54</v>
      </c>
      <c r="D285" s="13"/>
      <c r="E285" s="32">
        <v>49080</v>
      </c>
      <c r="G285" s="8">
        <v>9258453</v>
      </c>
      <c r="I285" s="8">
        <v>1981194</v>
      </c>
      <c r="K285" s="8">
        <v>13754</v>
      </c>
      <c r="M285" s="8">
        <v>171777</v>
      </c>
      <c r="O285" s="8">
        <v>860283</v>
      </c>
      <c r="Q285" s="8">
        <v>991329</v>
      </c>
      <c r="S285" s="8">
        <v>109719</v>
      </c>
      <c r="U285" s="8">
        <v>1429265</v>
      </c>
      <c r="W285" s="8">
        <v>500747</v>
      </c>
      <c r="Y285" s="8">
        <v>1642</v>
      </c>
      <c r="AA285" s="8">
        <v>2022653</v>
      </c>
      <c r="AC285" s="8">
        <v>1466994</v>
      </c>
      <c r="AE285" s="8">
        <v>206019</v>
      </c>
      <c r="AG285" s="8">
        <v>799161</v>
      </c>
      <c r="AI285" s="8">
        <v>0</v>
      </c>
      <c r="AJ285" s="13" t="s">
        <v>589</v>
      </c>
      <c r="AK285" s="13"/>
      <c r="AL285" s="13" t="s">
        <v>54</v>
      </c>
      <c r="AN285" s="8">
        <v>469973</v>
      </c>
      <c r="AP285" s="8">
        <v>0</v>
      </c>
      <c r="AR285" s="8">
        <v>0</v>
      </c>
      <c r="AT285" s="8">
        <v>0</v>
      </c>
      <c r="AV285" s="8">
        <v>0</v>
      </c>
      <c r="AX285" s="8">
        <v>0</v>
      </c>
      <c r="AZ285" s="9">
        <f t="shared" si="15"/>
        <v>20282963</v>
      </c>
      <c r="BB285" s="8">
        <v>0</v>
      </c>
      <c r="BH285" s="8">
        <v>0</v>
      </c>
      <c r="BJ285" s="9">
        <f t="shared" si="16"/>
        <v>20282963</v>
      </c>
      <c r="BL285" s="9">
        <f>'Gov Fd Rv'!AU285-'Gov Fnd Exp'!BJ285</f>
        <v>1669517</v>
      </c>
      <c r="BN285" s="8">
        <v>4287463</v>
      </c>
      <c r="BP285" s="8">
        <v>0</v>
      </c>
      <c r="BR285" s="8">
        <v>0</v>
      </c>
      <c r="BT285" s="9">
        <f t="shared" si="17"/>
        <v>5956980</v>
      </c>
      <c r="BU285" s="9"/>
      <c r="BV285" s="9">
        <f>BT285-'Gov Fd BS'!AA283</f>
        <v>0</v>
      </c>
    </row>
    <row r="286" spans="1:74">
      <c r="A286" s="13" t="s">
        <v>445</v>
      </c>
      <c r="B286" s="13"/>
      <c r="C286" s="13" t="s">
        <v>35</v>
      </c>
      <c r="D286" s="13"/>
      <c r="E286" s="32">
        <v>44248</v>
      </c>
      <c r="G286" s="8">
        <v>13328524</v>
      </c>
      <c r="I286" s="8">
        <v>4757423</v>
      </c>
      <c r="K286" s="8">
        <v>602084</v>
      </c>
      <c r="M286" s="8">
        <v>570083</v>
      </c>
      <c r="O286" s="8">
        <v>2348319</v>
      </c>
      <c r="Q286" s="8">
        <v>2472936</v>
      </c>
      <c r="S286" s="8">
        <v>105351</v>
      </c>
      <c r="U286" s="8">
        <v>2625987</v>
      </c>
      <c r="W286" s="8">
        <v>990569</v>
      </c>
      <c r="Y286" s="8">
        <v>0</v>
      </c>
      <c r="AA286" s="8">
        <v>2950603</v>
      </c>
      <c r="AC286" s="8">
        <v>2766594</v>
      </c>
      <c r="AE286" s="8">
        <v>29344</v>
      </c>
      <c r="AG286" s="8">
        <v>0</v>
      </c>
      <c r="AI286" s="8">
        <v>108678</v>
      </c>
      <c r="AJ286" s="13" t="s">
        <v>445</v>
      </c>
      <c r="AK286" s="13"/>
      <c r="AL286" s="13" t="s">
        <v>35</v>
      </c>
      <c r="AN286" s="8">
        <v>700716</v>
      </c>
      <c r="AP286" s="8">
        <v>21916308</v>
      </c>
      <c r="AR286" s="8">
        <v>0</v>
      </c>
      <c r="AT286" s="8">
        <v>746643</v>
      </c>
      <c r="AV286" s="8">
        <v>2030787</v>
      </c>
      <c r="AX286" s="8">
        <v>0</v>
      </c>
      <c r="AZ286" s="9">
        <f t="shared" si="15"/>
        <v>59050949</v>
      </c>
      <c r="BB286" s="8">
        <v>4268167</v>
      </c>
      <c r="BH286" s="8">
        <v>0</v>
      </c>
      <c r="BJ286" s="9">
        <f t="shared" si="16"/>
        <v>63319116</v>
      </c>
      <c r="BL286" s="9">
        <f>'Gov Fd Rv'!AU286-'Gov Fnd Exp'!BJ286</f>
        <v>6901727</v>
      </c>
      <c r="BN286" s="8">
        <f>25877211-15374</f>
        <v>25861837</v>
      </c>
      <c r="BP286" s="8">
        <v>7687</v>
      </c>
      <c r="BR286" s="8">
        <v>0</v>
      </c>
      <c r="BT286" s="9">
        <f t="shared" si="17"/>
        <v>32771251</v>
      </c>
      <c r="BU286" s="9"/>
      <c r="BV286" s="9">
        <f>BT286-'Gov Fd BS'!AA284</f>
        <v>0</v>
      </c>
    </row>
    <row r="287" spans="1:74">
      <c r="A287" s="13" t="s">
        <v>513</v>
      </c>
      <c r="B287" s="13"/>
      <c r="C287" s="13" t="s">
        <v>511</v>
      </c>
      <c r="D287" s="13"/>
      <c r="E287" s="32">
        <v>44255</v>
      </c>
      <c r="G287" s="8">
        <v>8490058</v>
      </c>
      <c r="I287" s="8">
        <v>3265215</v>
      </c>
      <c r="K287" s="8">
        <v>291068</v>
      </c>
      <c r="M287" s="8">
        <v>45425</v>
      </c>
      <c r="O287" s="8">
        <v>678947</v>
      </c>
      <c r="Q287" s="8">
        <v>1182951</v>
      </c>
      <c r="S287" s="8">
        <v>110433</v>
      </c>
      <c r="U287" s="8">
        <v>1666927</v>
      </c>
      <c r="W287" s="8">
        <v>594898</v>
      </c>
      <c r="Y287" s="8">
        <v>0</v>
      </c>
      <c r="AA287" s="8">
        <v>2200115</v>
      </c>
      <c r="AC287" s="8">
        <v>977427</v>
      </c>
      <c r="AE287" s="8">
        <v>397700</v>
      </c>
      <c r="AG287" s="8">
        <v>729646</v>
      </c>
      <c r="AI287" s="8">
        <v>132350</v>
      </c>
      <c r="AJ287" s="13" t="s">
        <v>513</v>
      </c>
      <c r="AK287" s="13"/>
      <c r="AL287" s="13" t="s">
        <v>511</v>
      </c>
      <c r="AN287" s="8">
        <v>701767</v>
      </c>
      <c r="AP287" s="8">
        <v>125964</v>
      </c>
      <c r="AR287" s="8">
        <v>0</v>
      </c>
      <c r="AT287" s="8">
        <v>1342481</v>
      </c>
      <c r="AV287" s="8">
        <v>1065790</v>
      </c>
      <c r="AX287" s="8">
        <v>0</v>
      </c>
      <c r="AZ287" s="9">
        <f t="shared" si="15"/>
        <v>23999162</v>
      </c>
      <c r="BB287" s="8">
        <v>0</v>
      </c>
      <c r="BH287" s="8">
        <v>0</v>
      </c>
      <c r="BJ287" s="9">
        <f t="shared" si="16"/>
        <v>23999162</v>
      </c>
      <c r="BL287" s="9">
        <f>'Gov Fd Rv'!AU287-'Gov Fnd Exp'!BJ287</f>
        <v>766472</v>
      </c>
      <c r="BN287" s="8">
        <v>3068248</v>
      </c>
      <c r="BP287" s="8">
        <v>0</v>
      </c>
      <c r="BR287" s="8">
        <v>0</v>
      </c>
      <c r="BT287" s="9">
        <f t="shared" si="17"/>
        <v>3834720</v>
      </c>
      <c r="BU287" s="9"/>
      <c r="BV287" s="9">
        <f>BT287-'Gov Fd BS'!AA285</f>
        <v>0</v>
      </c>
    </row>
    <row r="288" spans="1:74" s="35" customFormat="1">
      <c r="A288" s="34" t="s">
        <v>496</v>
      </c>
      <c r="B288" s="34"/>
      <c r="C288" s="34" t="s">
        <v>44</v>
      </c>
      <c r="D288" s="34"/>
      <c r="E288" s="34">
        <v>44263</v>
      </c>
      <c r="G288" s="8">
        <v>34551021</v>
      </c>
      <c r="H288" s="8"/>
      <c r="I288" s="8">
        <v>8236621</v>
      </c>
      <c r="J288" s="8"/>
      <c r="K288" s="8">
        <v>1816041</v>
      </c>
      <c r="L288" s="8"/>
      <c r="M288" s="8">
        <v>14831100</v>
      </c>
      <c r="N288" s="8"/>
      <c r="O288" s="8">
        <v>4374887</v>
      </c>
      <c r="P288" s="8"/>
      <c r="Q288" s="8">
        <v>4630612</v>
      </c>
      <c r="R288" s="8"/>
      <c r="S288" s="8">
        <v>253255</v>
      </c>
      <c r="T288" s="8"/>
      <c r="U288" s="8">
        <v>6652194</v>
      </c>
      <c r="V288" s="8"/>
      <c r="W288" s="8">
        <v>1866837</v>
      </c>
      <c r="X288" s="8"/>
      <c r="Y288" s="8">
        <v>444551</v>
      </c>
      <c r="Z288" s="8"/>
      <c r="AA288" s="8">
        <v>8536060</v>
      </c>
      <c r="AB288" s="8"/>
      <c r="AC288" s="8">
        <v>2645079</v>
      </c>
      <c r="AD288" s="8"/>
      <c r="AE288" s="8">
        <v>844611</v>
      </c>
      <c r="AF288" s="8"/>
      <c r="AG288" s="8">
        <v>4295699</v>
      </c>
      <c r="AH288" s="8"/>
      <c r="AI288" s="8">
        <v>1746858</v>
      </c>
      <c r="AJ288" s="34" t="s">
        <v>496</v>
      </c>
      <c r="AK288" s="34"/>
      <c r="AL288" s="34" t="s">
        <v>44</v>
      </c>
      <c r="AN288" s="8">
        <v>1841380</v>
      </c>
      <c r="AO288" s="8"/>
      <c r="AP288" s="8">
        <v>5631733</v>
      </c>
      <c r="AQ288" s="8"/>
      <c r="AR288" s="8">
        <v>0</v>
      </c>
      <c r="AS288" s="8"/>
      <c r="AT288" s="8">
        <v>2285000</v>
      </c>
      <c r="AU288" s="8"/>
      <c r="AV288" s="8">
        <v>1759322</v>
      </c>
      <c r="AW288" s="8"/>
      <c r="AX288" s="8">
        <v>0</v>
      </c>
      <c r="AY288" s="8"/>
      <c r="AZ288" s="9">
        <f t="shared" si="15"/>
        <v>107242861</v>
      </c>
      <c r="BA288" s="8"/>
      <c r="BB288" s="8">
        <v>2110423</v>
      </c>
      <c r="BC288" s="8"/>
      <c r="BD288" s="8"/>
      <c r="BE288" s="8"/>
      <c r="BF288" s="8"/>
      <c r="BG288" s="8"/>
      <c r="BH288" s="8">
        <v>0</v>
      </c>
      <c r="BI288" s="8"/>
      <c r="BJ288" s="9">
        <f t="shared" si="16"/>
        <v>109353284</v>
      </c>
      <c r="BK288" s="8"/>
      <c r="BL288" s="9">
        <f>'Gov Fd Rv'!AU288-'Gov Fnd Exp'!BJ288</f>
        <v>6482677</v>
      </c>
      <c r="BM288" s="8"/>
      <c r="BN288" s="8">
        <f>46064940-3399648</f>
        <v>42665292</v>
      </c>
      <c r="BO288" s="8"/>
      <c r="BP288" s="8">
        <v>0</v>
      </c>
      <c r="BQ288" s="8"/>
      <c r="BR288" s="8">
        <v>0</v>
      </c>
      <c r="BS288" s="8"/>
      <c r="BT288" s="9">
        <f t="shared" si="17"/>
        <v>49147969</v>
      </c>
      <c r="BU288" s="9"/>
      <c r="BV288" s="9">
        <f>BT288-'Gov Fd BS'!AA286</f>
        <v>0</v>
      </c>
    </row>
    <row r="289" spans="1:74">
      <c r="A289" s="13" t="s">
        <v>691</v>
      </c>
      <c r="B289" s="13"/>
      <c r="C289" s="13" t="s">
        <v>64</v>
      </c>
      <c r="D289" s="13"/>
      <c r="E289" s="13">
        <v>50203</v>
      </c>
      <c r="G289" s="8">
        <v>2930476</v>
      </c>
      <c r="I289" s="8">
        <v>590767</v>
      </c>
      <c r="K289" s="8">
        <v>58947</v>
      </c>
      <c r="M289" s="8">
        <v>182400</v>
      </c>
      <c r="O289" s="8">
        <v>152770</v>
      </c>
      <c r="Q289" s="8">
        <v>130282</v>
      </c>
      <c r="S289" s="8">
        <v>148022</v>
      </c>
      <c r="U289" s="8">
        <v>501103</v>
      </c>
      <c r="W289" s="8">
        <v>316697</v>
      </c>
      <c r="Y289" s="8">
        <v>23763</v>
      </c>
      <c r="AA289" s="8">
        <v>1258601</v>
      </c>
      <c r="AC289" s="8">
        <v>274466</v>
      </c>
      <c r="AE289" s="8">
        <v>0</v>
      </c>
      <c r="AG289" s="8">
        <v>213285</v>
      </c>
      <c r="AI289" s="8">
        <v>273001</v>
      </c>
      <c r="AJ289" s="13" t="s">
        <v>691</v>
      </c>
      <c r="AK289" s="13"/>
      <c r="AL289" s="13" t="s">
        <v>64</v>
      </c>
      <c r="AN289" s="8">
        <v>250841</v>
      </c>
      <c r="AP289" s="8">
        <v>11077</v>
      </c>
      <c r="AR289" s="8">
        <v>0</v>
      </c>
      <c r="AT289" s="8">
        <v>164914</v>
      </c>
      <c r="AV289" s="8">
        <v>78020</v>
      </c>
      <c r="AX289" s="8">
        <v>0</v>
      </c>
      <c r="AZ289" s="9">
        <f t="shared" si="15"/>
        <v>7559432</v>
      </c>
      <c r="BB289" s="8">
        <v>155000</v>
      </c>
      <c r="BH289" s="8">
        <v>0</v>
      </c>
      <c r="BJ289" s="9">
        <f t="shared" si="16"/>
        <v>7714432</v>
      </c>
      <c r="BL289" s="9">
        <f>'Gov Fd Rv'!AU289-'Gov Fnd Exp'!BJ289</f>
        <v>2486045</v>
      </c>
      <c r="BN289" s="8">
        <v>1636135</v>
      </c>
      <c r="BP289" s="8">
        <v>0</v>
      </c>
      <c r="BR289" s="8">
        <v>0</v>
      </c>
      <c r="BT289" s="9">
        <f t="shared" si="17"/>
        <v>4122180</v>
      </c>
      <c r="BU289" s="9"/>
      <c r="BV289" s="9">
        <f>BT289-'Gov Fd BS'!AA287</f>
        <v>0</v>
      </c>
    </row>
    <row r="290" spans="1:74">
      <c r="A290" s="12" t="s">
        <v>907</v>
      </c>
      <c r="B290" s="13"/>
      <c r="C290" s="13" t="s">
        <v>11</v>
      </c>
      <c r="D290" s="13"/>
      <c r="E290" s="32">
        <v>45468</v>
      </c>
      <c r="G290" s="8">
        <v>5314900</v>
      </c>
      <c r="I290" s="8">
        <v>1134732</v>
      </c>
      <c r="K290" s="8">
        <v>344864</v>
      </c>
      <c r="M290" s="8">
        <v>729568</v>
      </c>
      <c r="O290" s="8">
        <v>624047</v>
      </c>
      <c r="Q290" s="8">
        <v>721245</v>
      </c>
      <c r="S290" s="8">
        <v>29592</v>
      </c>
      <c r="U290" s="8">
        <v>905556</v>
      </c>
      <c r="W290" s="8">
        <v>375892</v>
      </c>
      <c r="Y290" s="8">
        <v>11760</v>
      </c>
      <c r="AA290" s="8">
        <v>1058674</v>
      </c>
      <c r="AC290" s="8">
        <v>665764</v>
      </c>
      <c r="AE290" s="8">
        <v>112439</v>
      </c>
      <c r="AG290" s="8">
        <v>504003</v>
      </c>
      <c r="AI290" s="8">
        <v>53305</v>
      </c>
      <c r="AJ290" s="13" t="s">
        <v>217</v>
      </c>
      <c r="AK290" s="13"/>
      <c r="AL290" s="13" t="s">
        <v>11</v>
      </c>
      <c r="AN290" s="8">
        <v>409152</v>
      </c>
      <c r="AP290" s="8">
        <v>260227</v>
      </c>
      <c r="AR290" s="8">
        <v>0</v>
      </c>
      <c r="AT290" s="8">
        <v>15188</v>
      </c>
      <c r="AV290" s="8">
        <v>3503</v>
      </c>
      <c r="AX290" s="8">
        <v>0</v>
      </c>
      <c r="AZ290" s="9">
        <f t="shared" si="15"/>
        <v>13274411</v>
      </c>
      <c r="BB290" s="8">
        <v>0</v>
      </c>
      <c r="BH290" s="8">
        <v>0</v>
      </c>
      <c r="BJ290" s="9">
        <f t="shared" si="16"/>
        <v>13274411</v>
      </c>
      <c r="BL290" s="9">
        <f>'Gov Fd Rv'!AU290-'Gov Fnd Exp'!BJ290</f>
        <v>-440023</v>
      </c>
      <c r="BN290" s="8">
        <f>4045791-15111</f>
        <v>4030680</v>
      </c>
      <c r="BP290" s="8">
        <v>0</v>
      </c>
      <c r="BR290" s="8">
        <v>0</v>
      </c>
      <c r="BT290" s="9">
        <f t="shared" si="17"/>
        <v>3590657</v>
      </c>
      <c r="BU290" s="9"/>
      <c r="BV290" s="9">
        <f>BT290-'Gov Fd BS'!AA288</f>
        <v>0</v>
      </c>
    </row>
    <row r="291" spans="1:74">
      <c r="A291" s="13" t="s">
        <v>659</v>
      </c>
      <c r="B291" s="13"/>
      <c r="C291" s="13" t="s">
        <v>62</v>
      </c>
      <c r="D291" s="13"/>
      <c r="E291" s="32">
        <v>49874</v>
      </c>
      <c r="G291" s="8">
        <v>11946623</v>
      </c>
      <c r="I291" s="8">
        <v>3016212</v>
      </c>
      <c r="K291" s="8">
        <v>447886</v>
      </c>
      <c r="M291" s="8">
        <v>0</v>
      </c>
      <c r="O291" s="8">
        <v>1024850</v>
      </c>
      <c r="Q291" s="8">
        <v>751620</v>
      </c>
      <c r="S291" s="8">
        <v>105316</v>
      </c>
      <c r="U291" s="8">
        <v>1758427</v>
      </c>
      <c r="W291" s="8">
        <v>424142</v>
      </c>
      <c r="Y291" s="8">
        <v>236233</v>
      </c>
      <c r="AA291" s="8">
        <v>2022096</v>
      </c>
      <c r="AC291" s="8">
        <v>1266518</v>
      </c>
      <c r="AE291" s="8">
        <v>1649</v>
      </c>
      <c r="AG291" s="8">
        <v>1176941</v>
      </c>
      <c r="AI291" s="8">
        <v>351513</v>
      </c>
      <c r="AJ291" s="13" t="s">
        <v>659</v>
      </c>
      <c r="AK291" s="13"/>
      <c r="AL291" s="13" t="s">
        <v>62</v>
      </c>
      <c r="AN291" s="8">
        <v>916737</v>
      </c>
      <c r="AP291" s="8">
        <v>205297</v>
      </c>
      <c r="AR291" s="8">
        <v>0</v>
      </c>
      <c r="AT291" s="8">
        <v>86526</v>
      </c>
      <c r="AV291" s="8">
        <v>1263148</v>
      </c>
      <c r="AX291" s="8">
        <v>0</v>
      </c>
      <c r="AZ291" s="9">
        <f t="shared" si="15"/>
        <v>27001734</v>
      </c>
      <c r="BB291" s="8">
        <v>56744</v>
      </c>
      <c r="BH291" s="8">
        <v>0</v>
      </c>
      <c r="BJ291" s="9">
        <f t="shared" si="16"/>
        <v>27058478</v>
      </c>
      <c r="BL291" s="9">
        <f>'Gov Fd Rv'!AU291-'Gov Fnd Exp'!BJ291</f>
        <v>1930222</v>
      </c>
      <c r="BN291" s="8">
        <v>2171502</v>
      </c>
      <c r="BP291" s="8">
        <v>0</v>
      </c>
      <c r="BR291" s="8">
        <v>0</v>
      </c>
      <c r="BT291" s="9">
        <f t="shared" si="17"/>
        <v>4101724</v>
      </c>
      <c r="BU291" s="9"/>
      <c r="BV291" s="9">
        <f>BT291-'Gov Fd BS'!AA289</f>
        <v>0</v>
      </c>
    </row>
    <row r="292" spans="1:74">
      <c r="A292" s="13" t="s">
        <v>402</v>
      </c>
      <c r="B292" s="13"/>
      <c r="C292" s="13" t="s">
        <v>32</v>
      </c>
      <c r="D292" s="13"/>
      <c r="E292" s="32">
        <v>44271</v>
      </c>
      <c r="G292" s="8">
        <v>19857677</v>
      </c>
      <c r="I292" s="8">
        <v>4951119</v>
      </c>
      <c r="K292" s="8">
        <v>170407</v>
      </c>
      <c r="M292" s="8">
        <v>790392</v>
      </c>
      <c r="O292" s="8">
        <v>2230527</v>
      </c>
      <c r="Q292" s="8">
        <v>1348465</v>
      </c>
      <c r="S292" s="8">
        <v>92629</v>
      </c>
      <c r="U292" s="8">
        <v>2878564</v>
      </c>
      <c r="W292" s="8">
        <v>1129435</v>
      </c>
      <c r="Y292" s="8">
        <v>215004</v>
      </c>
      <c r="AA292" s="8">
        <v>3610642</v>
      </c>
      <c r="AC292" s="8">
        <v>3084371</v>
      </c>
      <c r="AE292" s="8">
        <v>862387</v>
      </c>
      <c r="AG292" s="8">
        <v>0</v>
      </c>
      <c r="AI292" s="8">
        <v>2131633</v>
      </c>
      <c r="AJ292" s="13" t="s">
        <v>402</v>
      </c>
      <c r="AK292" s="13"/>
      <c r="AL292" s="13" t="s">
        <v>32</v>
      </c>
      <c r="AN292" s="8">
        <v>1102364</v>
      </c>
      <c r="AP292" s="8">
        <v>520212</v>
      </c>
      <c r="AR292" s="8">
        <v>0</v>
      </c>
      <c r="AT292" s="8">
        <v>3945000</v>
      </c>
      <c r="AV292" s="8">
        <v>1429978</v>
      </c>
      <c r="AX292" s="8">
        <v>0</v>
      </c>
      <c r="AZ292" s="9">
        <f t="shared" si="15"/>
        <v>50350806</v>
      </c>
      <c r="BB292" s="8">
        <v>1265</v>
      </c>
      <c r="BH292" s="8">
        <v>0</v>
      </c>
      <c r="BJ292" s="9">
        <f t="shared" si="16"/>
        <v>50352071</v>
      </c>
      <c r="BL292" s="9">
        <f>'Gov Fd Rv'!AU292-'Gov Fnd Exp'!BJ292</f>
        <v>-1764660</v>
      </c>
      <c r="BN292" s="8">
        <f>9654675-4042</f>
        <v>9650633</v>
      </c>
      <c r="BP292" s="8">
        <v>0</v>
      </c>
      <c r="BR292" s="8">
        <v>0</v>
      </c>
      <c r="BT292" s="9">
        <f t="shared" si="17"/>
        <v>7885973</v>
      </c>
      <c r="BU292" s="9"/>
      <c r="BV292" s="9">
        <f>BT292-'Gov Fd BS'!AA290</f>
        <v>0</v>
      </c>
    </row>
    <row r="293" spans="1:74">
      <c r="A293" s="13" t="s">
        <v>519</v>
      </c>
      <c r="B293" s="13"/>
      <c r="C293" s="13" t="s">
        <v>45</v>
      </c>
      <c r="D293" s="13"/>
      <c r="E293" s="32">
        <v>48330</v>
      </c>
      <c r="G293" s="8">
        <v>2406297</v>
      </c>
      <c r="I293" s="8">
        <v>370425</v>
      </c>
      <c r="K293" s="8">
        <v>32423</v>
      </c>
      <c r="M293" s="8">
        <v>14926</v>
      </c>
      <c r="O293" s="8">
        <v>203430</v>
      </c>
      <c r="Q293" s="8">
        <v>180736</v>
      </c>
      <c r="S293" s="8">
        <v>23731</v>
      </c>
      <c r="U293" s="8">
        <v>374501</v>
      </c>
      <c r="W293" s="8">
        <v>169126</v>
      </c>
      <c r="Y293" s="8">
        <v>0</v>
      </c>
      <c r="AA293" s="8">
        <v>528011</v>
      </c>
      <c r="AC293" s="8">
        <v>134567</v>
      </c>
      <c r="AE293" s="8">
        <v>26686</v>
      </c>
      <c r="AG293" s="8">
        <v>203420</v>
      </c>
      <c r="AI293" s="8">
        <v>6880</v>
      </c>
      <c r="AJ293" s="13" t="s">
        <v>519</v>
      </c>
      <c r="AK293" s="13"/>
      <c r="AL293" s="13" t="s">
        <v>45</v>
      </c>
      <c r="AN293" s="8">
        <v>283579</v>
      </c>
      <c r="AP293" s="8">
        <v>15198</v>
      </c>
      <c r="AR293" s="8">
        <v>0</v>
      </c>
      <c r="AT293" s="8">
        <v>62941</v>
      </c>
      <c r="AV293" s="8">
        <v>96204</v>
      </c>
      <c r="AX293" s="8">
        <v>0</v>
      </c>
      <c r="AZ293" s="9">
        <f t="shared" si="15"/>
        <v>5133081</v>
      </c>
      <c r="BB293" s="8">
        <v>256280</v>
      </c>
      <c r="BH293" s="8">
        <v>0</v>
      </c>
      <c r="BJ293" s="9">
        <f t="shared" si="16"/>
        <v>5389361</v>
      </c>
      <c r="BL293" s="9">
        <f>'Gov Fd Rv'!AU293-'Gov Fnd Exp'!BJ293</f>
        <v>383099</v>
      </c>
      <c r="BN293" s="8">
        <v>2315935</v>
      </c>
      <c r="BP293" s="8">
        <v>0</v>
      </c>
      <c r="BR293" s="8">
        <v>0</v>
      </c>
      <c r="BT293" s="9">
        <f t="shared" si="17"/>
        <v>2699034</v>
      </c>
      <c r="BU293" s="9"/>
      <c r="BV293" s="9">
        <f>BT293-'Gov Fd BS'!AA291</f>
        <v>0</v>
      </c>
    </row>
    <row r="294" spans="1:74">
      <c r="A294" s="13" t="s">
        <v>616</v>
      </c>
      <c r="B294" s="13"/>
      <c r="C294" s="13" t="s">
        <v>113</v>
      </c>
      <c r="D294" s="13"/>
      <c r="E294" s="32">
        <v>49445</v>
      </c>
      <c r="G294" s="8">
        <v>1959475</v>
      </c>
      <c r="I294" s="8">
        <v>557977</v>
      </c>
      <c r="K294" s="8">
        <v>9815</v>
      </c>
      <c r="M294" s="8">
        <v>245420</v>
      </c>
      <c r="O294" s="8">
        <v>68263</v>
      </c>
      <c r="Q294" s="8">
        <v>155190</v>
      </c>
      <c r="S294" s="8">
        <v>22035</v>
      </c>
      <c r="U294" s="8">
        <v>596511</v>
      </c>
      <c r="W294" s="8">
        <v>208388</v>
      </c>
      <c r="Y294" s="8">
        <v>0</v>
      </c>
      <c r="AA294" s="8">
        <v>427522</v>
      </c>
      <c r="AC294" s="8">
        <v>328918</v>
      </c>
      <c r="AE294" s="8">
        <v>55249</v>
      </c>
      <c r="AG294" s="8">
        <v>187688</v>
      </c>
      <c r="AI294" s="8">
        <v>3725</v>
      </c>
      <c r="AJ294" s="13" t="s">
        <v>616</v>
      </c>
      <c r="AK294" s="13"/>
      <c r="AL294" s="13" t="s">
        <v>113</v>
      </c>
      <c r="AN294" s="8">
        <v>169939</v>
      </c>
      <c r="AP294" s="8">
        <v>0</v>
      </c>
      <c r="AR294" s="8">
        <v>0</v>
      </c>
      <c r="AT294" s="8">
        <v>0</v>
      </c>
      <c r="AV294" s="8">
        <v>0</v>
      </c>
      <c r="AX294" s="8">
        <v>0</v>
      </c>
      <c r="AZ294" s="9">
        <f t="shared" si="15"/>
        <v>4996115</v>
      </c>
      <c r="BB294" s="8">
        <v>20000</v>
      </c>
      <c r="BH294" s="8">
        <v>0</v>
      </c>
      <c r="BJ294" s="9">
        <f t="shared" si="16"/>
        <v>5016115</v>
      </c>
      <c r="BL294" s="9">
        <f>'Gov Fd Rv'!AU294-'Gov Fnd Exp'!BJ294</f>
        <v>821936</v>
      </c>
      <c r="BN294" s="8">
        <v>1661783</v>
      </c>
      <c r="BP294" s="8">
        <v>0</v>
      </c>
      <c r="BR294" s="8">
        <v>0</v>
      </c>
      <c r="BT294" s="9">
        <f t="shared" si="17"/>
        <v>2483719</v>
      </c>
      <c r="BU294" s="9"/>
      <c r="BV294" s="9">
        <f>BT294-'Gov Fd BS'!AA292</f>
        <v>0</v>
      </c>
    </row>
    <row r="295" spans="1:74">
      <c r="A295" s="13" t="s">
        <v>444</v>
      </c>
      <c r="B295" s="13"/>
      <c r="C295" s="13" t="s">
        <v>440</v>
      </c>
      <c r="D295" s="13"/>
      <c r="E295" s="32">
        <v>47639</v>
      </c>
      <c r="G295" s="8">
        <v>5116099</v>
      </c>
      <c r="I295" s="8">
        <v>1172703</v>
      </c>
      <c r="K295" s="8">
        <v>185627</v>
      </c>
      <c r="M295" s="8">
        <v>57606</v>
      </c>
      <c r="O295" s="8">
        <v>389553</v>
      </c>
      <c r="Q295" s="8">
        <v>490989</v>
      </c>
      <c r="S295" s="8">
        <v>34028</v>
      </c>
      <c r="U295" s="8">
        <v>1045285</v>
      </c>
      <c r="W295" s="8">
        <v>294967</v>
      </c>
      <c r="Y295" s="8">
        <v>43917</v>
      </c>
      <c r="AA295" s="8">
        <v>1244083</v>
      </c>
      <c r="AC295" s="8">
        <v>835431</v>
      </c>
      <c r="AE295" s="8">
        <v>10080</v>
      </c>
      <c r="AG295" s="8">
        <v>518123</v>
      </c>
      <c r="AI295" s="8">
        <v>1477</v>
      </c>
      <c r="AJ295" s="13" t="s">
        <v>444</v>
      </c>
      <c r="AK295" s="13"/>
      <c r="AL295" s="13" t="s">
        <v>440</v>
      </c>
      <c r="AN295" s="8">
        <v>175174</v>
      </c>
      <c r="AP295" s="8">
        <v>155294</v>
      </c>
      <c r="AR295" s="8">
        <v>0</v>
      </c>
      <c r="AT295" s="8">
        <v>91040</v>
      </c>
      <c r="AV295" s="8">
        <v>86328</v>
      </c>
      <c r="AX295" s="8">
        <v>0</v>
      </c>
      <c r="AZ295" s="9">
        <f t="shared" si="15"/>
        <v>11947804</v>
      </c>
      <c r="BB295" s="8">
        <v>25001</v>
      </c>
      <c r="BH295" s="8">
        <v>0</v>
      </c>
      <c r="BJ295" s="9">
        <f t="shared" si="16"/>
        <v>11972805</v>
      </c>
      <c r="BL295" s="9">
        <f>'Gov Fd Rv'!AU295-'Gov Fnd Exp'!BJ295</f>
        <v>347425</v>
      </c>
      <c r="BN295" s="8">
        <v>7247706</v>
      </c>
      <c r="BP295" s="8">
        <v>0</v>
      </c>
      <c r="BR295" s="8">
        <v>0</v>
      </c>
      <c r="BT295" s="9">
        <f t="shared" si="17"/>
        <v>7595131</v>
      </c>
      <c r="BU295" s="9"/>
      <c r="BV295" s="9">
        <f>BT295-'Gov Fd BS'!AA295</f>
        <v>0</v>
      </c>
    </row>
    <row r="296" spans="1:74">
      <c r="A296" s="13" t="s">
        <v>558</v>
      </c>
      <c r="B296" s="13"/>
      <c r="C296" s="13" t="s">
        <v>50</v>
      </c>
      <c r="D296" s="13"/>
      <c r="E296" s="32">
        <v>48702</v>
      </c>
      <c r="G296" s="8">
        <v>13828239</v>
      </c>
      <c r="I296" s="8">
        <v>4168274</v>
      </c>
      <c r="K296" s="8">
        <v>1494037</v>
      </c>
      <c r="M296" s="8">
        <v>1366331</v>
      </c>
      <c r="O296" s="8">
        <v>2149337</v>
      </c>
      <c r="Q296" s="8">
        <v>2672041</v>
      </c>
      <c r="S296" s="8">
        <v>103554</v>
      </c>
      <c r="U296" s="8">
        <v>2867126</v>
      </c>
      <c r="W296" s="8">
        <v>505765</v>
      </c>
      <c r="Y296" s="8">
        <v>30157</v>
      </c>
      <c r="AA296" s="8">
        <v>4755330</v>
      </c>
      <c r="AC296" s="8">
        <v>1512376</v>
      </c>
      <c r="AE296" s="8">
        <v>327908</v>
      </c>
      <c r="AG296" s="8">
        <v>0</v>
      </c>
      <c r="AI296" s="8">
        <v>2976597</v>
      </c>
      <c r="AJ296" s="13" t="s">
        <v>558</v>
      </c>
      <c r="AK296" s="13"/>
      <c r="AL296" s="13" t="s">
        <v>50</v>
      </c>
      <c r="AN296" s="8">
        <v>560297</v>
      </c>
      <c r="AP296" s="8">
        <v>151444</v>
      </c>
      <c r="AR296" s="8">
        <v>0</v>
      </c>
      <c r="AT296" s="8">
        <v>816000</v>
      </c>
      <c r="AV296" s="8">
        <v>726195</v>
      </c>
      <c r="AX296" s="8">
        <v>0</v>
      </c>
      <c r="AZ296" s="9">
        <f t="shared" si="15"/>
        <v>41011008</v>
      </c>
      <c r="BB296" s="8">
        <v>2333691</v>
      </c>
      <c r="BH296" s="8">
        <v>0</v>
      </c>
      <c r="BJ296" s="9">
        <f t="shared" si="16"/>
        <v>43344699</v>
      </c>
      <c r="BL296" s="9">
        <f>'Gov Fd Rv'!AU296-'Gov Fnd Exp'!BJ296</f>
        <v>674300</v>
      </c>
      <c r="BN296" s="8">
        <v>16126885</v>
      </c>
      <c r="BP296" s="8">
        <v>0</v>
      </c>
      <c r="BR296" s="8">
        <v>0</v>
      </c>
      <c r="BT296" s="9">
        <f t="shared" si="17"/>
        <v>16801185</v>
      </c>
      <c r="BU296" s="9"/>
      <c r="BV296" s="9">
        <f>BT296-'Gov Fd BS'!AA296</f>
        <v>0</v>
      </c>
    </row>
    <row r="297" spans="1:74">
      <c r="A297" s="13" t="s">
        <v>403</v>
      </c>
      <c r="B297" s="13"/>
      <c r="C297" s="13" t="s">
        <v>32</v>
      </c>
      <c r="D297" s="13"/>
      <c r="E297" s="32">
        <v>44289</v>
      </c>
      <c r="G297" s="8">
        <v>6971567</v>
      </c>
      <c r="I297" s="8">
        <v>1873415</v>
      </c>
      <c r="K297" s="8">
        <v>6427</v>
      </c>
      <c r="M297" s="8">
        <v>71292</v>
      </c>
      <c r="O297" s="8">
        <v>1023843</v>
      </c>
      <c r="Q297" s="8">
        <v>363298</v>
      </c>
      <c r="S297" s="8">
        <v>37371</v>
      </c>
      <c r="U297" s="8">
        <v>1091099</v>
      </c>
      <c r="W297" s="8">
        <v>439966</v>
      </c>
      <c r="Y297" s="8">
        <v>50551</v>
      </c>
      <c r="AA297" s="8">
        <v>1573808</v>
      </c>
      <c r="AC297" s="8">
        <v>777863</v>
      </c>
      <c r="AE297" s="8">
        <v>361101</v>
      </c>
      <c r="AG297" s="8">
        <v>0</v>
      </c>
      <c r="AI297" s="8">
        <v>1015717</v>
      </c>
      <c r="AJ297" s="13" t="s">
        <v>403</v>
      </c>
      <c r="AK297" s="13"/>
      <c r="AL297" s="13" t="s">
        <v>32</v>
      </c>
      <c r="AN297" s="8">
        <v>493431</v>
      </c>
      <c r="AP297" s="8">
        <v>320056</v>
      </c>
      <c r="AR297" s="8">
        <v>0</v>
      </c>
      <c r="AT297" s="8">
        <v>1112321</v>
      </c>
      <c r="AV297" s="8">
        <v>1231628</v>
      </c>
      <c r="AX297" s="8">
        <v>0</v>
      </c>
      <c r="AZ297" s="9">
        <f t="shared" si="15"/>
        <v>18814754</v>
      </c>
      <c r="BB297" s="8">
        <v>5000</v>
      </c>
      <c r="BH297" s="8">
        <v>0</v>
      </c>
      <c r="BJ297" s="9">
        <f t="shared" si="16"/>
        <v>18819754</v>
      </c>
      <c r="BL297" s="9">
        <f>'Gov Fd Rv'!AU297-'Gov Fnd Exp'!BJ297</f>
        <v>1969740</v>
      </c>
      <c r="BN297" s="8">
        <v>6836718</v>
      </c>
      <c r="BP297" s="8">
        <v>0</v>
      </c>
      <c r="BR297" s="8">
        <v>0</v>
      </c>
      <c r="BT297" s="9">
        <f t="shared" si="17"/>
        <v>8806458</v>
      </c>
      <c r="BU297" s="9"/>
      <c r="BV297" s="9">
        <f>BT297-'Gov Fd BS'!AA297</f>
        <v>0</v>
      </c>
    </row>
    <row r="298" spans="1:74">
      <c r="A298" s="13" t="s">
        <v>250</v>
      </c>
      <c r="B298" s="13"/>
      <c r="C298" s="13" t="s">
        <v>246</v>
      </c>
      <c r="D298" s="13"/>
      <c r="E298" s="32">
        <v>46128</v>
      </c>
      <c r="G298" s="8">
        <v>5586194</v>
      </c>
      <c r="I298" s="8">
        <v>910242</v>
      </c>
      <c r="K298" s="8">
        <v>0</v>
      </c>
      <c r="M298" s="8">
        <v>308413</v>
      </c>
      <c r="O298" s="8">
        <v>636773</v>
      </c>
      <c r="Q298" s="8">
        <v>788684</v>
      </c>
      <c r="S298" s="8">
        <v>44099</v>
      </c>
      <c r="U298" s="8">
        <v>1086362</v>
      </c>
      <c r="W298" s="8">
        <v>290748</v>
      </c>
      <c r="Y298" s="8">
        <v>2408</v>
      </c>
      <c r="AA298" s="8">
        <v>1568375</v>
      </c>
      <c r="AC298" s="8">
        <v>1106232</v>
      </c>
      <c r="AE298" s="8">
        <v>272351</v>
      </c>
      <c r="AG298" s="8">
        <v>656595</v>
      </c>
      <c r="AI298" s="8">
        <v>29402</v>
      </c>
      <c r="AJ298" s="13" t="s">
        <v>250</v>
      </c>
      <c r="AK298" s="13"/>
      <c r="AL298" s="13" t="s">
        <v>246</v>
      </c>
      <c r="AN298" s="8">
        <v>367128</v>
      </c>
      <c r="AP298" s="8">
        <v>741098</v>
      </c>
      <c r="AR298" s="8">
        <v>0</v>
      </c>
      <c r="AT298" s="8">
        <v>569564</v>
      </c>
      <c r="AV298" s="8">
        <v>659165</v>
      </c>
      <c r="AX298" s="8">
        <v>0</v>
      </c>
      <c r="AZ298" s="9">
        <f t="shared" si="15"/>
        <v>15623833</v>
      </c>
      <c r="BB298" s="8">
        <v>1000</v>
      </c>
      <c r="BH298" s="8">
        <v>0</v>
      </c>
      <c r="BJ298" s="9">
        <f t="shared" si="16"/>
        <v>15624833</v>
      </c>
      <c r="BL298" s="9">
        <f>'Gov Fd Rv'!AU298-'Gov Fnd Exp'!BJ298</f>
        <v>4013207</v>
      </c>
      <c r="BN298" s="8">
        <v>2563635</v>
      </c>
      <c r="BP298" s="8">
        <v>-1047</v>
      </c>
      <c r="BR298" s="8">
        <v>0</v>
      </c>
      <c r="BT298" s="9">
        <f t="shared" si="17"/>
        <v>6575795</v>
      </c>
      <c r="BU298" s="9"/>
      <c r="BV298" s="9">
        <f>BT298-'Gov Fd BS'!AA298</f>
        <v>0</v>
      </c>
    </row>
    <row r="299" spans="1:74">
      <c r="A299" s="13" t="s">
        <v>250</v>
      </c>
      <c r="B299" s="13"/>
      <c r="C299" s="13" t="s">
        <v>113</v>
      </c>
      <c r="D299" s="13"/>
      <c r="E299" s="32">
        <v>49452</v>
      </c>
      <c r="G299" s="8">
        <v>11571395</v>
      </c>
      <c r="I299" s="8">
        <v>3032609</v>
      </c>
      <c r="K299" s="8">
        <v>3157750</v>
      </c>
      <c r="M299" s="8">
        <f>13334+1693684</f>
        <v>1707018</v>
      </c>
      <c r="O299" s="8">
        <v>1162475</v>
      </c>
      <c r="Q299" s="8">
        <v>1788686</v>
      </c>
      <c r="S299" s="8">
        <v>59266</v>
      </c>
      <c r="U299" s="8">
        <v>2198543</v>
      </c>
      <c r="W299" s="8">
        <v>689378</v>
      </c>
      <c r="Y299" s="8">
        <v>43311</v>
      </c>
      <c r="AA299" s="8">
        <v>2805453</v>
      </c>
      <c r="AC299" s="8">
        <v>1377761</v>
      </c>
      <c r="AE299" s="8">
        <v>230159</v>
      </c>
      <c r="AG299" s="8">
        <v>1065502</v>
      </c>
      <c r="AI299" s="8">
        <v>385117</v>
      </c>
      <c r="AJ299" s="13" t="s">
        <v>250</v>
      </c>
      <c r="AK299" s="13"/>
      <c r="AL299" s="13" t="s">
        <v>113</v>
      </c>
      <c r="AN299" s="8">
        <v>650522</v>
      </c>
      <c r="AP299" s="8">
        <v>199336</v>
      </c>
      <c r="AR299" s="8">
        <v>449330</v>
      </c>
      <c r="AT299" s="8">
        <v>325792</v>
      </c>
      <c r="AV299" s="8">
        <v>22745</v>
      </c>
      <c r="AX299" s="8">
        <v>0</v>
      </c>
      <c r="AZ299" s="9">
        <f t="shared" si="15"/>
        <v>32922148</v>
      </c>
      <c r="BB299" s="8">
        <v>207745</v>
      </c>
      <c r="BH299" s="8">
        <v>0</v>
      </c>
      <c r="BJ299" s="9">
        <f t="shared" si="16"/>
        <v>33129893</v>
      </c>
      <c r="BL299" s="9">
        <f>'Gov Fd Rv'!AU299-'Gov Fnd Exp'!BJ299</f>
        <v>3099719</v>
      </c>
      <c r="BN299" s="8">
        <v>6250362</v>
      </c>
      <c r="BP299" s="8">
        <v>8209</v>
      </c>
      <c r="BR299" s="8">
        <v>0</v>
      </c>
      <c r="BT299" s="9">
        <f t="shared" si="17"/>
        <v>9358290</v>
      </c>
      <c r="BU299" s="9"/>
      <c r="BV299" s="9">
        <f>BT299-'Gov Fd BS'!AA299</f>
        <v>0</v>
      </c>
    </row>
    <row r="300" spans="1:74">
      <c r="A300" s="13" t="s">
        <v>835</v>
      </c>
      <c r="B300" s="13"/>
      <c r="C300" s="13" t="s">
        <v>210</v>
      </c>
      <c r="D300" s="13"/>
      <c r="E300" s="32"/>
      <c r="G300" s="8">
        <v>4202170</v>
      </c>
      <c r="I300" s="8">
        <v>1348165</v>
      </c>
      <c r="K300" s="8">
        <v>925803</v>
      </c>
      <c r="M300" s="8">
        <v>89789</v>
      </c>
      <c r="O300" s="8">
        <v>465618</v>
      </c>
      <c r="Q300" s="8">
        <v>440995</v>
      </c>
      <c r="S300" s="8">
        <v>107164</v>
      </c>
      <c r="U300" s="8">
        <v>786611</v>
      </c>
      <c r="W300" s="8">
        <v>384310</v>
      </c>
      <c r="Y300" s="8">
        <v>0</v>
      </c>
      <c r="AA300" s="8">
        <v>915890</v>
      </c>
      <c r="AC300" s="8">
        <v>498063</v>
      </c>
      <c r="AE300" s="8">
        <v>0</v>
      </c>
      <c r="AG300" s="8">
        <v>450708</v>
      </c>
      <c r="AI300" s="8">
        <v>0</v>
      </c>
      <c r="AJ300" s="13" t="s">
        <v>835</v>
      </c>
      <c r="AK300" s="13"/>
      <c r="AL300" s="13" t="s">
        <v>210</v>
      </c>
      <c r="AN300" s="8">
        <v>256565</v>
      </c>
      <c r="AP300" s="8">
        <v>9699233</v>
      </c>
      <c r="AR300" s="8">
        <v>0</v>
      </c>
      <c r="AT300" s="8">
        <v>1885868</v>
      </c>
      <c r="AV300" s="8">
        <v>1264068</v>
      </c>
      <c r="AX300" s="8">
        <v>0</v>
      </c>
      <c r="AZ300" s="9">
        <f t="shared" si="15"/>
        <v>23721020</v>
      </c>
      <c r="BB300" s="8">
        <v>3795485</v>
      </c>
      <c r="BH300" s="8">
        <v>0</v>
      </c>
      <c r="BJ300" s="9">
        <f t="shared" si="16"/>
        <v>27516505</v>
      </c>
      <c r="BL300" s="9">
        <f>'Gov Fd Rv'!AU300-'Gov Fnd Exp'!BJ300</f>
        <v>-7737500</v>
      </c>
      <c r="BN300" s="8">
        <v>13244711</v>
      </c>
      <c r="BP300" s="8">
        <v>0</v>
      </c>
      <c r="BR300" s="8">
        <v>0</v>
      </c>
      <c r="BT300" s="9">
        <f t="shared" si="17"/>
        <v>5507211</v>
      </c>
      <c r="BU300" s="9"/>
      <c r="BV300" s="9">
        <f>BT300-'Gov Fd BS'!AA300</f>
        <v>0</v>
      </c>
    </row>
    <row r="301" spans="1:74">
      <c r="A301" s="13" t="s">
        <v>617</v>
      </c>
      <c r="B301" s="13"/>
      <c r="C301" s="13" t="s">
        <v>113</v>
      </c>
      <c r="D301" s="13"/>
      <c r="E301" s="32">
        <v>44297</v>
      </c>
      <c r="G301" s="8">
        <v>19548971</v>
      </c>
      <c r="I301" s="8">
        <v>6711841</v>
      </c>
      <c r="K301" s="8">
        <v>1477659</v>
      </c>
      <c r="M301" s="8">
        <f>256417+9842994</f>
        <v>10099411</v>
      </c>
      <c r="O301" s="8">
        <v>2728403</v>
      </c>
      <c r="Q301" s="8">
        <v>3253569</v>
      </c>
      <c r="S301" s="8">
        <v>17688</v>
      </c>
      <c r="U301" s="8">
        <v>2925994</v>
      </c>
      <c r="W301" s="8">
        <v>1067605</v>
      </c>
      <c r="Y301" s="8">
        <v>1360372</v>
      </c>
      <c r="AA301" s="8">
        <v>5287242</v>
      </c>
      <c r="AC301" s="8">
        <v>1753816</v>
      </c>
      <c r="AE301" s="8">
        <v>1044591</v>
      </c>
      <c r="AG301" s="8">
        <v>2075146</v>
      </c>
      <c r="AI301" s="8">
        <v>1535775</v>
      </c>
      <c r="AJ301" s="13" t="s">
        <v>617</v>
      </c>
      <c r="AK301" s="13"/>
      <c r="AL301" s="13" t="s">
        <v>113</v>
      </c>
      <c r="AN301" s="8">
        <v>728684</v>
      </c>
      <c r="AP301" s="8">
        <v>3209</v>
      </c>
      <c r="AR301" s="8">
        <v>0</v>
      </c>
      <c r="AT301" s="8">
        <v>1270000</v>
      </c>
      <c r="AV301" s="8">
        <v>697845</v>
      </c>
      <c r="AX301" s="8">
        <v>0</v>
      </c>
      <c r="AZ301" s="9">
        <f t="shared" si="15"/>
        <v>63587821</v>
      </c>
      <c r="BB301" s="8">
        <v>2224</v>
      </c>
      <c r="BH301" s="8">
        <v>0</v>
      </c>
      <c r="BJ301" s="9">
        <f t="shared" si="16"/>
        <v>63590045</v>
      </c>
      <c r="BL301" s="9">
        <f>'Gov Fd Rv'!AU301-'Gov Fnd Exp'!BJ301</f>
        <v>4236732</v>
      </c>
      <c r="BN301" s="8">
        <v>13141076</v>
      </c>
      <c r="BP301" s="8">
        <v>0</v>
      </c>
      <c r="BR301" s="8">
        <v>1079253</v>
      </c>
      <c r="BT301" s="9">
        <f t="shared" si="17"/>
        <v>18457061</v>
      </c>
      <c r="BU301" s="9"/>
      <c r="BV301" s="9">
        <f>BT301-'Gov Fd BS'!AA301</f>
        <v>0</v>
      </c>
    </row>
    <row r="302" spans="1:74">
      <c r="A302" s="13" t="s">
        <v>315</v>
      </c>
      <c r="B302" s="13"/>
      <c r="C302" s="13" t="s">
        <v>20</v>
      </c>
      <c r="D302" s="13"/>
      <c r="E302" s="32">
        <v>44305</v>
      </c>
      <c r="G302" s="8">
        <v>18748104</v>
      </c>
      <c r="I302" s="8">
        <v>3947011</v>
      </c>
      <c r="K302" s="8">
        <v>1378245</v>
      </c>
      <c r="M302" s="8">
        <v>3887</v>
      </c>
      <c r="O302" s="8">
        <v>1664559</v>
      </c>
      <c r="Q302" s="8">
        <v>1550089</v>
      </c>
      <c r="S302" s="8">
        <v>77779</v>
      </c>
      <c r="U302" s="8">
        <v>3769810</v>
      </c>
      <c r="W302" s="8">
        <v>1785396</v>
      </c>
      <c r="Y302" s="8">
        <v>820052</v>
      </c>
      <c r="AA302" s="8">
        <v>5670207</v>
      </c>
      <c r="AC302" s="8">
        <v>1850242</v>
      </c>
      <c r="AE302" s="8">
        <v>17325</v>
      </c>
      <c r="AG302" s="8">
        <v>1780457</v>
      </c>
      <c r="AI302" s="8">
        <v>325053</v>
      </c>
      <c r="AJ302" s="13" t="s">
        <v>315</v>
      </c>
      <c r="AK302" s="13"/>
      <c r="AL302" s="13" t="s">
        <v>20</v>
      </c>
      <c r="AN302" s="8">
        <v>852893</v>
      </c>
      <c r="AP302" s="8">
        <v>981667</v>
      </c>
      <c r="AR302" s="8">
        <v>0</v>
      </c>
      <c r="AT302" s="8">
        <v>299843</v>
      </c>
      <c r="AV302" s="8">
        <v>136317</v>
      </c>
      <c r="AX302" s="8">
        <v>104990</v>
      </c>
      <c r="AZ302" s="9">
        <f t="shared" si="15"/>
        <v>45763926</v>
      </c>
      <c r="BB302" s="8">
        <v>56243</v>
      </c>
      <c r="BH302" s="8">
        <v>0</v>
      </c>
      <c r="BJ302" s="9">
        <f t="shared" si="16"/>
        <v>45820169</v>
      </c>
      <c r="BL302" s="9">
        <f>'Gov Fd Rv'!AU302-'Gov Fnd Exp'!BJ302</f>
        <v>1852696</v>
      </c>
      <c r="BN302" s="8">
        <v>2404932</v>
      </c>
      <c r="BP302" s="8">
        <v>0</v>
      </c>
      <c r="BR302" s="8">
        <v>0</v>
      </c>
      <c r="BT302" s="9">
        <f t="shared" si="17"/>
        <v>4257628</v>
      </c>
      <c r="BU302" s="9"/>
      <c r="BV302" s="9">
        <f>BT302-'Gov Fd BS'!AA302</f>
        <v>0</v>
      </c>
    </row>
    <row r="303" spans="1:74">
      <c r="A303" s="13" t="s">
        <v>218</v>
      </c>
      <c r="B303" s="13"/>
      <c r="C303" s="13" t="s">
        <v>11</v>
      </c>
      <c r="D303" s="13"/>
      <c r="E303" s="32">
        <v>45831</v>
      </c>
      <c r="G303" s="8">
        <v>3472911</v>
      </c>
      <c r="I303" s="8">
        <v>657780</v>
      </c>
      <c r="K303" s="8">
        <v>230207</v>
      </c>
      <c r="M303" s="8">
        <v>674021</v>
      </c>
      <c r="O303" s="8">
        <v>225919</v>
      </c>
      <c r="Q303" s="8">
        <v>375723</v>
      </c>
      <c r="S303" s="8">
        <v>77695</v>
      </c>
      <c r="U303" s="8">
        <v>637806</v>
      </c>
      <c r="W303" s="8">
        <v>319001</v>
      </c>
      <c r="Y303" s="8">
        <v>100</v>
      </c>
      <c r="AA303" s="8">
        <v>796168</v>
      </c>
      <c r="AC303" s="8">
        <v>691416</v>
      </c>
      <c r="AE303" s="8">
        <v>48818</v>
      </c>
      <c r="AG303" s="8">
        <v>344162</v>
      </c>
      <c r="AI303" s="8">
        <v>0</v>
      </c>
      <c r="AJ303" s="13" t="s">
        <v>218</v>
      </c>
      <c r="AK303" s="13"/>
      <c r="AL303" s="13" t="s">
        <v>11</v>
      </c>
      <c r="AN303" s="8">
        <v>279424</v>
      </c>
      <c r="AP303" s="8">
        <v>10409</v>
      </c>
      <c r="AR303" s="8">
        <v>0</v>
      </c>
      <c r="AT303" s="8">
        <v>167610</v>
      </c>
      <c r="AV303" s="8">
        <v>177875</v>
      </c>
      <c r="AX303" s="8">
        <v>0</v>
      </c>
      <c r="AZ303" s="9">
        <f t="shared" si="15"/>
        <v>9187045</v>
      </c>
      <c r="BB303" s="8">
        <v>0</v>
      </c>
      <c r="BH303" s="8">
        <v>0</v>
      </c>
      <c r="BJ303" s="9">
        <f t="shared" si="16"/>
        <v>9187045</v>
      </c>
      <c r="BL303" s="9">
        <f>'Gov Fd Rv'!AU303-'Gov Fnd Exp'!BJ303</f>
        <v>-637772</v>
      </c>
      <c r="BN303" s="8">
        <v>2738179</v>
      </c>
      <c r="BP303" s="8">
        <v>0</v>
      </c>
      <c r="BR303" s="8">
        <v>0</v>
      </c>
      <c r="BT303" s="9">
        <f t="shared" si="17"/>
        <v>2100407</v>
      </c>
      <c r="BU303" s="9"/>
      <c r="BV303" s="9">
        <f>BT303-'Gov Fd BS'!AA303</f>
        <v>0</v>
      </c>
    </row>
    <row r="304" spans="1:74">
      <c r="A304" s="13" t="s">
        <v>692</v>
      </c>
      <c r="B304" s="13"/>
      <c r="C304" s="13" t="s">
        <v>64</v>
      </c>
      <c r="D304" s="13"/>
      <c r="E304" s="32">
        <v>50211</v>
      </c>
      <c r="G304" s="8">
        <v>4451113</v>
      </c>
      <c r="I304" s="8">
        <v>600120</v>
      </c>
      <c r="K304" s="8">
        <v>36717</v>
      </c>
      <c r="M304" s="8">
        <v>0</v>
      </c>
      <c r="O304" s="8">
        <v>395974</v>
      </c>
      <c r="Q304" s="8">
        <v>185433</v>
      </c>
      <c r="S304" s="8">
        <v>58798</v>
      </c>
      <c r="U304" s="8">
        <v>1163407</v>
      </c>
      <c r="W304" s="8">
        <v>333458</v>
      </c>
      <c r="Y304" s="8">
        <v>60617</v>
      </c>
      <c r="AA304" s="8">
        <v>1231693</v>
      </c>
      <c r="AC304" s="8">
        <v>563510</v>
      </c>
      <c r="AE304" s="8">
        <v>78099</v>
      </c>
      <c r="AG304" s="8">
        <v>405529</v>
      </c>
      <c r="AI304" s="8">
        <v>930</v>
      </c>
      <c r="AJ304" s="13" t="s">
        <v>692</v>
      </c>
      <c r="AK304" s="13"/>
      <c r="AL304" s="13" t="s">
        <v>64</v>
      </c>
      <c r="AN304" s="8">
        <v>255923</v>
      </c>
      <c r="AP304" s="8">
        <v>6197</v>
      </c>
      <c r="AR304" s="8">
        <v>0</v>
      </c>
      <c r="AT304" s="8">
        <v>215000</v>
      </c>
      <c r="AV304" s="8">
        <v>167940</v>
      </c>
      <c r="AX304" s="8">
        <v>0</v>
      </c>
      <c r="AZ304" s="9">
        <f t="shared" si="15"/>
        <v>10210458</v>
      </c>
      <c r="BB304" s="8">
        <v>0</v>
      </c>
      <c r="BH304" s="8">
        <v>0</v>
      </c>
      <c r="BJ304" s="9">
        <f t="shared" si="16"/>
        <v>10210458</v>
      </c>
      <c r="BL304" s="9">
        <f>'Gov Fd Rv'!AU304-'Gov Fnd Exp'!BJ304</f>
        <v>-127415</v>
      </c>
      <c r="BN304" s="8">
        <v>956519</v>
      </c>
      <c r="BP304" s="8">
        <v>0</v>
      </c>
      <c r="BR304" s="8">
        <v>0</v>
      </c>
      <c r="BT304" s="9">
        <f t="shared" si="17"/>
        <v>829104</v>
      </c>
      <c r="BU304" s="9"/>
      <c r="BV304" s="9">
        <f>BT304-'Gov Fd BS'!AA304</f>
        <v>0</v>
      </c>
    </row>
    <row r="305" spans="1:74">
      <c r="A305" s="13" t="s">
        <v>343</v>
      </c>
      <c r="B305" s="13"/>
      <c r="C305" s="13" t="s">
        <v>24</v>
      </c>
      <c r="D305" s="13"/>
      <c r="E305" s="32">
        <v>46805</v>
      </c>
      <c r="G305" s="8">
        <v>5637887</v>
      </c>
      <c r="I305" s="8">
        <v>1365277</v>
      </c>
      <c r="K305" s="8">
        <v>390094</v>
      </c>
      <c r="M305" s="8">
        <v>5659</v>
      </c>
      <c r="O305" s="8">
        <v>690539</v>
      </c>
      <c r="Q305" s="8">
        <v>716588</v>
      </c>
      <c r="S305" s="8">
        <v>226400</v>
      </c>
      <c r="U305" s="8">
        <v>1108705</v>
      </c>
      <c r="W305" s="8">
        <v>421764</v>
      </c>
      <c r="Y305" s="8">
        <v>0</v>
      </c>
      <c r="AA305" s="8">
        <v>1426089</v>
      </c>
      <c r="AC305" s="8">
        <v>1087758</v>
      </c>
      <c r="AE305" s="8">
        <v>67171</v>
      </c>
      <c r="AG305" s="8">
        <v>587929</v>
      </c>
      <c r="AI305" s="8">
        <v>175225</v>
      </c>
      <c r="AJ305" s="13" t="s">
        <v>343</v>
      </c>
      <c r="AK305" s="13"/>
      <c r="AL305" s="13" t="s">
        <v>24</v>
      </c>
      <c r="AN305" s="8">
        <v>474983</v>
      </c>
      <c r="AP305" s="8">
        <v>724190</v>
      </c>
      <c r="AR305" s="8">
        <v>0</v>
      </c>
      <c r="AT305" s="8">
        <v>0</v>
      </c>
      <c r="AV305" s="8">
        <v>104718</v>
      </c>
      <c r="AX305" s="8">
        <v>0</v>
      </c>
      <c r="AZ305" s="9">
        <f t="shared" si="15"/>
        <v>15210976</v>
      </c>
      <c r="BB305" s="8">
        <v>336592</v>
      </c>
      <c r="BH305" s="8">
        <v>0</v>
      </c>
      <c r="BJ305" s="9">
        <f t="shared" si="16"/>
        <v>15547568</v>
      </c>
      <c r="BL305" s="9">
        <f>'Gov Fd Rv'!AU305-'Gov Fnd Exp'!BJ305</f>
        <v>1336991</v>
      </c>
      <c r="BN305" s="8">
        <v>1607362</v>
      </c>
      <c r="BP305" s="8">
        <v>-7147</v>
      </c>
      <c r="BR305" s="8">
        <v>0</v>
      </c>
      <c r="BT305" s="9">
        <f t="shared" si="17"/>
        <v>2937206</v>
      </c>
      <c r="BU305" s="9"/>
      <c r="BV305" s="9">
        <f>BT305-'Gov Fd BS'!AA305</f>
        <v>0</v>
      </c>
    </row>
    <row r="306" spans="1:74">
      <c r="A306" s="13" t="s">
        <v>404</v>
      </c>
      <c r="B306" s="13"/>
      <c r="C306" s="13" t="s">
        <v>32</v>
      </c>
      <c r="D306" s="13"/>
      <c r="E306" s="32">
        <v>44313</v>
      </c>
      <c r="G306" s="8">
        <v>9498536</v>
      </c>
      <c r="I306" s="8">
        <v>1902318</v>
      </c>
      <c r="K306" s="8">
        <v>0</v>
      </c>
      <c r="M306" s="8">
        <f>4253+95932</f>
        <v>100185</v>
      </c>
      <c r="O306" s="8">
        <v>1514738</v>
      </c>
      <c r="Q306" s="8">
        <v>1200268</v>
      </c>
      <c r="S306" s="8">
        <v>9678</v>
      </c>
      <c r="U306" s="8">
        <v>1583544</v>
      </c>
      <c r="W306" s="8">
        <v>488387</v>
      </c>
      <c r="Y306" s="8">
        <v>30593</v>
      </c>
      <c r="AA306" s="8">
        <v>2567870</v>
      </c>
      <c r="AC306" s="8">
        <v>737620</v>
      </c>
      <c r="AE306" s="8">
        <v>71722</v>
      </c>
      <c r="AG306" s="8">
        <v>0</v>
      </c>
      <c r="AI306" s="8">
        <v>293895</v>
      </c>
      <c r="AJ306" s="13" t="s">
        <v>404</v>
      </c>
      <c r="AK306" s="13"/>
      <c r="AL306" s="13" t="s">
        <v>32</v>
      </c>
      <c r="AN306" s="8">
        <v>667238</v>
      </c>
      <c r="AP306" s="8">
        <v>328797</v>
      </c>
      <c r="AR306" s="8">
        <v>0</v>
      </c>
      <c r="AT306" s="8">
        <v>463297</v>
      </c>
      <c r="AV306" s="8">
        <v>321535</v>
      </c>
      <c r="AX306" s="8">
        <v>0</v>
      </c>
      <c r="AZ306" s="9">
        <f t="shared" si="15"/>
        <v>21780221</v>
      </c>
      <c r="BB306" s="8">
        <v>71237</v>
      </c>
      <c r="BH306" s="8">
        <v>0</v>
      </c>
      <c r="BJ306" s="9">
        <f t="shared" si="16"/>
        <v>21851458</v>
      </c>
      <c r="BL306" s="9">
        <f>'Gov Fd Rv'!AU306-'Gov Fnd Exp'!BJ306</f>
        <v>-500061</v>
      </c>
      <c r="BN306" s="8">
        <v>9591538</v>
      </c>
      <c r="BP306" s="8">
        <v>0</v>
      </c>
      <c r="BR306" s="8">
        <v>0</v>
      </c>
      <c r="BT306" s="9">
        <f t="shared" si="17"/>
        <v>9091477</v>
      </c>
      <c r="BU306" s="9"/>
      <c r="BV306" s="9">
        <f>BT306-'Gov Fd BS'!AA306</f>
        <v>0</v>
      </c>
    </row>
    <row r="307" spans="1:74" hidden="1">
      <c r="A307" s="13" t="s">
        <v>724</v>
      </c>
      <c r="B307" s="13"/>
      <c r="C307" s="13" t="s">
        <v>70</v>
      </c>
      <c r="D307" s="13"/>
      <c r="E307" s="32">
        <v>44321</v>
      </c>
      <c r="G307" s="8">
        <v>0</v>
      </c>
      <c r="I307" s="8">
        <v>0</v>
      </c>
      <c r="K307" s="8">
        <v>0</v>
      </c>
      <c r="M307" s="8">
        <v>0</v>
      </c>
      <c r="O307" s="8">
        <v>0</v>
      </c>
      <c r="Q307" s="8">
        <v>0</v>
      </c>
      <c r="S307" s="8">
        <v>0</v>
      </c>
      <c r="U307" s="8">
        <v>0</v>
      </c>
      <c r="W307" s="8">
        <v>0</v>
      </c>
      <c r="Y307" s="8">
        <v>0</v>
      </c>
      <c r="AA307" s="8">
        <v>0</v>
      </c>
      <c r="AC307" s="8">
        <v>0</v>
      </c>
      <c r="AE307" s="8">
        <v>0</v>
      </c>
      <c r="AG307" s="8">
        <v>0</v>
      </c>
      <c r="AI307" s="8">
        <v>0</v>
      </c>
      <c r="AJ307" s="13" t="s">
        <v>724</v>
      </c>
      <c r="AK307" s="13"/>
      <c r="AL307" s="13" t="s">
        <v>70</v>
      </c>
      <c r="AN307" s="8">
        <v>0</v>
      </c>
      <c r="AP307" s="8">
        <v>0</v>
      </c>
      <c r="AR307" s="8">
        <v>0</v>
      </c>
      <c r="AT307" s="8">
        <v>0</v>
      </c>
      <c r="AV307" s="8">
        <v>0</v>
      </c>
      <c r="AX307" s="8">
        <v>0</v>
      </c>
      <c r="AZ307" s="9">
        <f t="shared" si="15"/>
        <v>0</v>
      </c>
      <c r="BB307" s="8">
        <v>0</v>
      </c>
      <c r="BH307" s="8">
        <v>0</v>
      </c>
      <c r="BJ307" s="9">
        <f t="shared" si="16"/>
        <v>0</v>
      </c>
      <c r="BL307" s="9">
        <f>'Gov Fd Rv'!AU307-'Gov Fnd Exp'!BJ307</f>
        <v>0</v>
      </c>
      <c r="BN307" s="8">
        <v>0</v>
      </c>
      <c r="BP307" s="8">
        <v>0</v>
      </c>
      <c r="BR307" s="8">
        <v>0</v>
      </c>
      <c r="BT307" s="9">
        <f t="shared" si="17"/>
        <v>0</v>
      </c>
      <c r="BU307" s="9"/>
      <c r="BV307" s="9">
        <f>BT307-'Gov Fd BS'!AA307</f>
        <v>0</v>
      </c>
    </row>
    <row r="308" spans="1:74">
      <c r="A308" s="13" t="s">
        <v>527</v>
      </c>
      <c r="B308" s="13"/>
      <c r="C308" s="13" t="s">
        <v>46</v>
      </c>
      <c r="D308" s="13"/>
      <c r="E308" s="32">
        <v>44339</v>
      </c>
      <c r="G308" s="8">
        <v>24806001</v>
      </c>
      <c r="I308" s="8">
        <v>5807172</v>
      </c>
      <c r="K308" s="8">
        <v>450564</v>
      </c>
      <c r="M308" s="8">
        <v>66112</v>
      </c>
      <c r="O308" s="8">
        <v>2160360</v>
      </c>
      <c r="Q308" s="8">
        <v>4638203</v>
      </c>
      <c r="S308" s="8">
        <v>33112</v>
      </c>
      <c r="U308" s="8">
        <v>3348839</v>
      </c>
      <c r="W308" s="8">
        <v>661768</v>
      </c>
      <c r="Y308" s="8">
        <v>376044</v>
      </c>
      <c r="AA308" s="8">
        <v>4324661</v>
      </c>
      <c r="AC308" s="8">
        <v>859193</v>
      </c>
      <c r="AE308" s="8">
        <v>3750</v>
      </c>
      <c r="AG308" s="8">
        <v>0</v>
      </c>
      <c r="AI308" s="8">
        <v>1124806</v>
      </c>
      <c r="AJ308" s="13" t="s">
        <v>527</v>
      </c>
      <c r="AK308" s="13"/>
      <c r="AL308" s="13" t="s">
        <v>46</v>
      </c>
      <c r="AN308" s="8">
        <v>772584</v>
      </c>
      <c r="AP308" s="8">
        <v>170912</v>
      </c>
      <c r="AR308" s="8">
        <v>0</v>
      </c>
      <c r="AT308" s="8">
        <v>629710</v>
      </c>
      <c r="AV308" s="8">
        <v>592571</v>
      </c>
      <c r="AX308" s="8">
        <v>0</v>
      </c>
      <c r="AZ308" s="9">
        <f t="shared" si="15"/>
        <v>50826362</v>
      </c>
      <c r="BB308" s="8">
        <v>99117</v>
      </c>
      <c r="BH308" s="8">
        <v>0</v>
      </c>
      <c r="BJ308" s="9">
        <f t="shared" si="16"/>
        <v>50925479</v>
      </c>
      <c r="BL308" s="9">
        <f>'Gov Fd Rv'!AU308-'Gov Fnd Exp'!BJ308</f>
        <v>1560666</v>
      </c>
      <c r="BN308" s="8">
        <v>11663919</v>
      </c>
      <c r="BP308" s="8">
        <v>0</v>
      </c>
      <c r="BR308" s="8">
        <v>0</v>
      </c>
      <c r="BT308" s="9">
        <f t="shared" si="17"/>
        <v>13224585</v>
      </c>
      <c r="BU308" s="9"/>
      <c r="BV308" s="9">
        <f>BT308-'Gov Fd BS'!AA308</f>
        <v>0</v>
      </c>
    </row>
    <row r="309" spans="1:74">
      <c r="A309" s="13" t="s">
        <v>660</v>
      </c>
      <c r="B309" s="13"/>
      <c r="C309" s="13" t="s">
        <v>62</v>
      </c>
      <c r="D309" s="13"/>
      <c r="E309" s="32">
        <v>49882</v>
      </c>
      <c r="G309" s="8">
        <v>9072467</v>
      </c>
      <c r="I309" s="8">
        <v>2762785</v>
      </c>
      <c r="K309" s="8">
        <v>945800</v>
      </c>
      <c r="M309" s="8">
        <v>1430013</v>
      </c>
      <c r="O309" s="8">
        <v>731167</v>
      </c>
      <c r="Q309" s="8">
        <v>882358</v>
      </c>
      <c r="S309" s="8">
        <v>0</v>
      </c>
      <c r="U309" s="8">
        <v>1873092</v>
      </c>
      <c r="W309" s="8">
        <v>393023</v>
      </c>
      <c r="Y309" s="8">
        <v>246155</v>
      </c>
      <c r="AA309" s="8">
        <v>2378365</v>
      </c>
      <c r="AC309" s="8">
        <v>1339506</v>
      </c>
      <c r="AE309" s="8">
        <v>50428</v>
      </c>
      <c r="AG309" s="8">
        <v>998612</v>
      </c>
      <c r="AI309" s="8">
        <v>29138</v>
      </c>
      <c r="AJ309" s="13" t="s">
        <v>660</v>
      </c>
      <c r="AK309" s="13"/>
      <c r="AL309" s="13" t="s">
        <v>62</v>
      </c>
      <c r="AN309" s="8">
        <v>932460</v>
      </c>
      <c r="AP309" s="8">
        <v>204759</v>
      </c>
      <c r="AR309" s="8">
        <v>0</v>
      </c>
      <c r="AT309" s="8">
        <v>100844</v>
      </c>
      <c r="AV309" s="8">
        <v>53066</v>
      </c>
      <c r="AX309" s="8">
        <v>3500</v>
      </c>
      <c r="AZ309" s="9">
        <f t="shared" si="15"/>
        <v>24427538</v>
      </c>
      <c r="BB309" s="8">
        <v>3456</v>
      </c>
      <c r="BH309" s="8">
        <v>0</v>
      </c>
      <c r="BJ309" s="9">
        <f t="shared" si="16"/>
        <v>24430994</v>
      </c>
      <c r="BL309" s="9">
        <f>'Gov Fd Rv'!AU309-'Gov Fnd Exp'!BJ309</f>
        <v>525293</v>
      </c>
      <c r="BN309" s="8">
        <v>3299189</v>
      </c>
      <c r="BP309" s="8">
        <v>-2130</v>
      </c>
      <c r="BR309" s="8">
        <v>0</v>
      </c>
      <c r="BT309" s="9">
        <f t="shared" si="17"/>
        <v>3822352</v>
      </c>
      <c r="BU309" s="9"/>
      <c r="BV309" s="9">
        <f>BT309-'Gov Fd BS'!AA309</f>
        <v>0</v>
      </c>
    </row>
    <row r="310" spans="1:74">
      <c r="A310" s="13" t="s">
        <v>236</v>
      </c>
      <c r="B310" s="13"/>
      <c r="C310" s="13" t="s">
        <v>15</v>
      </c>
      <c r="D310" s="13"/>
      <c r="E310" s="32">
        <v>44347</v>
      </c>
      <c r="G310" s="8">
        <v>6270794</v>
      </c>
      <c r="I310" s="8">
        <v>2025266</v>
      </c>
      <c r="K310" s="8">
        <v>318297</v>
      </c>
      <c r="M310" s="8">
        <v>0</v>
      </c>
      <c r="O310" s="8">
        <v>616831</v>
      </c>
      <c r="Q310" s="8">
        <v>846038</v>
      </c>
      <c r="S310" s="8">
        <v>75673</v>
      </c>
      <c r="U310" s="8">
        <v>1155928</v>
      </c>
      <c r="W310" s="8">
        <v>357460</v>
      </c>
      <c r="Y310" s="8">
        <v>0</v>
      </c>
      <c r="AA310" s="8">
        <v>1387025</v>
      </c>
      <c r="AC310" s="8">
        <v>737632</v>
      </c>
      <c r="AE310" s="8">
        <v>84862</v>
      </c>
      <c r="AG310" s="8">
        <v>652419</v>
      </c>
      <c r="AI310" s="8">
        <v>165284</v>
      </c>
      <c r="AJ310" s="13" t="s">
        <v>236</v>
      </c>
      <c r="AK310" s="13"/>
      <c r="AL310" s="13" t="s">
        <v>15</v>
      </c>
      <c r="AN310" s="8">
        <v>346182</v>
      </c>
      <c r="AP310" s="8">
        <v>13673032</v>
      </c>
      <c r="AR310" s="8">
        <v>159791</v>
      </c>
      <c r="AT310" s="8">
        <v>275194</v>
      </c>
      <c r="AV310" s="8">
        <v>630799</v>
      </c>
      <c r="AX310" s="8">
        <v>0</v>
      </c>
      <c r="AZ310" s="9">
        <f t="shared" si="15"/>
        <v>29778507</v>
      </c>
      <c r="BB310" s="8">
        <v>0</v>
      </c>
      <c r="BH310" s="8">
        <v>0</v>
      </c>
      <c r="BJ310" s="9">
        <f t="shared" si="16"/>
        <v>29778507</v>
      </c>
      <c r="BL310" s="9">
        <f>'Gov Fd Rv'!AU310-'Gov Fnd Exp'!BJ310</f>
        <v>-11429639</v>
      </c>
      <c r="BN310" s="8">
        <v>12655550</v>
      </c>
      <c r="BP310" s="8">
        <v>0</v>
      </c>
      <c r="BR310" s="8">
        <v>0</v>
      </c>
      <c r="BT310" s="9">
        <f t="shared" si="17"/>
        <v>1225911</v>
      </c>
      <c r="BU310" s="9"/>
      <c r="BV310" s="9">
        <f>BT310-'Gov Fd BS'!AA310</f>
        <v>0</v>
      </c>
    </row>
    <row r="311" spans="1:74">
      <c r="A311" s="13" t="s">
        <v>708</v>
      </c>
      <c r="B311" s="13"/>
      <c r="C311" s="13" t="s">
        <v>66</v>
      </c>
      <c r="D311" s="13"/>
      <c r="E311" s="32">
        <v>45476</v>
      </c>
      <c r="G311" s="8">
        <v>28692492</v>
      </c>
      <c r="I311" s="8">
        <v>0</v>
      </c>
      <c r="K311" s="8">
        <v>0</v>
      </c>
      <c r="M311" s="8">
        <v>0</v>
      </c>
      <c r="O311" s="8">
        <v>2939009</v>
      </c>
      <c r="Q311" s="8">
        <v>4285560</v>
      </c>
      <c r="S311" s="8">
        <v>22055</v>
      </c>
      <c r="U311" s="8">
        <v>3469259</v>
      </c>
      <c r="W311" s="8">
        <v>1297475</v>
      </c>
      <c r="Y311" s="8">
        <v>835311</v>
      </c>
      <c r="AA311" s="8">
        <v>4476517</v>
      </c>
      <c r="AC311" s="8">
        <v>2312121</v>
      </c>
      <c r="AE311" s="8">
        <v>609933</v>
      </c>
      <c r="AG311" s="8">
        <v>0</v>
      </c>
      <c r="AI311" s="8">
        <v>96918</v>
      </c>
      <c r="AJ311" s="13" t="s">
        <v>708</v>
      </c>
      <c r="AK311" s="13"/>
      <c r="AL311" s="13" t="s">
        <v>66</v>
      </c>
      <c r="AN311" s="8">
        <v>1204992</v>
      </c>
      <c r="AP311" s="8">
        <v>32164804</v>
      </c>
      <c r="AR311" s="8">
        <v>0</v>
      </c>
      <c r="AT311" s="8">
        <v>3645000</v>
      </c>
      <c r="AV311" s="8">
        <v>4508169</v>
      </c>
      <c r="AX311" s="8">
        <v>0</v>
      </c>
      <c r="AZ311" s="9">
        <f t="shared" si="15"/>
        <v>90559615</v>
      </c>
      <c r="BB311" s="8">
        <v>456321</v>
      </c>
      <c r="BH311" s="8">
        <v>0</v>
      </c>
      <c r="BJ311" s="9">
        <f t="shared" si="16"/>
        <v>91015936</v>
      </c>
      <c r="BL311" s="9">
        <f>'Gov Fd Rv'!AU311-'Gov Fnd Exp'!BJ311</f>
        <v>-35032568</v>
      </c>
      <c r="BN311" s="8">
        <v>48120808</v>
      </c>
      <c r="BP311" s="8">
        <v>0</v>
      </c>
      <c r="BR311" s="8">
        <v>0</v>
      </c>
      <c r="BT311" s="9">
        <f t="shared" si="17"/>
        <v>13088240</v>
      </c>
      <c r="BU311" s="9"/>
      <c r="BV311" s="9">
        <f>BT311-'Gov Fd BS'!AA311</f>
        <v>0</v>
      </c>
    </row>
    <row r="312" spans="1:74">
      <c r="A312" s="13" t="s">
        <v>718</v>
      </c>
      <c r="B312" s="13"/>
      <c r="C312" s="13" t="s">
        <v>69</v>
      </c>
      <c r="D312" s="13"/>
      <c r="E312" s="32">
        <v>50450</v>
      </c>
      <c r="G312" s="8">
        <v>41254451</v>
      </c>
      <c r="I312" s="8">
        <v>10446260</v>
      </c>
      <c r="K312" s="8">
        <v>15115</v>
      </c>
      <c r="M312" s="8">
        <v>1055916</v>
      </c>
      <c r="O312" s="8">
        <v>5887042</v>
      </c>
      <c r="Q312" s="8">
        <v>6611946</v>
      </c>
      <c r="S312" s="8">
        <v>85525</v>
      </c>
      <c r="U312" s="8">
        <v>5374528</v>
      </c>
      <c r="W312" s="8">
        <v>2120418</v>
      </c>
      <c r="Y312" s="8">
        <v>438801</v>
      </c>
      <c r="AA312" s="8">
        <v>11984656</v>
      </c>
      <c r="AC312" s="8">
        <v>7629347</v>
      </c>
      <c r="AE312" s="8">
        <v>4622781</v>
      </c>
      <c r="AG312" s="8">
        <v>0</v>
      </c>
      <c r="AI312" s="8">
        <v>5500280</v>
      </c>
      <c r="AJ312" s="13" t="s">
        <v>718</v>
      </c>
      <c r="AK312" s="13"/>
      <c r="AL312" s="13" t="s">
        <v>69</v>
      </c>
      <c r="AN312" s="8">
        <v>2362869</v>
      </c>
      <c r="AP312" s="8">
        <v>8512330</v>
      </c>
      <c r="AR312" s="8">
        <v>0</v>
      </c>
      <c r="AT312" s="8">
        <v>5095000</v>
      </c>
      <c r="AV312" s="8">
        <v>7268569</v>
      </c>
      <c r="AX312" s="8">
        <v>0</v>
      </c>
      <c r="AZ312" s="9">
        <f t="shared" si="15"/>
        <v>126265834</v>
      </c>
      <c r="BB312" s="8">
        <v>20341705</v>
      </c>
      <c r="BH312" s="8">
        <v>0</v>
      </c>
      <c r="BJ312" s="9">
        <f t="shared" si="16"/>
        <v>146607539</v>
      </c>
      <c r="BL312" s="9">
        <f>'Gov Fd Rv'!AU312-'Gov Fnd Exp'!BJ312</f>
        <v>25108698</v>
      </c>
      <c r="BN312" s="8">
        <v>46647626</v>
      </c>
      <c r="BP312" s="8">
        <v>0</v>
      </c>
      <c r="BR312" s="8">
        <v>0</v>
      </c>
      <c r="BT312" s="9">
        <f t="shared" si="17"/>
        <v>71756324</v>
      </c>
      <c r="BU312" s="9"/>
      <c r="BV312" s="9">
        <f>BT312-'Gov Fd BS'!AA312</f>
        <v>0</v>
      </c>
    </row>
    <row r="313" spans="1:74">
      <c r="A313" s="13" t="s">
        <v>661</v>
      </c>
      <c r="B313" s="13"/>
      <c r="C313" s="13" t="s">
        <v>62</v>
      </c>
      <c r="D313" s="13"/>
      <c r="E313" s="32">
        <v>44354</v>
      </c>
      <c r="G313" s="8">
        <v>17872730</v>
      </c>
      <c r="I313" s="8">
        <v>4791509</v>
      </c>
      <c r="K313" s="8">
        <v>1839928</v>
      </c>
      <c r="M313" s="8">
        <f>40592+1372225</f>
        <v>1412817</v>
      </c>
      <c r="O313" s="8">
        <v>3364838</v>
      </c>
      <c r="Q313" s="8">
        <v>2154255</v>
      </c>
      <c r="S313" s="8">
        <v>287542</v>
      </c>
      <c r="U313" s="8">
        <v>2984127</v>
      </c>
      <c r="W313" s="8">
        <v>787443</v>
      </c>
      <c r="Y313" s="8">
        <v>40124</v>
      </c>
      <c r="AA313" s="8">
        <v>5340014</v>
      </c>
      <c r="AC313" s="8">
        <v>1562911</v>
      </c>
      <c r="AE313" s="8">
        <v>500358</v>
      </c>
      <c r="AG313" s="8">
        <v>1601891</v>
      </c>
      <c r="AI313" s="8">
        <f>312282+69818</f>
        <v>382100</v>
      </c>
      <c r="AJ313" s="13" t="s">
        <v>661</v>
      </c>
      <c r="AK313" s="13"/>
      <c r="AL313" s="13" t="s">
        <v>62</v>
      </c>
      <c r="AN313" s="8">
        <v>1404770</v>
      </c>
      <c r="AP313" s="8">
        <v>2122925</v>
      </c>
      <c r="AR313" s="8">
        <v>0</v>
      </c>
      <c r="AT313" s="8">
        <v>554202</v>
      </c>
      <c r="AV313" s="8">
        <v>2047878</v>
      </c>
      <c r="AX313" s="8">
        <v>0</v>
      </c>
      <c r="AZ313" s="9">
        <f t="shared" si="15"/>
        <v>51052362</v>
      </c>
      <c r="BB313" s="8">
        <v>0</v>
      </c>
      <c r="BH313" s="8">
        <v>0</v>
      </c>
      <c r="BJ313" s="9">
        <f t="shared" si="16"/>
        <v>51052362</v>
      </c>
      <c r="BL313" s="9">
        <f>'Gov Fd Rv'!AU313-'Gov Fnd Exp'!BJ313</f>
        <v>487295</v>
      </c>
      <c r="BN313" s="8">
        <v>11624382</v>
      </c>
      <c r="BP313" s="8">
        <v>0</v>
      </c>
      <c r="BR313" s="8">
        <v>0</v>
      </c>
      <c r="BT313" s="9">
        <f t="shared" si="17"/>
        <v>12111677</v>
      </c>
      <c r="BU313" s="9"/>
      <c r="BV313" s="9">
        <f>BT313-'Gov Fd BS'!AA313</f>
        <v>0</v>
      </c>
    </row>
    <row r="314" spans="1:74">
      <c r="A314" s="13" t="s">
        <v>693</v>
      </c>
      <c r="B314" s="13"/>
      <c r="C314" s="13" t="s">
        <v>64</v>
      </c>
      <c r="D314" s="13"/>
      <c r="E314" s="32">
        <v>50153</v>
      </c>
      <c r="G314" s="8">
        <v>4456271</v>
      </c>
      <c r="I314" s="8">
        <v>737092</v>
      </c>
      <c r="K314" s="8">
        <v>68612</v>
      </c>
      <c r="M314" s="8">
        <v>132676</v>
      </c>
      <c r="O314" s="8">
        <v>520959</v>
      </c>
      <c r="Q314" s="8">
        <v>240541</v>
      </c>
      <c r="S314" s="8">
        <v>51092</v>
      </c>
      <c r="U314" s="8">
        <v>774880</v>
      </c>
      <c r="W314" s="8">
        <v>319776</v>
      </c>
      <c r="Y314" s="8">
        <v>0</v>
      </c>
      <c r="AA314" s="8">
        <v>1018461</v>
      </c>
      <c r="AC314" s="8">
        <v>509999</v>
      </c>
      <c r="AE314" s="8">
        <v>94421</v>
      </c>
      <c r="AG314" s="8">
        <v>320723</v>
      </c>
      <c r="AI314" s="8">
        <v>5174</v>
      </c>
      <c r="AJ314" s="13" t="s">
        <v>693</v>
      </c>
      <c r="AK314" s="13"/>
      <c r="AL314" s="13" t="s">
        <v>64</v>
      </c>
      <c r="AN314" s="8">
        <v>217099</v>
      </c>
      <c r="AP314" s="8">
        <v>252296</v>
      </c>
      <c r="AR314" s="8">
        <v>0</v>
      </c>
      <c r="AT314" s="8">
        <v>12961</v>
      </c>
      <c r="AV314" s="8">
        <v>0</v>
      </c>
      <c r="AX314" s="8">
        <v>0</v>
      </c>
      <c r="AZ314" s="9">
        <f t="shared" si="15"/>
        <v>9733033</v>
      </c>
      <c r="BB314" s="8">
        <v>365926</v>
      </c>
      <c r="BH314" s="8">
        <v>0</v>
      </c>
      <c r="BJ314" s="9">
        <f t="shared" si="16"/>
        <v>10098959</v>
      </c>
      <c r="BL314" s="9">
        <f>'Gov Fd Rv'!AU314-'Gov Fnd Exp'!BJ314</f>
        <v>-433154</v>
      </c>
      <c r="BN314" s="8">
        <v>1522730</v>
      </c>
      <c r="BP314" s="8">
        <v>0</v>
      </c>
      <c r="BR314" s="8">
        <v>0</v>
      </c>
      <c r="BT314" s="9">
        <f t="shared" si="17"/>
        <v>1089576</v>
      </c>
      <c r="BU314" s="9"/>
      <c r="BV314" s="9">
        <f>BT314-'Gov Fd BS'!AA314</f>
        <v>0</v>
      </c>
    </row>
    <row r="315" spans="1:74">
      <c r="A315" s="13" t="s">
        <v>503</v>
      </c>
      <c r="B315" s="13"/>
      <c r="C315" s="13" t="s">
        <v>118</v>
      </c>
      <c r="D315" s="13"/>
      <c r="E315" s="32">
        <v>44362</v>
      </c>
      <c r="G315" s="8">
        <v>14798744</v>
      </c>
      <c r="I315" s="8">
        <v>2988432</v>
      </c>
      <c r="K315" s="8">
        <v>297982</v>
      </c>
      <c r="M315" s="8">
        <f>25023+373982</f>
        <v>399005</v>
      </c>
      <c r="O315" s="8">
        <v>1375063</v>
      </c>
      <c r="Q315" s="8">
        <v>706900</v>
      </c>
      <c r="S315" s="8">
        <v>60269</v>
      </c>
      <c r="U315" s="8">
        <v>2534941</v>
      </c>
      <c r="W315" s="8">
        <v>832634</v>
      </c>
      <c r="Y315" s="8">
        <v>207191</v>
      </c>
      <c r="AA315" s="8">
        <v>3371645</v>
      </c>
      <c r="AC315" s="8">
        <v>1184122</v>
      </c>
      <c r="AE315" s="8">
        <v>257537</v>
      </c>
      <c r="AG315" s="8">
        <v>954441</v>
      </c>
      <c r="AI315" s="8">
        <v>55903</v>
      </c>
      <c r="AJ315" s="13" t="s">
        <v>503</v>
      </c>
      <c r="AK315" s="13"/>
      <c r="AL315" s="13" t="s">
        <v>118</v>
      </c>
      <c r="AN315" s="8">
        <v>991999</v>
      </c>
      <c r="AP315" s="8">
        <v>1046988</v>
      </c>
      <c r="AR315" s="8">
        <v>430034</v>
      </c>
      <c r="AT315" s="8">
        <v>1375000</v>
      </c>
      <c r="AV315" s="8">
        <v>1778390</v>
      </c>
      <c r="AX315" s="8">
        <v>0</v>
      </c>
      <c r="AZ315" s="9">
        <f t="shared" si="15"/>
        <v>35647220</v>
      </c>
      <c r="BB315" s="8">
        <v>70805</v>
      </c>
      <c r="BH315" s="8">
        <v>0</v>
      </c>
      <c r="BJ315" s="9">
        <f t="shared" si="16"/>
        <v>35718025</v>
      </c>
      <c r="BL315" s="9">
        <f>'Gov Fd Rv'!AU315-'Gov Fnd Exp'!BJ315</f>
        <v>-699844</v>
      </c>
      <c r="BN315" s="8">
        <v>3601923</v>
      </c>
      <c r="BP315" s="8">
        <v>-633</v>
      </c>
      <c r="BR315" s="8">
        <v>0</v>
      </c>
      <c r="BT315" s="9">
        <f t="shared" si="17"/>
        <v>2901446</v>
      </c>
      <c r="BU315" s="9"/>
      <c r="BV315" s="9">
        <f>BT315-'Gov Fd BS'!AA315</f>
        <v>0</v>
      </c>
    </row>
    <row r="316" spans="1:74">
      <c r="A316" s="13" t="s">
        <v>316</v>
      </c>
      <c r="B316" s="13"/>
      <c r="C316" s="13" t="s">
        <v>20</v>
      </c>
      <c r="D316" s="13"/>
      <c r="E316" s="32">
        <v>44370</v>
      </c>
      <c r="G316" s="8">
        <v>21703585</v>
      </c>
      <c r="I316" s="8">
        <v>11257347</v>
      </c>
      <c r="K316" s="8">
        <v>6545758</v>
      </c>
      <c r="M316" s="8">
        <f>292887+575048</f>
        <v>867935</v>
      </c>
      <c r="O316" s="8">
        <v>4688338</v>
      </c>
      <c r="Q316" s="8">
        <v>5895533</v>
      </c>
      <c r="S316" s="8">
        <v>90665</v>
      </c>
      <c r="U316" s="8">
        <v>3357742</v>
      </c>
      <c r="W316" s="8">
        <v>1578544</v>
      </c>
      <c r="Y316" s="8">
        <v>282293</v>
      </c>
      <c r="AA316" s="8">
        <v>6426910</v>
      </c>
      <c r="AC316" s="8">
        <v>4501509</v>
      </c>
      <c r="AE316" s="8">
        <v>840112</v>
      </c>
      <c r="AG316" s="8">
        <v>1231701</v>
      </c>
      <c r="AI316" s="8">
        <v>1105901</v>
      </c>
      <c r="AJ316" s="13" t="s">
        <v>316</v>
      </c>
      <c r="AK316" s="13"/>
      <c r="AL316" s="13" t="s">
        <v>20</v>
      </c>
      <c r="AN316" s="8">
        <v>1406143</v>
      </c>
      <c r="AP316" s="8">
        <v>6831395</v>
      </c>
      <c r="AR316" s="8">
        <v>0</v>
      </c>
      <c r="AT316" s="8">
        <v>1780965</v>
      </c>
      <c r="AV316" s="8">
        <v>1161953</v>
      </c>
      <c r="AX316" s="8">
        <v>0</v>
      </c>
      <c r="AZ316" s="9">
        <f t="shared" si="15"/>
        <v>81554329</v>
      </c>
      <c r="BB316" s="8">
        <v>2823521</v>
      </c>
      <c r="BH316" s="8">
        <v>0</v>
      </c>
      <c r="BJ316" s="9">
        <f t="shared" si="16"/>
        <v>84377850</v>
      </c>
      <c r="BL316" s="9">
        <f>'Gov Fd Rv'!AU316-'Gov Fnd Exp'!BJ316</f>
        <v>-5334240</v>
      </c>
      <c r="BN316" s="8">
        <v>33465082</v>
      </c>
      <c r="BP316" s="8">
        <v>0</v>
      </c>
      <c r="BR316" s="8">
        <v>0</v>
      </c>
      <c r="BT316" s="9">
        <f t="shared" si="17"/>
        <v>28130842</v>
      </c>
      <c r="BU316" s="9"/>
      <c r="BV316" s="9">
        <f>BT316-'Gov Fd BS'!AA316</f>
        <v>0</v>
      </c>
    </row>
    <row r="317" spans="1:74">
      <c r="A317" s="13" t="s">
        <v>573</v>
      </c>
      <c r="B317" s="13"/>
      <c r="C317" s="13" t="s">
        <v>51</v>
      </c>
      <c r="D317" s="13"/>
      <c r="E317" s="32">
        <v>48850</v>
      </c>
      <c r="G317" s="8">
        <v>9361826</v>
      </c>
      <c r="I317" s="8">
        <v>1771130</v>
      </c>
      <c r="K317" s="8">
        <v>133674</v>
      </c>
      <c r="M317" s="8">
        <v>219025</v>
      </c>
      <c r="O317" s="8">
        <v>769192</v>
      </c>
      <c r="Q317" s="8">
        <v>1299222</v>
      </c>
      <c r="S317" s="8">
        <v>62581</v>
      </c>
      <c r="U317" s="8">
        <v>1820916</v>
      </c>
      <c r="W317" s="8">
        <v>375613</v>
      </c>
      <c r="Y317" s="8">
        <v>0</v>
      </c>
      <c r="AA317" s="8">
        <v>1870488</v>
      </c>
      <c r="AC317" s="8">
        <v>961976</v>
      </c>
      <c r="AE317" s="8">
        <v>38090</v>
      </c>
      <c r="AG317" s="8">
        <v>806892</v>
      </c>
      <c r="AI317" s="8">
        <v>19407</v>
      </c>
      <c r="AJ317" s="13" t="s">
        <v>573</v>
      </c>
      <c r="AK317" s="13"/>
      <c r="AL317" s="13" t="s">
        <v>51</v>
      </c>
      <c r="AN317" s="8">
        <v>507536</v>
      </c>
      <c r="AP317" s="8">
        <v>510540</v>
      </c>
      <c r="AR317" s="8">
        <v>0</v>
      </c>
      <c r="AT317" s="8">
        <v>210738</v>
      </c>
      <c r="AV317" s="8">
        <v>202061</v>
      </c>
      <c r="AX317" s="8">
        <v>0</v>
      </c>
      <c r="AZ317" s="9">
        <f t="shared" si="15"/>
        <v>20940907</v>
      </c>
      <c r="BB317" s="8">
        <v>200000</v>
      </c>
      <c r="BH317" s="8">
        <v>0</v>
      </c>
      <c r="BJ317" s="9">
        <f t="shared" si="16"/>
        <v>21140907</v>
      </c>
      <c r="BL317" s="9">
        <f>'Gov Fd Rv'!AU317-'Gov Fnd Exp'!BJ317</f>
        <v>-1474197</v>
      </c>
      <c r="BN317" s="8">
        <v>7217985</v>
      </c>
      <c r="BP317" s="8">
        <v>0</v>
      </c>
      <c r="BR317" s="8">
        <v>0</v>
      </c>
      <c r="BT317" s="9">
        <f t="shared" si="17"/>
        <v>5743788</v>
      </c>
      <c r="BU317" s="9"/>
      <c r="BV317" s="9">
        <f>BT317-'Gov Fd BS'!AA317</f>
        <v>0</v>
      </c>
    </row>
    <row r="318" spans="1:74" hidden="1">
      <c r="A318" s="13" t="s">
        <v>830</v>
      </c>
      <c r="B318" s="13"/>
      <c r="C318" s="13" t="s">
        <v>33</v>
      </c>
      <c r="D318" s="13"/>
      <c r="E318" s="32">
        <v>47456</v>
      </c>
      <c r="G318" s="8">
        <v>0</v>
      </c>
      <c r="I318" s="8">
        <v>0</v>
      </c>
      <c r="K318" s="8">
        <v>0</v>
      </c>
      <c r="M318" s="8">
        <v>0</v>
      </c>
      <c r="O318" s="8">
        <v>0</v>
      </c>
      <c r="Q318" s="8">
        <v>0</v>
      </c>
      <c r="S318" s="8">
        <v>0</v>
      </c>
      <c r="U318" s="8">
        <v>0</v>
      </c>
      <c r="W318" s="8">
        <v>0</v>
      </c>
      <c r="Y318" s="8">
        <v>0</v>
      </c>
      <c r="AA318" s="8">
        <v>0</v>
      </c>
      <c r="AC318" s="8">
        <v>0</v>
      </c>
      <c r="AE318" s="8">
        <v>0</v>
      </c>
      <c r="AG318" s="8">
        <v>0</v>
      </c>
      <c r="AI318" s="8">
        <v>0</v>
      </c>
      <c r="AJ318" s="13" t="s">
        <v>423</v>
      </c>
      <c r="AK318" s="13"/>
      <c r="AL318" s="13" t="s">
        <v>33</v>
      </c>
      <c r="AN318" s="8">
        <v>0</v>
      </c>
      <c r="AP318" s="8">
        <v>0</v>
      </c>
      <c r="AR318" s="8">
        <v>0</v>
      </c>
      <c r="AT318" s="8">
        <v>0</v>
      </c>
      <c r="AV318" s="8">
        <v>0</v>
      </c>
      <c r="AX318" s="8">
        <v>0</v>
      </c>
      <c r="AZ318" s="9">
        <f t="shared" si="15"/>
        <v>0</v>
      </c>
      <c r="BB318" s="8">
        <v>0</v>
      </c>
      <c r="BH318" s="8">
        <v>0</v>
      </c>
      <c r="BJ318" s="9">
        <f t="shared" si="16"/>
        <v>0</v>
      </c>
      <c r="BL318" s="9">
        <f>'Gov Fd Rv'!AU318-'Gov Fnd Exp'!BJ318</f>
        <v>0</v>
      </c>
      <c r="BN318" s="8">
        <v>0</v>
      </c>
      <c r="BP318" s="8">
        <v>0</v>
      </c>
      <c r="BR318" s="8">
        <v>0</v>
      </c>
      <c r="BT318" s="9">
        <f t="shared" si="17"/>
        <v>0</v>
      </c>
      <c r="BU318" s="9"/>
      <c r="BV318" s="9">
        <f>BT318-'Gov Fd BS'!AA318</f>
        <v>0</v>
      </c>
    </row>
    <row r="319" spans="1:74">
      <c r="A319" s="13" t="s">
        <v>928</v>
      </c>
      <c r="B319" s="13"/>
      <c r="C319" s="13" t="s">
        <v>64</v>
      </c>
      <c r="D319" s="13"/>
      <c r="E319" s="32">
        <v>50229</v>
      </c>
      <c r="G319" s="8">
        <v>4104760</v>
      </c>
      <c r="I319" s="8">
        <v>817069</v>
      </c>
      <c r="K319" s="8">
        <v>42867</v>
      </c>
      <c r="M319" s="8">
        <v>82590</v>
      </c>
      <c r="O319" s="8">
        <v>182692</v>
      </c>
      <c r="Q319" s="8">
        <v>64063</v>
      </c>
      <c r="S319" s="8">
        <v>40640</v>
      </c>
      <c r="U319" s="8">
        <v>558447</v>
      </c>
      <c r="W319" s="8">
        <v>201831</v>
      </c>
      <c r="Y319" s="8">
        <v>0</v>
      </c>
      <c r="AA319" s="8">
        <v>779194</v>
      </c>
      <c r="AC319" s="8">
        <v>123619</v>
      </c>
      <c r="AE319" s="8">
        <v>14787</v>
      </c>
      <c r="AG319" s="8">
        <v>174100</v>
      </c>
      <c r="AI319" s="8">
        <v>0</v>
      </c>
      <c r="AJ319" s="13" t="s">
        <v>694</v>
      </c>
      <c r="AK319" s="13"/>
      <c r="AL319" s="13" t="s">
        <v>64</v>
      </c>
      <c r="AN319" s="8">
        <v>261386</v>
      </c>
      <c r="AP319" s="8">
        <v>29823</v>
      </c>
      <c r="AR319" s="8">
        <v>0</v>
      </c>
      <c r="AT319" s="8">
        <v>231020</v>
      </c>
      <c r="AV319" s="8">
        <v>81894</v>
      </c>
      <c r="AX319" s="8">
        <v>0</v>
      </c>
      <c r="AZ319" s="9">
        <f t="shared" si="15"/>
        <v>7790782</v>
      </c>
      <c r="BB319" s="8">
        <v>12778</v>
      </c>
      <c r="BH319" s="8">
        <v>0</v>
      </c>
      <c r="BJ319" s="9">
        <f t="shared" si="16"/>
        <v>7803560</v>
      </c>
      <c r="BL319" s="9">
        <f>'Gov Fd Rv'!AU319-'Gov Fnd Exp'!BJ319</f>
        <v>-637060</v>
      </c>
      <c r="BN319" s="8">
        <v>-893601</v>
      </c>
      <c r="BP319" s="8">
        <v>0</v>
      </c>
      <c r="BR319" s="8">
        <v>0</v>
      </c>
      <c r="BT319" s="9">
        <f t="shared" si="17"/>
        <v>-1530661</v>
      </c>
      <c r="BU319" s="9"/>
      <c r="BV319" s="9">
        <f>BT319-'Gov Fd BS'!AA319</f>
        <v>0</v>
      </c>
    </row>
    <row r="320" spans="1:74">
      <c r="A320" s="13" t="s">
        <v>260</v>
      </c>
      <c r="B320" s="13"/>
      <c r="C320" s="13" t="s">
        <v>259</v>
      </c>
      <c r="D320" s="13"/>
      <c r="E320" s="32">
        <v>45484</v>
      </c>
      <c r="G320" s="8">
        <v>3653125</v>
      </c>
      <c r="I320" s="8">
        <v>1291560</v>
      </c>
      <c r="K320" s="8">
        <v>136043</v>
      </c>
      <c r="M320" s="8">
        <v>0</v>
      </c>
      <c r="O320" s="8">
        <v>308254</v>
      </c>
      <c r="Q320" s="8">
        <v>198743</v>
      </c>
      <c r="S320" s="8">
        <v>39981</v>
      </c>
      <c r="U320" s="8">
        <v>677697</v>
      </c>
      <c r="W320" s="8">
        <v>309637</v>
      </c>
      <c r="Y320" s="8">
        <v>0</v>
      </c>
      <c r="AA320" s="8">
        <v>884892</v>
      </c>
      <c r="AC320" s="8">
        <v>688722</v>
      </c>
      <c r="AE320" s="8">
        <v>71797</v>
      </c>
      <c r="AG320" s="8">
        <v>298594</v>
      </c>
      <c r="AI320" s="8">
        <v>11830</v>
      </c>
      <c r="AJ320" s="13" t="s">
        <v>260</v>
      </c>
      <c r="AK320" s="13"/>
      <c r="AL320" s="13" t="s">
        <v>259</v>
      </c>
      <c r="AN320" s="8">
        <v>340364</v>
      </c>
      <c r="AP320" s="8">
        <v>1040973</v>
      </c>
      <c r="AR320" s="8">
        <v>0</v>
      </c>
      <c r="AT320" s="8">
        <v>223224</v>
      </c>
      <c r="AV320" s="8">
        <v>324785</v>
      </c>
      <c r="AX320" s="8">
        <v>0</v>
      </c>
      <c r="AZ320" s="9">
        <f t="shared" si="15"/>
        <v>10500221</v>
      </c>
      <c r="BB320" s="8">
        <v>43042</v>
      </c>
      <c r="BH320" s="8">
        <v>0</v>
      </c>
      <c r="BJ320" s="9">
        <f t="shared" si="16"/>
        <v>10543263</v>
      </c>
      <c r="BL320" s="9">
        <f>'Gov Fd Rv'!AU320-'Gov Fnd Exp'!BJ320</f>
        <v>-56083</v>
      </c>
      <c r="BN320" s="8">
        <v>3337985</v>
      </c>
      <c r="BP320" s="8">
        <v>0</v>
      </c>
      <c r="BR320" s="8">
        <v>0</v>
      </c>
      <c r="BT320" s="9">
        <f t="shared" si="17"/>
        <v>3281902</v>
      </c>
      <c r="BU320" s="9"/>
      <c r="BV320" s="9">
        <f>BT320-'Gov Fd BS'!AA320</f>
        <v>0</v>
      </c>
    </row>
    <row r="321" spans="1:74">
      <c r="A321" s="13" t="s">
        <v>535</v>
      </c>
      <c r="B321" s="13"/>
      <c r="C321" s="13" t="s">
        <v>47</v>
      </c>
      <c r="D321" s="13"/>
      <c r="E321" s="32">
        <v>44388</v>
      </c>
      <c r="G321" s="8">
        <v>35088881</v>
      </c>
      <c r="I321" s="8">
        <v>9199549</v>
      </c>
      <c r="K321" s="8">
        <v>495985</v>
      </c>
      <c r="M321" s="8">
        <v>0</v>
      </c>
      <c r="O321" s="8">
        <v>4249137</v>
      </c>
      <c r="Q321" s="8">
        <v>3868900</v>
      </c>
      <c r="S321" s="8">
        <v>100378</v>
      </c>
      <c r="U321" s="8">
        <v>4817598</v>
      </c>
      <c r="W321" s="8">
        <v>1441355</v>
      </c>
      <c r="Y321" s="8">
        <v>652691</v>
      </c>
      <c r="AA321" s="8">
        <v>7416723</v>
      </c>
      <c r="AC321" s="8">
        <v>2996693</v>
      </c>
      <c r="AE321" s="8">
        <v>447076</v>
      </c>
      <c r="AG321" s="8">
        <v>2007057</v>
      </c>
      <c r="AI321" s="8">
        <v>626860</v>
      </c>
      <c r="AJ321" s="13" t="s">
        <v>535</v>
      </c>
      <c r="AK321" s="13"/>
      <c r="AL321" s="13" t="s">
        <v>47</v>
      </c>
      <c r="AN321" s="8">
        <v>2134493</v>
      </c>
      <c r="AP321" s="8">
        <v>5675847</v>
      </c>
      <c r="AR321" s="8">
        <v>0</v>
      </c>
      <c r="AT321" s="8">
        <v>2558322</v>
      </c>
      <c r="AV321" s="8">
        <v>5856399</v>
      </c>
      <c r="AX321" s="8">
        <v>609860</v>
      </c>
      <c r="AZ321" s="9">
        <f t="shared" si="15"/>
        <v>90243804</v>
      </c>
      <c r="BB321" s="8">
        <v>180500</v>
      </c>
      <c r="BH321" s="8">
        <v>0</v>
      </c>
      <c r="BJ321" s="9">
        <f t="shared" si="16"/>
        <v>90424304</v>
      </c>
      <c r="BL321" s="9">
        <f>'Gov Fd Rv'!AU321-'Gov Fnd Exp'!BJ321</f>
        <v>22761407</v>
      </c>
      <c r="BN321" s="8">
        <v>23222955</v>
      </c>
      <c r="BP321" s="8">
        <v>0</v>
      </c>
      <c r="BR321" s="8">
        <v>0</v>
      </c>
      <c r="BT321" s="9">
        <f t="shared" si="17"/>
        <v>45984362</v>
      </c>
      <c r="BU321" s="9"/>
      <c r="BV321" s="9">
        <f>BT321-'Gov Fd BS'!AA321</f>
        <v>0</v>
      </c>
    </row>
    <row r="322" spans="1:74">
      <c r="A322" s="13" t="s">
        <v>538</v>
      </c>
      <c r="B322" s="13"/>
      <c r="C322" s="13" t="s">
        <v>537</v>
      </c>
      <c r="D322" s="13"/>
      <c r="E322" s="32">
        <v>48520</v>
      </c>
      <c r="G322" s="8">
        <v>6960642</v>
      </c>
      <c r="I322" s="8">
        <v>2319283</v>
      </c>
      <c r="K322" s="8">
        <v>1319210</v>
      </c>
      <c r="M322" s="8">
        <f>5500+2141210</f>
        <v>2146710</v>
      </c>
      <c r="O322" s="8">
        <v>682489</v>
      </c>
      <c r="Q322" s="8">
        <v>984383</v>
      </c>
      <c r="S322" s="8">
        <v>44983</v>
      </c>
      <c r="U322" s="8">
        <v>1791580</v>
      </c>
      <c r="W322" s="8">
        <v>467164</v>
      </c>
      <c r="Y322" s="8">
        <v>0</v>
      </c>
      <c r="AA322" s="8">
        <v>1919722</v>
      </c>
      <c r="AC322" s="8">
        <v>1706766</v>
      </c>
      <c r="AE322" s="8">
        <v>65580</v>
      </c>
      <c r="AG322" s="8">
        <v>0</v>
      </c>
      <c r="AI322" s="8">
        <v>1148782</v>
      </c>
      <c r="AJ322" s="13" t="s">
        <v>538</v>
      </c>
      <c r="AK322" s="13"/>
      <c r="AL322" s="13" t="s">
        <v>537</v>
      </c>
      <c r="AN322" s="8">
        <v>304727</v>
      </c>
      <c r="AP322" s="8">
        <v>553550</v>
      </c>
      <c r="AR322" s="8">
        <v>0</v>
      </c>
      <c r="AT322" s="8">
        <v>364407</v>
      </c>
      <c r="AV322" s="8">
        <v>336802</v>
      </c>
      <c r="AX322" s="8">
        <v>0</v>
      </c>
      <c r="AZ322" s="9">
        <f t="shared" si="15"/>
        <v>23116780</v>
      </c>
      <c r="BB322" s="8">
        <v>5000</v>
      </c>
      <c r="BH322" s="8">
        <v>0</v>
      </c>
      <c r="BJ322" s="9">
        <f t="shared" si="16"/>
        <v>23121780</v>
      </c>
      <c r="BL322" s="9">
        <f>'Gov Fd Rv'!AU322-'Gov Fnd Exp'!BJ322</f>
        <v>-1947844</v>
      </c>
      <c r="BN322" s="8">
        <v>2301585</v>
      </c>
      <c r="BP322" s="8">
        <v>0</v>
      </c>
      <c r="BR322" s="8">
        <v>0</v>
      </c>
      <c r="BT322" s="9">
        <f t="shared" si="17"/>
        <v>353741</v>
      </c>
      <c r="BU322" s="9"/>
      <c r="BV322" s="9">
        <f>BT322-'Gov Fd BS'!AA322</f>
        <v>0</v>
      </c>
    </row>
    <row r="323" spans="1:74">
      <c r="A323" s="13" t="s">
        <v>465</v>
      </c>
      <c r="B323" s="13"/>
      <c r="C323" s="13" t="s">
        <v>41</v>
      </c>
      <c r="D323" s="13"/>
      <c r="E323" s="32">
        <v>45492</v>
      </c>
      <c r="G323" s="8">
        <v>42274204</v>
      </c>
      <c r="I323" s="8">
        <v>10999145</v>
      </c>
      <c r="K323" s="8">
        <v>2248335</v>
      </c>
      <c r="M323" s="8">
        <v>797941</v>
      </c>
      <c r="O323" s="8">
        <v>5869905</v>
      </c>
      <c r="Q323" s="8">
        <v>5265019</v>
      </c>
      <c r="S323" s="8">
        <v>629220</v>
      </c>
      <c r="U323" s="8">
        <v>5519624</v>
      </c>
      <c r="W323" s="8">
        <v>2493429</v>
      </c>
      <c r="Y323" s="8">
        <v>422564</v>
      </c>
      <c r="AA323" s="8">
        <v>8802705</v>
      </c>
      <c r="AC323" s="8">
        <v>6162044</v>
      </c>
      <c r="AE323" s="8">
        <v>1567040</v>
      </c>
      <c r="AG323" s="8">
        <v>1230</v>
      </c>
      <c r="AI323" s="8">
        <v>1526416</v>
      </c>
      <c r="AJ323" s="13" t="s">
        <v>465</v>
      </c>
      <c r="AK323" s="13"/>
      <c r="AL323" s="13" t="s">
        <v>41</v>
      </c>
      <c r="AN323" s="8">
        <v>1842457</v>
      </c>
      <c r="AP323" s="8">
        <v>1062487</v>
      </c>
      <c r="AR323" s="8">
        <v>0</v>
      </c>
      <c r="AT323" s="8">
        <v>4101642</v>
      </c>
      <c r="AV323" s="8">
        <v>598562</v>
      </c>
      <c r="AX323" s="8">
        <v>0</v>
      </c>
      <c r="AZ323" s="9">
        <f t="shared" si="15"/>
        <v>102183969</v>
      </c>
      <c r="BB323" s="8">
        <v>551284</v>
      </c>
      <c r="BH323" s="8">
        <v>0</v>
      </c>
      <c r="BJ323" s="9">
        <f t="shared" si="16"/>
        <v>102735253</v>
      </c>
      <c r="BL323" s="9">
        <f>'Gov Fd Rv'!AU323-'Gov Fnd Exp'!BJ323</f>
        <v>9612661</v>
      </c>
      <c r="BN323" s="8">
        <v>36436637</v>
      </c>
      <c r="BP323" s="8">
        <v>0</v>
      </c>
      <c r="BR323" s="8">
        <v>0</v>
      </c>
      <c r="BT323" s="9">
        <f t="shared" si="17"/>
        <v>46049298</v>
      </c>
      <c r="BU323" s="9"/>
      <c r="BV323" s="9">
        <f>BT323-'Gov Fd BS'!AA323</f>
        <v>0</v>
      </c>
    </row>
    <row r="324" spans="1:74">
      <c r="A324" s="13" t="s">
        <v>545</v>
      </c>
      <c r="B324" s="13"/>
      <c r="C324" s="13" t="s">
        <v>48</v>
      </c>
      <c r="D324" s="13"/>
      <c r="E324" s="32">
        <v>48629</v>
      </c>
      <c r="G324" s="8">
        <v>5451807</v>
      </c>
      <c r="I324" s="8">
        <v>918010</v>
      </c>
      <c r="K324" s="8">
        <v>122700</v>
      </c>
      <c r="M324" s="8">
        <v>13661</v>
      </c>
      <c r="O324" s="8">
        <v>649605</v>
      </c>
      <c r="Q324" s="8">
        <v>283391</v>
      </c>
      <c r="S324" s="8">
        <v>76344</v>
      </c>
      <c r="U324" s="8">
        <v>831852</v>
      </c>
      <c r="W324" s="8">
        <v>362813</v>
      </c>
      <c r="Y324" s="8">
        <v>53121</v>
      </c>
      <c r="AA324" s="8">
        <v>898516</v>
      </c>
      <c r="AC324" s="8">
        <v>810560</v>
      </c>
      <c r="AE324" s="8">
        <v>251042</v>
      </c>
      <c r="AG324" s="8">
        <v>0</v>
      </c>
      <c r="AI324" s="8">
        <v>428380</v>
      </c>
      <c r="AJ324" s="13" t="s">
        <v>545</v>
      </c>
      <c r="AK324" s="13"/>
      <c r="AL324" s="13" t="s">
        <v>48</v>
      </c>
      <c r="AN324" s="8">
        <v>395595</v>
      </c>
      <c r="AP324" s="8">
        <v>402476</v>
      </c>
      <c r="AR324" s="8">
        <v>0</v>
      </c>
      <c r="AT324" s="8">
        <v>465000</v>
      </c>
      <c r="AV324" s="8">
        <v>421073</v>
      </c>
      <c r="AX324" s="8">
        <v>0</v>
      </c>
      <c r="AZ324" s="9">
        <f t="shared" si="15"/>
        <v>12835946</v>
      </c>
      <c r="BB324" s="8">
        <v>445160</v>
      </c>
      <c r="BH324" s="8">
        <v>0</v>
      </c>
      <c r="BJ324" s="9">
        <f t="shared" si="16"/>
        <v>13281106</v>
      </c>
      <c r="BL324" s="9">
        <f>'Gov Fd Rv'!AU324-'Gov Fnd Exp'!BJ324</f>
        <v>437684</v>
      </c>
      <c r="BN324" s="8">
        <v>939387</v>
      </c>
      <c r="BP324" s="8">
        <v>0</v>
      </c>
      <c r="BR324" s="8">
        <v>0</v>
      </c>
      <c r="BT324" s="9">
        <f t="shared" si="17"/>
        <v>1377071</v>
      </c>
      <c r="BU324" s="9"/>
      <c r="BV324" s="9">
        <f>BT324-'Gov Fd BS'!AA324</f>
        <v>0</v>
      </c>
    </row>
    <row r="325" spans="1:74">
      <c r="A325" s="13" t="s">
        <v>354</v>
      </c>
      <c r="B325" s="13"/>
      <c r="C325" s="13" t="s">
        <v>26</v>
      </c>
      <c r="D325" s="13"/>
      <c r="E325" s="32">
        <v>46920</v>
      </c>
      <c r="G325" s="8">
        <v>9802354</v>
      </c>
      <c r="I325" s="8">
        <v>1908047</v>
      </c>
      <c r="K325" s="8">
        <v>571565</v>
      </c>
      <c r="M325" s="8">
        <v>1625240</v>
      </c>
      <c r="O325" s="8">
        <v>1236836</v>
      </c>
      <c r="Q325" s="8">
        <v>1803732</v>
      </c>
      <c r="S325" s="8">
        <v>28370</v>
      </c>
      <c r="U325" s="8">
        <v>2469992</v>
      </c>
      <c r="W325" s="8">
        <v>709917</v>
      </c>
      <c r="Y325" s="8">
        <v>112572</v>
      </c>
      <c r="AA325" s="8">
        <v>2075979</v>
      </c>
      <c r="AC325" s="8">
        <v>1819190</v>
      </c>
      <c r="AE325" s="8">
        <v>146411</v>
      </c>
      <c r="AG325" s="8">
        <v>0</v>
      </c>
      <c r="AI325" s="8">
        <v>1287120</v>
      </c>
      <c r="AJ325" s="13" t="s">
        <v>354</v>
      </c>
      <c r="AK325" s="13"/>
      <c r="AL325" s="13" t="s">
        <v>26</v>
      </c>
      <c r="AN325" s="8">
        <v>611739</v>
      </c>
      <c r="AP325" s="8">
        <v>17319930</v>
      </c>
      <c r="AR325" s="8">
        <v>0</v>
      </c>
      <c r="AT325" s="8">
        <v>220000</v>
      </c>
      <c r="AV325" s="8">
        <v>753138</v>
      </c>
      <c r="AX325" s="8">
        <v>0</v>
      </c>
      <c r="AZ325" s="9">
        <f t="shared" si="15"/>
        <v>44502132</v>
      </c>
      <c r="BB325" s="8">
        <v>118666</v>
      </c>
      <c r="BH325" s="8">
        <v>0</v>
      </c>
      <c r="BJ325" s="9">
        <f t="shared" si="16"/>
        <v>44620798</v>
      </c>
      <c r="BL325" s="9">
        <f>'Gov Fd Rv'!AU325-'Gov Fnd Exp'!BJ325</f>
        <v>-13990723</v>
      </c>
      <c r="BN325" s="8">
        <v>27921528</v>
      </c>
      <c r="BP325" s="8">
        <v>0</v>
      </c>
      <c r="BR325" s="8">
        <v>0</v>
      </c>
      <c r="BT325" s="9">
        <f t="shared" si="17"/>
        <v>13930805</v>
      </c>
      <c r="BU325" s="9"/>
      <c r="BV325" s="9">
        <f>BT325-'Gov Fd BS'!AA325</f>
        <v>0</v>
      </c>
    </row>
    <row r="326" spans="1:74">
      <c r="A326" s="13" t="s">
        <v>559</v>
      </c>
      <c r="B326" s="13"/>
      <c r="C326" s="13" t="s">
        <v>50</v>
      </c>
      <c r="D326" s="13"/>
      <c r="E326" s="32">
        <v>44396</v>
      </c>
      <c r="G326" s="8">
        <v>22334687</v>
      </c>
      <c r="I326" s="8">
        <v>5735406</v>
      </c>
      <c r="K326" s="8">
        <v>677098</v>
      </c>
      <c r="M326" s="8">
        <v>448642</v>
      </c>
      <c r="O326" s="8">
        <v>4145428</v>
      </c>
      <c r="Q326" s="8">
        <v>1358049</v>
      </c>
      <c r="S326" s="8">
        <v>30720</v>
      </c>
      <c r="U326" s="8">
        <v>2910596</v>
      </c>
      <c r="W326" s="8">
        <v>893548</v>
      </c>
      <c r="Y326" s="8">
        <v>285511</v>
      </c>
      <c r="AA326" s="8">
        <v>3296818</v>
      </c>
      <c r="AC326" s="8">
        <v>2297892</v>
      </c>
      <c r="AE326" s="8">
        <v>379611</v>
      </c>
      <c r="AG326" s="8">
        <v>0</v>
      </c>
      <c r="AI326" s="8">
        <v>24890</v>
      </c>
      <c r="AJ326" s="13" t="s">
        <v>559</v>
      </c>
      <c r="AK326" s="13"/>
      <c r="AL326" s="13" t="s">
        <v>50</v>
      </c>
      <c r="AN326" s="8">
        <v>512894</v>
      </c>
      <c r="AP326" s="8">
        <v>0</v>
      </c>
      <c r="AR326" s="8">
        <v>0</v>
      </c>
      <c r="AT326" s="8">
        <v>0</v>
      </c>
      <c r="AV326" s="8">
        <v>0</v>
      </c>
      <c r="AX326" s="8">
        <v>0</v>
      </c>
      <c r="AZ326" s="9">
        <f t="shared" si="15"/>
        <v>45331790</v>
      </c>
      <c r="BB326" s="8">
        <v>203241</v>
      </c>
      <c r="BH326" s="8">
        <v>0</v>
      </c>
      <c r="BJ326" s="9">
        <f t="shared" si="16"/>
        <v>45535031</v>
      </c>
      <c r="BL326" s="9">
        <f>'Gov Fd Rv'!AU326-'Gov Fnd Exp'!BJ326</f>
        <v>-4139293</v>
      </c>
      <c r="BN326" s="8">
        <v>7536502</v>
      </c>
      <c r="BP326" s="8">
        <v>0</v>
      </c>
      <c r="BR326" s="8">
        <v>0</v>
      </c>
      <c r="BT326" s="9">
        <f t="shared" si="17"/>
        <v>3397209</v>
      </c>
      <c r="BU326" s="9"/>
      <c r="BV326" s="9">
        <f>BT326-'Gov Fd BS'!AA326</f>
        <v>3</v>
      </c>
    </row>
    <row r="327" spans="1:74">
      <c r="A327" s="13" t="s">
        <v>251</v>
      </c>
      <c r="B327" s="13"/>
      <c r="C327" s="13" t="s">
        <v>246</v>
      </c>
      <c r="D327" s="13"/>
      <c r="E327" s="32">
        <v>44404</v>
      </c>
      <c r="G327" s="8">
        <v>24524010</v>
      </c>
      <c r="I327" s="8">
        <v>9882221</v>
      </c>
      <c r="K327" s="8">
        <v>23638</v>
      </c>
      <c r="M327" s="8">
        <v>8236801</v>
      </c>
      <c r="O327" s="8">
        <v>4318458</v>
      </c>
      <c r="Q327" s="8">
        <v>4338546</v>
      </c>
      <c r="S327" s="8">
        <v>0</v>
      </c>
      <c r="U327" s="8">
        <f>28152+5036582</f>
        <v>5064734</v>
      </c>
      <c r="W327" s="8">
        <v>1626470</v>
      </c>
      <c r="Y327" s="8">
        <v>425545</v>
      </c>
      <c r="AA327" s="8">
        <v>6992725</v>
      </c>
      <c r="AC327" s="8">
        <v>3116607</v>
      </c>
      <c r="AE327" s="8">
        <v>1715473</v>
      </c>
      <c r="AG327" s="8">
        <v>0</v>
      </c>
      <c r="AI327" s="8">
        <v>3685944</v>
      </c>
      <c r="AJ327" s="13" t="s">
        <v>251</v>
      </c>
      <c r="AK327" s="13"/>
      <c r="AL327" s="13" t="s">
        <v>246</v>
      </c>
      <c r="AN327" s="8">
        <v>789531</v>
      </c>
      <c r="AP327" s="8">
        <v>13708012</v>
      </c>
      <c r="AR327" s="8">
        <v>0</v>
      </c>
      <c r="AT327" s="8">
        <v>2813657</v>
      </c>
      <c r="AV327" s="8">
        <v>3178262</v>
      </c>
      <c r="AX327" s="8">
        <v>0</v>
      </c>
      <c r="AZ327" s="9">
        <f t="shared" si="15"/>
        <v>94440634</v>
      </c>
      <c r="BB327" s="8">
        <v>366669</v>
      </c>
      <c r="BH327" s="8">
        <v>0</v>
      </c>
      <c r="BJ327" s="9">
        <f t="shared" si="16"/>
        <v>94807303</v>
      </c>
      <c r="BL327" s="9">
        <f>'Gov Fd Rv'!AU327-'Gov Fnd Exp'!BJ327</f>
        <v>-8672186</v>
      </c>
      <c r="BN327" s="8">
        <v>15420188</v>
      </c>
      <c r="BP327" s="8">
        <v>0</v>
      </c>
      <c r="BR327" s="8">
        <v>0</v>
      </c>
      <c r="BT327" s="9">
        <f t="shared" si="17"/>
        <v>6748002</v>
      </c>
      <c r="BU327" s="9"/>
      <c r="BV327" s="9">
        <f>BT327-'Gov Fd BS'!AA327</f>
        <v>0</v>
      </c>
    </row>
    <row r="328" spans="1:74">
      <c r="A328" s="13" t="s">
        <v>497</v>
      </c>
      <c r="B328" s="13"/>
      <c r="C328" s="13" t="s">
        <v>44</v>
      </c>
      <c r="D328" s="13"/>
      <c r="E328" s="32">
        <v>48173</v>
      </c>
      <c r="G328" s="8">
        <v>12259375</v>
      </c>
      <c r="I328" s="8">
        <v>2384668</v>
      </c>
      <c r="K328" s="8">
        <v>125973</v>
      </c>
      <c r="M328" s="8">
        <v>55122</v>
      </c>
      <c r="O328" s="8">
        <v>1695541</v>
      </c>
      <c r="Q328" s="8">
        <v>434927</v>
      </c>
      <c r="S328" s="8">
        <v>878834</v>
      </c>
      <c r="U328" s="8">
        <v>2437912</v>
      </c>
      <c r="W328" s="8">
        <v>968818</v>
      </c>
      <c r="Y328" s="8">
        <v>397262</v>
      </c>
      <c r="AA328" s="8">
        <v>2521668</v>
      </c>
      <c r="AC328" s="8">
        <v>1473020</v>
      </c>
      <c r="AE328" s="8">
        <v>0</v>
      </c>
      <c r="AG328" s="8">
        <v>0</v>
      </c>
      <c r="AI328" s="8">
        <v>0</v>
      </c>
      <c r="AJ328" s="13" t="s">
        <v>497</v>
      </c>
      <c r="AK328" s="13"/>
      <c r="AL328" s="13" t="s">
        <v>44</v>
      </c>
      <c r="AN328" s="8">
        <f>10081+467226+137276</f>
        <v>614583</v>
      </c>
      <c r="AP328" s="8">
        <f>479+262438+62958</f>
        <v>325875</v>
      </c>
      <c r="AR328" s="8">
        <v>0</v>
      </c>
      <c r="AT328" s="8">
        <v>480000</v>
      </c>
      <c r="AV328" s="8">
        <v>1430013</v>
      </c>
      <c r="AX328" s="8">
        <v>0</v>
      </c>
      <c r="AZ328" s="9">
        <f t="shared" si="15"/>
        <v>28483591</v>
      </c>
      <c r="BB328" s="8">
        <v>22433</v>
      </c>
      <c r="BH328" s="8">
        <v>0</v>
      </c>
      <c r="BJ328" s="9">
        <f t="shared" si="16"/>
        <v>28506024</v>
      </c>
      <c r="BL328" s="9">
        <f>'Gov Fd Rv'!AU328-'Gov Fnd Exp'!BJ328</f>
        <v>215908</v>
      </c>
      <c r="BN328" s="8">
        <v>6434966</v>
      </c>
      <c r="BP328" s="8">
        <v>0</v>
      </c>
      <c r="BR328" s="8">
        <v>0</v>
      </c>
      <c r="BT328" s="9">
        <f t="shared" si="17"/>
        <v>6650874</v>
      </c>
      <c r="BU328" s="9"/>
      <c r="BV328" s="9">
        <f>BT328-'Gov Fd BS'!AA328</f>
        <v>0</v>
      </c>
    </row>
    <row r="329" spans="1:74">
      <c r="A329" s="13" t="s">
        <v>274</v>
      </c>
      <c r="B329" s="13"/>
      <c r="C329" s="13" t="s">
        <v>116</v>
      </c>
      <c r="D329" s="13"/>
      <c r="E329" s="32">
        <v>45500</v>
      </c>
      <c r="G329" s="8">
        <v>24132256</v>
      </c>
      <c r="I329" s="8">
        <v>5756632</v>
      </c>
      <c r="K329" s="8">
        <v>256885</v>
      </c>
      <c r="M329" s="8">
        <v>879674</v>
      </c>
      <c r="O329" s="8">
        <v>2348152</v>
      </c>
      <c r="Q329" s="8">
        <v>3026747</v>
      </c>
      <c r="S329" s="8">
        <v>94742</v>
      </c>
      <c r="U329" s="8">
        <v>2806121</v>
      </c>
      <c r="W329" s="8">
        <v>1347687</v>
      </c>
      <c r="Y329" s="8">
        <v>357824</v>
      </c>
      <c r="AA329" s="8">
        <v>6000321</v>
      </c>
      <c r="AC329" s="8">
        <v>4279941</v>
      </c>
      <c r="AE329" s="8">
        <v>831062</v>
      </c>
      <c r="AG329" s="8">
        <v>0</v>
      </c>
      <c r="AI329" s="8">
        <v>3398949</v>
      </c>
      <c r="AJ329" s="13" t="s">
        <v>274</v>
      </c>
      <c r="AK329" s="13"/>
      <c r="AL329" s="13" t="s">
        <v>116</v>
      </c>
      <c r="AN329" s="8">
        <v>1161246</v>
      </c>
      <c r="AP329" s="8">
        <v>1138504</v>
      </c>
      <c r="AR329" s="8">
        <v>0</v>
      </c>
      <c r="AT329" s="8">
        <v>2916633</v>
      </c>
      <c r="AV329" s="8">
        <v>2048999</v>
      </c>
      <c r="AX329" s="8">
        <v>0</v>
      </c>
      <c r="AZ329" s="9">
        <f t="shared" si="15"/>
        <v>62782375</v>
      </c>
      <c r="BB329" s="8">
        <v>0</v>
      </c>
      <c r="BH329" s="8">
        <v>0</v>
      </c>
      <c r="BJ329" s="9">
        <f t="shared" si="16"/>
        <v>62782375</v>
      </c>
      <c r="BL329" s="9">
        <f>'Gov Fd Rv'!AU329-'Gov Fnd Exp'!BJ329</f>
        <v>-280552</v>
      </c>
      <c r="BN329" s="8">
        <v>3073986</v>
      </c>
      <c r="BP329" s="8">
        <v>0</v>
      </c>
      <c r="BR329" s="8">
        <v>0</v>
      </c>
      <c r="BT329" s="9">
        <f t="shared" si="17"/>
        <v>2793434</v>
      </c>
      <c r="BU329" s="9"/>
      <c r="BV329" s="9">
        <f>BT329-'Gov Fd BS'!AA329</f>
        <v>0</v>
      </c>
    </row>
    <row r="330" spans="1:74" hidden="1">
      <c r="A330" s="13" t="s">
        <v>736</v>
      </c>
      <c r="B330" s="13"/>
      <c r="C330" s="13" t="s">
        <v>733</v>
      </c>
      <c r="D330" s="13"/>
      <c r="E330" s="32">
        <v>50633</v>
      </c>
      <c r="G330" s="8">
        <v>0</v>
      </c>
      <c r="I330" s="8">
        <v>0</v>
      </c>
      <c r="K330" s="8">
        <v>0</v>
      </c>
      <c r="M330" s="8">
        <v>0</v>
      </c>
      <c r="O330" s="8">
        <v>0</v>
      </c>
      <c r="Q330" s="8">
        <v>0</v>
      </c>
      <c r="S330" s="8">
        <v>0</v>
      </c>
      <c r="U330" s="8">
        <v>0</v>
      </c>
      <c r="W330" s="8">
        <v>0</v>
      </c>
      <c r="Y330" s="8">
        <v>0</v>
      </c>
      <c r="AA330" s="8">
        <v>0</v>
      </c>
      <c r="AC330" s="8">
        <v>0</v>
      </c>
      <c r="AE330" s="8">
        <v>0</v>
      </c>
      <c r="AG330" s="8">
        <v>0</v>
      </c>
      <c r="AI330" s="8">
        <v>0</v>
      </c>
      <c r="AJ330" s="13" t="s">
        <v>736</v>
      </c>
      <c r="AK330" s="13"/>
      <c r="AL330" s="13" t="s">
        <v>733</v>
      </c>
      <c r="AN330" s="8">
        <v>0</v>
      </c>
      <c r="AP330" s="8">
        <v>0</v>
      </c>
      <c r="AR330" s="8">
        <v>0</v>
      </c>
      <c r="AT330" s="8">
        <v>0</v>
      </c>
      <c r="AV330" s="8">
        <v>0</v>
      </c>
      <c r="AX330" s="8">
        <v>0</v>
      </c>
      <c r="AZ330" s="9">
        <f t="shared" si="15"/>
        <v>0</v>
      </c>
      <c r="BB330" s="8">
        <v>0</v>
      </c>
      <c r="BH330" s="8">
        <v>0</v>
      </c>
      <c r="BJ330" s="9">
        <f t="shared" si="16"/>
        <v>0</v>
      </c>
      <c r="BL330" s="9">
        <f>'Gov Fd Rv'!AU330-'Gov Fnd Exp'!BJ330</f>
        <v>0</v>
      </c>
      <c r="BN330" s="8">
        <v>0</v>
      </c>
      <c r="BP330" s="8">
        <v>0</v>
      </c>
      <c r="BR330" s="8">
        <v>0</v>
      </c>
      <c r="BT330" s="9">
        <f t="shared" si="17"/>
        <v>0</v>
      </c>
      <c r="BU330" s="9"/>
      <c r="BV330" s="9">
        <f>BT330-'Gov Fd BS'!AA330</f>
        <v>0</v>
      </c>
    </row>
    <row r="331" spans="1:74" hidden="1">
      <c r="A331" s="13" t="s">
        <v>610</v>
      </c>
      <c r="B331" s="13"/>
      <c r="C331" s="13" t="s">
        <v>608</v>
      </c>
      <c r="D331" s="13"/>
      <c r="E331" s="32">
        <v>49361</v>
      </c>
      <c r="G331" s="8">
        <v>0</v>
      </c>
      <c r="I331" s="8">
        <v>0</v>
      </c>
      <c r="K331" s="8">
        <v>0</v>
      </c>
      <c r="M331" s="8">
        <v>0</v>
      </c>
      <c r="O331" s="8">
        <v>0</v>
      </c>
      <c r="Q331" s="8">
        <v>0</v>
      </c>
      <c r="S331" s="8">
        <v>0</v>
      </c>
      <c r="U331" s="8">
        <v>0</v>
      </c>
      <c r="W331" s="8">
        <v>0</v>
      </c>
      <c r="Y331" s="8">
        <v>0</v>
      </c>
      <c r="AA331" s="8">
        <v>0</v>
      </c>
      <c r="AC331" s="8">
        <v>0</v>
      </c>
      <c r="AE331" s="8">
        <v>0</v>
      </c>
      <c r="AG331" s="8">
        <v>0</v>
      </c>
      <c r="AI331" s="8">
        <v>0</v>
      </c>
      <c r="AJ331" s="13" t="s">
        <v>610</v>
      </c>
      <c r="AK331" s="13"/>
      <c r="AL331" s="13" t="s">
        <v>608</v>
      </c>
      <c r="AN331" s="8">
        <v>0</v>
      </c>
      <c r="AP331" s="8">
        <v>0</v>
      </c>
      <c r="AR331" s="8">
        <v>0</v>
      </c>
      <c r="AT331" s="8">
        <v>0</v>
      </c>
      <c r="AV331" s="8">
        <v>0</v>
      </c>
      <c r="AX331" s="8">
        <v>0</v>
      </c>
      <c r="AZ331" s="9">
        <f t="shared" si="15"/>
        <v>0</v>
      </c>
      <c r="BB331" s="8">
        <v>0</v>
      </c>
      <c r="BH331" s="8">
        <v>0</v>
      </c>
      <c r="BJ331" s="9">
        <f t="shared" si="16"/>
        <v>0</v>
      </c>
      <c r="BL331" s="9">
        <f>'Gov Fd Rv'!AU331-'Gov Fnd Exp'!BJ331</f>
        <v>0</v>
      </c>
      <c r="BN331" s="8">
        <v>0</v>
      </c>
      <c r="BP331" s="8">
        <v>0</v>
      </c>
      <c r="BR331" s="8">
        <v>0</v>
      </c>
      <c r="BT331" s="9">
        <f t="shared" si="17"/>
        <v>0</v>
      </c>
      <c r="BU331" s="9"/>
      <c r="BV331" s="9">
        <f>BT331-'Gov Fd BS'!AA331</f>
        <v>0</v>
      </c>
    </row>
    <row r="332" spans="1:74">
      <c r="A332" s="13" t="s">
        <v>546</v>
      </c>
      <c r="B332" s="13"/>
      <c r="C332" s="13" t="s">
        <v>48</v>
      </c>
      <c r="D332" s="13"/>
      <c r="E332" s="32">
        <v>45518</v>
      </c>
      <c r="G332" s="8">
        <v>8160957</v>
      </c>
      <c r="I332" s="8">
        <v>0</v>
      </c>
      <c r="K332" s="8">
        <v>0</v>
      </c>
      <c r="M332" s="8">
        <v>0</v>
      </c>
      <c r="O332" s="8">
        <v>733394</v>
      </c>
      <c r="Q332" s="8">
        <v>753930</v>
      </c>
      <c r="S332" s="8">
        <v>94438</v>
      </c>
      <c r="U332" s="8">
        <v>1107062</v>
      </c>
      <c r="W332" s="8">
        <v>394451</v>
      </c>
      <c r="Y332" s="8">
        <v>127317</v>
      </c>
      <c r="AA332" s="8">
        <v>902947</v>
      </c>
      <c r="AC332" s="8">
        <v>791817</v>
      </c>
      <c r="AE332" s="8">
        <v>464364</v>
      </c>
      <c r="AG332" s="8">
        <v>0</v>
      </c>
      <c r="AI332" s="8">
        <v>597339</v>
      </c>
      <c r="AJ332" s="13" t="s">
        <v>546</v>
      </c>
      <c r="AK332" s="13"/>
      <c r="AL332" s="13" t="s">
        <v>48</v>
      </c>
      <c r="AN332" s="8">
        <v>467381</v>
      </c>
      <c r="AP332" s="8">
        <v>40323</v>
      </c>
      <c r="AR332" s="8">
        <v>0</v>
      </c>
      <c r="AT332" s="8">
        <v>0</v>
      </c>
      <c r="AV332" s="8">
        <v>0</v>
      </c>
      <c r="AX332" s="8">
        <v>0</v>
      </c>
      <c r="AZ332" s="9">
        <f t="shared" si="15"/>
        <v>14635720</v>
      </c>
      <c r="BB332" s="8">
        <v>417000</v>
      </c>
      <c r="BH332" s="8">
        <v>10985</v>
      </c>
      <c r="BJ332" s="9">
        <f t="shared" si="16"/>
        <v>15063705</v>
      </c>
      <c r="BL332" s="9">
        <f>'Gov Fd Rv'!AU332-'Gov Fnd Exp'!BJ332</f>
        <v>644001</v>
      </c>
      <c r="BN332" s="8">
        <v>3400987</v>
      </c>
      <c r="BP332" s="8">
        <v>6369</v>
      </c>
      <c r="BR332" s="8">
        <v>0</v>
      </c>
      <c r="BT332" s="9">
        <f t="shared" si="17"/>
        <v>4051357</v>
      </c>
      <c r="BU332" s="9"/>
      <c r="BV332" s="9">
        <f>BT332-'Gov Fd BS'!AA332</f>
        <v>0</v>
      </c>
    </row>
    <row r="333" spans="1:74">
      <c r="A333" s="13" t="s">
        <v>662</v>
      </c>
      <c r="B333" s="13"/>
      <c r="C333" s="13" t="s">
        <v>62</v>
      </c>
      <c r="D333" s="13"/>
      <c r="E333" s="32">
        <v>49890</v>
      </c>
      <c r="G333" s="8">
        <v>8653381</v>
      </c>
      <c r="I333" s="8">
        <v>2112214</v>
      </c>
      <c r="K333" s="8">
        <v>8062</v>
      </c>
      <c r="M333" s="8">
        <v>4625</v>
      </c>
      <c r="O333" s="8">
        <v>978779</v>
      </c>
      <c r="Q333" s="8">
        <v>878366</v>
      </c>
      <c r="S333" s="8">
        <v>99271</v>
      </c>
      <c r="U333" s="8">
        <v>1495427</v>
      </c>
      <c r="W333" s="8">
        <v>479781</v>
      </c>
      <c r="Y333" s="8">
        <v>101652</v>
      </c>
      <c r="AA333" s="8">
        <v>1134619</v>
      </c>
      <c r="AC333" s="8">
        <v>1103969</v>
      </c>
      <c r="AE333" s="8">
        <v>40617</v>
      </c>
      <c r="AG333" s="8">
        <v>837131</v>
      </c>
      <c r="AI333" s="8">
        <v>42579</v>
      </c>
      <c r="AJ333" s="13" t="s">
        <v>662</v>
      </c>
      <c r="AK333" s="13"/>
      <c r="AL333" s="13" t="s">
        <v>62</v>
      </c>
      <c r="AN333" s="8">
        <v>526305</v>
      </c>
      <c r="AP333" s="8">
        <v>10677382</v>
      </c>
      <c r="AR333" s="8">
        <v>0</v>
      </c>
      <c r="AT333" s="8">
        <v>376744</v>
      </c>
      <c r="AV333" s="8">
        <v>540587</v>
      </c>
      <c r="AX333" s="8">
        <v>12071</v>
      </c>
      <c r="AZ333" s="9">
        <f t="shared" si="15"/>
        <v>30103562</v>
      </c>
      <c r="BB333" s="8">
        <v>0</v>
      </c>
      <c r="BH333" s="8">
        <v>0</v>
      </c>
      <c r="BJ333" s="9">
        <f t="shared" si="16"/>
        <v>30103562</v>
      </c>
      <c r="BL333" s="9">
        <f>'Gov Fd Rv'!AU333-'Gov Fnd Exp'!BJ333</f>
        <v>5812392</v>
      </c>
      <c r="BN333" s="8">
        <v>3798433</v>
      </c>
      <c r="BP333" s="8">
        <v>0</v>
      </c>
      <c r="BR333" s="8">
        <v>0</v>
      </c>
      <c r="BT333" s="9">
        <f t="shared" si="17"/>
        <v>9610825</v>
      </c>
      <c r="BU333" s="9"/>
      <c r="BV333" s="9">
        <f>BT333-'Gov Fd BS'!AA333</f>
        <v>0</v>
      </c>
    </row>
    <row r="334" spans="1:74">
      <c r="A334" s="13" t="s">
        <v>634</v>
      </c>
      <c r="B334" s="13"/>
      <c r="C334" s="13" t="s">
        <v>59</v>
      </c>
      <c r="D334" s="13"/>
      <c r="E334" s="32">
        <v>49627</v>
      </c>
      <c r="G334" s="8">
        <v>6808043</v>
      </c>
      <c r="I334" s="8">
        <v>1054322</v>
      </c>
      <c r="K334" s="8">
        <v>241369</v>
      </c>
      <c r="M334" s="8">
        <v>22439</v>
      </c>
      <c r="O334" s="8">
        <v>491270</v>
      </c>
      <c r="Q334" s="8">
        <v>738208</v>
      </c>
      <c r="S334" s="8">
        <v>44803</v>
      </c>
      <c r="U334" s="8">
        <v>1351718</v>
      </c>
      <c r="W334" s="8">
        <v>273332</v>
      </c>
      <c r="Y334" s="8">
        <v>0</v>
      </c>
      <c r="AA334" s="8">
        <v>1228536</v>
      </c>
      <c r="AC334" s="8">
        <v>914381</v>
      </c>
      <c r="AE334" s="8">
        <v>2847</v>
      </c>
      <c r="AG334" s="8">
        <v>0</v>
      </c>
      <c r="AI334" s="8">
        <v>621869</v>
      </c>
      <c r="AJ334" s="13" t="s">
        <v>634</v>
      </c>
      <c r="AK334" s="13"/>
      <c r="AL334" s="13" t="s">
        <v>59</v>
      </c>
      <c r="AN334" s="8">
        <v>441849</v>
      </c>
      <c r="AP334" s="8">
        <v>158310</v>
      </c>
      <c r="AR334" s="8">
        <v>0</v>
      </c>
      <c r="AT334" s="8">
        <v>276023</v>
      </c>
      <c r="AV334" s="8">
        <v>174043</v>
      </c>
      <c r="AX334" s="8">
        <v>0</v>
      </c>
      <c r="AZ334" s="9">
        <f t="shared" si="15"/>
        <v>14843362</v>
      </c>
      <c r="BB334" s="8">
        <v>6827</v>
      </c>
      <c r="BH334" s="8">
        <v>0</v>
      </c>
      <c r="BJ334" s="9">
        <f t="shared" si="16"/>
        <v>14850189</v>
      </c>
      <c r="BL334" s="9">
        <f>'Gov Fd Rv'!AU334-'Gov Fnd Exp'!BJ334</f>
        <v>492948</v>
      </c>
      <c r="BN334" s="8">
        <v>-65161</v>
      </c>
      <c r="BP334" s="8">
        <v>0</v>
      </c>
      <c r="BR334" s="8">
        <v>0</v>
      </c>
      <c r="BT334" s="9">
        <f t="shared" si="17"/>
        <v>427787</v>
      </c>
      <c r="BU334" s="9"/>
      <c r="BV334" s="9">
        <f>BT334-'Gov Fd BS'!AA334</f>
        <v>0</v>
      </c>
    </row>
    <row r="335" spans="1:74">
      <c r="A335" s="13" t="s">
        <v>229</v>
      </c>
      <c r="B335" s="13"/>
      <c r="C335" s="13" t="s">
        <v>14</v>
      </c>
      <c r="D335" s="13"/>
      <c r="E335" s="32">
        <v>45948</v>
      </c>
      <c r="G335" s="8">
        <v>4288836</v>
      </c>
      <c r="I335" s="8">
        <v>460993</v>
      </c>
      <c r="K335" s="8">
        <v>226273</v>
      </c>
      <c r="M335" s="8">
        <v>0</v>
      </c>
      <c r="O335" s="8">
        <v>391134</v>
      </c>
      <c r="Q335" s="8">
        <v>383392</v>
      </c>
      <c r="S335" s="8">
        <v>32928</v>
      </c>
      <c r="U335" s="8">
        <v>610312</v>
      </c>
      <c r="W335" s="8">
        <v>257331</v>
      </c>
      <c r="Y335" s="8">
        <v>0</v>
      </c>
      <c r="AA335" s="8">
        <v>856846</v>
      </c>
      <c r="AC335" s="8">
        <v>280843</v>
      </c>
      <c r="AE335" s="8">
        <v>55943</v>
      </c>
      <c r="AG335" s="8">
        <v>0</v>
      </c>
      <c r="AI335" s="8">
        <v>350727</v>
      </c>
      <c r="AJ335" s="13" t="s">
        <v>229</v>
      </c>
      <c r="AK335" s="13"/>
      <c r="AL335" s="13" t="s">
        <v>14</v>
      </c>
      <c r="AN335" s="8">
        <v>311172</v>
      </c>
      <c r="AP335" s="8">
        <v>90281</v>
      </c>
      <c r="AR335" s="8">
        <v>212375</v>
      </c>
      <c r="AT335" s="8">
        <v>565000</v>
      </c>
      <c r="AV335" s="8">
        <v>481374</v>
      </c>
      <c r="AX335" s="8">
        <v>0</v>
      </c>
      <c r="AZ335" s="9">
        <f t="shared" si="15"/>
        <v>9855760</v>
      </c>
      <c r="BB335" s="8">
        <v>79117</v>
      </c>
      <c r="BH335" s="8">
        <v>0</v>
      </c>
      <c r="BJ335" s="9">
        <f t="shared" si="16"/>
        <v>9934877</v>
      </c>
      <c r="BL335" s="9">
        <f>'Gov Fd Rv'!AU335-'Gov Fnd Exp'!BJ335</f>
        <v>62092</v>
      </c>
      <c r="BN335" s="8">
        <v>734755</v>
      </c>
      <c r="BP335" s="8">
        <v>0</v>
      </c>
      <c r="BR335" s="8">
        <v>0</v>
      </c>
      <c r="BT335" s="9">
        <f t="shared" si="17"/>
        <v>796847</v>
      </c>
      <c r="BU335" s="9"/>
      <c r="BV335" s="9">
        <f>BT335-'Gov Fd BS'!AA335</f>
        <v>0</v>
      </c>
    </row>
    <row r="336" spans="1:74" hidden="1">
      <c r="A336" s="13" t="s">
        <v>332</v>
      </c>
      <c r="B336" s="13"/>
      <c r="C336" s="13" t="s">
        <v>21</v>
      </c>
      <c r="D336" s="13"/>
      <c r="E336" s="32">
        <v>46672</v>
      </c>
      <c r="G336" s="8">
        <v>0</v>
      </c>
      <c r="I336" s="8">
        <v>0</v>
      </c>
      <c r="K336" s="8">
        <v>0</v>
      </c>
      <c r="M336" s="8">
        <v>0</v>
      </c>
      <c r="O336" s="8">
        <v>0</v>
      </c>
      <c r="Q336" s="8">
        <v>0</v>
      </c>
      <c r="S336" s="8">
        <v>0</v>
      </c>
      <c r="U336" s="8">
        <v>0</v>
      </c>
      <c r="W336" s="8">
        <v>0</v>
      </c>
      <c r="Y336" s="8">
        <v>0</v>
      </c>
      <c r="AA336" s="8">
        <v>0</v>
      </c>
      <c r="AC336" s="8">
        <v>0</v>
      </c>
      <c r="AE336" s="8">
        <v>0</v>
      </c>
      <c r="AG336" s="8">
        <v>0</v>
      </c>
      <c r="AI336" s="8">
        <v>0</v>
      </c>
      <c r="AJ336" s="13" t="s">
        <v>332</v>
      </c>
      <c r="AK336" s="13"/>
      <c r="AL336" s="13" t="s">
        <v>21</v>
      </c>
      <c r="AN336" s="8">
        <v>0</v>
      </c>
      <c r="AP336" s="8">
        <v>0</v>
      </c>
      <c r="AR336" s="8">
        <v>0</v>
      </c>
      <c r="AT336" s="8">
        <v>0</v>
      </c>
      <c r="AV336" s="8">
        <v>0</v>
      </c>
      <c r="AX336" s="8">
        <v>0</v>
      </c>
      <c r="AZ336" s="9">
        <f t="shared" si="15"/>
        <v>0</v>
      </c>
      <c r="BB336" s="8">
        <v>0</v>
      </c>
      <c r="BH336" s="8">
        <v>0</v>
      </c>
      <c r="BJ336" s="9">
        <f t="shared" si="16"/>
        <v>0</v>
      </c>
      <c r="BL336" s="9">
        <f>'Gov Fd Rv'!AU336-'Gov Fnd Exp'!BJ336</f>
        <v>0</v>
      </c>
      <c r="BN336" s="8">
        <v>0</v>
      </c>
      <c r="BP336" s="8">
        <v>0</v>
      </c>
      <c r="BR336" s="8">
        <v>0</v>
      </c>
      <c r="BT336" s="9">
        <f t="shared" si="17"/>
        <v>0</v>
      </c>
      <c r="BU336" s="9"/>
      <c r="BV336" s="9">
        <f>BT336-'Gov Fd BS'!AA336</f>
        <v>0</v>
      </c>
    </row>
    <row r="337" spans="1:74">
      <c r="A337" s="13" t="s">
        <v>672</v>
      </c>
      <c r="B337" s="13"/>
      <c r="C337" s="13" t="s">
        <v>63</v>
      </c>
      <c r="D337" s="13"/>
      <c r="E337" s="32">
        <v>50039</v>
      </c>
      <c r="G337" s="8">
        <v>3921116</v>
      </c>
      <c r="I337" s="8">
        <v>771734</v>
      </c>
      <c r="K337" s="8">
        <v>82236</v>
      </c>
      <c r="M337" s="8">
        <v>546462</v>
      </c>
      <c r="O337" s="8">
        <v>502076</v>
      </c>
      <c r="Q337" s="8">
        <v>380614</v>
      </c>
      <c r="S337" s="8">
        <v>45899</v>
      </c>
      <c r="U337" s="8">
        <v>779404</v>
      </c>
      <c r="W337" s="8">
        <v>412750</v>
      </c>
      <c r="Y337" s="8">
        <v>397</v>
      </c>
      <c r="AA337" s="8">
        <v>920500</v>
      </c>
      <c r="AC337" s="8">
        <v>371997</v>
      </c>
      <c r="AE337" s="8">
        <v>68836</v>
      </c>
      <c r="AG337" s="8">
        <v>257371</v>
      </c>
      <c r="AI337" s="8">
        <v>0</v>
      </c>
      <c r="AJ337" s="13" t="s">
        <v>672</v>
      </c>
      <c r="AK337" s="13"/>
      <c r="AL337" s="13" t="s">
        <v>63</v>
      </c>
      <c r="AN337" s="8">
        <v>325204</v>
      </c>
      <c r="AP337" s="8">
        <v>1713296</v>
      </c>
      <c r="AR337" s="8">
        <v>0</v>
      </c>
      <c r="AT337" s="8">
        <v>349745</v>
      </c>
      <c r="AV337" s="8">
        <v>555001</v>
      </c>
      <c r="AX337" s="8">
        <v>0</v>
      </c>
      <c r="AZ337" s="9">
        <f t="shared" ref="AZ337:AZ392" si="18">SUM(G337:AX337)</f>
        <v>12004638</v>
      </c>
      <c r="BB337" s="8">
        <v>238042</v>
      </c>
      <c r="BH337" s="8">
        <v>3075</v>
      </c>
      <c r="BJ337" s="9">
        <f t="shared" ref="BJ337:BJ402" si="19">AZ337+BB337+BH337</f>
        <v>12245755</v>
      </c>
      <c r="BL337" s="9">
        <f>'Gov Fd Rv'!AU337-'Gov Fnd Exp'!BJ337</f>
        <v>-2624826</v>
      </c>
      <c r="BN337" s="8">
        <v>8665045</v>
      </c>
      <c r="BP337" s="8">
        <v>0</v>
      </c>
      <c r="BR337" s="8">
        <v>0</v>
      </c>
      <c r="BT337" s="9">
        <f t="shared" si="17"/>
        <v>6040219</v>
      </c>
      <c r="BU337" s="9"/>
      <c r="BV337" s="9">
        <f>BT337-'Gov Fd BS'!AA337</f>
        <v>0</v>
      </c>
    </row>
    <row r="338" spans="1:74" hidden="1">
      <c r="A338" s="13" t="s">
        <v>748</v>
      </c>
      <c r="B338" s="13"/>
      <c r="C338" s="13" t="s">
        <v>747</v>
      </c>
      <c r="D338" s="13"/>
      <c r="E338" s="32">
        <v>50740</v>
      </c>
      <c r="G338" s="8">
        <v>0</v>
      </c>
      <c r="I338" s="8">
        <v>0</v>
      </c>
      <c r="K338" s="8">
        <v>0</v>
      </c>
      <c r="M338" s="8">
        <v>0</v>
      </c>
      <c r="O338" s="8">
        <v>0</v>
      </c>
      <c r="Q338" s="8">
        <v>0</v>
      </c>
      <c r="S338" s="8">
        <v>0</v>
      </c>
      <c r="U338" s="8">
        <v>0</v>
      </c>
      <c r="W338" s="8">
        <v>0</v>
      </c>
      <c r="Y338" s="8">
        <v>0</v>
      </c>
      <c r="AA338" s="8">
        <v>0</v>
      </c>
      <c r="AC338" s="8">
        <v>0</v>
      </c>
      <c r="AE338" s="8">
        <v>0</v>
      </c>
      <c r="AG338" s="8">
        <v>0</v>
      </c>
      <c r="AI338" s="8">
        <v>0</v>
      </c>
      <c r="AJ338" s="13" t="s">
        <v>748</v>
      </c>
      <c r="AK338" s="13"/>
      <c r="AL338" s="13" t="s">
        <v>747</v>
      </c>
      <c r="AN338" s="8">
        <v>0</v>
      </c>
      <c r="AP338" s="8">
        <v>0</v>
      </c>
      <c r="AR338" s="8">
        <v>0</v>
      </c>
      <c r="AT338" s="8">
        <v>0</v>
      </c>
      <c r="AV338" s="8">
        <v>0</v>
      </c>
      <c r="AX338" s="8">
        <v>0</v>
      </c>
      <c r="AZ338" s="9">
        <f t="shared" si="18"/>
        <v>0</v>
      </c>
      <c r="BB338" s="8">
        <v>0</v>
      </c>
      <c r="BH338" s="8">
        <v>0</v>
      </c>
      <c r="BJ338" s="9">
        <f t="shared" si="19"/>
        <v>0</v>
      </c>
      <c r="BL338" s="9">
        <f>'Gov Fd Rv'!AU338-'Gov Fnd Exp'!BJ338</f>
        <v>0</v>
      </c>
      <c r="BN338" s="8">
        <v>0</v>
      </c>
      <c r="BP338" s="8">
        <v>0</v>
      </c>
      <c r="BR338" s="8">
        <v>0</v>
      </c>
      <c r="BT338" s="9">
        <f t="shared" si="17"/>
        <v>0</v>
      </c>
      <c r="BU338" s="9"/>
      <c r="BV338" s="9">
        <f>BT338-'Gov Fd BS'!AA338</f>
        <v>0</v>
      </c>
    </row>
    <row r="339" spans="1:74">
      <c r="A339" s="13" t="s">
        <v>252</v>
      </c>
      <c r="B339" s="13"/>
      <c r="C339" s="13" t="s">
        <v>246</v>
      </c>
      <c r="D339" s="13"/>
      <c r="E339" s="32">
        <v>139303</v>
      </c>
      <c r="G339" s="8">
        <v>8121252</v>
      </c>
      <c r="I339" s="8">
        <v>1261537</v>
      </c>
      <c r="K339" s="8">
        <v>0</v>
      </c>
      <c r="M339" s="8">
        <v>33521</v>
      </c>
      <c r="O339" s="8">
        <v>980727</v>
      </c>
      <c r="Q339" s="8">
        <v>729714</v>
      </c>
      <c r="S339" s="8">
        <v>59758</v>
      </c>
      <c r="U339" s="8">
        <v>1602071</v>
      </c>
      <c r="W339" s="8">
        <v>532761</v>
      </c>
      <c r="Y339" s="8">
        <v>129205</v>
      </c>
      <c r="AA339" s="8">
        <v>1581077</v>
      </c>
      <c r="AC339" s="8">
        <v>1629905</v>
      </c>
      <c r="AE339" s="8">
        <v>463791</v>
      </c>
      <c r="AG339" s="8">
        <v>0</v>
      </c>
      <c r="AI339" s="8">
        <v>807253</v>
      </c>
      <c r="AJ339" s="13" t="s">
        <v>252</v>
      </c>
      <c r="AK339" s="13"/>
      <c r="AL339" s="13" t="s">
        <v>246</v>
      </c>
      <c r="AN339" s="8">
        <v>888317</v>
      </c>
      <c r="AP339" s="8">
        <v>624868</v>
      </c>
      <c r="AR339" s="8">
        <v>0</v>
      </c>
      <c r="AT339" s="8">
        <v>869322</v>
      </c>
      <c r="AV339" s="8">
        <v>1490002</v>
      </c>
      <c r="AX339" s="8">
        <v>0</v>
      </c>
      <c r="AZ339" s="9">
        <f t="shared" si="18"/>
        <v>21805081</v>
      </c>
      <c r="BB339" s="8">
        <v>242379</v>
      </c>
      <c r="BH339" s="8">
        <v>0</v>
      </c>
      <c r="BJ339" s="9">
        <f t="shared" si="19"/>
        <v>22047460</v>
      </c>
      <c r="BL339" s="9">
        <f>'Gov Fd Rv'!AU339-'Gov Fnd Exp'!BJ339</f>
        <v>-950430</v>
      </c>
      <c r="BN339" s="8">
        <v>2039300</v>
      </c>
      <c r="BP339" s="8">
        <v>0</v>
      </c>
      <c r="BR339" s="8">
        <v>0</v>
      </c>
      <c r="BT339" s="9">
        <f t="shared" ref="BT339:BT404" si="20">BL339+BN339+BP339+BR339</f>
        <v>1088870</v>
      </c>
      <c r="BU339" s="9"/>
      <c r="BV339" s="9">
        <f>BT339-'Gov Fd BS'!AA339</f>
        <v>0</v>
      </c>
    </row>
    <row r="340" spans="1:74">
      <c r="A340" s="13" t="s">
        <v>449</v>
      </c>
      <c r="B340" s="13"/>
      <c r="C340" s="13" t="s">
        <v>37</v>
      </c>
      <c r="D340" s="13"/>
      <c r="E340" s="32">
        <v>47712</v>
      </c>
      <c r="G340" s="8">
        <v>2848585</v>
      </c>
      <c r="I340" s="8">
        <v>550188</v>
      </c>
      <c r="K340" s="8">
        <v>253963</v>
      </c>
      <c r="M340" s="8">
        <v>6182</v>
      </c>
      <c r="O340" s="8">
        <v>196177</v>
      </c>
      <c r="Q340" s="8">
        <v>303708</v>
      </c>
      <c r="S340" s="8">
        <v>31551</v>
      </c>
      <c r="U340" s="8">
        <v>444178</v>
      </c>
      <c r="W340" s="8">
        <v>238432</v>
      </c>
      <c r="Y340" s="8">
        <v>2690</v>
      </c>
      <c r="AA340" s="8">
        <v>499479</v>
      </c>
      <c r="AC340" s="8">
        <v>380891</v>
      </c>
      <c r="AE340" s="8">
        <v>5417</v>
      </c>
      <c r="AG340" s="8">
        <v>278913</v>
      </c>
      <c r="AI340" s="8">
        <v>4179</v>
      </c>
      <c r="AJ340" s="13" t="s">
        <v>449</v>
      </c>
      <c r="AK340" s="13"/>
      <c r="AL340" s="13" t="s">
        <v>37</v>
      </c>
      <c r="AN340" s="8">
        <v>221308</v>
      </c>
      <c r="AP340" s="8">
        <f>117443+129596</f>
        <v>247039</v>
      </c>
      <c r="AR340" s="8">
        <v>84719</v>
      </c>
      <c r="AT340" s="8">
        <v>64093</v>
      </c>
      <c r="AV340" s="8">
        <v>5106</v>
      </c>
      <c r="AX340" s="8">
        <v>0</v>
      </c>
      <c r="AZ340" s="9">
        <f t="shared" si="18"/>
        <v>6666798</v>
      </c>
      <c r="BB340" s="8">
        <v>1600</v>
      </c>
      <c r="BH340" s="8">
        <v>0</v>
      </c>
      <c r="BJ340" s="9">
        <f t="shared" si="19"/>
        <v>6668398</v>
      </c>
      <c r="BL340" s="9">
        <f>'Gov Fd Rv'!AU342-'Gov Fnd Exp'!BJ340</f>
        <v>-4960</v>
      </c>
      <c r="BN340" s="8">
        <v>1696944</v>
      </c>
      <c r="BP340" s="8">
        <v>0</v>
      </c>
      <c r="BR340" s="8">
        <v>0</v>
      </c>
      <c r="BT340" s="9">
        <f t="shared" si="20"/>
        <v>1691984</v>
      </c>
      <c r="BU340" s="9"/>
      <c r="BV340" s="9">
        <f>BT340-'Gov Fd BS'!AA340</f>
        <v>0</v>
      </c>
    </row>
    <row r="341" spans="1:74">
      <c r="A341" s="13" t="s">
        <v>737</v>
      </c>
      <c r="B341" s="13"/>
      <c r="C341" s="13" t="s">
        <v>733</v>
      </c>
      <c r="D341" s="13"/>
      <c r="E341" s="13">
        <v>45526</v>
      </c>
      <c r="G341" s="8">
        <v>4626206</v>
      </c>
      <c r="I341" s="8">
        <v>899941</v>
      </c>
      <c r="K341" s="8">
        <v>154699</v>
      </c>
      <c r="M341" s="8">
        <f>11068+473861</f>
        <v>484929</v>
      </c>
      <c r="O341" s="8">
        <v>396682</v>
      </c>
      <c r="Q341" s="8">
        <v>381270</v>
      </c>
      <c r="S341" s="8">
        <v>13095</v>
      </c>
      <c r="U341" s="8">
        <v>612866</v>
      </c>
      <c r="W341" s="8">
        <v>237126</v>
      </c>
      <c r="Y341" s="8">
        <v>105</v>
      </c>
      <c r="AA341" s="8">
        <v>922837</v>
      </c>
      <c r="AC341" s="8">
        <v>379169</v>
      </c>
      <c r="AE341" s="8">
        <v>280266</v>
      </c>
      <c r="AG341" s="8">
        <v>0</v>
      </c>
      <c r="AI341" s="8">
        <v>458239</v>
      </c>
      <c r="AJ341" s="13" t="s">
        <v>737</v>
      </c>
      <c r="AK341" s="13"/>
      <c r="AL341" s="13" t="s">
        <v>733</v>
      </c>
      <c r="AN341" s="8">
        <v>346377</v>
      </c>
      <c r="AP341" s="8">
        <v>134083</v>
      </c>
      <c r="AR341" s="8">
        <v>0</v>
      </c>
      <c r="AT341" s="8">
        <v>210000</v>
      </c>
      <c r="AV341" s="8">
        <v>170468</v>
      </c>
      <c r="AX341" s="8">
        <v>0</v>
      </c>
      <c r="AZ341" s="9">
        <f t="shared" si="18"/>
        <v>10708358</v>
      </c>
      <c r="BB341" s="8">
        <v>7470</v>
      </c>
      <c r="BH341" s="8">
        <v>0</v>
      </c>
      <c r="BJ341" s="9">
        <f t="shared" si="19"/>
        <v>10715828</v>
      </c>
      <c r="BL341" s="9">
        <f>'Gov Fd Rv'!AU343-'Gov Fnd Exp'!BJ341</f>
        <v>218825</v>
      </c>
      <c r="BN341" s="8">
        <v>3913087</v>
      </c>
      <c r="BP341" s="8">
        <v>0</v>
      </c>
      <c r="BR341" s="8">
        <v>0</v>
      </c>
      <c r="BT341" s="9">
        <f t="shared" si="20"/>
        <v>4131912</v>
      </c>
      <c r="BU341" s="9"/>
      <c r="BV341" s="9">
        <f>BT341-'Gov Fd BS'!AA341</f>
        <v>0</v>
      </c>
    </row>
    <row r="342" spans="1:74">
      <c r="A342" s="13" t="s">
        <v>566</v>
      </c>
      <c r="B342" s="13"/>
      <c r="C342" s="13" t="s">
        <v>567</v>
      </c>
      <c r="D342" s="13"/>
      <c r="E342" s="32">
        <v>48777</v>
      </c>
      <c r="G342" s="8">
        <v>9338111</v>
      </c>
      <c r="I342" s="8">
        <v>2303591</v>
      </c>
      <c r="K342" s="8">
        <v>967255</v>
      </c>
      <c r="M342" s="8">
        <f>974+331023</f>
        <v>331997</v>
      </c>
      <c r="O342" s="8">
        <v>700887</v>
      </c>
      <c r="Q342" s="8">
        <v>717948</v>
      </c>
      <c r="S342" s="8">
        <v>86216</v>
      </c>
      <c r="U342" s="8">
        <v>1766590</v>
      </c>
      <c r="W342" s="8">
        <v>632487</v>
      </c>
      <c r="Y342" s="8">
        <v>203443</v>
      </c>
      <c r="AA342" s="8">
        <v>1603364</v>
      </c>
      <c r="AC342" s="8">
        <v>2045718</v>
      </c>
      <c r="AE342" s="8">
        <v>178963</v>
      </c>
      <c r="AG342" s="8">
        <v>0</v>
      </c>
      <c r="AI342" s="8">
        <v>1115349</v>
      </c>
      <c r="AJ342" s="13" t="s">
        <v>566</v>
      </c>
      <c r="AK342" s="13"/>
      <c r="AL342" s="13" t="s">
        <v>567</v>
      </c>
      <c r="AN342" s="8">
        <v>249751</v>
      </c>
      <c r="AP342" s="8">
        <v>2062765</v>
      </c>
      <c r="AR342" s="8">
        <v>0</v>
      </c>
      <c r="AT342" s="8">
        <v>596979</v>
      </c>
      <c r="AV342" s="8">
        <v>441600</v>
      </c>
      <c r="AX342" s="8">
        <v>72167</v>
      </c>
      <c r="AZ342" s="9">
        <f t="shared" si="18"/>
        <v>25415181</v>
      </c>
      <c r="BB342" s="8">
        <v>77917</v>
      </c>
      <c r="BH342" s="8">
        <v>0</v>
      </c>
      <c r="BJ342" s="9">
        <f t="shared" si="19"/>
        <v>25493098</v>
      </c>
      <c r="BL342" s="9">
        <f>'Gov Fd Rv'!AU344-'Gov Fnd Exp'!BJ342</f>
        <v>8757462</v>
      </c>
      <c r="BN342" s="8">
        <v>3280865</v>
      </c>
      <c r="BP342" s="8">
        <v>0</v>
      </c>
      <c r="BR342" s="8">
        <v>0</v>
      </c>
      <c r="BT342" s="9">
        <f t="shared" si="20"/>
        <v>12038327</v>
      </c>
      <c r="BU342" s="9"/>
      <c r="BV342" s="9">
        <f>BT342-'Gov Fd BS'!AA342</f>
        <v>0</v>
      </c>
    </row>
    <row r="343" spans="1:74">
      <c r="A343" s="13" t="s">
        <v>894</v>
      </c>
      <c r="B343" s="13"/>
      <c r="C343" s="13" t="s">
        <v>78</v>
      </c>
      <c r="D343" s="13"/>
      <c r="E343" s="32">
        <v>45534</v>
      </c>
      <c r="G343" s="8">
        <v>4636711</v>
      </c>
      <c r="I343" s="8">
        <v>1322330</v>
      </c>
      <c r="K343" s="8">
        <v>336261</v>
      </c>
      <c r="M343" s="8">
        <v>1168750</v>
      </c>
      <c r="O343" s="8">
        <v>567608</v>
      </c>
      <c r="Q343" s="8">
        <v>512893</v>
      </c>
      <c r="S343" s="8">
        <v>50387</v>
      </c>
      <c r="U343" s="8">
        <v>727008</v>
      </c>
      <c r="W343" s="8">
        <v>407911</v>
      </c>
      <c r="Y343" s="8">
        <v>0</v>
      </c>
      <c r="AA343" s="8">
        <v>1253489</v>
      </c>
      <c r="AC343" s="8">
        <v>454328</v>
      </c>
      <c r="AE343" s="8">
        <v>26503</v>
      </c>
      <c r="AG343" s="8">
        <v>410682</v>
      </c>
      <c r="AI343" s="8">
        <v>0</v>
      </c>
      <c r="AJ343" s="13" t="s">
        <v>569</v>
      </c>
      <c r="AK343" s="13"/>
      <c r="AL343" s="13" t="s">
        <v>78</v>
      </c>
      <c r="AN343" s="8">
        <v>292439</v>
      </c>
      <c r="AP343" s="8">
        <v>986758</v>
      </c>
      <c r="AR343" s="8">
        <v>0</v>
      </c>
      <c r="AT343" s="8">
        <v>374302</v>
      </c>
      <c r="AV343" s="8">
        <v>424582</v>
      </c>
      <c r="AX343" s="8">
        <v>0</v>
      </c>
      <c r="AZ343" s="9">
        <f t="shared" si="18"/>
        <v>13952942</v>
      </c>
      <c r="BB343" s="8">
        <v>495548</v>
      </c>
      <c r="BH343" s="8">
        <v>0</v>
      </c>
      <c r="BJ343" s="9">
        <f t="shared" si="19"/>
        <v>14448490</v>
      </c>
      <c r="BL343" s="9">
        <f>'Gov Fd Rv'!AU345-'Gov Fnd Exp'!BJ343</f>
        <v>8465509</v>
      </c>
      <c r="BN343" s="8">
        <v>4333893</v>
      </c>
      <c r="BP343" s="8">
        <v>0</v>
      </c>
      <c r="BR343" s="8">
        <v>0</v>
      </c>
      <c r="BT343" s="9">
        <f t="shared" si="20"/>
        <v>12799402</v>
      </c>
      <c r="BU343" s="9"/>
      <c r="BV343" s="9">
        <f>BT343-'Gov Fd BS'!AA343</f>
        <v>0</v>
      </c>
    </row>
    <row r="344" spans="1:74">
      <c r="A344" s="13" t="s">
        <v>462</v>
      </c>
      <c r="B344" s="13"/>
      <c r="C344" s="13" t="s">
        <v>40</v>
      </c>
      <c r="D344" s="13"/>
      <c r="E344" s="32">
        <v>44420</v>
      </c>
      <c r="G344" s="8">
        <v>16497909</v>
      </c>
      <c r="I344" s="8">
        <v>4282987</v>
      </c>
      <c r="K344" s="8">
        <v>305072</v>
      </c>
      <c r="M344" s="8">
        <v>1544</v>
      </c>
      <c r="O344" s="8">
        <v>1768483</v>
      </c>
      <c r="Q344" s="8">
        <v>2144048</v>
      </c>
      <c r="S344" s="8">
        <v>38206</v>
      </c>
      <c r="U344" s="8">
        <v>2221710</v>
      </c>
      <c r="W344" s="8">
        <v>2852176</v>
      </c>
      <c r="Y344" s="8">
        <v>223361</v>
      </c>
      <c r="AA344" s="8">
        <v>2564360</v>
      </c>
      <c r="AC344" s="8">
        <v>1486514</v>
      </c>
      <c r="AE344" s="8">
        <v>147095</v>
      </c>
      <c r="AG344" s="8">
        <v>0</v>
      </c>
      <c r="AI344" s="8">
        <v>1398627</v>
      </c>
      <c r="AJ344" s="13" t="s">
        <v>462</v>
      </c>
      <c r="AK344" s="13"/>
      <c r="AL344" s="13" t="s">
        <v>40</v>
      </c>
      <c r="AN344" s="8">
        <v>604830</v>
      </c>
      <c r="AP344" s="8">
        <v>1789041</v>
      </c>
      <c r="AR344" s="8">
        <v>0</v>
      </c>
      <c r="AT344" s="8">
        <v>570979</v>
      </c>
      <c r="AV344" s="8">
        <v>298830</v>
      </c>
      <c r="AX344" s="8">
        <v>0</v>
      </c>
      <c r="AZ344" s="9">
        <f t="shared" si="18"/>
        <v>39195772</v>
      </c>
      <c r="BB344" s="8">
        <v>86885</v>
      </c>
      <c r="BH344" s="8">
        <v>0</v>
      </c>
      <c r="BJ344" s="9">
        <f t="shared" si="19"/>
        <v>39282657</v>
      </c>
      <c r="BL344" s="9">
        <f>'Gov Fd Rv'!AU346-'Gov Fnd Exp'!BJ344</f>
        <v>-2468420</v>
      </c>
      <c r="BN344" s="8">
        <v>16386986</v>
      </c>
      <c r="BP344" s="8">
        <v>0</v>
      </c>
      <c r="BR344" s="8">
        <v>0</v>
      </c>
      <c r="BT344" s="9">
        <f t="shared" si="20"/>
        <v>13918566</v>
      </c>
      <c r="BU344" s="9"/>
      <c r="BV344" s="9">
        <f>BT344-'Gov Fd BS'!AA344</f>
        <v>0</v>
      </c>
    </row>
    <row r="345" spans="1:74">
      <c r="A345" s="13" t="s">
        <v>898</v>
      </c>
      <c r="B345" s="13"/>
      <c r="C345" s="13" t="s">
        <v>32</v>
      </c>
      <c r="D345" s="13"/>
      <c r="E345" s="32">
        <v>44412</v>
      </c>
      <c r="G345" s="8">
        <v>13208630</v>
      </c>
      <c r="I345" s="8">
        <v>5380847</v>
      </c>
      <c r="K345" s="8">
        <v>183652</v>
      </c>
      <c r="M345" s="8">
        <v>3981252</v>
      </c>
      <c r="O345" s="8">
        <v>2334560</v>
      </c>
      <c r="Q345" s="8">
        <v>3008056</v>
      </c>
      <c r="S345" s="8">
        <v>141616</v>
      </c>
      <c r="U345" s="8">
        <v>2532728</v>
      </c>
      <c r="W345" s="8">
        <v>782966</v>
      </c>
      <c r="Y345" s="8">
        <v>142260</v>
      </c>
      <c r="AA345" s="8">
        <v>4107335</v>
      </c>
      <c r="AC345" s="8">
        <v>2412936</v>
      </c>
      <c r="AE345" s="8">
        <v>319531</v>
      </c>
      <c r="AG345" s="8">
        <v>0</v>
      </c>
      <c r="AI345" s="8">
        <v>0</v>
      </c>
      <c r="AJ345" s="13" t="s">
        <v>405</v>
      </c>
      <c r="AK345" s="13"/>
      <c r="AL345" s="13" t="s">
        <v>32</v>
      </c>
      <c r="AN345" s="8">
        <v>756662</v>
      </c>
      <c r="AP345" s="8">
        <v>4941415</v>
      </c>
      <c r="AR345" s="8">
        <v>0</v>
      </c>
      <c r="AT345" s="8">
        <v>167645</v>
      </c>
      <c r="AV345" s="8">
        <v>1967860</v>
      </c>
      <c r="AX345" s="8">
        <v>2168281</v>
      </c>
      <c r="AZ345" s="9">
        <f t="shared" si="18"/>
        <v>48538232</v>
      </c>
      <c r="BB345" s="8">
        <v>33159556</v>
      </c>
      <c r="BH345" s="8">
        <v>0</v>
      </c>
      <c r="BJ345" s="9">
        <f t="shared" si="19"/>
        <v>81697788</v>
      </c>
      <c r="BL345" s="9">
        <f>'Gov Fd Rv'!AU347-'Gov Fnd Exp'!BJ345</f>
        <v>36638639</v>
      </c>
      <c r="BN345" s="8">
        <v>4833099</v>
      </c>
      <c r="BP345" s="8">
        <v>0</v>
      </c>
      <c r="BR345" s="8">
        <v>0</v>
      </c>
      <c r="BT345" s="9">
        <f t="shared" si="20"/>
        <v>41471738</v>
      </c>
      <c r="BU345" s="9"/>
      <c r="BV345" s="9">
        <f>BT345-'Gov Fd BS'!AA345</f>
        <v>0</v>
      </c>
    </row>
    <row r="346" spans="1:74">
      <c r="A346" s="13" t="s">
        <v>437</v>
      </c>
      <c r="B346" s="13"/>
      <c r="C346" s="13" t="s">
        <v>34</v>
      </c>
      <c r="D346" s="13"/>
      <c r="E346" s="32">
        <v>44438</v>
      </c>
      <c r="G346" s="8">
        <v>7901646</v>
      </c>
      <c r="I346" s="8">
        <v>4027196</v>
      </c>
      <c r="K346" s="8">
        <v>254157</v>
      </c>
      <c r="M346" s="8">
        <v>1492792</v>
      </c>
      <c r="O346" s="8">
        <v>1113294</v>
      </c>
      <c r="Q346" s="8">
        <v>331473</v>
      </c>
      <c r="S346" s="8">
        <v>17780</v>
      </c>
      <c r="U346" s="8">
        <v>1620772</v>
      </c>
      <c r="W346" s="8">
        <v>649952</v>
      </c>
      <c r="Y346" s="8">
        <v>0</v>
      </c>
      <c r="AA346" s="8">
        <v>1562725</v>
      </c>
      <c r="AC346" s="8">
        <v>1118956</v>
      </c>
      <c r="AE346" s="8">
        <v>502304</v>
      </c>
      <c r="AG346" s="8">
        <v>0</v>
      </c>
      <c r="AI346" s="8">
        <v>897902</v>
      </c>
      <c r="AJ346" s="13" t="s">
        <v>437</v>
      </c>
      <c r="AK346" s="13"/>
      <c r="AL346" s="13" t="s">
        <v>34</v>
      </c>
      <c r="AN346" s="8">
        <v>808756</v>
      </c>
      <c r="AP346" s="8">
        <v>28543</v>
      </c>
      <c r="AR346" s="8">
        <v>0</v>
      </c>
      <c r="AT346" s="8">
        <v>648052</v>
      </c>
      <c r="AV346" s="8">
        <v>237205</v>
      </c>
      <c r="AX346" s="8">
        <v>0</v>
      </c>
      <c r="AZ346" s="9">
        <f t="shared" si="18"/>
        <v>23213505</v>
      </c>
      <c r="BB346" s="8">
        <v>250338</v>
      </c>
      <c r="BH346" s="8">
        <v>28</v>
      </c>
      <c r="BJ346" s="9">
        <f t="shared" si="19"/>
        <v>23463871</v>
      </c>
      <c r="BL346" s="9">
        <f>'Gov Fd Rv'!AU348-'Gov Fnd Exp'!BJ346</f>
        <v>1051884</v>
      </c>
      <c r="BN346" s="8">
        <f>7636409-413</f>
        <v>7635996</v>
      </c>
      <c r="BP346" s="8">
        <v>0</v>
      </c>
      <c r="BR346" s="8">
        <v>0</v>
      </c>
      <c r="BT346" s="9">
        <f t="shared" si="20"/>
        <v>8687880</v>
      </c>
      <c r="BU346" s="9"/>
      <c r="BV346" s="9">
        <f>BT346-'Gov Fd BS'!AA346</f>
        <v>0</v>
      </c>
    </row>
    <row r="347" spans="1:74">
      <c r="A347" s="13" t="s">
        <v>227</v>
      </c>
      <c r="B347" s="13"/>
      <c r="C347" s="13" t="s">
        <v>13</v>
      </c>
      <c r="D347" s="13"/>
      <c r="E347" s="32">
        <v>44446</v>
      </c>
      <c r="G347" s="8">
        <v>5142688</v>
      </c>
      <c r="I347" s="8">
        <v>1428960</v>
      </c>
      <c r="K347" s="8">
        <v>78663</v>
      </c>
      <c r="M347" s="8">
        <v>154179</v>
      </c>
      <c r="O347" s="8">
        <v>305293</v>
      </c>
      <c r="Q347" s="8">
        <v>1011865</v>
      </c>
      <c r="S347" s="8">
        <v>71315</v>
      </c>
      <c r="U347" s="8">
        <v>1195617</v>
      </c>
      <c r="W347" s="8">
        <v>322857</v>
      </c>
      <c r="Y347" s="8">
        <v>0</v>
      </c>
      <c r="AA347" s="8">
        <v>1230762</v>
      </c>
      <c r="AC347" s="8">
        <v>855059</v>
      </c>
      <c r="AE347" s="8">
        <v>1840</v>
      </c>
      <c r="AG347" s="8">
        <v>0</v>
      </c>
      <c r="AI347" s="8">
        <v>692741</v>
      </c>
      <c r="AJ347" s="13" t="s">
        <v>227</v>
      </c>
      <c r="AK347" s="13"/>
      <c r="AL347" s="13" t="s">
        <v>13</v>
      </c>
      <c r="AN347" s="8">
        <v>269344</v>
      </c>
      <c r="AP347" s="8">
        <v>8426159</v>
      </c>
      <c r="AR347" s="8">
        <v>0</v>
      </c>
      <c r="AT347" s="8">
        <v>416312</v>
      </c>
      <c r="AV347" s="8">
        <v>321607</v>
      </c>
      <c r="AX347" s="8">
        <v>0</v>
      </c>
      <c r="AZ347" s="9">
        <f t="shared" si="18"/>
        <v>21925261</v>
      </c>
      <c r="BB347" s="8">
        <v>59514</v>
      </c>
      <c r="BH347" s="8">
        <v>0</v>
      </c>
      <c r="BJ347" s="9">
        <f t="shared" si="19"/>
        <v>21984775</v>
      </c>
      <c r="BL347" s="9">
        <f>'Gov Fd Rv'!AU349-'Gov Fnd Exp'!BJ347</f>
        <v>1117930</v>
      </c>
      <c r="BN347" s="8">
        <f>10453820-1902</f>
        <v>10451918</v>
      </c>
      <c r="BP347" s="8">
        <v>0</v>
      </c>
      <c r="BR347" s="8">
        <v>0</v>
      </c>
      <c r="BT347" s="9">
        <f t="shared" si="20"/>
        <v>11569848</v>
      </c>
      <c r="BU347" s="9"/>
      <c r="BV347" s="9">
        <f>BT347-'Gov Fd BS'!AA347</f>
        <v>0</v>
      </c>
    </row>
    <row r="348" spans="1:74">
      <c r="A348" s="13" t="s">
        <v>844</v>
      </c>
      <c r="B348" s="13"/>
      <c r="C348" s="13" t="s">
        <v>27</v>
      </c>
      <c r="D348" s="13"/>
      <c r="E348" s="32">
        <v>44461</v>
      </c>
      <c r="G348" s="8">
        <v>18410977</v>
      </c>
      <c r="I348" s="8">
        <v>3392898</v>
      </c>
      <c r="K348" s="8">
        <v>2238973</v>
      </c>
      <c r="M348" s="8">
        <v>15200</v>
      </c>
      <c r="O348" s="8">
        <v>2353233</v>
      </c>
      <c r="Q348" s="8">
        <v>1592670</v>
      </c>
      <c r="S348" s="8">
        <v>73388</v>
      </c>
      <c r="U348" s="8">
        <v>3053562</v>
      </c>
      <c r="W348" s="8">
        <v>0</v>
      </c>
      <c r="Y348" s="8">
        <v>1714894</v>
      </c>
      <c r="AA348" s="8">
        <v>4507868</v>
      </c>
      <c r="AC348" s="8">
        <v>2495722</v>
      </c>
      <c r="AE348" s="8">
        <v>234903</v>
      </c>
      <c r="AG348" s="8">
        <v>1409664</v>
      </c>
      <c r="AI348" s="8">
        <v>1082656</v>
      </c>
      <c r="AJ348" s="13" t="s">
        <v>844</v>
      </c>
      <c r="AK348" s="13"/>
      <c r="AL348" s="13" t="s">
        <v>27</v>
      </c>
      <c r="AN348" s="8">
        <v>1635124</v>
      </c>
      <c r="AP348" s="8">
        <v>857663</v>
      </c>
      <c r="AR348" s="8">
        <v>0</v>
      </c>
      <c r="AT348" s="8">
        <v>2208995</v>
      </c>
      <c r="AV348" s="8">
        <v>4894334</v>
      </c>
      <c r="AX348" s="8">
        <f>537542+472630</f>
        <v>1010172</v>
      </c>
      <c r="AZ348" s="9">
        <f t="shared" si="18"/>
        <v>53182896</v>
      </c>
      <c r="BB348" s="8">
        <v>1010307</v>
      </c>
      <c r="BH348" s="8">
        <v>0</v>
      </c>
      <c r="BJ348" s="9">
        <f t="shared" si="19"/>
        <v>54193203</v>
      </c>
      <c r="BL348" s="9">
        <f>'Gov Fd Rv'!AU350-'Gov Fnd Exp'!BJ348</f>
        <v>2920525</v>
      </c>
      <c r="BN348" s="8">
        <v>23143925</v>
      </c>
      <c r="BP348" s="8">
        <v>0</v>
      </c>
      <c r="BR348" s="8">
        <v>0</v>
      </c>
      <c r="BT348" s="9">
        <f t="shared" si="20"/>
        <v>26064450</v>
      </c>
      <c r="BU348" s="9"/>
      <c r="BV348" s="9">
        <f>BT348-'Gov Fd BS'!AA348</f>
        <v>0</v>
      </c>
    </row>
    <row r="349" spans="1:74">
      <c r="A349" s="13" t="s">
        <v>635</v>
      </c>
      <c r="B349" s="13"/>
      <c r="C349" s="13" t="s">
        <v>59</v>
      </c>
      <c r="D349" s="13"/>
      <c r="E349" s="13">
        <v>44461</v>
      </c>
      <c r="G349" s="8">
        <v>2288758</v>
      </c>
      <c r="I349" s="8">
        <v>575347</v>
      </c>
      <c r="K349" s="8">
        <v>0</v>
      </c>
      <c r="M349" s="8">
        <v>83813</v>
      </c>
      <c r="O349" s="8">
        <v>164292</v>
      </c>
      <c r="Q349" s="8">
        <v>411138</v>
      </c>
      <c r="S349" s="8">
        <v>11070</v>
      </c>
      <c r="U349" s="8">
        <v>455590</v>
      </c>
      <c r="W349" s="8">
        <v>213218</v>
      </c>
      <c r="Y349" s="8">
        <v>0</v>
      </c>
      <c r="AA349" s="8">
        <v>562204</v>
      </c>
      <c r="AC349" s="8">
        <v>71432</v>
      </c>
      <c r="AE349" s="8">
        <v>8952</v>
      </c>
      <c r="AG349" s="8">
        <v>222784</v>
      </c>
      <c r="AI349" s="8">
        <v>0</v>
      </c>
      <c r="AJ349" s="13" t="s">
        <v>635</v>
      </c>
      <c r="AK349" s="13"/>
      <c r="AL349" s="13" t="s">
        <v>59</v>
      </c>
      <c r="AN349" s="8">
        <v>104533</v>
      </c>
      <c r="AP349" s="8">
        <v>0</v>
      </c>
      <c r="AR349" s="8">
        <v>0</v>
      </c>
      <c r="AT349" s="8">
        <v>0</v>
      </c>
      <c r="AV349" s="8">
        <v>0</v>
      </c>
      <c r="AX349" s="8">
        <v>0</v>
      </c>
      <c r="AZ349" s="9">
        <f t="shared" si="18"/>
        <v>5173131</v>
      </c>
      <c r="BB349" s="8">
        <v>0</v>
      </c>
      <c r="BH349" s="8">
        <v>0</v>
      </c>
      <c r="BJ349" s="9">
        <f t="shared" si="19"/>
        <v>5173131</v>
      </c>
      <c r="BL349" s="9">
        <f>'Gov Fd Rv'!AU351-'Gov Fnd Exp'!BJ349</f>
        <v>-25518</v>
      </c>
      <c r="BN349" s="8">
        <v>606235</v>
      </c>
      <c r="BP349" s="8">
        <v>0</v>
      </c>
      <c r="BR349" s="8">
        <v>0</v>
      </c>
      <c r="BT349" s="9">
        <f t="shared" si="20"/>
        <v>580717</v>
      </c>
      <c r="BU349" s="9"/>
      <c r="BV349" s="9">
        <f>BT349-'Gov Fd BS'!AA349</f>
        <v>0</v>
      </c>
    </row>
    <row r="350" spans="1:74">
      <c r="A350" s="13" t="s">
        <v>230</v>
      </c>
      <c r="B350" s="13"/>
      <c r="C350" s="13" t="s">
        <v>14</v>
      </c>
      <c r="D350" s="13"/>
      <c r="E350" s="32">
        <v>45955</v>
      </c>
      <c r="G350" s="8">
        <v>4269752</v>
      </c>
      <c r="I350" s="8">
        <v>345020</v>
      </c>
      <c r="K350" s="8">
        <v>278078</v>
      </c>
      <c r="M350" s="8">
        <v>0</v>
      </c>
      <c r="O350" s="8">
        <v>387871</v>
      </c>
      <c r="Q350" s="8">
        <v>390916</v>
      </c>
      <c r="S350" s="8">
        <v>31215</v>
      </c>
      <c r="U350" s="8">
        <v>729690</v>
      </c>
      <c r="W350" s="8">
        <v>200492</v>
      </c>
      <c r="Y350" s="8">
        <v>0</v>
      </c>
      <c r="AA350" s="8">
        <v>871928</v>
      </c>
      <c r="AC350" s="8">
        <v>246899</v>
      </c>
      <c r="AE350" s="8">
        <v>61031</v>
      </c>
      <c r="AG350" s="8">
        <v>0</v>
      </c>
      <c r="AI350" s="8">
        <v>317660</v>
      </c>
      <c r="AJ350" s="13" t="s">
        <v>231</v>
      </c>
      <c r="AK350" s="13"/>
      <c r="AL350" s="13" t="s">
        <v>14</v>
      </c>
      <c r="AN350" s="8">
        <v>418076</v>
      </c>
      <c r="AP350" s="8">
        <v>43534</v>
      </c>
      <c r="AR350" s="8">
        <v>0</v>
      </c>
      <c r="AT350" s="8">
        <v>595000</v>
      </c>
      <c r="AV350" s="8">
        <v>211694</v>
      </c>
      <c r="AX350" s="8">
        <v>0</v>
      </c>
      <c r="AZ350" s="9">
        <f t="shared" si="18"/>
        <v>9398856</v>
      </c>
      <c r="BB350" s="8">
        <v>34000</v>
      </c>
      <c r="BH350" s="8">
        <v>0</v>
      </c>
      <c r="BJ350" s="9">
        <f t="shared" si="19"/>
        <v>9432856</v>
      </c>
      <c r="BL350" s="9">
        <f>'Gov Fd Rv'!AU352-'Gov Fnd Exp'!BJ350</f>
        <v>936553</v>
      </c>
      <c r="BN350" s="8">
        <v>4151153</v>
      </c>
      <c r="BP350" s="8">
        <v>0</v>
      </c>
      <c r="BR350" s="8">
        <v>0</v>
      </c>
      <c r="BT350" s="9">
        <f t="shared" si="20"/>
        <v>5087706</v>
      </c>
      <c r="BU350" s="9"/>
      <c r="BV350" s="9">
        <f>BT350-'Gov Fd BS'!AA350</f>
        <v>0</v>
      </c>
    </row>
    <row r="351" spans="1:74" hidden="1">
      <c r="A351" s="13" t="s">
        <v>231</v>
      </c>
      <c r="B351" s="13"/>
      <c r="C351" s="13" t="s">
        <v>14</v>
      </c>
      <c r="D351" s="13"/>
      <c r="E351" s="32">
        <v>45963</v>
      </c>
      <c r="G351" s="8">
        <v>0</v>
      </c>
      <c r="I351" s="8">
        <v>0</v>
      </c>
      <c r="K351" s="8">
        <v>0</v>
      </c>
      <c r="M351" s="8">
        <v>0</v>
      </c>
      <c r="O351" s="8">
        <v>0</v>
      </c>
      <c r="Q351" s="8">
        <v>0</v>
      </c>
      <c r="S351" s="8">
        <v>0</v>
      </c>
      <c r="U351" s="8">
        <v>0</v>
      </c>
      <c r="W351" s="8">
        <v>0</v>
      </c>
      <c r="Y351" s="8">
        <v>0</v>
      </c>
      <c r="AA351" s="8">
        <v>0</v>
      </c>
      <c r="AC351" s="8">
        <v>0</v>
      </c>
      <c r="AE351" s="8">
        <v>0</v>
      </c>
      <c r="AG351" s="8">
        <v>0</v>
      </c>
      <c r="AI351" s="8">
        <v>0</v>
      </c>
      <c r="AJ351" s="13" t="s">
        <v>231</v>
      </c>
      <c r="AK351" s="13"/>
      <c r="AL351" s="13" t="s">
        <v>14</v>
      </c>
      <c r="AN351" s="8">
        <v>0</v>
      </c>
      <c r="AP351" s="8">
        <v>0</v>
      </c>
      <c r="AR351" s="8">
        <v>0</v>
      </c>
      <c r="AT351" s="8">
        <v>0</v>
      </c>
      <c r="AV351" s="8">
        <v>0</v>
      </c>
      <c r="AX351" s="8">
        <v>0</v>
      </c>
      <c r="AZ351" s="9">
        <f t="shared" si="18"/>
        <v>0</v>
      </c>
      <c r="BB351" s="8">
        <v>0</v>
      </c>
      <c r="BH351" s="8">
        <v>0</v>
      </c>
      <c r="BJ351" s="9">
        <f t="shared" si="19"/>
        <v>0</v>
      </c>
      <c r="BL351" s="9">
        <f>'Gov Fd Rv'!AU353-'Gov Fnd Exp'!BJ351</f>
        <v>0</v>
      </c>
      <c r="BN351" s="8">
        <v>0</v>
      </c>
      <c r="BP351" s="8">
        <v>0</v>
      </c>
      <c r="BR351" s="8">
        <v>0</v>
      </c>
      <c r="BT351" s="9">
        <f t="shared" si="20"/>
        <v>0</v>
      </c>
      <c r="BU351" s="9"/>
      <c r="BV351" s="9">
        <f>BT351-'Gov Fd BS'!AA351</f>
        <v>0</v>
      </c>
    </row>
    <row r="352" spans="1:74">
      <c r="A352" s="13" t="s">
        <v>560</v>
      </c>
      <c r="B352" s="13"/>
      <c r="C352" s="13" t="s">
        <v>50</v>
      </c>
      <c r="D352" s="13"/>
      <c r="E352" s="32">
        <v>48710</v>
      </c>
      <c r="G352" s="8">
        <v>4238556</v>
      </c>
      <c r="I352" s="8">
        <v>1507731</v>
      </c>
      <c r="K352" s="8">
        <v>0</v>
      </c>
      <c r="M352" s="8">
        <v>333387</v>
      </c>
      <c r="O352" s="8">
        <v>412875</v>
      </c>
      <c r="Q352" s="8">
        <v>320168</v>
      </c>
      <c r="S352" s="8">
        <v>110041</v>
      </c>
      <c r="U352" s="8">
        <v>813444</v>
      </c>
      <c r="W352" s="8">
        <v>241201</v>
      </c>
      <c r="Y352" s="8">
        <v>95949</v>
      </c>
      <c r="AA352" s="8">
        <v>1404308</v>
      </c>
      <c r="AC352" s="8">
        <v>307995</v>
      </c>
      <c r="AE352" s="8">
        <v>233411</v>
      </c>
      <c r="AG352" s="8">
        <v>430660</v>
      </c>
      <c r="AI352" s="8">
        <v>0</v>
      </c>
      <c r="AJ352" s="13" t="s">
        <v>560</v>
      </c>
      <c r="AK352" s="13"/>
      <c r="AL352" s="13" t="s">
        <v>50</v>
      </c>
      <c r="AN352" s="8">
        <v>283646</v>
      </c>
      <c r="AP352" s="8">
        <v>608305</v>
      </c>
      <c r="AR352" s="8">
        <v>0</v>
      </c>
      <c r="AT352" s="8">
        <v>451772</v>
      </c>
      <c r="AV352" s="8">
        <v>198686</v>
      </c>
      <c r="AX352" s="8">
        <v>0</v>
      </c>
      <c r="AZ352" s="9">
        <f t="shared" si="18"/>
        <v>11992135</v>
      </c>
      <c r="BB352" s="8">
        <v>0</v>
      </c>
      <c r="BH352" s="8">
        <v>0</v>
      </c>
      <c r="BJ352" s="9">
        <f t="shared" si="19"/>
        <v>11992135</v>
      </c>
      <c r="BL352" s="9">
        <f>'Gov Fd Rv'!AU354-'Gov Fnd Exp'!BJ352</f>
        <v>58688</v>
      </c>
      <c r="BN352" s="8">
        <v>3454968</v>
      </c>
      <c r="BP352" s="8">
        <v>0</v>
      </c>
      <c r="BR352" s="8">
        <v>0</v>
      </c>
      <c r="BT352" s="9">
        <f t="shared" si="20"/>
        <v>3513656</v>
      </c>
      <c r="BU352" s="9"/>
      <c r="BV352" s="9">
        <f>BT352-'Gov Fd BS'!AA352</f>
        <v>0</v>
      </c>
    </row>
    <row r="353" spans="1:74" hidden="1">
      <c r="A353" s="13" t="s">
        <v>587</v>
      </c>
      <c r="B353" s="13"/>
      <c r="C353" s="13" t="s">
        <v>586</v>
      </c>
      <c r="D353" s="13"/>
      <c r="E353" s="32">
        <v>44479</v>
      </c>
      <c r="G353" s="8">
        <v>0</v>
      </c>
      <c r="I353" s="8">
        <v>0</v>
      </c>
      <c r="K353" s="8">
        <v>0</v>
      </c>
      <c r="M353" s="8">
        <v>0</v>
      </c>
      <c r="O353" s="8">
        <v>0</v>
      </c>
      <c r="Q353" s="8">
        <v>0</v>
      </c>
      <c r="S353" s="8">
        <v>0</v>
      </c>
      <c r="U353" s="8">
        <v>0</v>
      </c>
      <c r="W353" s="8">
        <v>0</v>
      </c>
      <c r="Y353" s="8">
        <v>0</v>
      </c>
      <c r="AA353" s="8">
        <v>0</v>
      </c>
      <c r="AC353" s="8">
        <v>0</v>
      </c>
      <c r="AE353" s="8">
        <v>0</v>
      </c>
      <c r="AG353" s="8">
        <v>0</v>
      </c>
      <c r="AI353" s="8">
        <v>0</v>
      </c>
      <c r="AJ353" s="13" t="s">
        <v>587</v>
      </c>
      <c r="AK353" s="13"/>
      <c r="AL353" s="13" t="s">
        <v>586</v>
      </c>
      <c r="AN353" s="8">
        <v>0</v>
      </c>
      <c r="AP353" s="8">
        <v>0</v>
      </c>
      <c r="AR353" s="8">
        <v>0</v>
      </c>
      <c r="AT353" s="8">
        <v>0</v>
      </c>
      <c r="AV353" s="8">
        <v>0</v>
      </c>
      <c r="AX353" s="8">
        <v>0</v>
      </c>
      <c r="AZ353" s="9">
        <f t="shared" si="18"/>
        <v>0</v>
      </c>
      <c r="BB353" s="8">
        <v>0</v>
      </c>
      <c r="BH353" s="8">
        <v>0</v>
      </c>
      <c r="BJ353" s="9">
        <f t="shared" si="19"/>
        <v>0</v>
      </c>
      <c r="BL353" s="9">
        <f>'Gov Fd Rv'!AU355-'Gov Fnd Exp'!BJ353</f>
        <v>0</v>
      </c>
      <c r="BN353" s="8">
        <v>0</v>
      </c>
      <c r="BP353" s="8">
        <v>0</v>
      </c>
      <c r="BR353" s="8">
        <v>0</v>
      </c>
      <c r="BT353" s="9">
        <f t="shared" si="20"/>
        <v>0</v>
      </c>
      <c r="BU353" s="9"/>
      <c r="BV353" s="9">
        <f>BT353-'Gov Fd BS'!AA353</f>
        <v>0</v>
      </c>
    </row>
    <row r="354" spans="1:74">
      <c r="A354" s="13" t="s">
        <v>450</v>
      </c>
      <c r="B354" s="13"/>
      <c r="C354" s="13" t="s">
        <v>37</v>
      </c>
      <c r="D354" s="13"/>
      <c r="E354" s="32">
        <v>47720</v>
      </c>
      <c r="G354" s="8">
        <v>4738332</v>
      </c>
      <c r="I354" s="8">
        <v>1030144</v>
      </c>
      <c r="K354" s="8">
        <v>381690</v>
      </c>
      <c r="M354" s="8">
        <v>74431</v>
      </c>
      <c r="O354" s="8">
        <v>243030</v>
      </c>
      <c r="Q354" s="8">
        <v>551526</v>
      </c>
      <c r="S354" s="8">
        <v>17366</v>
      </c>
      <c r="U354" s="8">
        <v>733498</v>
      </c>
      <c r="W354" s="8">
        <v>239063</v>
      </c>
      <c r="Y354" s="8">
        <v>5425</v>
      </c>
      <c r="AA354" s="8">
        <v>859500</v>
      </c>
      <c r="AC354" s="8">
        <v>516325</v>
      </c>
      <c r="AE354" s="8">
        <v>0</v>
      </c>
      <c r="AG354" s="8">
        <v>416627</v>
      </c>
      <c r="AI354" s="8">
        <v>0</v>
      </c>
      <c r="AJ354" s="13" t="s">
        <v>450</v>
      </c>
      <c r="AK354" s="13"/>
      <c r="AL354" s="13" t="s">
        <v>37</v>
      </c>
      <c r="AN354" s="8">
        <v>379644</v>
      </c>
      <c r="AP354" s="8">
        <v>340981</v>
      </c>
      <c r="AR354" s="8">
        <v>0</v>
      </c>
      <c r="AT354" s="8">
        <v>178004</v>
      </c>
      <c r="AV354" s="8">
        <v>110567</v>
      </c>
      <c r="AX354" s="8">
        <v>85882</v>
      </c>
      <c r="AZ354" s="9">
        <f t="shared" si="18"/>
        <v>10902035</v>
      </c>
      <c r="BB354" s="8">
        <v>0</v>
      </c>
      <c r="BH354" s="8">
        <v>2187442</v>
      </c>
      <c r="BJ354" s="9">
        <f t="shared" si="19"/>
        <v>13089477</v>
      </c>
      <c r="BL354" s="9">
        <f>'Gov Fd Rv'!AU356-'Gov Fnd Exp'!BJ354</f>
        <v>-65582</v>
      </c>
      <c r="BN354" s="8">
        <f>2786453-662</f>
        <v>2785791</v>
      </c>
      <c r="BP354" s="8">
        <v>0</v>
      </c>
      <c r="BR354" s="8">
        <v>0</v>
      </c>
      <c r="BT354" s="9">
        <f t="shared" si="20"/>
        <v>2720209</v>
      </c>
      <c r="BU354" s="9"/>
      <c r="BV354" s="9">
        <f>BT354-'Gov Fd BS'!AA354</f>
        <v>0</v>
      </c>
    </row>
    <row r="355" spans="1:74">
      <c r="A355" s="13" t="s">
        <v>253</v>
      </c>
      <c r="B355" s="13"/>
      <c r="C355" s="13" t="s">
        <v>246</v>
      </c>
      <c r="D355" s="13"/>
      <c r="E355" s="32">
        <v>46136</v>
      </c>
      <c r="G355" s="8">
        <v>3483992</v>
      </c>
      <c r="I355" s="8">
        <v>373446</v>
      </c>
      <c r="K355" s="8">
        <v>0</v>
      </c>
      <c r="M355" s="8">
        <v>61436</v>
      </c>
      <c r="O355" s="8">
        <v>229724</v>
      </c>
      <c r="Q355" s="8">
        <v>234068</v>
      </c>
      <c r="S355" s="8">
        <v>60065</v>
      </c>
      <c r="U355" s="8">
        <v>868558</v>
      </c>
      <c r="W355" s="8">
        <v>174923</v>
      </c>
      <c r="Y355" s="8">
        <v>78767</v>
      </c>
      <c r="AA355" s="8">
        <v>811164</v>
      </c>
      <c r="AC355" s="8">
        <v>384567</v>
      </c>
      <c r="AE355" s="8">
        <v>1218</v>
      </c>
      <c r="AG355" s="8">
        <v>472488</v>
      </c>
      <c r="AI355" s="8">
        <v>6068</v>
      </c>
      <c r="AJ355" s="13" t="s">
        <v>253</v>
      </c>
      <c r="AK355" s="13"/>
      <c r="AL355" s="13" t="s">
        <v>246</v>
      </c>
      <c r="AN355" s="8">
        <v>154524</v>
      </c>
      <c r="AP355" s="8">
        <v>6497</v>
      </c>
      <c r="AR355" s="8">
        <v>0</v>
      </c>
      <c r="AT355" s="8">
        <v>107000</v>
      </c>
      <c r="AV355" s="8">
        <v>97659</v>
      </c>
      <c r="AX355" s="8">
        <v>0</v>
      </c>
      <c r="AZ355" s="9">
        <f t="shared" si="18"/>
        <v>7606164</v>
      </c>
      <c r="BB355" s="8">
        <v>28211</v>
      </c>
      <c r="BH355" s="8">
        <v>0</v>
      </c>
      <c r="BJ355" s="9">
        <f t="shared" si="19"/>
        <v>7634375</v>
      </c>
      <c r="BL355" s="9">
        <f>'Gov Fd Rv'!AU357-'Gov Fnd Exp'!BJ355</f>
        <v>200743</v>
      </c>
      <c r="BN355" s="8">
        <v>2018070</v>
      </c>
      <c r="BP355" s="8">
        <v>0</v>
      </c>
      <c r="BR355" s="8">
        <v>0</v>
      </c>
      <c r="BT355" s="9">
        <f t="shared" si="20"/>
        <v>2218813</v>
      </c>
      <c r="BU355" s="9"/>
      <c r="BV355" s="9">
        <f>BT355-'Gov Fd BS'!AA355</f>
        <v>0</v>
      </c>
    </row>
    <row r="356" spans="1:74">
      <c r="A356" s="13" t="s">
        <v>703</v>
      </c>
      <c r="B356" s="13"/>
      <c r="C356" s="13" t="s">
        <v>65</v>
      </c>
      <c r="D356" s="13"/>
      <c r="E356" s="32">
        <v>44487</v>
      </c>
      <c r="G356" s="8">
        <v>10563341</v>
      </c>
      <c r="I356" s="8">
        <v>2282362</v>
      </c>
      <c r="K356" s="8">
        <v>86871</v>
      </c>
      <c r="M356" s="8">
        <v>404872</v>
      </c>
      <c r="O356" s="8">
        <v>1275775</v>
      </c>
      <c r="Q356" s="8">
        <v>913681</v>
      </c>
      <c r="S356" s="8">
        <v>50664</v>
      </c>
      <c r="U356" s="8">
        <v>1881781</v>
      </c>
      <c r="W356" s="8">
        <v>839953</v>
      </c>
      <c r="Y356" s="8">
        <v>0</v>
      </c>
      <c r="AA356" s="8">
        <v>1968820</v>
      </c>
      <c r="AC356" s="8">
        <v>532354</v>
      </c>
      <c r="AE356" s="8">
        <v>0</v>
      </c>
      <c r="AG356" s="8">
        <v>786063</v>
      </c>
      <c r="AI356" s="8">
        <v>429442</v>
      </c>
      <c r="AJ356" s="13" t="s">
        <v>703</v>
      </c>
      <c r="AK356" s="13"/>
      <c r="AL356" s="13" t="s">
        <v>65</v>
      </c>
      <c r="AN356" s="8">
        <v>908936</v>
      </c>
      <c r="AP356" s="8">
        <v>198390</v>
      </c>
      <c r="AR356" s="8">
        <v>0</v>
      </c>
      <c r="AT356" s="8">
        <v>545150</v>
      </c>
      <c r="AV356" s="8">
        <v>239185</v>
      </c>
      <c r="AX356" s="8">
        <v>0</v>
      </c>
      <c r="AZ356" s="9">
        <f t="shared" si="18"/>
        <v>23907640</v>
      </c>
      <c r="BB356" s="8">
        <v>133500</v>
      </c>
      <c r="BH356" s="8">
        <v>0</v>
      </c>
      <c r="BJ356" s="9">
        <f t="shared" si="19"/>
        <v>24041140</v>
      </c>
      <c r="BL356" s="9">
        <f>'Gov Fd Rv'!AU358-'Gov Fnd Exp'!BJ356</f>
        <v>1004121</v>
      </c>
      <c r="BN356" s="8">
        <v>4677520</v>
      </c>
      <c r="BP356" s="8">
        <v>0</v>
      </c>
      <c r="BR356" s="8">
        <v>0</v>
      </c>
      <c r="BT356" s="9">
        <f t="shared" si="20"/>
        <v>5681641</v>
      </c>
      <c r="BU356" s="9"/>
      <c r="BV356" s="9">
        <f>BT356-'Gov Fd BS'!AA356</f>
        <v>0</v>
      </c>
    </row>
    <row r="357" spans="1:74">
      <c r="A357" s="13" t="s">
        <v>275</v>
      </c>
      <c r="B357" s="13"/>
      <c r="C357" s="13" t="s">
        <v>116</v>
      </c>
      <c r="D357" s="13"/>
      <c r="E357" s="32">
        <v>45559</v>
      </c>
      <c r="G357" s="8">
        <v>12604120</v>
      </c>
      <c r="I357" s="8">
        <v>2971330</v>
      </c>
      <c r="K357" s="8">
        <v>0</v>
      </c>
      <c r="M357" s="8">
        <v>22949</v>
      </c>
      <c r="O357" s="8">
        <v>1235243</v>
      </c>
      <c r="Q357" s="8">
        <v>1027610</v>
      </c>
      <c r="S357" s="8">
        <v>110271</v>
      </c>
      <c r="U357" s="8">
        <v>1637538</v>
      </c>
      <c r="W357" s="8">
        <v>713009</v>
      </c>
      <c r="Y357" s="8">
        <v>0</v>
      </c>
      <c r="AA357" s="8">
        <v>2795132</v>
      </c>
      <c r="AC357" s="8">
        <v>1996630</v>
      </c>
      <c r="AE357" s="8">
        <v>307513</v>
      </c>
      <c r="AG357" s="8">
        <v>0</v>
      </c>
      <c r="AI357" s="8">
        <v>1500</v>
      </c>
      <c r="AJ357" s="13" t="s">
        <v>275</v>
      </c>
      <c r="AK357" s="13"/>
      <c r="AL357" s="13" t="s">
        <v>116</v>
      </c>
      <c r="AN357" s="8">
        <v>532286</v>
      </c>
      <c r="AP357" s="8">
        <v>1850405</v>
      </c>
      <c r="AR357" s="8">
        <v>0</v>
      </c>
      <c r="AT357" s="8">
        <v>210000</v>
      </c>
      <c r="AV357" s="8">
        <v>23408</v>
      </c>
      <c r="AX357" s="8">
        <v>0</v>
      </c>
      <c r="AZ357" s="9">
        <f t="shared" si="18"/>
        <v>28038944</v>
      </c>
      <c r="BB357" s="8">
        <v>16298</v>
      </c>
      <c r="BH357" s="8">
        <v>0</v>
      </c>
      <c r="BJ357" s="9">
        <f t="shared" si="19"/>
        <v>28055242</v>
      </c>
      <c r="BL357" s="9">
        <f>'Gov Fd Rv'!AU359-'Gov Fnd Exp'!BJ357</f>
        <v>158661</v>
      </c>
      <c r="BN357" s="8">
        <v>15876320</v>
      </c>
      <c r="BP357" s="8">
        <v>0</v>
      </c>
      <c r="BR357" s="8">
        <v>0</v>
      </c>
      <c r="BT357" s="9">
        <f t="shared" si="20"/>
        <v>16034981</v>
      </c>
      <c r="BU357" s="9"/>
      <c r="BV357" s="9">
        <f>BT357-'Gov Fd BS'!AA357</f>
        <v>0</v>
      </c>
    </row>
    <row r="358" spans="1:74" hidden="1">
      <c r="A358" s="13" t="s">
        <v>642</v>
      </c>
      <c r="B358" s="13"/>
      <c r="C358" s="13" t="s">
        <v>60</v>
      </c>
      <c r="D358" s="13"/>
      <c r="E358" s="32">
        <v>49718</v>
      </c>
      <c r="G358" s="8">
        <v>0</v>
      </c>
      <c r="I358" s="8">
        <v>0</v>
      </c>
      <c r="K358" s="8">
        <v>0</v>
      </c>
      <c r="M358" s="8">
        <v>0</v>
      </c>
      <c r="O358" s="8">
        <v>0</v>
      </c>
      <c r="Q358" s="8">
        <v>0</v>
      </c>
      <c r="S358" s="8">
        <v>0</v>
      </c>
      <c r="U358" s="8">
        <v>0</v>
      </c>
      <c r="W358" s="8">
        <v>0</v>
      </c>
      <c r="Y358" s="8">
        <v>0</v>
      </c>
      <c r="AA358" s="8">
        <v>0</v>
      </c>
      <c r="AC358" s="8">
        <v>0</v>
      </c>
      <c r="AE358" s="8">
        <v>0</v>
      </c>
      <c r="AG358" s="8">
        <v>0</v>
      </c>
      <c r="AI358" s="8">
        <v>0</v>
      </c>
      <c r="AJ358" s="13" t="s">
        <v>642</v>
      </c>
      <c r="AK358" s="13"/>
      <c r="AL358" s="13" t="s">
        <v>60</v>
      </c>
      <c r="AN358" s="8">
        <v>0</v>
      </c>
      <c r="AP358" s="8">
        <v>0</v>
      </c>
      <c r="AR358" s="8">
        <v>0</v>
      </c>
      <c r="AT358" s="8">
        <v>0</v>
      </c>
      <c r="AV358" s="8">
        <v>0</v>
      </c>
      <c r="AX358" s="8">
        <v>0</v>
      </c>
      <c r="AZ358" s="9">
        <f t="shared" si="18"/>
        <v>0</v>
      </c>
      <c r="BB358" s="8">
        <v>0</v>
      </c>
      <c r="BH358" s="8">
        <v>0</v>
      </c>
      <c r="BJ358" s="9">
        <f t="shared" si="19"/>
        <v>0</v>
      </c>
      <c r="BL358" s="9">
        <f>'Gov Fd Rv'!AU360-'Gov Fnd Exp'!BJ358</f>
        <v>0</v>
      </c>
      <c r="BN358" s="8">
        <v>0</v>
      </c>
      <c r="BP358" s="8">
        <v>0</v>
      </c>
      <c r="BR358" s="8">
        <v>0</v>
      </c>
      <c r="BT358" s="9">
        <f t="shared" si="20"/>
        <v>0</v>
      </c>
      <c r="BU358" s="9"/>
      <c r="BV358" s="9">
        <f>BT358-'Gov Fd BS'!AA358</f>
        <v>0</v>
      </c>
    </row>
    <row r="359" spans="1:74">
      <c r="A359" s="13" t="s">
        <v>484</v>
      </c>
      <c r="B359" s="13"/>
      <c r="C359" s="13" t="s">
        <v>42</v>
      </c>
      <c r="D359" s="13"/>
      <c r="E359" s="13">
        <v>44453</v>
      </c>
      <c r="G359" s="8">
        <v>26105825</v>
      </c>
      <c r="I359" s="8">
        <v>7333687</v>
      </c>
      <c r="K359" s="8">
        <v>474685</v>
      </c>
      <c r="M359" s="8">
        <v>409965</v>
      </c>
      <c r="O359" s="8">
        <v>3142179</v>
      </c>
      <c r="Q359" s="8">
        <v>4588276</v>
      </c>
      <c r="S359" s="8">
        <v>314946</v>
      </c>
      <c r="U359" s="8">
        <v>3533891</v>
      </c>
      <c r="W359" s="8">
        <v>1163325</v>
      </c>
      <c r="Y359" s="8">
        <v>533895</v>
      </c>
      <c r="AA359" s="8">
        <v>5185527</v>
      </c>
      <c r="AC359" s="8">
        <v>1822635</v>
      </c>
      <c r="AE359" s="8">
        <v>1230284</v>
      </c>
      <c r="AG359" s="8">
        <v>2739353</v>
      </c>
      <c r="AI359" s="8">
        <v>77305</v>
      </c>
      <c r="AJ359" s="13" t="s">
        <v>484</v>
      </c>
      <c r="AK359" s="13"/>
      <c r="AL359" s="13" t="s">
        <v>42</v>
      </c>
      <c r="AN359" s="8">
        <v>878700</v>
      </c>
      <c r="AP359" s="8">
        <v>16409668</v>
      </c>
      <c r="AR359" s="8">
        <v>523960</v>
      </c>
      <c r="AT359" s="8">
        <v>2443183</v>
      </c>
      <c r="AV359" s="8">
        <v>3139360</v>
      </c>
      <c r="AX359" s="8">
        <v>0</v>
      </c>
      <c r="AZ359" s="9">
        <f t="shared" si="18"/>
        <v>82050649</v>
      </c>
      <c r="BB359" s="8">
        <v>3355161</v>
      </c>
      <c r="BH359" s="8">
        <v>0</v>
      </c>
      <c r="BJ359" s="9">
        <f t="shared" si="19"/>
        <v>85405810</v>
      </c>
      <c r="BL359" s="9">
        <f>'Gov Fd Rv'!AU361-'Gov Fnd Exp'!BJ359</f>
        <v>-11284310</v>
      </c>
      <c r="BN359" s="8">
        <v>39373950</v>
      </c>
      <c r="BP359" s="8">
        <v>-6562</v>
      </c>
      <c r="BR359" s="8">
        <v>0</v>
      </c>
      <c r="BT359" s="9">
        <f t="shared" si="20"/>
        <v>28083078</v>
      </c>
      <c r="BU359" s="9"/>
      <c r="BV359" s="9">
        <f>BT359-'Gov Fd BS'!AA359</f>
        <v>0</v>
      </c>
    </row>
    <row r="360" spans="1:74">
      <c r="A360" s="13" t="s">
        <v>386</v>
      </c>
      <c r="B360" s="13"/>
      <c r="C360" s="13" t="s">
        <v>30</v>
      </c>
      <c r="D360" s="13"/>
      <c r="E360" s="32">
        <v>47217</v>
      </c>
      <c r="G360" s="8">
        <v>3590289</v>
      </c>
      <c r="I360" s="8">
        <v>744784</v>
      </c>
      <c r="K360" s="8">
        <v>38454</v>
      </c>
      <c r="M360" s="8">
        <v>13935</v>
      </c>
      <c r="O360" s="8">
        <v>359048</v>
      </c>
      <c r="Q360" s="8">
        <v>153625</v>
      </c>
      <c r="S360" s="8">
        <v>64246</v>
      </c>
      <c r="U360" s="8">
        <v>552331</v>
      </c>
      <c r="W360" s="8">
        <v>261390</v>
      </c>
      <c r="Y360" s="8">
        <v>0</v>
      </c>
      <c r="AA360" s="8">
        <v>633095</v>
      </c>
      <c r="AC360" s="8">
        <v>504338</v>
      </c>
      <c r="AE360" s="8">
        <v>59554</v>
      </c>
      <c r="AG360" s="8">
        <v>200064</v>
      </c>
      <c r="AI360" s="8">
        <v>124521</v>
      </c>
      <c r="AJ360" s="13" t="s">
        <v>386</v>
      </c>
      <c r="AK360" s="13"/>
      <c r="AL360" s="13" t="s">
        <v>30</v>
      </c>
      <c r="AN360" s="8">
        <v>300437</v>
      </c>
      <c r="AP360" s="8">
        <v>351119</v>
      </c>
      <c r="AR360" s="8">
        <v>0</v>
      </c>
      <c r="AT360" s="8">
        <v>66386</v>
      </c>
      <c r="AV360" s="8">
        <v>15931</v>
      </c>
      <c r="AX360" s="8">
        <v>0</v>
      </c>
      <c r="AZ360" s="9">
        <f t="shared" si="18"/>
        <v>8033547</v>
      </c>
      <c r="BB360" s="8">
        <v>18039</v>
      </c>
      <c r="BH360" s="8">
        <v>0</v>
      </c>
      <c r="BJ360" s="9">
        <f t="shared" si="19"/>
        <v>8051586</v>
      </c>
      <c r="BL360" s="9">
        <f>'Gov Fd Rv'!AU362-'Gov Fnd Exp'!BJ360</f>
        <v>-760765</v>
      </c>
      <c r="BN360" s="8">
        <v>2225245</v>
      </c>
      <c r="BP360" s="8">
        <v>0</v>
      </c>
      <c r="BR360" s="8">
        <v>0</v>
      </c>
      <c r="BT360" s="9">
        <f t="shared" si="20"/>
        <v>1464480</v>
      </c>
      <c r="BU360" s="9"/>
      <c r="BV360" s="9">
        <f>BT360-'Gov Fd BS'!AA360</f>
        <v>0</v>
      </c>
    </row>
    <row r="361" spans="1:74">
      <c r="A361" s="13" t="s">
        <v>704</v>
      </c>
      <c r="B361" s="13"/>
      <c r="C361" s="13" t="s">
        <v>65</v>
      </c>
      <c r="D361" s="13"/>
      <c r="E361" s="32">
        <v>45542</v>
      </c>
      <c r="G361" s="8">
        <v>4871342</v>
      </c>
      <c r="I361" s="8">
        <v>1163235</v>
      </c>
      <c r="K361" s="8">
        <v>130110</v>
      </c>
      <c r="M361" s="8">
        <f>666+235864</f>
        <v>236530</v>
      </c>
      <c r="O361" s="8">
        <v>385089</v>
      </c>
      <c r="Q361" s="8">
        <v>825478</v>
      </c>
      <c r="S361" s="8">
        <v>33519</v>
      </c>
      <c r="U361" s="8">
        <v>978402</v>
      </c>
      <c r="W361" s="8">
        <v>309851</v>
      </c>
      <c r="Y361" s="8">
        <v>0</v>
      </c>
      <c r="AA361" s="8">
        <v>1412777</v>
      </c>
      <c r="AC361" s="8">
        <v>575296</v>
      </c>
      <c r="AE361" s="8">
        <v>10841</v>
      </c>
      <c r="AG361" s="8">
        <v>567441</v>
      </c>
      <c r="AI361" s="8">
        <v>2129</v>
      </c>
      <c r="AJ361" s="13" t="s">
        <v>704</v>
      </c>
      <c r="AK361" s="13"/>
      <c r="AL361" s="13" t="s">
        <v>65</v>
      </c>
      <c r="AN361" s="8">
        <v>356163</v>
      </c>
      <c r="AP361" s="8">
        <v>105828</v>
      </c>
      <c r="AR361" s="8">
        <v>0</v>
      </c>
      <c r="AT361" s="8">
        <v>214573</v>
      </c>
      <c r="AV361" s="8">
        <v>196969</v>
      </c>
      <c r="AX361" s="8">
        <v>0</v>
      </c>
      <c r="AZ361" s="9">
        <f t="shared" si="18"/>
        <v>12375573</v>
      </c>
      <c r="BB361" s="8">
        <v>0</v>
      </c>
      <c r="BH361" s="8">
        <v>0</v>
      </c>
      <c r="BJ361" s="9">
        <f t="shared" si="19"/>
        <v>12375573</v>
      </c>
      <c r="BL361" s="9">
        <f>'Gov Fd Rv'!AU363-'Gov Fnd Exp'!BJ361</f>
        <v>-334158</v>
      </c>
      <c r="BN361" s="8">
        <v>1381958</v>
      </c>
      <c r="BP361" s="8">
        <v>0</v>
      </c>
      <c r="BR361" s="8">
        <v>0</v>
      </c>
      <c r="BT361" s="9">
        <f t="shared" si="20"/>
        <v>1047800</v>
      </c>
      <c r="BU361" s="9"/>
      <c r="BV361" s="9">
        <f>BT361-'Gov Fd BS'!AA361</f>
        <v>0</v>
      </c>
    </row>
    <row r="362" spans="1:74">
      <c r="A362" s="13" t="s">
        <v>695</v>
      </c>
      <c r="B362" s="13"/>
      <c r="C362" s="13" t="s">
        <v>64</v>
      </c>
      <c r="D362" s="13"/>
      <c r="E362" s="32">
        <v>45567</v>
      </c>
      <c r="G362" s="8">
        <v>5734417</v>
      </c>
      <c r="I362" s="8">
        <v>1298397</v>
      </c>
      <c r="K362" s="8">
        <v>122230</v>
      </c>
      <c r="M362" s="8">
        <v>1333</v>
      </c>
      <c r="O362" s="8">
        <v>609094</v>
      </c>
      <c r="Q362" s="8">
        <v>321278</v>
      </c>
      <c r="S362" s="8">
        <v>130789</v>
      </c>
      <c r="U362" s="8">
        <v>941311</v>
      </c>
      <c r="W362" s="8">
        <v>327471</v>
      </c>
      <c r="Y362" s="8">
        <v>0</v>
      </c>
      <c r="AA362" s="8">
        <v>985637</v>
      </c>
      <c r="AC362" s="8">
        <v>705783</v>
      </c>
      <c r="AE362" s="8">
        <v>364165</v>
      </c>
      <c r="AG362" s="8">
        <v>396033</v>
      </c>
      <c r="AI362" s="8">
        <v>144928</v>
      </c>
      <c r="AJ362" s="13" t="s">
        <v>695</v>
      </c>
      <c r="AK362" s="13"/>
      <c r="AL362" s="13" t="s">
        <v>64</v>
      </c>
      <c r="AN362" s="8">
        <v>444696</v>
      </c>
      <c r="AP362" s="8">
        <v>240703</v>
      </c>
      <c r="AR362" s="8">
        <v>0</v>
      </c>
      <c r="AT362" s="8">
        <v>510886</v>
      </c>
      <c r="AV362" s="8">
        <v>228404</v>
      </c>
      <c r="AX362" s="8">
        <v>89114</v>
      </c>
      <c r="AZ362" s="9">
        <f t="shared" si="18"/>
        <v>13596669</v>
      </c>
      <c r="BB362" s="8">
        <v>250000</v>
      </c>
      <c r="BH362" s="8">
        <v>0</v>
      </c>
      <c r="BJ362" s="9">
        <f t="shared" si="19"/>
        <v>13846669</v>
      </c>
      <c r="BL362" s="9">
        <f>'Gov Fd Rv'!AU364-'Gov Fnd Exp'!BJ362</f>
        <v>-73143</v>
      </c>
      <c r="BN362" s="8">
        <v>2503336</v>
      </c>
      <c r="BP362" s="8">
        <v>0</v>
      </c>
      <c r="BR362" s="8">
        <v>0</v>
      </c>
      <c r="BT362" s="9">
        <f t="shared" si="20"/>
        <v>2430193</v>
      </c>
      <c r="BU362" s="9"/>
      <c r="BV362" s="9">
        <f>BT362-'Gov Fd BS'!AA362</f>
        <v>0</v>
      </c>
    </row>
    <row r="363" spans="1:74">
      <c r="A363" s="13" t="s">
        <v>547</v>
      </c>
      <c r="B363" s="13"/>
      <c r="C363" s="13" t="s">
        <v>48</v>
      </c>
      <c r="D363" s="13"/>
      <c r="E363" s="32">
        <v>48637</v>
      </c>
      <c r="G363" s="8">
        <v>2593931</v>
      </c>
      <c r="I363" s="8">
        <v>428354</v>
      </c>
      <c r="K363" s="8">
        <v>433</v>
      </c>
      <c r="M363" s="8">
        <v>5496</v>
      </c>
      <c r="O363" s="8">
        <v>210670</v>
      </c>
      <c r="Q363" s="8">
        <v>255930</v>
      </c>
      <c r="S363" s="8">
        <v>5631</v>
      </c>
      <c r="U363" s="8">
        <v>615150</v>
      </c>
      <c r="W363" s="8">
        <v>202233</v>
      </c>
      <c r="Y363" s="8">
        <v>1495</v>
      </c>
      <c r="AA363" s="8">
        <v>372393</v>
      </c>
      <c r="AC363" s="8">
        <v>233824</v>
      </c>
      <c r="AE363" s="8">
        <v>1214</v>
      </c>
      <c r="AG363" s="8">
        <v>132234</v>
      </c>
      <c r="AI363" s="8">
        <v>10158</v>
      </c>
      <c r="AJ363" s="13" t="s">
        <v>547</v>
      </c>
      <c r="AK363" s="13"/>
      <c r="AL363" s="13" t="s">
        <v>48</v>
      </c>
      <c r="AN363" s="8">
        <v>203466</v>
      </c>
      <c r="AP363" s="8">
        <v>296527</v>
      </c>
      <c r="AR363" s="8">
        <v>0</v>
      </c>
      <c r="AT363" s="8">
        <v>6555000</v>
      </c>
      <c r="AV363" s="8">
        <v>261278</v>
      </c>
      <c r="AX363" s="8">
        <v>182282</v>
      </c>
      <c r="AZ363" s="9">
        <f t="shared" si="18"/>
        <v>12567699</v>
      </c>
      <c r="BB363" s="8">
        <v>1002373</v>
      </c>
      <c r="BH363" s="8">
        <v>0</v>
      </c>
      <c r="BJ363" s="9">
        <f t="shared" si="19"/>
        <v>13570072</v>
      </c>
      <c r="BL363" s="9">
        <f>'Gov Fd Rv'!AU365-'Gov Fnd Exp'!BJ363</f>
        <v>9436889</v>
      </c>
      <c r="BN363" s="8">
        <v>820399</v>
      </c>
      <c r="BP363" s="8">
        <v>0</v>
      </c>
      <c r="BR363" s="8">
        <v>0</v>
      </c>
      <c r="BT363" s="9">
        <f t="shared" si="20"/>
        <v>10257288</v>
      </c>
      <c r="BU363" s="9"/>
      <c r="BV363" s="9">
        <f>BT363-'Gov Fd BS'!AA363</f>
        <v>0</v>
      </c>
    </row>
    <row r="364" spans="1:74">
      <c r="A364" s="13"/>
      <c r="B364" s="13"/>
      <c r="C364" s="13"/>
      <c r="D364" s="13"/>
      <c r="E364" s="32"/>
      <c r="AJ364" s="13"/>
      <c r="AK364" s="13"/>
      <c r="AL364" s="13"/>
      <c r="AZ364" s="9"/>
      <c r="BJ364" s="9"/>
      <c r="BL364" s="9"/>
      <c r="BT364" s="9"/>
      <c r="BU364" s="9"/>
      <c r="BV364" s="9"/>
    </row>
    <row r="365" spans="1:74">
      <c r="A365" s="13"/>
      <c r="B365" s="13"/>
      <c r="C365" s="13"/>
      <c r="D365" s="13"/>
      <c r="E365" s="32"/>
      <c r="AI365" s="89" t="s">
        <v>819</v>
      </c>
      <c r="AJ365" s="13"/>
      <c r="AK365" s="13"/>
      <c r="AL365" s="13"/>
      <c r="AZ365" s="9"/>
      <c r="BJ365" s="9"/>
      <c r="BL365" s="9"/>
      <c r="BT365" s="89" t="s">
        <v>819</v>
      </c>
      <c r="BU365" s="9"/>
      <c r="BV365" s="9"/>
    </row>
    <row r="366" spans="1:74" s="35" customFormat="1">
      <c r="A366" s="34" t="s">
        <v>836</v>
      </c>
      <c r="B366" s="34"/>
      <c r="C366" s="34" t="s">
        <v>64</v>
      </c>
      <c r="D366" s="34"/>
      <c r="E366" s="34"/>
      <c r="G366" s="35">
        <v>12078958</v>
      </c>
      <c r="I366" s="35">
        <v>3193564</v>
      </c>
      <c r="K366" s="35">
        <v>164598</v>
      </c>
      <c r="M366" s="35">
        <v>1006289</v>
      </c>
      <c r="O366" s="35">
        <v>1332764</v>
      </c>
      <c r="Q366" s="35">
        <v>945982</v>
      </c>
      <c r="S366" s="35">
        <v>57975</v>
      </c>
      <c r="U366" s="35">
        <v>2180294</v>
      </c>
      <c r="W366" s="35">
        <v>517378</v>
      </c>
      <c r="Y366" s="35">
        <v>136447</v>
      </c>
      <c r="AA366" s="35">
        <v>2319800</v>
      </c>
      <c r="AC366" s="35">
        <v>1108674</v>
      </c>
      <c r="AE366" s="35">
        <v>128859</v>
      </c>
      <c r="AG366" s="35">
        <v>1102439</v>
      </c>
      <c r="AI366" s="35">
        <v>231302</v>
      </c>
      <c r="AJ366" s="34" t="s">
        <v>836</v>
      </c>
      <c r="AK366" s="34"/>
      <c r="AL366" s="34" t="s">
        <v>64</v>
      </c>
      <c r="AN366" s="35">
        <v>474909</v>
      </c>
      <c r="AP366" s="35">
        <v>127692</v>
      </c>
      <c r="AR366" s="35">
        <v>0</v>
      </c>
      <c r="AT366" s="35">
        <v>347000</v>
      </c>
      <c r="AV366" s="35">
        <v>332421</v>
      </c>
      <c r="AX366" s="35">
        <v>0</v>
      </c>
      <c r="AZ366" s="44">
        <f t="shared" si="18"/>
        <v>27787345</v>
      </c>
      <c r="BB366" s="35">
        <v>15047</v>
      </c>
      <c r="BH366" s="35">
        <v>0</v>
      </c>
      <c r="BJ366" s="44">
        <f t="shared" si="19"/>
        <v>27802392</v>
      </c>
      <c r="BL366" s="44">
        <f>'Gov Fd Rv'!AU366-'Gov Fnd Exp'!BJ366</f>
        <v>-365044</v>
      </c>
      <c r="BN366" s="35">
        <v>950488</v>
      </c>
      <c r="BP366" s="35">
        <v>0</v>
      </c>
      <c r="BR366" s="35">
        <v>0</v>
      </c>
      <c r="BT366" s="44">
        <f t="shared" si="20"/>
        <v>585444</v>
      </c>
      <c r="BU366" s="44"/>
      <c r="BV366" s="44">
        <f>BT366-'Gov Fd BS'!AA364</f>
        <v>0</v>
      </c>
    </row>
    <row r="367" spans="1:74">
      <c r="A367" s="13" t="s">
        <v>578</v>
      </c>
      <c r="B367" s="13"/>
      <c r="C367" s="13" t="s">
        <v>52</v>
      </c>
      <c r="D367" s="13"/>
      <c r="E367" s="32">
        <v>48900</v>
      </c>
      <c r="G367" s="8">
        <v>4153832</v>
      </c>
      <c r="I367" s="8">
        <v>894331</v>
      </c>
      <c r="K367" s="8">
        <v>264303</v>
      </c>
      <c r="M367" s="8">
        <v>21317</v>
      </c>
      <c r="O367" s="8">
        <v>413548</v>
      </c>
      <c r="Q367" s="8">
        <v>395991</v>
      </c>
      <c r="S367" s="8">
        <v>62543</v>
      </c>
      <c r="U367" s="8">
        <v>854786</v>
      </c>
      <c r="W367" s="8">
        <v>375494</v>
      </c>
      <c r="Y367" s="8">
        <v>11868</v>
      </c>
      <c r="AA367" s="8">
        <v>784097</v>
      </c>
      <c r="AC367" s="8">
        <v>928273</v>
      </c>
      <c r="AE367" s="8">
        <v>4436</v>
      </c>
      <c r="AG367" s="8">
        <v>0</v>
      </c>
      <c r="AI367" s="8">
        <v>517282</v>
      </c>
      <c r="AJ367" s="13" t="s">
        <v>578</v>
      </c>
      <c r="AK367" s="13"/>
      <c r="AL367" s="13" t="s">
        <v>52</v>
      </c>
      <c r="AN367" s="8">
        <v>205570</v>
      </c>
      <c r="AP367" s="8">
        <v>21731</v>
      </c>
      <c r="AR367" s="8">
        <v>0</v>
      </c>
      <c r="AT367" s="8">
        <v>192973</v>
      </c>
      <c r="AV367" s="8">
        <v>33712</v>
      </c>
      <c r="AX367" s="8">
        <v>0</v>
      </c>
      <c r="AZ367" s="9">
        <f t="shared" si="18"/>
        <v>10136087</v>
      </c>
      <c r="BB367" s="8">
        <v>300297</v>
      </c>
      <c r="BH367" s="8">
        <v>0</v>
      </c>
      <c r="BJ367" s="9">
        <f t="shared" si="19"/>
        <v>10436384</v>
      </c>
      <c r="BL367" s="9">
        <f>'Gov Fd Rv'!AU367-'Gov Fnd Exp'!BJ367</f>
        <v>26008</v>
      </c>
      <c r="BN367" s="8">
        <f>842087-38052</f>
        <v>804035</v>
      </c>
      <c r="BP367" s="8">
        <v>0</v>
      </c>
      <c r="BR367" s="8">
        <v>0</v>
      </c>
      <c r="BT367" s="9">
        <f t="shared" si="20"/>
        <v>830043</v>
      </c>
      <c r="BU367" s="9"/>
      <c r="BV367" s="9">
        <f>BT367-'Gov Fd BS'!AA365</f>
        <v>0</v>
      </c>
    </row>
    <row r="368" spans="1:74">
      <c r="A368" s="13" t="s">
        <v>673</v>
      </c>
      <c r="B368" s="13"/>
      <c r="C368" s="13" t="s">
        <v>63</v>
      </c>
      <c r="D368" s="13"/>
      <c r="E368" s="32">
        <v>50047</v>
      </c>
      <c r="G368" s="8">
        <v>16141273</v>
      </c>
      <c r="I368" s="8">
        <v>3409775</v>
      </c>
      <c r="K368" s="8">
        <v>354277</v>
      </c>
      <c r="M368" s="8">
        <v>471689</v>
      </c>
      <c r="O368" s="8">
        <v>3230393</v>
      </c>
      <c r="Q368" s="8">
        <v>1472514</v>
      </c>
      <c r="S368" s="8">
        <v>80990</v>
      </c>
      <c r="U368" s="8">
        <v>2354882</v>
      </c>
      <c r="W368" s="8">
        <v>788498</v>
      </c>
      <c r="Y368" s="8">
        <v>264566</v>
      </c>
      <c r="AA368" s="8">
        <v>4551169</v>
      </c>
      <c r="AC368" s="8">
        <v>2047497</v>
      </c>
      <c r="AE368" s="8">
        <v>36347</v>
      </c>
      <c r="AG368" s="8">
        <v>1320696</v>
      </c>
      <c r="AI368" s="8">
        <v>463528</v>
      </c>
      <c r="AJ368" s="13" t="s">
        <v>673</v>
      </c>
      <c r="AK368" s="13"/>
      <c r="AL368" s="13" t="s">
        <v>63</v>
      </c>
      <c r="AN368" s="8">
        <v>1231440</v>
      </c>
      <c r="AP368" s="8">
        <v>576047</v>
      </c>
      <c r="AR368" s="8">
        <v>0</v>
      </c>
      <c r="AT368" s="8">
        <v>1712833</v>
      </c>
      <c r="AV368" s="8">
        <v>1300795</v>
      </c>
      <c r="AX368" s="8">
        <v>0</v>
      </c>
      <c r="AZ368" s="9">
        <f t="shared" si="18"/>
        <v>41809209</v>
      </c>
      <c r="BB368" s="8">
        <v>30160</v>
      </c>
      <c r="BH368" s="8">
        <v>0</v>
      </c>
      <c r="BJ368" s="9">
        <f t="shared" si="19"/>
        <v>41839369</v>
      </c>
      <c r="BL368" s="9">
        <f>'Gov Fd Rv'!AU368-'Gov Fnd Exp'!BJ368</f>
        <v>3177515</v>
      </c>
      <c r="BN368" s="8">
        <v>11491159</v>
      </c>
      <c r="BP368" s="8">
        <v>0</v>
      </c>
      <c r="BR368" s="8">
        <v>0</v>
      </c>
      <c r="BT368" s="9">
        <f t="shared" si="20"/>
        <v>14668674</v>
      </c>
      <c r="BU368" s="9"/>
      <c r="BV368" s="9">
        <f>BT368-'Gov Fd BS'!AA366</f>
        <v>0</v>
      </c>
    </row>
    <row r="369" spans="1:74">
      <c r="A369" s="13" t="s">
        <v>741</v>
      </c>
      <c r="B369" s="13"/>
      <c r="C369" s="13" t="s">
        <v>72</v>
      </c>
      <c r="D369" s="13"/>
      <c r="E369" s="32">
        <v>50708</v>
      </c>
      <c r="G369" s="8">
        <v>2797965</v>
      </c>
      <c r="I369" s="8">
        <v>1395706</v>
      </c>
      <c r="K369" s="8">
        <v>0</v>
      </c>
      <c r="M369" s="8">
        <v>643258</v>
      </c>
      <c r="O369" s="8">
        <v>218150</v>
      </c>
      <c r="Q369" s="8">
        <v>381436</v>
      </c>
      <c r="S369" s="8">
        <v>134381</v>
      </c>
      <c r="U369" s="8">
        <v>600282</v>
      </c>
      <c r="W369" s="8">
        <v>265173</v>
      </c>
      <c r="Y369" s="8">
        <v>0</v>
      </c>
      <c r="AA369" s="8">
        <v>598841</v>
      </c>
      <c r="AC369" s="8">
        <v>333946</v>
      </c>
      <c r="AE369" s="8">
        <v>0</v>
      </c>
      <c r="AG369" s="8">
        <v>221983</v>
      </c>
      <c r="AI369" s="8">
        <v>0</v>
      </c>
      <c r="AJ369" s="13" t="s">
        <v>741</v>
      </c>
      <c r="AK369" s="13"/>
      <c r="AL369" s="13" t="s">
        <v>72</v>
      </c>
      <c r="AN369" s="8">
        <v>242831</v>
      </c>
      <c r="AP369" s="8">
        <v>46469</v>
      </c>
      <c r="AR369" s="8">
        <v>0</v>
      </c>
      <c r="AT369" s="8">
        <v>0</v>
      </c>
      <c r="AV369" s="8">
        <v>94830</v>
      </c>
      <c r="AX369" s="8">
        <v>0</v>
      </c>
      <c r="AZ369" s="9">
        <f t="shared" si="18"/>
        <v>7975251</v>
      </c>
      <c r="BB369" s="8">
        <v>296537</v>
      </c>
      <c r="BH369" s="8">
        <v>0</v>
      </c>
      <c r="BJ369" s="9">
        <f t="shared" si="19"/>
        <v>8271788</v>
      </c>
      <c r="BL369" s="9">
        <f>'Gov Fd Rv'!AU369-'Gov Fnd Exp'!BJ369</f>
        <v>-186949</v>
      </c>
      <c r="BN369" s="8">
        <v>180255</v>
      </c>
      <c r="BP369" s="8">
        <v>0</v>
      </c>
      <c r="BR369" s="8">
        <v>0</v>
      </c>
      <c r="BT369" s="9">
        <f t="shared" si="20"/>
        <v>-6694</v>
      </c>
      <c r="BU369" s="9"/>
      <c r="BV369" s="9">
        <f>BT369-'Gov Fd BS'!AA367</f>
        <v>0</v>
      </c>
    </row>
    <row r="370" spans="1:74" hidden="1">
      <c r="A370" s="13" t="s">
        <v>581</v>
      </c>
      <c r="B370" s="13"/>
      <c r="C370" s="13" t="s">
        <v>53</v>
      </c>
      <c r="D370" s="13"/>
      <c r="E370" s="32">
        <v>48967</v>
      </c>
      <c r="G370" s="8">
        <v>0</v>
      </c>
      <c r="I370" s="8">
        <v>0</v>
      </c>
      <c r="K370" s="8">
        <v>0</v>
      </c>
      <c r="M370" s="8">
        <v>0</v>
      </c>
      <c r="O370" s="8">
        <v>0</v>
      </c>
      <c r="Q370" s="8">
        <v>0</v>
      </c>
      <c r="S370" s="8">
        <v>0</v>
      </c>
      <c r="U370" s="8">
        <v>0</v>
      </c>
      <c r="W370" s="8">
        <v>0</v>
      </c>
      <c r="Y370" s="8">
        <v>0</v>
      </c>
      <c r="AA370" s="8">
        <v>0</v>
      </c>
      <c r="AC370" s="8">
        <v>0</v>
      </c>
      <c r="AE370" s="8">
        <v>0</v>
      </c>
      <c r="AG370" s="8">
        <v>0</v>
      </c>
      <c r="AI370" s="8">
        <v>0</v>
      </c>
      <c r="AJ370" s="13" t="s">
        <v>581</v>
      </c>
      <c r="AK370" s="13"/>
      <c r="AL370" s="13" t="s">
        <v>53</v>
      </c>
      <c r="AN370" s="8">
        <v>0</v>
      </c>
      <c r="AP370" s="8">
        <v>0</v>
      </c>
      <c r="AR370" s="8">
        <v>0</v>
      </c>
      <c r="AT370" s="8">
        <v>0</v>
      </c>
      <c r="AV370" s="8">
        <v>0</v>
      </c>
      <c r="AX370" s="8">
        <v>0</v>
      </c>
      <c r="AZ370" s="9">
        <f t="shared" si="18"/>
        <v>0</v>
      </c>
      <c r="BB370" s="8">
        <v>0</v>
      </c>
      <c r="BH370" s="8">
        <v>0</v>
      </c>
      <c r="BJ370" s="9">
        <f t="shared" si="19"/>
        <v>0</v>
      </c>
      <c r="BL370" s="9">
        <f>'Gov Fd Rv'!AU370-'Gov Fnd Exp'!BJ370</f>
        <v>0</v>
      </c>
      <c r="BN370" s="8">
        <v>0</v>
      </c>
      <c r="BP370" s="8">
        <v>0</v>
      </c>
      <c r="BR370" s="8">
        <v>0</v>
      </c>
      <c r="BT370" s="9">
        <f t="shared" si="20"/>
        <v>0</v>
      </c>
      <c r="BU370" s="9"/>
      <c r="BV370" s="9">
        <f>BT370-'Gov Fd BS'!AA368</f>
        <v>0</v>
      </c>
    </row>
    <row r="371" spans="1:74">
      <c r="A371" s="13" t="s">
        <v>663</v>
      </c>
      <c r="B371" s="13"/>
      <c r="C371" s="13" t="s">
        <v>62</v>
      </c>
      <c r="D371" s="13"/>
      <c r="E371" s="32">
        <v>44503</v>
      </c>
      <c r="G371" s="8">
        <v>18835394</v>
      </c>
      <c r="I371" s="8">
        <v>3417894</v>
      </c>
      <c r="K371" s="8">
        <v>1877437</v>
      </c>
      <c r="M371" s="8">
        <v>76790</v>
      </c>
      <c r="O371" s="8">
        <v>2400701</v>
      </c>
      <c r="Q371" s="8">
        <v>2513750</v>
      </c>
      <c r="S371" s="8">
        <v>16861</v>
      </c>
      <c r="U371" s="8">
        <v>3287344</v>
      </c>
      <c r="W371" s="8">
        <v>963249</v>
      </c>
      <c r="Y371" s="8">
        <v>25154</v>
      </c>
      <c r="AA371" s="8">
        <v>3777859</v>
      </c>
      <c r="AC371" s="8">
        <v>2720639</v>
      </c>
      <c r="AE371" s="8">
        <v>376826</v>
      </c>
      <c r="AG371" s="8">
        <v>1513420</v>
      </c>
      <c r="AI371" s="8">
        <v>57256</v>
      </c>
      <c r="AJ371" s="13" t="s">
        <v>663</v>
      </c>
      <c r="AK371" s="13"/>
      <c r="AL371" s="13" t="s">
        <v>62</v>
      </c>
      <c r="AN371" s="8">
        <v>1322761</v>
      </c>
      <c r="AP371" s="8">
        <v>1327654</v>
      </c>
      <c r="AR371" s="8">
        <v>230030</v>
      </c>
      <c r="AT371" s="8">
        <v>1433120</v>
      </c>
      <c r="AV371" s="8">
        <v>796136</v>
      </c>
      <c r="AX371" s="8">
        <v>0</v>
      </c>
      <c r="AZ371" s="9">
        <f t="shared" si="18"/>
        <v>46970275</v>
      </c>
      <c r="BB371" s="8">
        <v>160009</v>
      </c>
      <c r="BH371" s="8">
        <v>0</v>
      </c>
      <c r="BJ371" s="9">
        <f t="shared" si="19"/>
        <v>47130284</v>
      </c>
      <c r="BL371" s="9">
        <f>'Gov Fd Rv'!AU371-'Gov Fnd Exp'!BJ371</f>
        <v>2118660</v>
      </c>
      <c r="BN371" s="8">
        <f>-1025666-859477</f>
        <v>-1885143</v>
      </c>
      <c r="BP371" s="8">
        <v>-13001</v>
      </c>
      <c r="BR371" s="8">
        <v>0</v>
      </c>
      <c r="BT371" s="9">
        <f t="shared" si="20"/>
        <v>220516</v>
      </c>
      <c r="BU371" s="9"/>
      <c r="BV371" s="9">
        <f>BT371-'Gov Fd BS'!AA369</f>
        <v>0</v>
      </c>
    </row>
    <row r="372" spans="1:74" hidden="1">
      <c r="A372" s="13" t="s">
        <v>728</v>
      </c>
      <c r="B372" s="13"/>
      <c r="C372" s="13" t="s">
        <v>733</v>
      </c>
      <c r="D372" s="13"/>
      <c r="E372" s="32">
        <v>50641</v>
      </c>
      <c r="G372" s="8">
        <v>0</v>
      </c>
      <c r="I372" s="8">
        <v>0</v>
      </c>
      <c r="K372" s="8">
        <v>0</v>
      </c>
      <c r="M372" s="8">
        <v>0</v>
      </c>
      <c r="O372" s="8">
        <v>0</v>
      </c>
      <c r="Q372" s="8">
        <v>0</v>
      </c>
      <c r="S372" s="8">
        <v>0</v>
      </c>
      <c r="U372" s="8">
        <v>0</v>
      </c>
      <c r="W372" s="8">
        <v>0</v>
      </c>
      <c r="Y372" s="8">
        <v>0</v>
      </c>
      <c r="AA372" s="8">
        <v>0</v>
      </c>
      <c r="AC372" s="8">
        <v>0</v>
      </c>
      <c r="AE372" s="8">
        <v>0</v>
      </c>
      <c r="AG372" s="8">
        <v>0</v>
      </c>
      <c r="AI372" s="8">
        <v>0</v>
      </c>
      <c r="AJ372" s="13" t="s">
        <v>728</v>
      </c>
      <c r="AK372" s="13"/>
      <c r="AL372" s="13" t="s">
        <v>733</v>
      </c>
      <c r="AN372" s="8">
        <v>0</v>
      </c>
      <c r="AP372" s="8">
        <v>0</v>
      </c>
      <c r="AR372" s="8">
        <v>0</v>
      </c>
      <c r="AT372" s="8">
        <v>0</v>
      </c>
      <c r="AV372" s="8">
        <v>0</v>
      </c>
      <c r="AX372" s="8">
        <v>0</v>
      </c>
      <c r="AZ372" s="9">
        <f t="shared" si="18"/>
        <v>0</v>
      </c>
      <c r="BB372" s="8">
        <v>0</v>
      </c>
      <c r="BH372" s="8">
        <v>0</v>
      </c>
      <c r="BJ372" s="9">
        <f t="shared" si="19"/>
        <v>0</v>
      </c>
      <c r="BL372" s="9">
        <f>'Gov Fd Rv'!AU372-'Gov Fnd Exp'!BJ372</f>
        <v>0</v>
      </c>
      <c r="BN372" s="8">
        <v>0</v>
      </c>
      <c r="BP372" s="8">
        <v>0</v>
      </c>
      <c r="BR372" s="8">
        <v>0</v>
      </c>
      <c r="BT372" s="9">
        <f t="shared" si="20"/>
        <v>0</v>
      </c>
      <c r="BU372" s="9"/>
      <c r="BV372" s="9">
        <f>BT372-'Gov Fd BS'!AA370</f>
        <v>0</v>
      </c>
    </row>
    <row r="373" spans="1:74" hidden="1">
      <c r="A373" s="13" t="s">
        <v>406</v>
      </c>
      <c r="B373" s="13"/>
      <c r="C373" s="13" t="s">
        <v>32</v>
      </c>
      <c r="D373" s="13"/>
      <c r="E373" s="32">
        <v>44511</v>
      </c>
      <c r="G373" s="8">
        <v>0</v>
      </c>
      <c r="I373" s="8">
        <v>0</v>
      </c>
      <c r="K373" s="8">
        <v>0</v>
      </c>
      <c r="M373" s="8">
        <v>0</v>
      </c>
      <c r="O373" s="8">
        <v>0</v>
      </c>
      <c r="Q373" s="8">
        <v>0</v>
      </c>
      <c r="S373" s="8">
        <v>0</v>
      </c>
      <c r="U373" s="8">
        <v>0</v>
      </c>
      <c r="W373" s="8">
        <v>0</v>
      </c>
      <c r="Y373" s="8">
        <v>0</v>
      </c>
      <c r="AA373" s="8">
        <v>0</v>
      </c>
      <c r="AC373" s="8">
        <v>0</v>
      </c>
      <c r="AE373" s="8">
        <v>0</v>
      </c>
      <c r="AG373" s="8">
        <v>0</v>
      </c>
      <c r="AI373" s="8">
        <v>0</v>
      </c>
      <c r="AJ373" s="13" t="s">
        <v>406</v>
      </c>
      <c r="AK373" s="13"/>
      <c r="AL373" s="13" t="s">
        <v>32</v>
      </c>
      <c r="AN373" s="8">
        <v>0</v>
      </c>
      <c r="AP373" s="8">
        <v>0</v>
      </c>
      <c r="AR373" s="8">
        <v>0</v>
      </c>
      <c r="AT373" s="8">
        <v>0</v>
      </c>
      <c r="AV373" s="8">
        <v>0</v>
      </c>
      <c r="AX373" s="8">
        <v>0</v>
      </c>
      <c r="AZ373" s="9">
        <f t="shared" si="18"/>
        <v>0</v>
      </c>
      <c r="BB373" s="8">
        <v>0</v>
      </c>
      <c r="BH373" s="8">
        <v>0</v>
      </c>
      <c r="BJ373" s="9">
        <f t="shared" si="19"/>
        <v>0</v>
      </c>
      <c r="BL373" s="9">
        <f>'Gov Fd Rv'!AU373-'Gov Fnd Exp'!BJ373</f>
        <v>0</v>
      </c>
      <c r="BN373" s="8">
        <v>0</v>
      </c>
      <c r="BP373" s="8">
        <v>0</v>
      </c>
      <c r="BR373" s="8">
        <v>0</v>
      </c>
      <c r="BT373" s="9">
        <f t="shared" si="20"/>
        <v>0</v>
      </c>
      <c r="BU373" s="9"/>
      <c r="BV373" s="9">
        <f>BT373-'Gov Fd BS'!AA371</f>
        <v>0</v>
      </c>
    </row>
    <row r="374" spans="1:74">
      <c r="A374" s="13" t="s">
        <v>485</v>
      </c>
      <c r="B374" s="13"/>
      <c r="C374" s="13" t="s">
        <v>42</v>
      </c>
      <c r="D374" s="13"/>
      <c r="E374" s="32">
        <v>48025</v>
      </c>
      <c r="G374" s="8">
        <v>5435653</v>
      </c>
      <c r="I374" s="8">
        <v>2536919</v>
      </c>
      <c r="K374" s="8">
        <v>256543</v>
      </c>
      <c r="M374" s="8">
        <v>260948</v>
      </c>
      <c r="O374" s="8">
        <v>1268634</v>
      </c>
      <c r="Q374" s="8">
        <v>215470</v>
      </c>
      <c r="S374" s="8">
        <v>33056</v>
      </c>
      <c r="U374" s="8">
        <v>1330643</v>
      </c>
      <c r="W374" s="8">
        <v>459602</v>
      </c>
      <c r="Y374" s="8">
        <v>26101</v>
      </c>
      <c r="AA374" s="8">
        <v>1373868</v>
      </c>
      <c r="AC374" s="8">
        <v>1313557</v>
      </c>
      <c r="AE374" s="8">
        <v>338458</v>
      </c>
      <c r="AG374" s="8">
        <v>722571</v>
      </c>
      <c r="AI374" s="8">
        <v>29254</v>
      </c>
      <c r="AJ374" s="13" t="s">
        <v>485</v>
      </c>
      <c r="AK374" s="13"/>
      <c r="AL374" s="13" t="s">
        <v>42</v>
      </c>
      <c r="AN374" s="8">
        <v>680681</v>
      </c>
      <c r="AP374" s="8">
        <v>14842191</v>
      </c>
      <c r="AR374" s="8">
        <v>0</v>
      </c>
      <c r="AT374" s="8">
        <v>325000</v>
      </c>
      <c r="AV374" s="8">
        <v>507280</v>
      </c>
      <c r="AX374" s="8">
        <v>153084</v>
      </c>
      <c r="AZ374" s="9">
        <f t="shared" si="18"/>
        <v>32109513</v>
      </c>
      <c r="BB374" s="8">
        <v>180522</v>
      </c>
      <c r="BH374" s="8">
        <v>5758086</v>
      </c>
      <c r="BJ374" s="9">
        <f t="shared" si="19"/>
        <v>38048121</v>
      </c>
      <c r="BL374" s="9">
        <f>'Gov Fd Rv'!AU374-'Gov Fnd Exp'!BJ374</f>
        <v>-2949508</v>
      </c>
      <c r="BN374" s="8">
        <v>8148630</v>
      </c>
      <c r="BP374" s="8">
        <v>-1295</v>
      </c>
      <c r="BR374" s="8">
        <v>0</v>
      </c>
      <c r="BT374" s="9">
        <f t="shared" si="20"/>
        <v>5197827</v>
      </c>
      <c r="BU374" s="9"/>
      <c r="BV374" s="9">
        <f>BT374-'Gov Fd BS'!AA372</f>
        <v>0</v>
      </c>
    </row>
    <row r="375" spans="1:74">
      <c r="A375" s="13" t="s">
        <v>317</v>
      </c>
      <c r="B375" s="13"/>
      <c r="C375" s="13" t="s">
        <v>20</v>
      </c>
      <c r="D375" s="13"/>
      <c r="E375" s="32">
        <v>44529</v>
      </c>
      <c r="G375" s="8">
        <v>23373296</v>
      </c>
      <c r="I375" s="8">
        <v>6796961</v>
      </c>
      <c r="K375" s="8">
        <v>371882</v>
      </c>
      <c r="M375" s="8">
        <v>335822</v>
      </c>
      <c r="O375" s="8">
        <v>4394429</v>
      </c>
      <c r="Q375" s="8">
        <v>1142972</v>
      </c>
      <c r="S375" s="8">
        <v>194264</v>
      </c>
      <c r="U375" s="8">
        <v>3142437</v>
      </c>
      <c r="W375" s="8">
        <v>1170847</v>
      </c>
      <c r="Y375" s="8">
        <v>90143</v>
      </c>
      <c r="AA375" s="8">
        <v>4582460</v>
      </c>
      <c r="AC375" s="8">
        <v>2338646</v>
      </c>
      <c r="AE375" s="8">
        <v>1123514</v>
      </c>
      <c r="AG375" s="8">
        <v>1313315</v>
      </c>
      <c r="AI375" s="8">
        <v>423136</v>
      </c>
      <c r="AJ375" s="13" t="s">
        <v>317</v>
      </c>
      <c r="AK375" s="13"/>
      <c r="AL375" s="13" t="s">
        <v>20</v>
      </c>
      <c r="AN375" s="8">
        <v>1536845</v>
      </c>
      <c r="AP375" s="8">
        <v>0</v>
      </c>
      <c r="AR375" s="8">
        <v>0</v>
      </c>
      <c r="AT375" s="8">
        <v>114774</v>
      </c>
      <c r="AV375" s="8">
        <v>26895</v>
      </c>
      <c r="AX375" s="8">
        <v>0</v>
      </c>
      <c r="AZ375" s="9">
        <f t="shared" si="18"/>
        <v>52472638</v>
      </c>
      <c r="BB375" s="8">
        <v>357628</v>
      </c>
      <c r="BH375" s="8">
        <v>0</v>
      </c>
      <c r="BJ375" s="9">
        <f t="shared" si="19"/>
        <v>52830266</v>
      </c>
      <c r="BL375" s="9">
        <f>'Gov Fd Rv'!AU375-'Gov Fnd Exp'!BJ375</f>
        <v>1806137</v>
      </c>
      <c r="BN375" s="8">
        <v>10151251</v>
      </c>
      <c r="BP375" s="8">
        <v>-8538</v>
      </c>
      <c r="BR375" s="8">
        <v>0</v>
      </c>
      <c r="BT375" s="9">
        <f t="shared" si="20"/>
        <v>11948850</v>
      </c>
      <c r="BU375" s="9"/>
      <c r="BV375" s="9">
        <f>BT375-'Gov Fd BS'!AA373</f>
        <v>0</v>
      </c>
    </row>
    <row r="376" spans="1:74">
      <c r="A376" s="13" t="s">
        <v>498</v>
      </c>
      <c r="B376" s="13"/>
      <c r="C376" s="13" t="s">
        <v>44</v>
      </c>
      <c r="D376" s="13"/>
      <c r="E376" s="32">
        <v>44537</v>
      </c>
      <c r="G376" s="8">
        <v>14080790</v>
      </c>
      <c r="I376" s="8">
        <v>3795253</v>
      </c>
      <c r="K376" s="8">
        <v>433238</v>
      </c>
      <c r="M376" s="8">
        <v>934623</v>
      </c>
      <c r="O376" s="8">
        <v>1461533</v>
      </c>
      <c r="Q376" s="8">
        <v>2388709</v>
      </c>
      <c r="S376" s="8">
        <v>145829</v>
      </c>
      <c r="U376" s="8">
        <v>1858633</v>
      </c>
      <c r="W376" s="8">
        <v>732598</v>
      </c>
      <c r="Y376" s="8">
        <v>263518</v>
      </c>
      <c r="AA376" s="8">
        <v>2723351</v>
      </c>
      <c r="AC376" s="8">
        <v>2199233</v>
      </c>
      <c r="AE376" s="8">
        <v>60720</v>
      </c>
      <c r="AG376" s="8">
        <v>1035356</v>
      </c>
      <c r="AI376" s="8">
        <v>409564</v>
      </c>
      <c r="AJ376" s="13" t="s">
        <v>498</v>
      </c>
      <c r="AK376" s="13"/>
      <c r="AL376" s="13" t="s">
        <v>44</v>
      </c>
      <c r="AN376" s="8">
        <v>681338</v>
      </c>
      <c r="AP376" s="8">
        <v>199043</v>
      </c>
      <c r="AR376" s="8">
        <v>0</v>
      </c>
      <c r="AT376" s="8">
        <v>285000</v>
      </c>
      <c r="AV376" s="8">
        <v>91901</v>
      </c>
      <c r="AX376" s="8">
        <v>0</v>
      </c>
      <c r="AZ376" s="9">
        <f t="shared" si="18"/>
        <v>33780230</v>
      </c>
      <c r="BB376" s="8">
        <v>51943</v>
      </c>
      <c r="BH376" s="8">
        <v>0</v>
      </c>
      <c r="BJ376" s="9">
        <f t="shared" si="19"/>
        <v>33832173</v>
      </c>
      <c r="BL376" s="9">
        <f>'Gov Fd Rv'!AU376-'Gov Fnd Exp'!BJ376</f>
        <v>-1931077</v>
      </c>
      <c r="BN376" s="8">
        <v>7109665</v>
      </c>
      <c r="BP376" s="8">
        <v>0</v>
      </c>
      <c r="BR376" s="8">
        <v>0</v>
      </c>
      <c r="BT376" s="9">
        <f t="shared" si="20"/>
        <v>5178588</v>
      </c>
      <c r="BU376" s="9"/>
      <c r="BV376" s="9">
        <f>BT376-'Gov Fd BS'!AA374</f>
        <v>0</v>
      </c>
    </row>
    <row r="377" spans="1:74">
      <c r="A377" s="13" t="s">
        <v>318</v>
      </c>
      <c r="B377" s="13"/>
      <c r="C377" s="13" t="s">
        <v>20</v>
      </c>
      <c r="D377" s="13"/>
      <c r="E377" s="32">
        <v>44545</v>
      </c>
      <c r="G377" s="8">
        <v>20407395</v>
      </c>
      <c r="I377" s="8">
        <v>4735179</v>
      </c>
      <c r="K377" s="8">
        <v>179747</v>
      </c>
      <c r="M377" s="8">
        <v>0</v>
      </c>
      <c r="O377" s="8">
        <v>2469230</v>
      </c>
      <c r="Q377" s="8">
        <v>2928773</v>
      </c>
      <c r="S377" s="8">
        <v>38657</v>
      </c>
      <c r="U377" s="8">
        <v>3292509</v>
      </c>
      <c r="W377" s="8">
        <v>1026711</v>
      </c>
      <c r="Y377" s="8">
        <v>317103</v>
      </c>
      <c r="AA377" s="8">
        <v>3638912</v>
      </c>
      <c r="AC377" s="8">
        <v>3029463</v>
      </c>
      <c r="AE377" s="8">
        <v>557250</v>
      </c>
      <c r="AG377" s="8">
        <v>1408263</v>
      </c>
      <c r="AI377" s="8">
        <v>915948</v>
      </c>
      <c r="AJ377" s="13" t="s">
        <v>318</v>
      </c>
      <c r="AK377" s="13"/>
      <c r="AL377" s="13" t="s">
        <v>20</v>
      </c>
      <c r="AN377" s="8">
        <v>967013</v>
      </c>
      <c r="AP377" s="8">
        <v>1828259</v>
      </c>
      <c r="AR377" s="8">
        <v>0</v>
      </c>
      <c r="AT377" s="8">
        <v>1970000</v>
      </c>
      <c r="AV377" s="8">
        <v>628495</v>
      </c>
      <c r="AX377" s="8">
        <v>0</v>
      </c>
      <c r="AZ377" s="9">
        <f t="shared" si="18"/>
        <v>50338907</v>
      </c>
      <c r="BB377" s="8">
        <v>147000</v>
      </c>
      <c r="BH377" s="8">
        <v>0</v>
      </c>
      <c r="BJ377" s="9">
        <f t="shared" si="19"/>
        <v>50485907</v>
      </c>
      <c r="BL377" s="9">
        <f>'Gov Fd Rv'!AU377-'Gov Fnd Exp'!BJ377</f>
        <v>-283271</v>
      </c>
      <c r="BN377" s="8">
        <f>9904897-3000</f>
        <v>9901897</v>
      </c>
      <c r="BP377" s="8">
        <v>0</v>
      </c>
      <c r="BR377" s="8">
        <v>0</v>
      </c>
      <c r="BT377" s="9">
        <f t="shared" si="20"/>
        <v>9618626</v>
      </c>
      <c r="BU377" s="9"/>
      <c r="BV377" s="9">
        <f>BT377-'Gov Fd BS'!AA375</f>
        <v>0</v>
      </c>
    </row>
    <row r="378" spans="1:74">
      <c r="A378" s="13" t="s">
        <v>709</v>
      </c>
      <c r="B378" s="13"/>
      <c r="C378" s="13" t="s">
        <v>66</v>
      </c>
      <c r="D378" s="13"/>
      <c r="E378" s="32">
        <v>50336</v>
      </c>
      <c r="G378" s="8">
        <v>6253886</v>
      </c>
      <c r="I378" s="8">
        <v>1374614</v>
      </c>
      <c r="K378" s="8">
        <v>681617</v>
      </c>
      <c r="M378" s="8">
        <v>0</v>
      </c>
      <c r="O378" s="8">
        <v>579266</v>
      </c>
      <c r="Q378" s="8">
        <v>856177</v>
      </c>
      <c r="S378" s="8">
        <v>28133</v>
      </c>
      <c r="U378" s="8">
        <v>1004457</v>
      </c>
      <c r="W378" s="8">
        <v>437488</v>
      </c>
      <c r="Y378" s="8">
        <v>0</v>
      </c>
      <c r="AA378" s="8">
        <v>1518647</v>
      </c>
      <c r="AC378" s="8">
        <v>905186</v>
      </c>
      <c r="AE378" s="8">
        <v>48670</v>
      </c>
      <c r="AG378" s="8">
        <v>0</v>
      </c>
      <c r="AI378" s="8">
        <v>555486</v>
      </c>
      <c r="AJ378" s="13" t="s">
        <v>709</v>
      </c>
      <c r="AK378" s="13"/>
      <c r="AL378" s="13" t="s">
        <v>66</v>
      </c>
      <c r="AN378" s="8">
        <v>316613</v>
      </c>
      <c r="AP378" s="8">
        <v>5186919</v>
      </c>
      <c r="AR378" s="8">
        <v>0</v>
      </c>
      <c r="AT378" s="8">
        <v>182719</v>
      </c>
      <c r="AV378" s="8">
        <v>719924</v>
      </c>
      <c r="AX378" s="8">
        <v>0</v>
      </c>
      <c r="AZ378" s="9">
        <f t="shared" si="18"/>
        <v>20649802</v>
      </c>
      <c r="BB378" s="8">
        <v>507000</v>
      </c>
      <c r="BH378" s="8">
        <v>0</v>
      </c>
      <c r="BJ378" s="9">
        <f t="shared" si="19"/>
        <v>21156802</v>
      </c>
      <c r="BL378" s="9">
        <f>'Gov Fd Rv'!AU378-'Gov Fnd Exp'!BJ378</f>
        <v>11028175</v>
      </c>
      <c r="BN378" s="8">
        <v>13935487</v>
      </c>
      <c r="BP378" s="8">
        <v>0</v>
      </c>
      <c r="BR378" s="8">
        <v>0</v>
      </c>
      <c r="BT378" s="9">
        <f t="shared" si="20"/>
        <v>24963662</v>
      </c>
      <c r="BU378" s="9"/>
      <c r="BV378" s="9">
        <f>BT378-'Gov Fd BS'!AA376</f>
        <v>0</v>
      </c>
    </row>
    <row r="379" spans="1:74">
      <c r="A379" s="13" t="s">
        <v>266</v>
      </c>
      <c r="B379" s="13"/>
      <c r="C379" s="13" t="s">
        <v>17</v>
      </c>
      <c r="D379" s="13"/>
      <c r="E379" s="32">
        <v>46250</v>
      </c>
      <c r="G379" s="8">
        <v>13908409</v>
      </c>
      <c r="I379" s="8">
        <v>2816029</v>
      </c>
      <c r="K379" s="8">
        <v>756637</v>
      </c>
      <c r="M379" s="8">
        <f>276+42455</f>
        <v>42731</v>
      </c>
      <c r="O379" s="8">
        <v>1578806</v>
      </c>
      <c r="Q379" s="8">
        <v>1630104</v>
      </c>
      <c r="S379" s="8">
        <v>50737</v>
      </c>
      <c r="U379" s="8">
        <v>2714285</v>
      </c>
      <c r="W379" s="8">
        <v>702229</v>
      </c>
      <c r="Y379" s="8">
        <v>0</v>
      </c>
      <c r="AA379" s="8">
        <v>2728160</v>
      </c>
      <c r="AC379" s="8">
        <v>1863872</v>
      </c>
      <c r="AE379" s="8">
        <v>4500</v>
      </c>
      <c r="AG379" s="8">
        <v>0</v>
      </c>
      <c r="AI379" s="8">
        <v>1491419</v>
      </c>
      <c r="AJ379" s="13" t="s">
        <v>266</v>
      </c>
      <c r="AK379" s="13"/>
      <c r="AL379" s="13" t="s">
        <v>17</v>
      </c>
      <c r="AN379" s="8">
        <v>891295</v>
      </c>
      <c r="AP379" s="8">
        <v>0</v>
      </c>
      <c r="AR379" s="8">
        <v>0</v>
      </c>
      <c r="AT379" s="8">
        <v>549110</v>
      </c>
      <c r="AV379" s="8">
        <v>250825</v>
      </c>
      <c r="AX379" s="8">
        <v>0</v>
      </c>
      <c r="AZ379" s="9">
        <f t="shared" si="18"/>
        <v>31979148</v>
      </c>
      <c r="BB379" s="8">
        <v>0</v>
      </c>
      <c r="BH379" s="8">
        <v>0</v>
      </c>
      <c r="BJ379" s="9">
        <f t="shared" si="19"/>
        <v>31979148</v>
      </c>
      <c r="BL379" s="9">
        <f>'Gov Fd Rv'!AU379-'Gov Fnd Exp'!BJ379</f>
        <v>-429227</v>
      </c>
      <c r="BN379" s="8">
        <v>7466455</v>
      </c>
      <c r="BP379" s="8">
        <v>1341</v>
      </c>
      <c r="BR379" s="8">
        <v>0</v>
      </c>
      <c r="BT379" s="9">
        <f t="shared" si="20"/>
        <v>7038569</v>
      </c>
      <c r="BU379" s="9"/>
      <c r="BV379" s="9">
        <f>BT379-'Gov Fd BS'!AA377</f>
        <v>0</v>
      </c>
    </row>
    <row r="380" spans="1:74" s="35" customFormat="1" hidden="1">
      <c r="A380" s="34" t="s">
        <v>266</v>
      </c>
      <c r="B380" s="34"/>
      <c r="C380" s="34" t="s">
        <v>22</v>
      </c>
      <c r="D380" s="34"/>
      <c r="E380" s="34">
        <v>46722</v>
      </c>
      <c r="G380" s="8">
        <v>0</v>
      </c>
      <c r="H380" s="8"/>
      <c r="I380" s="8">
        <v>0</v>
      </c>
      <c r="J380" s="8"/>
      <c r="K380" s="8">
        <v>0</v>
      </c>
      <c r="L380" s="8"/>
      <c r="M380" s="8">
        <v>0</v>
      </c>
      <c r="N380" s="8"/>
      <c r="O380" s="8">
        <v>0</v>
      </c>
      <c r="P380" s="8"/>
      <c r="Q380" s="8">
        <v>0</v>
      </c>
      <c r="R380" s="8"/>
      <c r="S380" s="8">
        <v>0</v>
      </c>
      <c r="T380" s="8"/>
      <c r="U380" s="8">
        <v>0</v>
      </c>
      <c r="V380" s="8"/>
      <c r="W380" s="8">
        <v>0</v>
      </c>
      <c r="X380" s="8"/>
      <c r="Y380" s="8">
        <v>0</v>
      </c>
      <c r="Z380" s="8"/>
      <c r="AA380" s="8">
        <v>0</v>
      </c>
      <c r="AB380" s="8"/>
      <c r="AC380" s="8">
        <v>0</v>
      </c>
      <c r="AD380" s="8"/>
      <c r="AE380" s="8">
        <v>0</v>
      </c>
      <c r="AF380" s="8"/>
      <c r="AG380" s="8">
        <v>0</v>
      </c>
      <c r="AH380" s="8"/>
      <c r="AI380" s="8">
        <v>0</v>
      </c>
      <c r="AJ380" s="34" t="s">
        <v>266</v>
      </c>
      <c r="AK380" s="34"/>
      <c r="AL380" s="34" t="s">
        <v>22</v>
      </c>
      <c r="AN380" s="8">
        <v>0</v>
      </c>
      <c r="AO380" s="8"/>
      <c r="AP380" s="8">
        <v>0</v>
      </c>
      <c r="AQ380" s="8"/>
      <c r="AR380" s="8">
        <v>0</v>
      </c>
      <c r="AS380" s="8"/>
      <c r="AT380" s="8">
        <v>0</v>
      </c>
      <c r="AU380" s="8"/>
      <c r="AV380" s="8">
        <v>0</v>
      </c>
      <c r="AW380" s="8"/>
      <c r="AX380" s="8">
        <v>0</v>
      </c>
      <c r="AY380" s="8"/>
      <c r="AZ380" s="9">
        <f t="shared" si="18"/>
        <v>0</v>
      </c>
      <c r="BA380" s="8"/>
      <c r="BB380" s="8">
        <v>0</v>
      </c>
      <c r="BC380" s="8"/>
      <c r="BD380" s="8"/>
      <c r="BE380" s="8"/>
      <c r="BF380" s="8"/>
      <c r="BG380" s="8"/>
      <c r="BH380" s="8">
        <v>0</v>
      </c>
      <c r="BI380" s="8"/>
      <c r="BJ380" s="9">
        <f t="shared" si="19"/>
        <v>0</v>
      </c>
      <c r="BK380" s="8"/>
      <c r="BL380" s="9">
        <f>'Gov Fd Rv'!AU380-'Gov Fnd Exp'!BJ380</f>
        <v>0</v>
      </c>
      <c r="BM380" s="8"/>
      <c r="BN380" s="8">
        <v>0</v>
      </c>
      <c r="BO380" s="8"/>
      <c r="BP380" s="8">
        <v>0</v>
      </c>
      <c r="BQ380" s="8"/>
      <c r="BR380" s="8">
        <v>0</v>
      </c>
      <c r="BS380" s="8"/>
      <c r="BT380" s="9">
        <f t="shared" si="20"/>
        <v>0</v>
      </c>
      <c r="BU380" s="9"/>
      <c r="BV380" s="9">
        <f>BT380-'Gov Fd BS'!AA378</f>
        <v>0</v>
      </c>
    </row>
    <row r="381" spans="1:74">
      <c r="A381" s="13" t="s">
        <v>561</v>
      </c>
      <c r="B381" s="13"/>
      <c r="C381" s="13" t="s">
        <v>50</v>
      </c>
      <c r="D381" s="13"/>
      <c r="E381" s="32">
        <v>48728</v>
      </c>
      <c r="G381" s="8">
        <v>23714651</v>
      </c>
      <c r="I381" s="8">
        <v>9667762</v>
      </c>
      <c r="K381" s="8">
        <v>365754</v>
      </c>
      <c r="M381" s="8">
        <v>23282</v>
      </c>
      <c r="O381" s="8">
        <v>3605886</v>
      </c>
      <c r="Q381" s="8">
        <v>581076</v>
      </c>
      <c r="S381" s="8">
        <v>98739</v>
      </c>
      <c r="U381" s="8">
        <v>3313432</v>
      </c>
      <c r="W381" s="8">
        <v>956109</v>
      </c>
      <c r="Y381" s="8">
        <v>424107</v>
      </c>
      <c r="AA381" s="8">
        <v>3748817</v>
      </c>
      <c r="AC381" s="8">
        <v>2053041</v>
      </c>
      <c r="AE381" s="8">
        <v>339758</v>
      </c>
      <c r="AG381" s="8">
        <v>0</v>
      </c>
      <c r="AI381" s="8">
        <v>3908216</v>
      </c>
      <c r="AJ381" s="13" t="s">
        <v>561</v>
      </c>
      <c r="AK381" s="13"/>
      <c r="AL381" s="13" t="s">
        <v>50</v>
      </c>
      <c r="AN381" s="8">
        <v>1105839</v>
      </c>
      <c r="AP381" s="8">
        <v>685554</v>
      </c>
      <c r="AR381" s="8">
        <v>0</v>
      </c>
      <c r="AT381" s="8">
        <v>257103</v>
      </c>
      <c r="AV381" s="8">
        <v>45953</v>
      </c>
      <c r="AX381" s="8">
        <v>0</v>
      </c>
      <c r="AZ381" s="9">
        <f t="shared" si="18"/>
        <v>54895079</v>
      </c>
      <c r="BB381" s="8">
        <v>37400</v>
      </c>
      <c r="BH381" s="8">
        <v>0</v>
      </c>
      <c r="BJ381" s="9">
        <f t="shared" si="19"/>
        <v>54932479</v>
      </c>
      <c r="BL381" s="9">
        <f>'Gov Fd Rv'!AU381-'Gov Fnd Exp'!BJ381</f>
        <v>502769</v>
      </c>
      <c r="BN381" s="8">
        <v>6084720</v>
      </c>
      <c r="BP381" s="8">
        <v>0</v>
      </c>
      <c r="BR381" s="8">
        <v>0</v>
      </c>
      <c r="BT381" s="9">
        <f t="shared" si="20"/>
        <v>6587489</v>
      </c>
      <c r="BU381" s="9"/>
      <c r="BV381" s="9">
        <f>BT381-'Gov Fd BS'!AA379</f>
        <v>0</v>
      </c>
    </row>
    <row r="382" spans="1:74">
      <c r="A382" s="13" t="s">
        <v>570</v>
      </c>
      <c r="B382" s="13"/>
      <c r="C382" s="13" t="s">
        <v>78</v>
      </c>
      <c r="D382" s="13"/>
      <c r="E382" s="32">
        <v>48819</v>
      </c>
      <c r="G382" s="8">
        <v>4502461</v>
      </c>
      <c r="I382" s="8">
        <v>1290254</v>
      </c>
      <c r="K382" s="8">
        <v>311154</v>
      </c>
      <c r="M382" s="8">
        <v>924231</v>
      </c>
      <c r="O382" s="8">
        <v>414269</v>
      </c>
      <c r="Q382" s="8">
        <v>606595</v>
      </c>
      <c r="S382" s="8">
        <v>16289</v>
      </c>
      <c r="U382" s="8">
        <v>950539</v>
      </c>
      <c r="W382" s="8">
        <v>410368</v>
      </c>
      <c r="Y382" s="8">
        <v>0</v>
      </c>
      <c r="AA382" s="8">
        <v>869893</v>
      </c>
      <c r="AC382" s="8">
        <v>748014</v>
      </c>
      <c r="AE382" s="8">
        <v>13212</v>
      </c>
      <c r="AG382" s="8">
        <v>370912</v>
      </c>
      <c r="AI382" s="8">
        <v>0</v>
      </c>
      <c r="AJ382" s="13" t="s">
        <v>570</v>
      </c>
      <c r="AK382" s="13"/>
      <c r="AL382" s="13" t="s">
        <v>78</v>
      </c>
      <c r="AN382" s="8">
        <v>280179</v>
      </c>
      <c r="AP382" s="8">
        <v>0</v>
      </c>
      <c r="AR382" s="8">
        <v>0</v>
      </c>
      <c r="AT382" s="8">
        <v>0</v>
      </c>
      <c r="AV382" s="8">
        <v>0</v>
      </c>
      <c r="AX382" s="8">
        <v>0</v>
      </c>
      <c r="AZ382" s="9">
        <f t="shared" si="18"/>
        <v>11708370</v>
      </c>
      <c r="BB382" s="8">
        <v>11987947</v>
      </c>
      <c r="BH382" s="8">
        <v>0</v>
      </c>
      <c r="BJ382" s="9">
        <f t="shared" si="19"/>
        <v>23696317</v>
      </c>
      <c r="BL382" s="9">
        <f>'Gov Fd Rv'!AU382-'Gov Fnd Exp'!BJ382</f>
        <v>15336561</v>
      </c>
      <c r="BN382" s="8">
        <v>778315</v>
      </c>
      <c r="BP382" s="8">
        <v>0</v>
      </c>
      <c r="BR382" s="8">
        <v>0</v>
      </c>
      <c r="BT382" s="9">
        <f t="shared" si="20"/>
        <v>16114876</v>
      </c>
      <c r="BU382" s="9"/>
      <c r="BV382" s="9">
        <f>BT382-'Gov Fd BS'!AA380</f>
        <v>0</v>
      </c>
    </row>
    <row r="383" spans="1:74">
      <c r="A383" s="13" t="s">
        <v>486</v>
      </c>
      <c r="B383" s="13"/>
      <c r="C383" s="12" t="s">
        <v>50</v>
      </c>
      <c r="D383" s="13"/>
      <c r="E383" s="32">
        <v>48033</v>
      </c>
      <c r="G383" s="8">
        <v>8718017</v>
      </c>
      <c r="I383" s="8">
        <v>2969603</v>
      </c>
      <c r="K383" s="8">
        <v>322194</v>
      </c>
      <c r="M383" s="8">
        <v>373411</v>
      </c>
      <c r="O383" s="8">
        <v>1473081</v>
      </c>
      <c r="Q383" s="8">
        <v>562290</v>
      </c>
      <c r="S383" s="8">
        <v>28022</v>
      </c>
      <c r="U383" s="8">
        <v>1736804</v>
      </c>
      <c r="W383" s="8">
        <v>414906</v>
      </c>
      <c r="Y383" s="8">
        <v>200160</v>
      </c>
      <c r="AA383" s="8">
        <v>2169779</v>
      </c>
      <c r="AC383" s="8">
        <v>1032143</v>
      </c>
      <c r="AE383" s="8">
        <v>42862</v>
      </c>
      <c r="AG383" s="8">
        <v>0</v>
      </c>
      <c r="AI383" s="8">
        <v>997563</v>
      </c>
      <c r="AJ383" s="13" t="s">
        <v>486</v>
      </c>
      <c r="AK383" s="13"/>
      <c r="AL383" s="13" t="s">
        <v>42</v>
      </c>
      <c r="AN383" s="8">
        <v>576479</v>
      </c>
      <c r="AP383" s="8">
        <v>244142</v>
      </c>
      <c r="AR383" s="8">
        <v>0</v>
      </c>
      <c r="AT383" s="8">
        <v>335000</v>
      </c>
      <c r="AV383" s="8">
        <v>298152</v>
      </c>
      <c r="AX383" s="8">
        <v>0</v>
      </c>
      <c r="AZ383" s="9">
        <f t="shared" si="18"/>
        <v>22494608</v>
      </c>
      <c r="BB383" s="8">
        <v>0</v>
      </c>
      <c r="BH383" s="8">
        <v>0</v>
      </c>
      <c r="BJ383" s="9">
        <f t="shared" si="19"/>
        <v>22494608</v>
      </c>
      <c r="BL383" s="9">
        <f>'Gov Fd Rv'!AU383-'Gov Fnd Exp'!BJ383</f>
        <v>-188479</v>
      </c>
      <c r="BN383" s="8">
        <v>8175493</v>
      </c>
      <c r="BP383" s="8">
        <v>0</v>
      </c>
      <c r="BR383" s="8">
        <v>0</v>
      </c>
      <c r="BT383" s="9">
        <f t="shared" si="20"/>
        <v>7987014</v>
      </c>
      <c r="BU383" s="9"/>
      <c r="BV383" s="9">
        <f>BT383-'Gov Fd BS'!AA381</f>
        <v>0</v>
      </c>
    </row>
    <row r="384" spans="1:74">
      <c r="A384" s="13" t="s">
        <v>486</v>
      </c>
      <c r="B384" s="13"/>
      <c r="C384" s="13" t="s">
        <v>42</v>
      </c>
      <c r="D384" s="13"/>
      <c r="E384" s="32">
        <v>48736</v>
      </c>
      <c r="G384" s="8">
        <v>5581901</v>
      </c>
      <c r="I384" s="8">
        <v>1024897</v>
      </c>
      <c r="K384" s="8">
        <v>132602</v>
      </c>
      <c r="M384" s="8">
        <v>0</v>
      </c>
      <c r="O384" s="8">
        <v>460750</v>
      </c>
      <c r="Q384" s="8">
        <v>534003</v>
      </c>
      <c r="S384" s="8">
        <v>84871</v>
      </c>
      <c r="U384" s="8">
        <v>1004108</v>
      </c>
      <c r="W384" s="8">
        <v>288227</v>
      </c>
      <c r="Y384" s="8">
        <v>0</v>
      </c>
      <c r="AA384" s="8">
        <v>1087394</v>
      </c>
      <c r="AC384" s="8">
        <v>1452862</v>
      </c>
      <c r="AE384" s="8">
        <v>118154</v>
      </c>
      <c r="AG384" s="8">
        <v>432965</v>
      </c>
      <c r="AI384" s="8">
        <v>1436</v>
      </c>
      <c r="AJ384" s="13" t="s">
        <v>486</v>
      </c>
      <c r="AK384" s="13"/>
      <c r="AL384" s="13" t="s">
        <v>50</v>
      </c>
      <c r="AN384" s="8">
        <v>279560</v>
      </c>
      <c r="AP384" s="8">
        <v>51675</v>
      </c>
      <c r="AR384" s="8">
        <v>0</v>
      </c>
      <c r="AT384" s="8">
        <v>568381</v>
      </c>
      <c r="AV384" s="8">
        <v>348303</v>
      </c>
      <c r="AX384" s="8">
        <v>0</v>
      </c>
      <c r="AZ384" s="9">
        <f t="shared" si="18"/>
        <v>13452089</v>
      </c>
      <c r="BB384" s="8">
        <v>48378</v>
      </c>
      <c r="BH384" s="8">
        <v>0</v>
      </c>
      <c r="BJ384" s="9">
        <f t="shared" si="19"/>
        <v>13500467</v>
      </c>
      <c r="BL384" s="9">
        <f>'Gov Fd Rv'!AU384-'Gov Fnd Exp'!BJ384</f>
        <v>603844</v>
      </c>
      <c r="BN384" s="8">
        <f>581040-160836</f>
        <v>420204</v>
      </c>
      <c r="BP384" s="8">
        <v>0</v>
      </c>
      <c r="BR384" s="8">
        <v>0</v>
      </c>
      <c r="BT384" s="9">
        <f t="shared" si="20"/>
        <v>1024048</v>
      </c>
      <c r="BU384" s="9"/>
      <c r="BV384" s="9">
        <f>BT384-'Gov Fd BS'!AA382</f>
        <v>0</v>
      </c>
    </row>
    <row r="385" spans="1:74">
      <c r="A385" s="13" t="s">
        <v>407</v>
      </c>
      <c r="B385" s="13"/>
      <c r="C385" s="13" t="s">
        <v>32</v>
      </c>
      <c r="D385" s="13"/>
      <c r="E385" s="32">
        <v>47365</v>
      </c>
      <c r="G385" s="8">
        <v>40705222</v>
      </c>
      <c r="I385" s="8">
        <v>9810454</v>
      </c>
      <c r="K385" s="8">
        <v>1782038</v>
      </c>
      <c r="M385" s="8">
        <v>1202085</v>
      </c>
      <c r="O385" s="8">
        <v>4583052</v>
      </c>
      <c r="Q385" s="8">
        <v>5549755</v>
      </c>
      <c r="S385" s="8">
        <v>182771</v>
      </c>
      <c r="U385" s="8">
        <v>5741384</v>
      </c>
      <c r="W385" s="8">
        <v>1574954</v>
      </c>
      <c r="Y385" s="8">
        <v>691835</v>
      </c>
      <c r="AA385" s="8">
        <v>8621830</v>
      </c>
      <c r="AC385" s="8">
        <v>4643106</v>
      </c>
      <c r="AE385" s="8">
        <v>1665690</v>
      </c>
      <c r="AG385" s="8">
        <v>0</v>
      </c>
      <c r="AI385" s="8">
        <v>7118337</v>
      </c>
      <c r="AJ385" s="13" t="s">
        <v>407</v>
      </c>
      <c r="AK385" s="13"/>
      <c r="AL385" s="13" t="s">
        <v>32</v>
      </c>
      <c r="AN385" s="8">
        <v>1775910</v>
      </c>
      <c r="AP385" s="8">
        <v>0</v>
      </c>
      <c r="AR385" s="8">
        <v>0</v>
      </c>
      <c r="AT385" s="8">
        <v>928396</v>
      </c>
      <c r="AV385" s="8">
        <v>969747</v>
      </c>
      <c r="AX385" s="8">
        <v>0</v>
      </c>
      <c r="AZ385" s="9">
        <f t="shared" si="18"/>
        <v>97546566</v>
      </c>
      <c r="BB385" s="8">
        <v>2628</v>
      </c>
      <c r="BH385" s="8">
        <v>0</v>
      </c>
      <c r="BJ385" s="9">
        <f t="shared" si="19"/>
        <v>97549194</v>
      </c>
      <c r="BL385" s="9">
        <f>'Gov Fd Rv'!AU385-'Gov Fnd Exp'!BJ385</f>
        <v>803680</v>
      </c>
      <c r="BN385" s="8">
        <f>23158368-858525</f>
        <v>22299843</v>
      </c>
      <c r="BP385" s="8">
        <v>0</v>
      </c>
      <c r="BR385" s="8">
        <v>0</v>
      </c>
      <c r="BT385" s="9">
        <f t="shared" si="20"/>
        <v>23103523</v>
      </c>
      <c r="BU385" s="9"/>
      <c r="BV385" s="9">
        <f>BT385-'Gov Fd BS'!AA383</f>
        <v>0</v>
      </c>
    </row>
    <row r="386" spans="1:74">
      <c r="A386" s="13" t="s">
        <v>407</v>
      </c>
      <c r="B386" s="13"/>
      <c r="C386" s="13" t="s">
        <v>59</v>
      </c>
      <c r="D386" s="13"/>
      <c r="E386" s="32">
        <v>49635</v>
      </c>
      <c r="G386" s="8">
        <v>6818956</v>
      </c>
      <c r="I386" s="8">
        <v>1328726</v>
      </c>
      <c r="K386" s="8">
        <v>66979</v>
      </c>
      <c r="M386" s="8">
        <v>579482</v>
      </c>
      <c r="O386" s="8">
        <v>673766</v>
      </c>
      <c r="Q386" s="8">
        <v>1176483</v>
      </c>
      <c r="S386" s="8">
        <v>13462</v>
      </c>
      <c r="U386" s="8">
        <v>1237087</v>
      </c>
      <c r="W386" s="8">
        <v>287757</v>
      </c>
      <c r="Y386" s="8">
        <v>0</v>
      </c>
      <c r="AA386" s="8">
        <v>1922543</v>
      </c>
      <c r="AC386" s="8">
        <v>1513595</v>
      </c>
      <c r="AE386" s="8">
        <v>36925</v>
      </c>
      <c r="AG386" s="8">
        <v>0</v>
      </c>
      <c r="AI386" s="8">
        <v>681994</v>
      </c>
      <c r="AJ386" s="13" t="s">
        <v>407</v>
      </c>
      <c r="AK386" s="13"/>
      <c r="AL386" s="13" t="s">
        <v>59</v>
      </c>
      <c r="AN386" s="8">
        <v>371290</v>
      </c>
      <c r="AP386" s="8">
        <v>3267387</v>
      </c>
      <c r="AR386" s="8">
        <v>0</v>
      </c>
      <c r="AT386" s="8">
        <v>410000</v>
      </c>
      <c r="AV386" s="8">
        <v>136101</v>
      </c>
      <c r="AX386" s="8">
        <v>0</v>
      </c>
      <c r="AZ386" s="9">
        <f t="shared" si="18"/>
        <v>20522533</v>
      </c>
      <c r="BB386" s="8">
        <v>68757</v>
      </c>
      <c r="BH386" s="8">
        <v>0</v>
      </c>
      <c r="BJ386" s="9">
        <f t="shared" si="19"/>
        <v>20591290</v>
      </c>
      <c r="BL386" s="9">
        <f>'Gov Fd Rv'!AU386-'Gov Fnd Exp'!BJ386</f>
        <v>-2990423</v>
      </c>
      <c r="BN386" s="8">
        <f>6201574-7487</f>
        <v>6194087</v>
      </c>
      <c r="BP386" s="8">
        <v>0</v>
      </c>
      <c r="BR386" s="8">
        <v>0</v>
      </c>
      <c r="BT386" s="9">
        <f t="shared" si="20"/>
        <v>3203664</v>
      </c>
      <c r="BU386" s="9"/>
      <c r="BV386" s="9">
        <f>BT386-'Gov Fd BS'!AA384</f>
        <v>0</v>
      </c>
    </row>
    <row r="387" spans="1:74">
      <c r="A387" s="13" t="s">
        <v>407</v>
      </c>
      <c r="B387" s="13"/>
      <c r="C387" s="13" t="s">
        <v>62</v>
      </c>
      <c r="D387" s="13"/>
      <c r="E387" s="32">
        <v>49908</v>
      </c>
      <c r="G387" s="8">
        <v>9525155</v>
      </c>
      <c r="I387" s="8">
        <v>2658283</v>
      </c>
      <c r="K387" s="8">
        <v>280121</v>
      </c>
      <c r="M387" s="8">
        <v>88382</v>
      </c>
      <c r="O387" s="8">
        <v>961790</v>
      </c>
      <c r="Q387" s="8">
        <v>256224</v>
      </c>
      <c r="S387" s="8">
        <v>39685</v>
      </c>
      <c r="U387" s="8">
        <v>1817424</v>
      </c>
      <c r="W387" s="8">
        <v>411686</v>
      </c>
      <c r="Y387" s="8">
        <v>0</v>
      </c>
      <c r="AA387" s="8">
        <v>2042381</v>
      </c>
      <c r="AC387" s="8">
        <v>1156733</v>
      </c>
      <c r="AE387" s="8">
        <v>403319</v>
      </c>
      <c r="AG387" s="8">
        <v>761451</v>
      </c>
      <c r="AI387" s="8">
        <v>10171</v>
      </c>
      <c r="AJ387" s="13" t="s">
        <v>407</v>
      </c>
      <c r="AK387" s="13"/>
      <c r="AL387" s="13" t="s">
        <v>62</v>
      </c>
      <c r="AN387" s="8">
        <v>451715</v>
      </c>
      <c r="AP387" s="8">
        <v>1138198</v>
      </c>
      <c r="AR387" s="8">
        <v>91943</v>
      </c>
      <c r="AT387" s="8">
        <v>630000</v>
      </c>
      <c r="AV387" s="8">
        <v>957848</v>
      </c>
      <c r="AX387" s="8">
        <v>0</v>
      </c>
      <c r="AZ387" s="9">
        <f t="shared" si="18"/>
        <v>23682509</v>
      </c>
      <c r="BB387" s="8">
        <v>158500</v>
      </c>
      <c r="BH387" s="8">
        <v>0</v>
      </c>
      <c r="BJ387" s="9">
        <f t="shared" si="19"/>
        <v>23841009</v>
      </c>
      <c r="BL387" s="9">
        <f>'Gov Fd Rv'!AU387-'Gov Fnd Exp'!BJ387</f>
        <v>-480950</v>
      </c>
      <c r="BN387" s="8">
        <f>-1564915-180828</f>
        <v>-1745743</v>
      </c>
      <c r="BP387" s="8">
        <v>8421</v>
      </c>
      <c r="BR387" s="8">
        <v>0</v>
      </c>
      <c r="BT387" s="9">
        <f t="shared" si="20"/>
        <v>-2218272</v>
      </c>
      <c r="BU387" s="9"/>
      <c r="BV387" s="9">
        <f>BT387-'Gov Fd BS'!AA385</f>
        <v>0</v>
      </c>
    </row>
    <row r="388" spans="1:74">
      <c r="A388" s="13" t="s">
        <v>267</v>
      </c>
      <c r="B388" s="13"/>
      <c r="C388" s="13" t="s">
        <v>17</v>
      </c>
      <c r="D388" s="13"/>
      <c r="E388" s="32">
        <v>46268</v>
      </c>
      <c r="G388" s="8">
        <v>7541077</v>
      </c>
      <c r="I388" s="8">
        <v>1808171</v>
      </c>
      <c r="K388" s="8">
        <v>119</v>
      </c>
      <c r="M388" s="8">
        <v>15058</v>
      </c>
      <c r="O388" s="8">
        <v>498466</v>
      </c>
      <c r="Q388" s="8">
        <v>838577</v>
      </c>
      <c r="S388" s="8">
        <v>93922</v>
      </c>
      <c r="U388" s="8">
        <v>1197627</v>
      </c>
      <c r="W388" s="8">
        <v>390785</v>
      </c>
      <c r="Y388" s="8">
        <v>0</v>
      </c>
      <c r="AA388" s="8">
        <v>1227291</v>
      </c>
      <c r="AC388" s="8">
        <v>1081434</v>
      </c>
      <c r="AE388" s="8">
        <v>26983</v>
      </c>
      <c r="AG388" s="8">
        <v>0</v>
      </c>
      <c r="AI388" s="8">
        <v>628775</v>
      </c>
      <c r="AJ388" s="13" t="s">
        <v>267</v>
      </c>
      <c r="AK388" s="13"/>
      <c r="AL388" s="13" t="s">
        <v>17</v>
      </c>
      <c r="AN388" s="8">
        <v>428292</v>
      </c>
      <c r="AP388" s="8">
        <v>19238</v>
      </c>
      <c r="AR388" s="8">
        <v>0</v>
      </c>
      <c r="AT388" s="8">
        <v>110000</v>
      </c>
      <c r="AV388" s="8">
        <v>20789</v>
      </c>
      <c r="AX388" s="8">
        <v>0</v>
      </c>
      <c r="AZ388" s="9">
        <f t="shared" si="18"/>
        <v>15926604</v>
      </c>
      <c r="BB388" s="8">
        <v>259</v>
      </c>
      <c r="BH388" s="8">
        <v>0</v>
      </c>
      <c r="BJ388" s="9">
        <f t="shared" si="19"/>
        <v>15926863</v>
      </c>
      <c r="BL388" s="9">
        <f>'Gov Fd Rv'!AU388-'Gov Fnd Exp'!BJ388</f>
        <v>-461649</v>
      </c>
      <c r="BN388" s="8">
        <f>3944115-26184</f>
        <v>3917931</v>
      </c>
      <c r="BP388" s="8">
        <v>10485</v>
      </c>
      <c r="BR388" s="8">
        <v>0</v>
      </c>
      <c r="BT388" s="9">
        <f t="shared" si="20"/>
        <v>3466767</v>
      </c>
      <c r="BU388" s="9"/>
      <c r="BV388" s="9">
        <f>BT388-'Gov Fd BS'!AA386</f>
        <v>0</v>
      </c>
    </row>
    <row r="389" spans="1:74">
      <c r="A389" s="13" t="s">
        <v>742</v>
      </c>
      <c r="B389" s="13"/>
      <c r="C389" s="13" t="s">
        <v>72</v>
      </c>
      <c r="D389" s="13"/>
      <c r="E389" s="32">
        <v>50716</v>
      </c>
      <c r="G389" s="8">
        <v>4586247</v>
      </c>
      <c r="I389" s="8">
        <v>1204065</v>
      </c>
      <c r="K389" s="8">
        <v>137508</v>
      </c>
      <c r="M389" s="8">
        <v>0</v>
      </c>
      <c r="O389" s="8">
        <v>315846</v>
      </c>
      <c r="Q389" s="8">
        <v>529542</v>
      </c>
      <c r="S389" s="8">
        <v>13926</v>
      </c>
      <c r="U389" s="8">
        <v>828624</v>
      </c>
      <c r="W389" s="8">
        <v>288362</v>
      </c>
      <c r="Y389" s="8">
        <v>0</v>
      </c>
      <c r="AA389" s="8">
        <v>878131</v>
      </c>
      <c r="AC389" s="8">
        <v>340694</v>
      </c>
      <c r="AE389" s="8">
        <v>1391</v>
      </c>
      <c r="AG389" s="8">
        <v>0</v>
      </c>
      <c r="AI389" s="8">
        <v>344461</v>
      </c>
      <c r="AJ389" s="13" t="s">
        <v>742</v>
      </c>
      <c r="AK389" s="13"/>
      <c r="AL389" s="13" t="s">
        <v>72</v>
      </c>
      <c r="AN389" s="8">
        <v>330783</v>
      </c>
      <c r="AP389" s="8">
        <v>377211</v>
      </c>
      <c r="AR389" s="8">
        <v>0</v>
      </c>
      <c r="AT389" s="8">
        <v>299552</v>
      </c>
      <c r="AV389" s="8">
        <v>102483</v>
      </c>
      <c r="AX389" s="8">
        <v>0</v>
      </c>
      <c r="AZ389" s="9">
        <f t="shared" si="18"/>
        <v>10578826</v>
      </c>
      <c r="BB389" s="8">
        <v>88444</v>
      </c>
      <c r="BH389" s="8">
        <v>0</v>
      </c>
      <c r="BJ389" s="9">
        <f t="shared" si="19"/>
        <v>10667270</v>
      </c>
      <c r="BL389" s="9">
        <f>'Gov Fd Rv'!AU389-'Gov Fnd Exp'!BJ389</f>
        <v>-45254</v>
      </c>
      <c r="BN389" s="8">
        <v>1784254</v>
      </c>
      <c r="BP389" s="8">
        <v>0</v>
      </c>
      <c r="BR389" s="8">
        <v>0</v>
      </c>
      <c r="BT389" s="9">
        <f t="shared" si="20"/>
        <v>1739000</v>
      </c>
      <c r="BU389" s="9"/>
      <c r="BV389" s="9">
        <f>BT389-'Gov Fd BS'!AA387</f>
        <v>0</v>
      </c>
    </row>
    <row r="390" spans="1:74">
      <c r="A390" s="13" t="s">
        <v>674</v>
      </c>
      <c r="B390" s="13"/>
      <c r="C390" s="13" t="s">
        <v>63</v>
      </c>
      <c r="D390" s="13"/>
      <c r="E390" s="32">
        <v>44552</v>
      </c>
      <c r="G390" s="8">
        <v>10556261</v>
      </c>
      <c r="I390" s="8">
        <v>1514673</v>
      </c>
      <c r="K390" s="8">
        <v>767128</v>
      </c>
      <c r="M390" s="8">
        <v>316519</v>
      </c>
      <c r="O390" s="8">
        <v>784148</v>
      </c>
      <c r="Q390" s="8">
        <v>874626</v>
      </c>
      <c r="S390" s="8">
        <v>40964</v>
      </c>
      <c r="U390" s="8">
        <v>1470332</v>
      </c>
      <c r="W390" s="8">
        <v>500765</v>
      </c>
      <c r="Y390" s="8">
        <v>346611</v>
      </c>
      <c r="AA390" s="8">
        <v>1908182</v>
      </c>
      <c r="AC390" s="8">
        <v>1251530</v>
      </c>
      <c r="AE390" s="8">
        <v>76656</v>
      </c>
      <c r="AG390" s="8">
        <v>772515</v>
      </c>
      <c r="AI390" s="8">
        <v>0</v>
      </c>
      <c r="AJ390" s="13" t="s">
        <v>674</v>
      </c>
      <c r="AK390" s="13"/>
      <c r="AL390" s="13" t="s">
        <v>63</v>
      </c>
      <c r="AN390" s="8">
        <v>503890</v>
      </c>
      <c r="AP390" s="8">
        <v>342141</v>
      </c>
      <c r="AR390" s="8">
        <v>0</v>
      </c>
      <c r="AT390" s="8">
        <v>35589</v>
      </c>
      <c r="AV390" s="8">
        <v>3147</v>
      </c>
      <c r="AX390" s="8">
        <v>0</v>
      </c>
      <c r="AZ390" s="9">
        <f t="shared" si="18"/>
        <v>22065677</v>
      </c>
      <c r="BB390" s="8">
        <v>0</v>
      </c>
      <c r="BH390" s="8">
        <v>0</v>
      </c>
      <c r="BJ390" s="9">
        <f t="shared" si="19"/>
        <v>22065677</v>
      </c>
      <c r="BL390" s="9">
        <f>'Gov Fd Rv'!AU390-'Gov Fnd Exp'!BJ390</f>
        <v>753503</v>
      </c>
      <c r="BN390" s="8">
        <v>5725922</v>
      </c>
      <c r="BP390" s="8">
        <v>2249</v>
      </c>
      <c r="BR390" s="8">
        <v>0</v>
      </c>
      <c r="BT390" s="9">
        <f t="shared" si="20"/>
        <v>6481674</v>
      </c>
      <c r="BU390" s="9"/>
      <c r="BV390" s="9">
        <f>BT390-'Gov Fd BS'!AA388</f>
        <v>0</v>
      </c>
    </row>
    <row r="391" spans="1:74">
      <c r="A391" s="13" t="s">
        <v>451</v>
      </c>
      <c r="B391" s="13"/>
      <c r="C391" s="13" t="s">
        <v>37</v>
      </c>
      <c r="D391" s="13"/>
      <c r="E391" s="32">
        <v>44560</v>
      </c>
      <c r="G391" s="8">
        <v>10185838</v>
      </c>
      <c r="I391" s="8">
        <v>3519101</v>
      </c>
      <c r="K391" s="8">
        <v>186835</v>
      </c>
      <c r="M391" s="8">
        <v>941497</v>
      </c>
      <c r="O391" s="8">
        <v>1144362</v>
      </c>
      <c r="Q391" s="8">
        <v>1855791</v>
      </c>
      <c r="S391" s="8">
        <v>50925</v>
      </c>
      <c r="U391" s="8">
        <v>2111582</v>
      </c>
      <c r="W391" s="8">
        <v>407298</v>
      </c>
      <c r="Y391" s="8">
        <v>55974</v>
      </c>
      <c r="AA391" s="8">
        <v>2464942</v>
      </c>
      <c r="AC391" s="8">
        <v>921029</v>
      </c>
      <c r="AE391" s="8">
        <v>93140</v>
      </c>
      <c r="AG391" s="8">
        <v>1017020</v>
      </c>
      <c r="AI391" s="8">
        <v>533900</v>
      </c>
      <c r="AJ391" s="13" t="s">
        <v>451</v>
      </c>
      <c r="AK391" s="13"/>
      <c r="AL391" s="13" t="s">
        <v>37</v>
      </c>
      <c r="AN391" s="8">
        <v>656683</v>
      </c>
      <c r="AP391" s="8">
        <v>750506</v>
      </c>
      <c r="AR391" s="8">
        <v>0</v>
      </c>
      <c r="AT391" s="8">
        <v>172840</v>
      </c>
      <c r="AV391" s="8">
        <v>870433</v>
      </c>
      <c r="AX391" s="8">
        <v>0</v>
      </c>
      <c r="AZ391" s="9">
        <f t="shared" si="18"/>
        <v>27939696</v>
      </c>
      <c r="BB391" s="8">
        <v>0</v>
      </c>
      <c r="BH391" s="8">
        <v>0</v>
      </c>
      <c r="BJ391" s="9">
        <f t="shared" si="19"/>
        <v>27939696</v>
      </c>
      <c r="BL391" s="9">
        <f>'Gov Fd Rv'!AU391-'Gov Fnd Exp'!BJ391</f>
        <v>419207</v>
      </c>
      <c r="BN391" s="8">
        <f>15749788-7313</f>
        <v>15742475</v>
      </c>
      <c r="BP391" s="8">
        <v>0</v>
      </c>
      <c r="BR391" s="8">
        <v>0</v>
      </c>
      <c r="BT391" s="9">
        <f t="shared" si="20"/>
        <v>16161682</v>
      </c>
      <c r="BU391" s="9"/>
      <c r="BV391" s="9">
        <f>BT391-'Gov Fd BS'!AA389</f>
        <v>0</v>
      </c>
    </row>
    <row r="392" spans="1:74">
      <c r="A392" s="13" t="s">
        <v>902</v>
      </c>
      <c r="B392" s="13"/>
      <c r="C392" s="13" t="s">
        <v>32</v>
      </c>
      <c r="D392" s="13"/>
      <c r="E392" s="32">
        <v>44578</v>
      </c>
      <c r="G392" s="8">
        <v>12286882</v>
      </c>
      <c r="I392" s="8">
        <v>2999143</v>
      </c>
      <c r="K392" s="8">
        <v>0</v>
      </c>
      <c r="M392" s="8">
        <v>676762</v>
      </c>
      <c r="O392" s="8">
        <v>1690883</v>
      </c>
      <c r="Q392" s="8">
        <v>1347815</v>
      </c>
      <c r="S392" s="8">
        <v>30966</v>
      </c>
      <c r="U392" s="8">
        <v>1830189</v>
      </c>
      <c r="W392" s="8">
        <v>623860</v>
      </c>
      <c r="Y392" s="8">
        <v>0</v>
      </c>
      <c r="AA392" s="8">
        <v>2875838</v>
      </c>
      <c r="AC392" s="8">
        <v>459254</v>
      </c>
      <c r="AE392" s="8">
        <v>330657</v>
      </c>
      <c r="AG392" s="8">
        <v>1248376</v>
      </c>
      <c r="AI392" s="8">
        <v>107668</v>
      </c>
      <c r="AJ392" s="13" t="s">
        <v>408</v>
      </c>
      <c r="AK392" s="13"/>
      <c r="AL392" s="13" t="s">
        <v>32</v>
      </c>
      <c r="AN392" s="8">
        <v>530278</v>
      </c>
      <c r="AP392" s="8">
        <v>43971</v>
      </c>
      <c r="AR392" s="8">
        <v>0</v>
      </c>
      <c r="AT392" s="8">
        <v>0</v>
      </c>
      <c r="AV392" s="8">
        <v>238721</v>
      </c>
      <c r="AX392" s="8">
        <v>0</v>
      </c>
      <c r="AZ392" s="9">
        <f t="shared" si="18"/>
        <v>27321263</v>
      </c>
      <c r="BB392" s="8">
        <v>83000</v>
      </c>
      <c r="BH392" s="8">
        <v>0</v>
      </c>
      <c r="BJ392" s="9">
        <f t="shared" si="19"/>
        <v>27404263</v>
      </c>
      <c r="BL392" s="9">
        <f>'Gov Fd Rv'!AU392-'Gov Fnd Exp'!BJ392</f>
        <v>464372</v>
      </c>
      <c r="BN392" s="8">
        <v>7779485</v>
      </c>
      <c r="BP392" s="8">
        <v>0</v>
      </c>
      <c r="BR392" s="8">
        <v>0</v>
      </c>
      <c r="BT392" s="9">
        <f t="shared" si="20"/>
        <v>8243857</v>
      </c>
      <c r="BU392" s="9"/>
      <c r="BV392" s="9">
        <f>BT392-'Gov Fd BS'!AA390</f>
        <v>0</v>
      </c>
    </row>
    <row r="393" spans="1:74">
      <c r="A393" s="13" t="s">
        <v>409</v>
      </c>
      <c r="B393" s="13"/>
      <c r="C393" s="13" t="s">
        <v>32</v>
      </c>
      <c r="D393" s="13"/>
      <c r="E393" s="32">
        <v>47373</v>
      </c>
      <c r="G393" s="8">
        <v>33038753</v>
      </c>
      <c r="I393" s="8">
        <v>6787517</v>
      </c>
      <c r="K393" s="8">
        <v>244</v>
      </c>
      <c r="M393" s="8">
        <v>235794</v>
      </c>
      <c r="O393" s="8">
        <v>4560607</v>
      </c>
      <c r="Q393" s="8">
        <v>5390162</v>
      </c>
      <c r="S393" s="8">
        <v>133180</v>
      </c>
      <c r="U393" s="8">
        <v>4926982</v>
      </c>
      <c r="W393" s="8">
        <v>1138397</v>
      </c>
      <c r="Y393" s="8">
        <v>436098</v>
      </c>
      <c r="AA393" s="8">
        <v>6476119</v>
      </c>
      <c r="AC393" s="8">
        <v>2534099</v>
      </c>
      <c r="AE393" s="8">
        <v>536819</v>
      </c>
      <c r="AG393" s="8">
        <v>0</v>
      </c>
      <c r="AI393" s="8">
        <v>4665790</v>
      </c>
      <c r="AJ393" s="13" t="s">
        <v>409</v>
      </c>
      <c r="AK393" s="13"/>
      <c r="AL393" s="13" t="s">
        <v>32</v>
      </c>
      <c r="AN393" s="8">
        <v>1759453</v>
      </c>
      <c r="AP393" s="8">
        <v>2275900</v>
      </c>
      <c r="AR393" s="8">
        <v>0</v>
      </c>
      <c r="AT393" s="8">
        <v>2032000</v>
      </c>
      <c r="AV393" s="8">
        <v>2152140</v>
      </c>
      <c r="AX393" s="8">
        <v>0</v>
      </c>
      <c r="AZ393" s="9">
        <f t="shared" ref="AZ393:AZ405" si="21">SUM(G393:AX393)</f>
        <v>79080054</v>
      </c>
      <c r="BB393" s="8">
        <v>381212</v>
      </c>
      <c r="BH393" s="8">
        <v>0</v>
      </c>
      <c r="BJ393" s="9">
        <f t="shared" si="19"/>
        <v>79461266</v>
      </c>
      <c r="BL393" s="9">
        <f>'Gov Fd Rv'!AU393-'Gov Fnd Exp'!BJ393</f>
        <v>-1077889</v>
      </c>
      <c r="BN393" s="8">
        <v>35316444</v>
      </c>
      <c r="BP393" s="8">
        <v>0</v>
      </c>
      <c r="BR393" s="8">
        <v>0</v>
      </c>
      <c r="BT393" s="9">
        <f t="shared" si="20"/>
        <v>34238555</v>
      </c>
      <c r="BU393" s="9"/>
      <c r="BV393" s="9">
        <f>BT393-'Gov Fd BS'!AA393</f>
        <v>0</v>
      </c>
    </row>
    <row r="394" spans="1:74">
      <c r="A394" s="13" t="s">
        <v>562</v>
      </c>
      <c r="B394" s="13"/>
      <c r="C394" s="13" t="s">
        <v>50</v>
      </c>
      <c r="D394" s="13"/>
      <c r="E394" s="32">
        <v>44586</v>
      </c>
      <c r="G394" s="8">
        <v>11151117</v>
      </c>
      <c r="I394" s="8">
        <v>2283911</v>
      </c>
      <c r="K394" s="8">
        <v>0</v>
      </c>
      <c r="M394" s="8">
        <v>233939</v>
      </c>
      <c r="O394" s="8">
        <v>1307312</v>
      </c>
      <c r="Q394" s="8">
        <v>355092</v>
      </c>
      <c r="S394" s="8">
        <v>28249</v>
      </c>
      <c r="U394" s="8">
        <v>1730362</v>
      </c>
      <c r="W394" s="8">
        <v>689308</v>
      </c>
      <c r="Y394" s="8">
        <v>9289</v>
      </c>
      <c r="AA394" s="8">
        <v>1946260</v>
      </c>
      <c r="AC394" s="8">
        <v>174654</v>
      </c>
      <c r="AE394" s="8">
        <v>577019</v>
      </c>
      <c r="AG394" s="8">
        <v>0</v>
      </c>
      <c r="AI394" s="8">
        <v>629933</v>
      </c>
      <c r="AJ394" s="13" t="s">
        <v>562</v>
      </c>
      <c r="AK394" s="13"/>
      <c r="AL394" s="13" t="s">
        <v>50</v>
      </c>
      <c r="AN394" s="8">
        <v>991705</v>
      </c>
      <c r="AP394" s="8">
        <v>481347</v>
      </c>
      <c r="AR394" s="8">
        <v>0</v>
      </c>
      <c r="AT394" s="8">
        <v>740000</v>
      </c>
      <c r="AV394" s="8">
        <v>826509</v>
      </c>
      <c r="AX394" s="8">
        <v>0</v>
      </c>
      <c r="AZ394" s="9">
        <f t="shared" si="21"/>
        <v>24156006</v>
      </c>
      <c r="BB394" s="8">
        <v>343469</v>
      </c>
      <c r="BH394" s="8">
        <v>0</v>
      </c>
      <c r="BJ394" s="9">
        <f t="shared" si="19"/>
        <v>24499475</v>
      </c>
      <c r="BL394" s="9">
        <f>'Gov Fd Rv'!AU394-'Gov Fnd Exp'!BJ394</f>
        <v>15086</v>
      </c>
      <c r="BN394" s="8">
        <v>-149915</v>
      </c>
      <c r="BP394" s="8">
        <v>0</v>
      </c>
      <c r="BR394" s="8">
        <v>0</v>
      </c>
      <c r="BT394" s="9">
        <f t="shared" si="20"/>
        <v>-134829</v>
      </c>
      <c r="BU394" s="9"/>
      <c r="BV394" s="9">
        <f>BT394-'Gov Fd BS'!AA394</f>
        <v>0</v>
      </c>
    </row>
    <row r="395" spans="1:74">
      <c r="A395" s="13" t="s">
        <v>499</v>
      </c>
      <c r="B395" s="13"/>
      <c r="C395" s="13" t="s">
        <v>44</v>
      </c>
      <c r="D395" s="13"/>
      <c r="E395" s="32">
        <v>44594</v>
      </c>
      <c r="G395" s="8">
        <v>6198393</v>
      </c>
      <c r="I395" s="8">
        <v>1110276</v>
      </c>
      <c r="K395" s="8">
        <v>93210</v>
      </c>
      <c r="M395" s="8">
        <v>486733</v>
      </c>
      <c r="O395" s="8">
        <v>962576</v>
      </c>
      <c r="Q395" s="8">
        <v>480629</v>
      </c>
      <c r="S395" s="8">
        <v>76992</v>
      </c>
      <c r="U395" s="8">
        <v>1448789</v>
      </c>
      <c r="W395" s="8">
        <v>386333</v>
      </c>
      <c r="Y395" s="8">
        <v>235698</v>
      </c>
      <c r="AA395" s="8">
        <v>1736470</v>
      </c>
      <c r="AC395" s="8">
        <v>444131</v>
      </c>
      <c r="AE395" s="8">
        <v>59426</v>
      </c>
      <c r="AG395" s="8">
        <v>398766</v>
      </c>
      <c r="AI395" s="8">
        <v>353436</v>
      </c>
      <c r="AJ395" s="13" t="s">
        <v>499</v>
      </c>
      <c r="AK395" s="13"/>
      <c r="AL395" s="13" t="s">
        <v>44</v>
      </c>
      <c r="AN395" s="8">
        <v>0</v>
      </c>
      <c r="AP395" s="8">
        <v>0</v>
      </c>
      <c r="AR395" s="8">
        <v>0</v>
      </c>
      <c r="AT395" s="8">
        <v>77518</v>
      </c>
      <c r="AV395" s="8">
        <v>24293</v>
      </c>
      <c r="AX395" s="8">
        <v>0</v>
      </c>
      <c r="AZ395" s="9">
        <f t="shared" si="21"/>
        <v>14573669</v>
      </c>
      <c r="BB395" s="8">
        <v>77200</v>
      </c>
      <c r="BH395" s="8">
        <v>0</v>
      </c>
      <c r="BJ395" s="9">
        <f t="shared" si="19"/>
        <v>14650869</v>
      </c>
      <c r="BL395" s="9">
        <f>'Gov Fd Rv'!AU395-'Gov Fnd Exp'!BJ395</f>
        <v>-430573</v>
      </c>
      <c r="BN395" s="8">
        <v>1302874</v>
      </c>
      <c r="BP395" s="8">
        <v>0</v>
      </c>
      <c r="BR395" s="8">
        <v>0</v>
      </c>
      <c r="BT395" s="9">
        <f t="shared" si="20"/>
        <v>872301</v>
      </c>
      <c r="BU395" s="9"/>
      <c r="BV395" s="9">
        <f>BT395-'Gov Fd BS'!AA395</f>
        <v>0</v>
      </c>
    </row>
    <row r="396" spans="1:74" hidden="1">
      <c r="A396" s="13" t="s">
        <v>643</v>
      </c>
      <c r="B396" s="13"/>
      <c r="C396" s="13" t="s">
        <v>60</v>
      </c>
      <c r="D396" s="13"/>
      <c r="E396" s="32">
        <v>49726</v>
      </c>
      <c r="G396" s="8">
        <v>0</v>
      </c>
      <c r="I396" s="8">
        <v>0</v>
      </c>
      <c r="K396" s="8">
        <v>0</v>
      </c>
      <c r="M396" s="8">
        <v>0</v>
      </c>
      <c r="O396" s="8">
        <v>0</v>
      </c>
      <c r="Q396" s="8">
        <v>0</v>
      </c>
      <c r="S396" s="8">
        <v>0</v>
      </c>
      <c r="U396" s="8">
        <v>0</v>
      </c>
      <c r="W396" s="8">
        <v>0</v>
      </c>
      <c r="Y396" s="8">
        <v>0</v>
      </c>
      <c r="AA396" s="8">
        <v>0</v>
      </c>
      <c r="AC396" s="8">
        <v>0</v>
      </c>
      <c r="AE396" s="8">
        <v>0</v>
      </c>
      <c r="AG396" s="8">
        <v>0</v>
      </c>
      <c r="AI396" s="8">
        <v>0</v>
      </c>
      <c r="AJ396" s="13" t="s">
        <v>643</v>
      </c>
      <c r="AK396" s="13"/>
      <c r="AL396" s="13" t="s">
        <v>60</v>
      </c>
      <c r="AN396" s="8">
        <v>0</v>
      </c>
      <c r="AP396" s="8">
        <v>0</v>
      </c>
      <c r="AR396" s="8">
        <v>0</v>
      </c>
      <c r="AT396" s="8">
        <v>0</v>
      </c>
      <c r="AV396" s="8">
        <v>0</v>
      </c>
      <c r="AX396" s="8">
        <v>0</v>
      </c>
      <c r="AZ396" s="9">
        <f t="shared" si="21"/>
        <v>0</v>
      </c>
      <c r="BB396" s="8">
        <v>0</v>
      </c>
      <c r="BH396" s="8">
        <v>0</v>
      </c>
      <c r="BJ396" s="9">
        <f t="shared" si="19"/>
        <v>0</v>
      </c>
      <c r="BL396" s="9">
        <f>'Gov Fd Rv'!AU396-'Gov Fnd Exp'!BJ396</f>
        <v>0</v>
      </c>
      <c r="BN396" s="8">
        <v>0</v>
      </c>
      <c r="BP396" s="8">
        <v>0</v>
      </c>
      <c r="BR396" s="8">
        <v>0</v>
      </c>
      <c r="BT396" s="9">
        <f t="shared" si="20"/>
        <v>0</v>
      </c>
      <c r="BU396" s="9"/>
      <c r="BV396" s="9">
        <f>BT396-'Gov Fd BS'!AA396</f>
        <v>0</v>
      </c>
    </row>
    <row r="397" spans="1:74">
      <c r="A397" s="13" t="s">
        <v>339</v>
      </c>
      <c r="B397" s="13"/>
      <c r="C397" s="13" t="s">
        <v>23</v>
      </c>
      <c r="D397" s="13"/>
      <c r="E397" s="32">
        <v>46763</v>
      </c>
      <c r="G397" s="8">
        <v>56635706</v>
      </c>
      <c r="I397" s="8">
        <v>13770332</v>
      </c>
      <c r="K397" s="8">
        <v>981998</v>
      </c>
      <c r="M397" s="8">
        <v>0</v>
      </c>
      <c r="O397" s="8">
        <v>4554433</v>
      </c>
      <c r="Q397" s="8">
        <v>6604827</v>
      </c>
      <c r="S397" s="8">
        <v>396744</v>
      </c>
      <c r="U397" s="8">
        <v>7018217</v>
      </c>
      <c r="W397" s="8">
        <v>0</v>
      </c>
      <c r="Y397" s="8">
        <v>2214112</v>
      </c>
      <c r="AA397" s="8">
        <v>12690178</v>
      </c>
      <c r="AC397" s="8">
        <v>6805361</v>
      </c>
      <c r="AE397" s="8">
        <v>2337809</v>
      </c>
      <c r="AG397" s="8">
        <v>5316186</v>
      </c>
      <c r="AI397" s="8">
        <v>534477</v>
      </c>
      <c r="AJ397" s="13" t="s">
        <v>339</v>
      </c>
      <c r="AK397" s="13"/>
      <c r="AL397" s="13" t="s">
        <v>23</v>
      </c>
      <c r="AN397" s="8">
        <v>3649330</v>
      </c>
      <c r="AP397" s="8">
        <f>29192799+282933</f>
        <v>29475732</v>
      </c>
      <c r="AR397" s="8">
        <v>0</v>
      </c>
      <c r="AT397" s="8">
        <v>6469166</v>
      </c>
      <c r="AV397" s="8">
        <v>15117165</v>
      </c>
      <c r="AX397" s="8">
        <v>0</v>
      </c>
      <c r="AZ397" s="9">
        <f t="shared" si="21"/>
        <v>174571773</v>
      </c>
      <c r="BB397" s="8">
        <v>0</v>
      </c>
      <c r="BH397" s="8">
        <v>9618231</v>
      </c>
      <c r="BJ397" s="9">
        <f t="shared" si="19"/>
        <v>184190004</v>
      </c>
      <c r="BL397" s="9">
        <f>'Gov Fd Rv'!AU397-'Gov Fnd Exp'!BJ397</f>
        <v>12186075</v>
      </c>
      <c r="BN397" s="8">
        <v>93311295</v>
      </c>
      <c r="BP397" s="8">
        <v>0</v>
      </c>
      <c r="BR397" s="8">
        <v>0</v>
      </c>
      <c r="BT397" s="9">
        <f t="shared" si="20"/>
        <v>105497370</v>
      </c>
      <c r="BU397" s="9"/>
      <c r="BV397" s="9">
        <f>BT397-'Gov Fd BS'!AA397</f>
        <v>0</v>
      </c>
    </row>
    <row r="398" spans="1:74">
      <c r="A398" s="13" t="s">
        <v>319</v>
      </c>
      <c r="B398" s="13"/>
      <c r="C398" s="13" t="s">
        <v>20</v>
      </c>
      <c r="D398" s="13"/>
      <c r="E398" s="32">
        <v>46573</v>
      </c>
      <c r="G398" s="8">
        <v>16552841</v>
      </c>
      <c r="I398" s="8">
        <v>4008729</v>
      </c>
      <c r="K398" s="8">
        <v>604542</v>
      </c>
      <c r="M398" s="8">
        <v>42151</v>
      </c>
      <c r="O398" s="8">
        <v>1565089</v>
      </c>
      <c r="Q398" s="8">
        <v>1789135</v>
      </c>
      <c r="S398" s="8">
        <v>214720</v>
      </c>
      <c r="U398" s="8">
        <v>2714315</v>
      </c>
      <c r="W398" s="8">
        <v>852612</v>
      </c>
      <c r="Y398" s="8">
        <v>4462</v>
      </c>
      <c r="AA398" s="8">
        <v>3554890</v>
      </c>
      <c r="AC398" s="8">
        <v>2339005</v>
      </c>
      <c r="AE398" s="8">
        <v>356532</v>
      </c>
      <c r="AG398" s="8">
        <v>1135067</v>
      </c>
      <c r="AI398" s="8">
        <v>205122</v>
      </c>
      <c r="AJ398" s="13" t="s">
        <v>319</v>
      </c>
      <c r="AK398" s="13"/>
      <c r="AL398" s="13" t="s">
        <v>20</v>
      </c>
      <c r="AN398" s="8">
        <v>1685392</v>
      </c>
      <c r="AP398" s="8">
        <v>2437922</v>
      </c>
      <c r="AR398" s="8">
        <v>0</v>
      </c>
      <c r="AT398" s="8">
        <v>464823</v>
      </c>
      <c r="AV398" s="8">
        <f>577865+1310795</f>
        <v>1888660</v>
      </c>
      <c r="AX398" s="8">
        <v>205562</v>
      </c>
      <c r="AZ398" s="9">
        <f t="shared" si="21"/>
        <v>42621571</v>
      </c>
      <c r="BB398" s="8">
        <v>0</v>
      </c>
      <c r="BH398" s="8">
        <v>163249</v>
      </c>
      <c r="BJ398" s="9">
        <f t="shared" si="19"/>
        <v>42784820</v>
      </c>
      <c r="BL398" s="9">
        <f>'Gov Fd Rv'!AU398-'Gov Fnd Exp'!BJ398</f>
        <v>17443028</v>
      </c>
      <c r="BN398" s="8">
        <v>9844975</v>
      </c>
      <c r="BP398" s="8">
        <v>0</v>
      </c>
      <c r="BR398" s="8">
        <v>0</v>
      </c>
      <c r="BT398" s="9">
        <f t="shared" si="20"/>
        <v>27288003</v>
      </c>
      <c r="BU398" s="9"/>
      <c r="BV398" s="9">
        <f>BT398-'Gov Fd BS'!AA398</f>
        <v>0</v>
      </c>
    </row>
    <row r="399" spans="1:74">
      <c r="A399" s="13" t="s">
        <v>618</v>
      </c>
      <c r="B399" s="13"/>
      <c r="C399" s="13" t="s">
        <v>113</v>
      </c>
      <c r="D399" s="13"/>
      <c r="E399" s="32">
        <v>49478</v>
      </c>
      <c r="G399" s="8">
        <v>6406042</v>
      </c>
      <c r="I399" s="8">
        <v>1159320</v>
      </c>
      <c r="K399" s="8">
        <v>301854</v>
      </c>
      <c r="M399" s="8">
        <v>330631</v>
      </c>
      <c r="O399" s="8">
        <v>921646</v>
      </c>
      <c r="Q399" s="8">
        <v>867641</v>
      </c>
      <c r="S399" s="8">
        <v>38541</v>
      </c>
      <c r="U399" s="8">
        <v>1292540</v>
      </c>
      <c r="W399" s="8">
        <v>569764</v>
      </c>
      <c r="Y399" s="8">
        <v>0</v>
      </c>
      <c r="AA399" s="8">
        <v>1942048</v>
      </c>
      <c r="AC399" s="8">
        <v>749274</v>
      </c>
      <c r="AE399" s="8">
        <v>31350</v>
      </c>
      <c r="AG399" s="8">
        <v>626171</v>
      </c>
      <c r="AI399" s="8">
        <v>0</v>
      </c>
      <c r="AJ399" s="13" t="s">
        <v>618</v>
      </c>
      <c r="AK399" s="13"/>
      <c r="AL399" s="13" t="s">
        <v>113</v>
      </c>
      <c r="AN399" s="8">
        <v>680428</v>
      </c>
      <c r="AP399" s="8">
        <v>762912</v>
      </c>
      <c r="AR399" s="8">
        <v>0</v>
      </c>
      <c r="AT399" s="8">
        <v>985000</v>
      </c>
      <c r="AV399" s="8">
        <v>690203</v>
      </c>
      <c r="AX399" s="8">
        <v>0</v>
      </c>
      <c r="AZ399" s="9">
        <f t="shared" si="21"/>
        <v>18355365</v>
      </c>
      <c r="BB399" s="8">
        <v>30636</v>
      </c>
      <c r="BH399" s="8">
        <v>0</v>
      </c>
      <c r="BJ399" s="9">
        <f t="shared" si="19"/>
        <v>18386001</v>
      </c>
      <c r="BL399" s="9">
        <f>'Gov Fd Rv'!AU399-'Gov Fnd Exp'!BJ399</f>
        <v>1053677</v>
      </c>
      <c r="BN399" s="8">
        <v>7229869</v>
      </c>
      <c r="BP399" s="8">
        <v>166982</v>
      </c>
      <c r="BR399" s="8">
        <v>0</v>
      </c>
      <c r="BT399" s="9">
        <f t="shared" si="20"/>
        <v>8450528</v>
      </c>
      <c r="BU399" s="9"/>
      <c r="BV399" s="9">
        <f>BT399-'Gov Fd BS'!AA399</f>
        <v>0</v>
      </c>
    </row>
    <row r="400" spans="1:74">
      <c r="A400" s="13" t="s">
        <v>320</v>
      </c>
      <c r="B400" s="13"/>
      <c r="C400" s="13" t="s">
        <v>20</v>
      </c>
      <c r="D400" s="13"/>
      <c r="E400" s="32">
        <v>46581</v>
      </c>
      <c r="G400" s="8">
        <v>17385174</v>
      </c>
      <c r="I400" s="8">
        <v>5725646</v>
      </c>
      <c r="K400" s="8">
        <v>272615</v>
      </c>
      <c r="M400" s="8">
        <v>0</v>
      </c>
      <c r="O400" s="8">
        <v>3471402</v>
      </c>
      <c r="Q400" s="8">
        <v>3649596</v>
      </c>
      <c r="S400" s="8">
        <v>110200</v>
      </c>
      <c r="U400" s="8">
        <v>2872172</v>
      </c>
      <c r="W400" s="8">
        <v>1171481</v>
      </c>
      <c r="Y400" s="8">
        <v>537479</v>
      </c>
      <c r="AA400" s="8">
        <v>4608092</v>
      </c>
      <c r="AC400" s="8">
        <v>3424859</v>
      </c>
      <c r="AE400" s="8">
        <v>1200502</v>
      </c>
      <c r="AG400" s="8">
        <v>585191</v>
      </c>
      <c r="AI400" s="8">
        <v>17458</v>
      </c>
      <c r="AJ400" s="13" t="s">
        <v>320</v>
      </c>
      <c r="AK400" s="13"/>
      <c r="AL400" s="13" t="s">
        <v>20</v>
      </c>
      <c r="AN400" s="8">
        <v>1500950</v>
      </c>
      <c r="AP400" s="8">
        <f>294690+1003471</f>
        <v>1298161</v>
      </c>
      <c r="AR400" s="8">
        <v>561489</v>
      </c>
      <c r="AT400" s="8">
        <v>1247432</v>
      </c>
      <c r="AV400" s="8">
        <v>1024672</v>
      </c>
      <c r="AX400" s="8">
        <v>0</v>
      </c>
      <c r="AZ400" s="9">
        <f t="shared" si="21"/>
        <v>50664571</v>
      </c>
      <c r="BB400" s="8">
        <v>260319</v>
      </c>
      <c r="BH400" s="8">
        <v>0</v>
      </c>
      <c r="BJ400" s="9">
        <f t="shared" si="19"/>
        <v>50924890</v>
      </c>
      <c r="BL400" s="9">
        <f>'Gov Fd Rv'!AU400-'Gov Fnd Exp'!BJ400</f>
        <v>4541807</v>
      </c>
      <c r="BN400" s="8">
        <v>33203767</v>
      </c>
      <c r="BP400" s="8">
        <v>0</v>
      </c>
      <c r="BR400" s="8">
        <v>0</v>
      </c>
      <c r="BT400" s="9">
        <f t="shared" si="20"/>
        <v>37745574</v>
      </c>
      <c r="BU400" s="9"/>
      <c r="BV400" s="9">
        <f>BT400-'Gov Fd BS'!AA400</f>
        <v>0</v>
      </c>
    </row>
    <row r="401" spans="1:74">
      <c r="A401" s="13" t="s">
        <v>504</v>
      </c>
      <c r="B401" s="13"/>
      <c r="C401" s="13" t="s">
        <v>118</v>
      </c>
      <c r="D401" s="13"/>
      <c r="E401" s="32">
        <v>44602</v>
      </c>
      <c r="G401" s="8">
        <v>17569980</v>
      </c>
      <c r="I401" s="8">
        <v>3767817</v>
      </c>
      <c r="K401" s="8">
        <v>3536456</v>
      </c>
      <c r="M401" s="8">
        <f>917234+211798</f>
        <v>1129032</v>
      </c>
      <c r="O401" s="8">
        <v>2831291</v>
      </c>
      <c r="Q401" s="8">
        <v>2887095</v>
      </c>
      <c r="S401" s="8">
        <v>48546</v>
      </c>
      <c r="U401" s="8">
        <v>2731130</v>
      </c>
      <c r="W401" s="8">
        <v>933465</v>
      </c>
      <c r="Y401" s="8">
        <v>285288</v>
      </c>
      <c r="AA401" s="8">
        <v>4665662</v>
      </c>
      <c r="AC401" s="8">
        <v>2363765</v>
      </c>
      <c r="AE401" s="8">
        <v>9219</v>
      </c>
      <c r="AG401" s="8">
        <v>1616502</v>
      </c>
      <c r="AI401" s="8">
        <v>180740</v>
      </c>
      <c r="AJ401" s="13" t="s">
        <v>504</v>
      </c>
      <c r="AK401" s="13"/>
      <c r="AL401" s="13" t="s">
        <v>118</v>
      </c>
      <c r="AN401" s="8">
        <v>972367</v>
      </c>
      <c r="AP401" s="8">
        <f>8923424</f>
        <v>8923424</v>
      </c>
      <c r="AR401" s="8">
        <v>0</v>
      </c>
      <c r="AT401" s="8">
        <v>1314040</v>
      </c>
      <c r="AV401" s="8">
        <v>1989719</v>
      </c>
      <c r="AX401" s="8">
        <v>0</v>
      </c>
      <c r="AZ401" s="9">
        <f t="shared" si="21"/>
        <v>57755538</v>
      </c>
      <c r="BB401" s="8">
        <v>2360</v>
      </c>
      <c r="BH401" s="8">
        <v>0</v>
      </c>
      <c r="BJ401" s="9">
        <f t="shared" si="19"/>
        <v>57757898</v>
      </c>
      <c r="BL401" s="9">
        <f>'Gov Fd Rv'!AU401-'Gov Fnd Exp'!BJ401</f>
        <v>-9090063</v>
      </c>
      <c r="BN401" s="8">
        <v>16431402</v>
      </c>
      <c r="BP401" s="8">
        <v>-5479</v>
      </c>
      <c r="BR401" s="8">
        <v>0</v>
      </c>
      <c r="BT401" s="9">
        <f t="shared" si="20"/>
        <v>7335860</v>
      </c>
      <c r="BU401" s="9"/>
      <c r="BV401" s="9">
        <f>BT401-'Gov Fd BS'!AA401</f>
        <v>0</v>
      </c>
    </row>
    <row r="402" spans="1:74">
      <c r="A402" s="13" t="s">
        <v>729</v>
      </c>
      <c r="B402" s="13"/>
      <c r="C402" s="13" t="s">
        <v>71</v>
      </c>
      <c r="D402" s="13"/>
      <c r="E402" s="32">
        <v>44610</v>
      </c>
      <c r="G402" s="8">
        <v>7205213</v>
      </c>
      <c r="I402" s="8">
        <v>1098347</v>
      </c>
      <c r="K402" s="8">
        <v>308741</v>
      </c>
      <c r="M402" s="8">
        <v>745639</v>
      </c>
      <c r="O402" s="8">
        <v>893743</v>
      </c>
      <c r="Q402" s="8">
        <v>776382</v>
      </c>
      <c r="S402" s="8">
        <v>213566</v>
      </c>
      <c r="U402" s="8">
        <v>1482790</v>
      </c>
      <c r="W402" s="8">
        <v>478835</v>
      </c>
      <c r="Y402" s="8">
        <v>53212</v>
      </c>
      <c r="AA402" s="8">
        <v>1422023</v>
      </c>
      <c r="AC402" s="8">
        <v>457041</v>
      </c>
      <c r="AE402" s="8">
        <v>59421</v>
      </c>
      <c r="AG402" s="8">
        <v>647530</v>
      </c>
      <c r="AI402" s="8">
        <v>0</v>
      </c>
      <c r="AJ402" s="13" t="s">
        <v>729</v>
      </c>
      <c r="AK402" s="13"/>
      <c r="AL402" s="13" t="s">
        <v>71</v>
      </c>
      <c r="AN402" s="8">
        <v>454766</v>
      </c>
      <c r="AP402" s="8">
        <v>7772075</v>
      </c>
      <c r="AR402" s="8">
        <v>0</v>
      </c>
      <c r="AT402" s="8">
        <v>17887123</v>
      </c>
      <c r="AV402" s="8">
        <v>1782248</v>
      </c>
      <c r="AX402" s="8">
        <v>246774</v>
      </c>
      <c r="AZ402" s="9">
        <f t="shared" si="21"/>
        <v>43985469</v>
      </c>
      <c r="BB402" s="8">
        <v>0</v>
      </c>
      <c r="BH402" s="8">
        <v>0</v>
      </c>
      <c r="BJ402" s="9">
        <f t="shared" si="19"/>
        <v>43985469</v>
      </c>
      <c r="BL402" s="9">
        <f>'Gov Fd Rv'!AU402-'Gov Fnd Exp'!BJ402</f>
        <v>-5379657</v>
      </c>
      <c r="BN402" s="8">
        <v>23760798</v>
      </c>
      <c r="BP402" s="8">
        <v>0</v>
      </c>
      <c r="BR402" s="8">
        <v>0</v>
      </c>
      <c r="BT402" s="9">
        <f t="shared" si="20"/>
        <v>18381141</v>
      </c>
      <c r="BU402" s="9"/>
      <c r="BV402" s="9">
        <f>BT402-'Gov Fd BS'!AA402</f>
        <v>0</v>
      </c>
    </row>
    <row r="403" spans="1:74">
      <c r="A403" s="13" t="s">
        <v>664</v>
      </c>
      <c r="B403" s="13"/>
      <c r="C403" s="13" t="s">
        <v>62</v>
      </c>
      <c r="D403" s="13"/>
      <c r="E403" s="32">
        <v>49916</v>
      </c>
      <c r="G403" s="8">
        <v>3482552</v>
      </c>
      <c r="I403" s="8">
        <v>649116</v>
      </c>
      <c r="K403" s="8">
        <v>230285</v>
      </c>
      <c r="M403" s="8">
        <v>723241</v>
      </c>
      <c r="O403" s="8">
        <v>446382</v>
      </c>
      <c r="Q403" s="8">
        <v>168742</v>
      </c>
      <c r="S403" s="8">
        <v>24066</v>
      </c>
      <c r="U403" s="8">
        <v>659663</v>
      </c>
      <c r="W403" s="8">
        <v>240280</v>
      </c>
      <c r="Y403" s="8">
        <v>10437</v>
      </c>
      <c r="AA403" s="8">
        <v>646387</v>
      </c>
      <c r="AC403" s="8">
        <v>526066</v>
      </c>
      <c r="AE403" s="8">
        <v>25915</v>
      </c>
      <c r="AG403" s="8">
        <v>367732</v>
      </c>
      <c r="AI403" s="8">
        <v>21939</v>
      </c>
      <c r="AJ403" s="13" t="s">
        <v>664</v>
      </c>
      <c r="AK403" s="13"/>
      <c r="AL403" s="13" t="s">
        <v>62</v>
      </c>
      <c r="AN403" s="8">
        <v>413879</v>
      </c>
      <c r="AP403" s="8">
        <v>962710</v>
      </c>
      <c r="AR403" s="8">
        <v>0</v>
      </c>
      <c r="AT403" s="8">
        <v>0</v>
      </c>
      <c r="AV403" s="8">
        <v>398376</v>
      </c>
      <c r="AX403" s="8">
        <v>0</v>
      </c>
      <c r="AZ403" s="9">
        <f t="shared" si="21"/>
        <v>9997768</v>
      </c>
      <c r="BB403" s="8">
        <v>0</v>
      </c>
      <c r="BH403" s="8">
        <v>0</v>
      </c>
      <c r="BJ403" s="9">
        <f t="shared" ref="BJ403:BJ455" si="22">AZ403+BB403+BH403</f>
        <v>9997768</v>
      </c>
      <c r="BL403" s="9">
        <f>'Gov Fd Rv'!AU403-'Gov Fnd Exp'!BJ403</f>
        <v>4625089</v>
      </c>
      <c r="BN403" s="8">
        <v>13494226</v>
      </c>
      <c r="BP403" s="8">
        <v>0</v>
      </c>
      <c r="BR403" s="8">
        <v>0</v>
      </c>
      <c r="BT403" s="9">
        <f t="shared" si="20"/>
        <v>18119315</v>
      </c>
      <c r="BU403" s="9"/>
      <c r="BV403" s="9">
        <f>BT403-'Gov Fd BS'!AA403</f>
        <v>0</v>
      </c>
    </row>
    <row r="404" spans="1:74">
      <c r="A404" s="13" t="s">
        <v>743</v>
      </c>
      <c r="B404" s="13"/>
      <c r="C404" s="13" t="s">
        <v>72</v>
      </c>
      <c r="D404" s="13"/>
      <c r="E404" s="32">
        <v>50724</v>
      </c>
      <c r="G404" s="8">
        <v>7432177</v>
      </c>
      <c r="I404" s="8">
        <v>2255934</v>
      </c>
      <c r="K404" s="8">
        <v>362956</v>
      </c>
      <c r="M404" s="8">
        <v>0</v>
      </c>
      <c r="O404" s="8">
        <v>566473</v>
      </c>
      <c r="Q404" s="8">
        <v>632299</v>
      </c>
      <c r="S404" s="8">
        <v>45176</v>
      </c>
      <c r="U404" s="8">
        <v>1307765</v>
      </c>
      <c r="W404" s="8">
        <v>405604</v>
      </c>
      <c r="Y404" s="8">
        <v>7183</v>
      </c>
      <c r="AA404" s="8">
        <v>1024369</v>
      </c>
      <c r="AC404" s="8">
        <v>892072</v>
      </c>
      <c r="AE404" s="8">
        <v>0</v>
      </c>
      <c r="AG404" s="8">
        <v>0</v>
      </c>
      <c r="AI404" s="8">
        <v>644945</v>
      </c>
      <c r="AJ404" s="13" t="s">
        <v>743</v>
      </c>
      <c r="AK404" s="13"/>
      <c r="AL404" s="13" t="s">
        <v>72</v>
      </c>
      <c r="AN404" s="8">
        <v>410876</v>
      </c>
      <c r="AP404" s="8">
        <v>215553</v>
      </c>
      <c r="AR404" s="8">
        <v>0</v>
      </c>
      <c r="AT404" s="8">
        <v>530000</v>
      </c>
      <c r="AV404" s="8">
        <v>700004</v>
      </c>
      <c r="AX404" s="8">
        <v>0</v>
      </c>
      <c r="AZ404" s="9">
        <f t="shared" si="21"/>
        <v>17433386</v>
      </c>
      <c r="BB404" s="8">
        <v>60000</v>
      </c>
      <c r="BH404" s="8">
        <v>0</v>
      </c>
      <c r="BJ404" s="9">
        <f t="shared" si="22"/>
        <v>17493386</v>
      </c>
      <c r="BL404" s="9">
        <f>'Gov Fd Rv'!AU404-'Gov Fnd Exp'!BJ404</f>
        <v>-896285</v>
      </c>
      <c r="BN404" s="8">
        <v>3244502</v>
      </c>
      <c r="BP404" s="8">
        <v>0</v>
      </c>
      <c r="BR404" s="8">
        <v>0</v>
      </c>
      <c r="BT404" s="9">
        <f t="shared" si="20"/>
        <v>2348217</v>
      </c>
      <c r="BU404" s="9"/>
      <c r="BV404" s="9">
        <f>BT404-'Gov Fd BS'!AA404</f>
        <v>0</v>
      </c>
    </row>
    <row r="405" spans="1:74">
      <c r="A405" s="13" t="s">
        <v>505</v>
      </c>
      <c r="B405" s="13"/>
      <c r="C405" s="13" t="s">
        <v>118</v>
      </c>
      <c r="D405" s="13"/>
      <c r="E405" s="32">
        <v>48215</v>
      </c>
      <c r="G405" s="8">
        <v>8493573</v>
      </c>
      <c r="I405" s="8">
        <v>0</v>
      </c>
      <c r="K405" s="8">
        <v>0</v>
      </c>
      <c r="M405" s="8">
        <v>0</v>
      </c>
      <c r="O405" s="8">
        <v>591133</v>
      </c>
      <c r="Q405" s="8">
        <v>526655</v>
      </c>
      <c r="S405" s="8">
        <v>20664</v>
      </c>
      <c r="U405" s="8">
        <v>928635</v>
      </c>
      <c r="W405" s="8">
        <v>459493</v>
      </c>
      <c r="Y405" s="8">
        <v>0</v>
      </c>
      <c r="AA405" s="8">
        <v>1597472</v>
      </c>
      <c r="AC405" s="8">
        <v>33071</v>
      </c>
      <c r="AE405" s="8">
        <v>48757</v>
      </c>
      <c r="AG405" s="8">
        <v>0</v>
      </c>
      <c r="AI405" s="8">
        <v>403329</v>
      </c>
      <c r="AJ405" s="13" t="s">
        <v>505</v>
      </c>
      <c r="AK405" s="13"/>
      <c r="AL405" s="13" t="s">
        <v>118</v>
      </c>
      <c r="AN405" s="8">
        <v>616431</v>
      </c>
      <c r="AP405" s="8">
        <v>5613</v>
      </c>
      <c r="AR405" s="8">
        <v>0</v>
      </c>
      <c r="AT405" s="8">
        <v>280000</v>
      </c>
      <c r="AV405" s="8">
        <v>194038</v>
      </c>
      <c r="AX405" s="8">
        <v>0</v>
      </c>
      <c r="AZ405" s="9">
        <f t="shared" si="21"/>
        <v>14198864</v>
      </c>
      <c r="BB405" s="8">
        <v>120905</v>
      </c>
      <c r="BH405" s="8">
        <v>0</v>
      </c>
      <c r="BJ405" s="9">
        <f t="shared" si="22"/>
        <v>14319769</v>
      </c>
      <c r="BL405" s="9">
        <f>'Gov Fd Rv'!AU405-'Gov Fnd Exp'!BJ405</f>
        <v>79904</v>
      </c>
      <c r="BN405" s="8">
        <v>6657059</v>
      </c>
      <c r="BP405" s="8">
        <v>0</v>
      </c>
      <c r="BR405" s="8">
        <v>0</v>
      </c>
      <c r="BT405" s="9">
        <f t="shared" ref="BT405:BT455" si="23">BL405+BN405+BP405+BR405</f>
        <v>6736963</v>
      </c>
      <c r="BU405" s="9"/>
      <c r="BV405" s="9">
        <f>BT405-'Gov Fd BS'!AA405</f>
        <v>0</v>
      </c>
    </row>
    <row r="406" spans="1:74" hidden="1">
      <c r="A406" s="13" t="s">
        <v>611</v>
      </c>
      <c r="B406" s="13"/>
      <c r="C406" s="13" t="s">
        <v>608</v>
      </c>
      <c r="D406" s="13"/>
      <c r="E406" s="32">
        <v>49379</v>
      </c>
      <c r="G406" s="8">
        <v>0</v>
      </c>
      <c r="I406" s="8">
        <v>0</v>
      </c>
      <c r="K406" s="8">
        <v>0</v>
      </c>
      <c r="M406" s="8">
        <v>0</v>
      </c>
      <c r="O406" s="8">
        <v>0</v>
      </c>
      <c r="Q406" s="8">
        <v>0</v>
      </c>
      <c r="S406" s="8">
        <v>0</v>
      </c>
      <c r="U406" s="8">
        <v>0</v>
      </c>
      <c r="W406" s="8">
        <v>0</v>
      </c>
      <c r="Y406" s="8">
        <v>0</v>
      </c>
      <c r="AA406" s="8">
        <v>0</v>
      </c>
      <c r="AC406" s="8">
        <v>0</v>
      </c>
      <c r="AE406" s="8">
        <v>0</v>
      </c>
      <c r="AG406" s="8">
        <v>0</v>
      </c>
      <c r="AI406" s="8">
        <v>0</v>
      </c>
      <c r="AJ406" s="13" t="s">
        <v>611</v>
      </c>
      <c r="AK406" s="13"/>
      <c r="AL406" s="13" t="s">
        <v>608</v>
      </c>
      <c r="AN406" s="8">
        <v>0</v>
      </c>
      <c r="AP406" s="8">
        <v>0</v>
      </c>
      <c r="AR406" s="8">
        <v>0</v>
      </c>
      <c r="AT406" s="8">
        <v>0</v>
      </c>
      <c r="AV406" s="8">
        <v>0</v>
      </c>
      <c r="AX406" s="8">
        <v>0</v>
      </c>
      <c r="AZ406" s="9">
        <f t="shared" ref="AZ406:AZ455" si="24">SUM(G406:AX406)</f>
        <v>0</v>
      </c>
      <c r="BB406" s="8">
        <v>0</v>
      </c>
      <c r="BH406" s="8">
        <v>0</v>
      </c>
      <c r="BJ406" s="9">
        <f t="shared" si="22"/>
        <v>0</v>
      </c>
      <c r="BL406" s="9">
        <f>'Gov Fd Rv'!AU406-'Gov Fnd Exp'!BJ406</f>
        <v>0</v>
      </c>
      <c r="BN406" s="8">
        <v>0</v>
      </c>
      <c r="BP406" s="8">
        <v>0</v>
      </c>
      <c r="BR406" s="8">
        <v>0</v>
      </c>
      <c r="BT406" s="9">
        <f t="shared" si="23"/>
        <v>0</v>
      </c>
      <c r="BU406" s="9"/>
      <c r="BV406" s="9">
        <f>BT406-'Gov Fd BS'!AA406</f>
        <v>0</v>
      </c>
    </row>
    <row r="407" spans="1:74" hidden="1">
      <c r="A407" s="13" t="s">
        <v>612</v>
      </c>
      <c r="B407" s="13"/>
      <c r="C407" s="13" t="s">
        <v>608</v>
      </c>
      <c r="D407" s="13"/>
      <c r="E407" s="32">
        <v>49387</v>
      </c>
      <c r="G407" s="8">
        <v>0</v>
      </c>
      <c r="I407" s="8">
        <v>0</v>
      </c>
      <c r="K407" s="8">
        <v>0</v>
      </c>
      <c r="M407" s="8">
        <v>0</v>
      </c>
      <c r="O407" s="8">
        <v>0</v>
      </c>
      <c r="Q407" s="8">
        <v>0</v>
      </c>
      <c r="S407" s="8">
        <v>0</v>
      </c>
      <c r="U407" s="8">
        <v>0</v>
      </c>
      <c r="W407" s="8">
        <v>0</v>
      </c>
      <c r="Y407" s="8">
        <v>0</v>
      </c>
      <c r="AA407" s="8">
        <v>0</v>
      </c>
      <c r="AC407" s="8">
        <v>0</v>
      </c>
      <c r="AE407" s="8">
        <v>0</v>
      </c>
      <c r="AG407" s="8">
        <v>0</v>
      </c>
      <c r="AI407" s="8">
        <v>0</v>
      </c>
      <c r="AJ407" s="13" t="s">
        <v>612</v>
      </c>
      <c r="AK407" s="13"/>
      <c r="AL407" s="13" t="s">
        <v>608</v>
      </c>
      <c r="AN407" s="8">
        <v>0</v>
      </c>
      <c r="AP407" s="8">
        <v>0</v>
      </c>
      <c r="AR407" s="8">
        <v>0</v>
      </c>
      <c r="AT407" s="8">
        <v>0</v>
      </c>
      <c r="AV407" s="8">
        <v>0</v>
      </c>
      <c r="AX407" s="8">
        <v>0</v>
      </c>
      <c r="AZ407" s="9">
        <f t="shared" si="24"/>
        <v>0</v>
      </c>
      <c r="BB407" s="8">
        <v>0</v>
      </c>
      <c r="BH407" s="8">
        <v>0</v>
      </c>
      <c r="BJ407" s="9">
        <f t="shared" si="22"/>
        <v>0</v>
      </c>
      <c r="BL407" s="9">
        <f>'Gov Fd Rv'!AU407-'Gov Fnd Exp'!BJ407</f>
        <v>0</v>
      </c>
      <c r="BN407" s="8">
        <v>0</v>
      </c>
      <c r="BP407" s="8">
        <v>0</v>
      </c>
      <c r="BR407" s="8">
        <v>0</v>
      </c>
      <c r="BT407" s="9">
        <f t="shared" si="23"/>
        <v>0</v>
      </c>
      <c r="BU407" s="9"/>
      <c r="BV407" s="9">
        <f>BT407-'Gov Fd BS'!AA407</f>
        <v>0</v>
      </c>
    </row>
    <row r="408" spans="1:74">
      <c r="A408" s="13" t="s">
        <v>466</v>
      </c>
      <c r="B408" s="13"/>
      <c r="C408" s="13" t="s">
        <v>41</v>
      </c>
      <c r="D408" s="13"/>
      <c r="E408" s="32">
        <v>44628</v>
      </c>
      <c r="G408" s="8">
        <v>13228377</v>
      </c>
      <c r="I408" s="8">
        <v>4762157</v>
      </c>
      <c r="K408" s="8">
        <v>572635</v>
      </c>
      <c r="M408" s="8">
        <v>2529387</v>
      </c>
      <c r="O408" s="8">
        <v>2417932</v>
      </c>
      <c r="Q408" s="8">
        <v>2148373</v>
      </c>
      <c r="S408" s="8">
        <v>0</v>
      </c>
      <c r="U408" s="8">
        <v>4106903</v>
      </c>
      <c r="W408" s="8">
        <v>624202</v>
      </c>
      <c r="Y408" s="8">
        <v>84624</v>
      </c>
      <c r="AA408" s="8">
        <v>2765168</v>
      </c>
      <c r="AC408" s="8">
        <v>1640663</v>
      </c>
      <c r="AE408" s="8">
        <v>293153</v>
      </c>
      <c r="AG408" s="8">
        <v>0</v>
      </c>
      <c r="AI408" s="8">
        <v>2012029</v>
      </c>
      <c r="AJ408" s="13" t="s">
        <v>466</v>
      </c>
      <c r="AK408" s="13"/>
      <c r="AL408" s="13" t="s">
        <v>41</v>
      </c>
      <c r="AN408" s="8">
        <v>586487</v>
      </c>
      <c r="AP408" s="8">
        <v>35948376</v>
      </c>
      <c r="AR408" s="8">
        <v>0</v>
      </c>
      <c r="AT408" s="8">
        <v>672424</v>
      </c>
      <c r="AV408" s="8">
        <v>1399229</v>
      </c>
      <c r="AX408" s="8">
        <v>0</v>
      </c>
      <c r="AZ408" s="9">
        <f t="shared" si="24"/>
        <v>75792119</v>
      </c>
      <c r="BB408" s="8">
        <v>208576</v>
      </c>
      <c r="BH408" s="8">
        <v>0</v>
      </c>
      <c r="BJ408" s="9">
        <f t="shared" si="22"/>
        <v>76000695</v>
      </c>
      <c r="BL408" s="9">
        <f>'Gov Fd Rv'!AU408-'Gov Fnd Exp'!BJ408</f>
        <v>-5551451</v>
      </c>
      <c r="BN408" s="8">
        <v>30455745</v>
      </c>
      <c r="BP408" s="8">
        <v>0</v>
      </c>
      <c r="BR408" s="8">
        <v>0</v>
      </c>
      <c r="BT408" s="9">
        <f t="shared" si="23"/>
        <v>24904294</v>
      </c>
      <c r="BU408" s="9"/>
      <c r="BV408" s="9">
        <f>BT408-'Gov Fd BS'!AA408</f>
        <v>0</v>
      </c>
    </row>
    <row r="409" spans="1:74" hidden="1">
      <c r="A409" s="13" t="s">
        <v>467</v>
      </c>
      <c r="B409" s="13"/>
      <c r="C409" s="13" t="s">
        <v>41</v>
      </c>
      <c r="D409" s="13"/>
      <c r="E409" s="32">
        <v>47894</v>
      </c>
      <c r="G409" s="8">
        <v>0</v>
      </c>
      <c r="I409" s="8">
        <v>0</v>
      </c>
      <c r="K409" s="8">
        <v>0</v>
      </c>
      <c r="M409" s="8">
        <v>0</v>
      </c>
      <c r="O409" s="8">
        <v>0</v>
      </c>
      <c r="Q409" s="8">
        <v>0</v>
      </c>
      <c r="S409" s="8">
        <v>0</v>
      </c>
      <c r="U409" s="8">
        <v>0</v>
      </c>
      <c r="W409" s="8">
        <v>0</v>
      </c>
      <c r="Y409" s="8">
        <v>0</v>
      </c>
      <c r="AA409" s="8">
        <v>0</v>
      </c>
      <c r="AC409" s="8">
        <v>0</v>
      </c>
      <c r="AE409" s="8">
        <v>0</v>
      </c>
      <c r="AG409" s="8">
        <v>0</v>
      </c>
      <c r="AI409" s="8">
        <v>0</v>
      </c>
      <c r="AJ409" s="13" t="s">
        <v>467</v>
      </c>
      <c r="AK409" s="13"/>
      <c r="AL409" s="13" t="s">
        <v>41</v>
      </c>
      <c r="AN409" s="8">
        <v>0</v>
      </c>
      <c r="AP409" s="8">
        <v>0</v>
      </c>
      <c r="AR409" s="8">
        <v>0</v>
      </c>
      <c r="AT409" s="8">
        <v>0</v>
      </c>
      <c r="AV409" s="8">
        <v>0</v>
      </c>
      <c r="AX409" s="8">
        <v>0</v>
      </c>
      <c r="AZ409" s="9">
        <f t="shared" si="24"/>
        <v>0</v>
      </c>
      <c r="BB409" s="8">
        <v>0</v>
      </c>
      <c r="BH409" s="8">
        <v>0</v>
      </c>
      <c r="BJ409" s="9">
        <f t="shared" si="22"/>
        <v>0</v>
      </c>
      <c r="BL409" s="9">
        <f>'Gov Fd Rv'!AU409-'Gov Fnd Exp'!BJ409</f>
        <v>0</v>
      </c>
      <c r="BN409" s="8">
        <v>0</v>
      </c>
      <c r="BP409" s="8">
        <v>0</v>
      </c>
      <c r="BR409" s="8">
        <v>0</v>
      </c>
      <c r="BT409" s="9">
        <f t="shared" si="23"/>
        <v>0</v>
      </c>
      <c r="BU409" s="9"/>
      <c r="BV409" s="9">
        <f>BT409-'Gov Fd BS'!AA409</f>
        <v>0</v>
      </c>
    </row>
    <row r="410" spans="1:74">
      <c r="A410" s="13" t="s">
        <v>624</v>
      </c>
      <c r="B410" s="13"/>
      <c r="C410" s="13" t="s">
        <v>58</v>
      </c>
      <c r="D410" s="13"/>
      <c r="E410" s="32">
        <v>49510</v>
      </c>
      <c r="G410" s="8">
        <v>4805513</v>
      </c>
      <c r="I410" s="8">
        <v>1441174</v>
      </c>
      <c r="K410" s="8">
        <v>3830</v>
      </c>
      <c r="M410" s="8">
        <v>600283</v>
      </c>
      <c r="O410" s="8">
        <v>310377</v>
      </c>
      <c r="Q410" s="8">
        <v>203129</v>
      </c>
      <c r="S410" s="8">
        <v>149524</v>
      </c>
      <c r="U410" s="8">
        <v>660925</v>
      </c>
      <c r="W410" s="8">
        <v>260069</v>
      </c>
      <c r="Y410" s="8">
        <v>0</v>
      </c>
      <c r="AA410" s="8">
        <v>960681</v>
      </c>
      <c r="AC410" s="8">
        <v>613594</v>
      </c>
      <c r="AE410" s="8">
        <v>0</v>
      </c>
      <c r="AG410" s="8">
        <v>0</v>
      </c>
      <c r="AI410" s="8">
        <v>305330</v>
      </c>
      <c r="AJ410" s="13" t="s">
        <v>624</v>
      </c>
      <c r="AK410" s="13"/>
      <c r="AL410" s="13" t="s">
        <v>58</v>
      </c>
      <c r="AN410" s="8">
        <v>280589</v>
      </c>
      <c r="AP410" s="8">
        <v>97825</v>
      </c>
      <c r="AR410" s="8">
        <v>0</v>
      </c>
      <c r="AT410" s="8">
        <v>99148</v>
      </c>
      <c r="AV410" s="8">
        <v>85845</v>
      </c>
      <c r="AX410" s="8">
        <v>0</v>
      </c>
      <c r="AZ410" s="9">
        <f t="shared" si="24"/>
        <v>10877836</v>
      </c>
      <c r="BB410" s="8">
        <v>36563</v>
      </c>
      <c r="BH410" s="8">
        <v>0</v>
      </c>
      <c r="BJ410" s="9">
        <f t="shared" si="22"/>
        <v>10914399</v>
      </c>
      <c r="BL410" s="9">
        <f>'Gov Fd Rv'!AU410-'Gov Fnd Exp'!BJ410</f>
        <v>139697</v>
      </c>
      <c r="BN410" s="8">
        <v>2328305</v>
      </c>
      <c r="BP410" s="8">
        <v>0</v>
      </c>
      <c r="BR410" s="8">
        <v>0</v>
      </c>
      <c r="BT410" s="9">
        <f t="shared" si="23"/>
        <v>2468002</v>
      </c>
      <c r="BU410" s="9"/>
      <c r="BV410" s="9">
        <f>BT410-'Gov Fd BS'!AA410</f>
        <v>0</v>
      </c>
    </row>
    <row r="411" spans="1:74" hidden="1">
      <c r="A411" s="13" t="s">
        <v>613</v>
      </c>
      <c r="B411" s="13"/>
      <c r="C411" s="13" t="s">
        <v>608</v>
      </c>
      <c r="D411" s="13"/>
      <c r="E411" s="32">
        <v>49395</v>
      </c>
      <c r="G411" s="8">
        <v>0</v>
      </c>
      <c r="I411" s="8">
        <v>0</v>
      </c>
      <c r="K411" s="8">
        <v>0</v>
      </c>
      <c r="M411" s="8">
        <v>0</v>
      </c>
      <c r="O411" s="8">
        <v>0</v>
      </c>
      <c r="Q411" s="8">
        <v>0</v>
      </c>
      <c r="S411" s="8">
        <v>0</v>
      </c>
      <c r="U411" s="8">
        <v>0</v>
      </c>
      <c r="W411" s="8">
        <v>0</v>
      </c>
      <c r="Y411" s="8">
        <v>0</v>
      </c>
      <c r="AA411" s="8">
        <v>0</v>
      </c>
      <c r="AC411" s="8">
        <v>0</v>
      </c>
      <c r="AE411" s="8">
        <v>0</v>
      </c>
      <c r="AG411" s="8">
        <v>0</v>
      </c>
      <c r="AI411" s="8">
        <v>0</v>
      </c>
      <c r="AJ411" s="13" t="s">
        <v>613</v>
      </c>
      <c r="AK411" s="13"/>
      <c r="AL411" s="13" t="s">
        <v>608</v>
      </c>
      <c r="AN411" s="8">
        <v>0</v>
      </c>
      <c r="AP411" s="8">
        <v>0</v>
      </c>
      <c r="AR411" s="8">
        <v>0</v>
      </c>
      <c r="AT411" s="8">
        <v>0</v>
      </c>
      <c r="AV411" s="8">
        <v>0</v>
      </c>
      <c r="AX411" s="8">
        <v>0</v>
      </c>
      <c r="AZ411" s="9">
        <f t="shared" si="24"/>
        <v>0</v>
      </c>
      <c r="BB411" s="8">
        <v>0</v>
      </c>
      <c r="BH411" s="8">
        <v>0</v>
      </c>
      <c r="BJ411" s="9">
        <f t="shared" si="22"/>
        <v>0</v>
      </c>
      <c r="BL411" s="9">
        <f>'Gov Fd Rv'!AU411-'Gov Fnd Exp'!BJ411</f>
        <v>0</v>
      </c>
      <c r="BN411" s="8">
        <v>0</v>
      </c>
      <c r="BP411" s="8">
        <v>0</v>
      </c>
      <c r="BR411" s="8">
        <v>0</v>
      </c>
      <c r="BT411" s="9">
        <f t="shared" si="23"/>
        <v>0</v>
      </c>
      <c r="BU411" s="9"/>
      <c r="BV411" s="9">
        <f>BT411-'Gov Fd BS'!AA411</f>
        <v>0</v>
      </c>
    </row>
    <row r="412" spans="1:74" hidden="1">
      <c r="A412" s="13" t="s">
        <v>541</v>
      </c>
      <c r="B412" s="13"/>
      <c r="C412" s="13" t="s">
        <v>540</v>
      </c>
      <c r="D412" s="13"/>
      <c r="E412" s="32">
        <v>48579</v>
      </c>
      <c r="G412" s="8">
        <v>0</v>
      </c>
      <c r="I412" s="8">
        <v>0</v>
      </c>
      <c r="K412" s="8">
        <v>0</v>
      </c>
      <c r="M412" s="8">
        <v>0</v>
      </c>
      <c r="O412" s="8">
        <v>0</v>
      </c>
      <c r="Q412" s="8">
        <v>0</v>
      </c>
      <c r="S412" s="8">
        <v>0</v>
      </c>
      <c r="U412" s="8">
        <v>0</v>
      </c>
      <c r="W412" s="8">
        <v>0</v>
      </c>
      <c r="Y412" s="8">
        <v>0</v>
      </c>
      <c r="AA412" s="8">
        <v>0</v>
      </c>
      <c r="AC412" s="8">
        <v>0</v>
      </c>
      <c r="AE412" s="8">
        <v>0</v>
      </c>
      <c r="AG412" s="8">
        <v>0</v>
      </c>
      <c r="AI412" s="8">
        <v>0</v>
      </c>
      <c r="AJ412" s="13" t="s">
        <v>541</v>
      </c>
      <c r="AK412" s="13"/>
      <c r="AL412" s="13" t="s">
        <v>540</v>
      </c>
      <c r="AN412" s="8">
        <v>0</v>
      </c>
      <c r="AP412" s="8">
        <v>0</v>
      </c>
      <c r="AR412" s="8">
        <v>0</v>
      </c>
      <c r="AT412" s="8">
        <v>0</v>
      </c>
      <c r="AV412" s="8">
        <v>0</v>
      </c>
      <c r="AX412" s="8">
        <v>0</v>
      </c>
      <c r="AZ412" s="9">
        <f t="shared" si="24"/>
        <v>0</v>
      </c>
      <c r="BB412" s="8">
        <v>0</v>
      </c>
      <c r="BH412" s="8">
        <v>0</v>
      </c>
      <c r="BJ412" s="9">
        <f t="shared" si="22"/>
        <v>0</v>
      </c>
      <c r="BL412" s="9">
        <f>'Gov Fd Rv'!AU412-'Gov Fnd Exp'!BJ412</f>
        <v>0</v>
      </c>
      <c r="BN412" s="8">
        <v>0</v>
      </c>
      <c r="BP412" s="8">
        <v>0</v>
      </c>
      <c r="BR412" s="8">
        <v>0</v>
      </c>
      <c r="BT412" s="9">
        <f t="shared" si="23"/>
        <v>0</v>
      </c>
      <c r="BU412" s="9"/>
      <c r="BV412" s="9">
        <f>BT412-'Gov Fd BS'!AA412</f>
        <v>0</v>
      </c>
    </row>
    <row r="413" spans="1:74">
      <c r="A413" s="13" t="s">
        <v>321</v>
      </c>
      <c r="B413" s="13"/>
      <c r="C413" s="13" t="s">
        <v>20</v>
      </c>
      <c r="D413" s="13"/>
      <c r="E413" s="32">
        <v>44636</v>
      </c>
      <c r="G413" s="8">
        <v>60280491</v>
      </c>
      <c r="I413" s="8">
        <v>18784237</v>
      </c>
      <c r="K413" s="8">
        <v>3706618</v>
      </c>
      <c r="M413" s="8">
        <v>118812</v>
      </c>
      <c r="O413" s="8">
        <v>8553296</v>
      </c>
      <c r="Q413" s="8">
        <v>6566778</v>
      </c>
      <c r="S413" s="8">
        <v>1116321</v>
      </c>
      <c r="U413" s="8">
        <v>12161135</v>
      </c>
      <c r="W413" s="8">
        <v>2750331</v>
      </c>
      <c r="Y413" s="8">
        <v>1219540</v>
      </c>
      <c r="AA413" s="8">
        <v>12058640</v>
      </c>
      <c r="AC413" s="8">
        <v>6709560</v>
      </c>
      <c r="AE413" s="8">
        <v>2213076</v>
      </c>
      <c r="AG413" s="8">
        <v>27347</v>
      </c>
      <c r="AI413" s="8">
        <v>4250345</v>
      </c>
      <c r="AJ413" s="13" t="s">
        <v>321</v>
      </c>
      <c r="AK413" s="13"/>
      <c r="AL413" s="13" t="s">
        <v>20</v>
      </c>
      <c r="AN413" s="8">
        <v>3345398</v>
      </c>
      <c r="AP413" s="8">
        <v>11271632</v>
      </c>
      <c r="AR413" s="8">
        <v>0</v>
      </c>
      <c r="AT413" s="8">
        <v>4993211</v>
      </c>
      <c r="AV413" s="8">
        <v>2234877</v>
      </c>
      <c r="AX413" s="8">
        <v>0</v>
      </c>
      <c r="AZ413" s="9">
        <f t="shared" si="24"/>
        <v>162361645</v>
      </c>
      <c r="BB413" s="8">
        <v>446856</v>
      </c>
      <c r="BH413" s="8">
        <v>0</v>
      </c>
      <c r="BJ413" s="9">
        <f t="shared" si="22"/>
        <v>162808501</v>
      </c>
      <c r="BL413" s="9">
        <f>'Gov Fd Rv'!AU413-'Gov Fnd Exp'!BJ413</f>
        <v>-11191467</v>
      </c>
      <c r="BN413" s="8">
        <v>28871264</v>
      </c>
      <c r="BP413" s="8">
        <v>0</v>
      </c>
      <c r="BR413" s="8">
        <v>0</v>
      </c>
      <c r="BT413" s="9">
        <f t="shared" si="23"/>
        <v>17679797</v>
      </c>
      <c r="BU413" s="9"/>
      <c r="BV413" s="9">
        <f>BT413-'Gov Fd BS'!AA413</f>
        <v>0</v>
      </c>
    </row>
    <row r="414" spans="1:74">
      <c r="A414" s="13" t="s">
        <v>438</v>
      </c>
      <c r="B414" s="13"/>
      <c r="C414" s="13" t="s">
        <v>34</v>
      </c>
      <c r="D414" s="13"/>
      <c r="E414" s="32">
        <v>47597</v>
      </c>
      <c r="G414" s="8">
        <v>4071987</v>
      </c>
      <c r="I414" s="8">
        <v>1276632</v>
      </c>
      <c r="K414" s="8">
        <v>2457</v>
      </c>
      <c r="M414" s="8">
        <v>392049</v>
      </c>
      <c r="O414" s="8">
        <v>482003</v>
      </c>
      <c r="Q414" s="8">
        <v>684713</v>
      </c>
      <c r="S414" s="8">
        <v>42802</v>
      </c>
      <c r="U414" s="8">
        <v>911450</v>
      </c>
      <c r="W414" s="8">
        <v>334797</v>
      </c>
      <c r="Y414" s="8">
        <v>117659</v>
      </c>
      <c r="AA414" s="8">
        <v>1004506</v>
      </c>
      <c r="AC414" s="8">
        <v>681396</v>
      </c>
      <c r="AE414" s="8">
        <v>161718</v>
      </c>
      <c r="AG414" s="8">
        <v>0</v>
      </c>
      <c r="AI414" s="8">
        <v>438590</v>
      </c>
      <c r="AJ414" s="13" t="s">
        <v>438</v>
      </c>
      <c r="AK414" s="13"/>
      <c r="AL414" s="13" t="s">
        <v>34</v>
      </c>
      <c r="AN414" s="8">
        <v>437108</v>
      </c>
      <c r="AP414" s="8">
        <v>474701</v>
      </c>
      <c r="AR414" s="8">
        <v>0</v>
      </c>
      <c r="AT414" s="8">
        <v>211333</v>
      </c>
      <c r="AV414" s="8">
        <v>238615</v>
      </c>
      <c r="AX414" s="8">
        <v>0</v>
      </c>
      <c r="AZ414" s="9">
        <f t="shared" si="24"/>
        <v>11964516</v>
      </c>
      <c r="BB414" s="8">
        <v>76155</v>
      </c>
      <c r="BH414" s="8">
        <v>0</v>
      </c>
      <c r="BJ414" s="9">
        <f t="shared" si="22"/>
        <v>12040671</v>
      </c>
      <c r="BL414" s="9">
        <f>'Gov Fd Rv'!AU414-'Gov Fnd Exp'!BJ414</f>
        <v>-85631</v>
      </c>
      <c r="BN414" s="8">
        <v>3150384</v>
      </c>
      <c r="BP414" s="8">
        <v>0</v>
      </c>
      <c r="BR414" s="8">
        <v>0</v>
      </c>
      <c r="BT414" s="9">
        <f t="shared" si="23"/>
        <v>3064753</v>
      </c>
      <c r="BU414" s="9"/>
      <c r="BV414" s="9">
        <f>BT414-'Gov Fd BS'!AA414</f>
        <v>0</v>
      </c>
    </row>
    <row r="415" spans="1:74" hidden="1">
      <c r="A415" s="13" t="s">
        <v>584</v>
      </c>
      <c r="B415" s="13"/>
      <c r="C415" s="13" t="s">
        <v>583</v>
      </c>
      <c r="D415" s="13"/>
      <c r="E415" s="32">
        <v>45575</v>
      </c>
      <c r="G415" s="8">
        <v>0</v>
      </c>
      <c r="I415" s="8">
        <v>0</v>
      </c>
      <c r="K415" s="8">
        <v>0</v>
      </c>
      <c r="M415" s="8">
        <v>0</v>
      </c>
      <c r="O415" s="8">
        <v>0</v>
      </c>
      <c r="Q415" s="8">
        <v>0</v>
      </c>
      <c r="S415" s="8">
        <v>0</v>
      </c>
      <c r="U415" s="8">
        <v>0</v>
      </c>
      <c r="W415" s="8">
        <v>0</v>
      </c>
      <c r="Y415" s="8">
        <v>0</v>
      </c>
      <c r="AA415" s="8">
        <v>0</v>
      </c>
      <c r="AC415" s="8">
        <v>0</v>
      </c>
      <c r="AE415" s="8">
        <v>0</v>
      </c>
      <c r="AG415" s="8">
        <v>0</v>
      </c>
      <c r="AI415" s="8">
        <v>0</v>
      </c>
      <c r="AJ415" s="13" t="s">
        <v>584</v>
      </c>
      <c r="AK415" s="13"/>
      <c r="AL415" s="13" t="s">
        <v>583</v>
      </c>
      <c r="AN415" s="8">
        <v>0</v>
      </c>
      <c r="AP415" s="8">
        <v>0</v>
      </c>
      <c r="AR415" s="8">
        <v>0</v>
      </c>
      <c r="AT415" s="8">
        <v>0</v>
      </c>
      <c r="AV415" s="8">
        <v>0</v>
      </c>
      <c r="AX415" s="8">
        <v>0</v>
      </c>
      <c r="AZ415" s="9">
        <f t="shared" si="24"/>
        <v>0</v>
      </c>
      <c r="BB415" s="8">
        <v>0</v>
      </c>
      <c r="BH415" s="8">
        <v>0</v>
      </c>
      <c r="BJ415" s="9">
        <f t="shared" si="22"/>
        <v>0</v>
      </c>
      <c r="BL415" s="9">
        <f>'Gov Fd Rv'!AU415-'Gov Fnd Exp'!BJ415</f>
        <v>0</v>
      </c>
      <c r="BN415" s="8">
        <v>0</v>
      </c>
      <c r="BP415" s="8">
        <v>0</v>
      </c>
      <c r="BR415" s="8">
        <v>0</v>
      </c>
      <c r="BT415" s="9">
        <f t="shared" si="23"/>
        <v>0</v>
      </c>
      <c r="BU415" s="9"/>
      <c r="BV415" s="9">
        <f>BT415-'Gov Fd BS'!AA415</f>
        <v>0</v>
      </c>
    </row>
    <row r="416" spans="1:74">
      <c r="A416" s="13" t="s">
        <v>344</v>
      </c>
      <c r="B416" s="13"/>
      <c r="C416" s="13" t="s">
        <v>24</v>
      </c>
      <c r="D416" s="13"/>
      <c r="E416" s="32">
        <v>46813</v>
      </c>
      <c r="G416" s="8">
        <v>8965459</v>
      </c>
      <c r="I416" s="8">
        <v>2501720</v>
      </c>
      <c r="K416" s="8">
        <v>206566</v>
      </c>
      <c r="M416" s="8">
        <v>358945</v>
      </c>
      <c r="O416" s="8">
        <v>1439126</v>
      </c>
      <c r="Q416" s="8">
        <v>1046777</v>
      </c>
      <c r="S416" s="8">
        <v>32376</v>
      </c>
      <c r="U416" s="8">
        <v>1572158</v>
      </c>
      <c r="W416" s="8">
        <v>574799</v>
      </c>
      <c r="Y416" s="8">
        <v>26129</v>
      </c>
      <c r="AA416" s="8">
        <v>1879319</v>
      </c>
      <c r="AC416" s="8">
        <v>1047937</v>
      </c>
      <c r="AE416" s="8">
        <v>60706</v>
      </c>
      <c r="AG416" s="8">
        <v>892829</v>
      </c>
      <c r="AI416" s="8">
        <v>542846</v>
      </c>
      <c r="AJ416" s="13" t="s">
        <v>344</v>
      </c>
      <c r="AK416" s="13"/>
      <c r="AL416" s="13" t="s">
        <v>24</v>
      </c>
      <c r="AN416" s="8">
        <v>180355</v>
      </c>
      <c r="AP416" s="8">
        <v>1076704</v>
      </c>
      <c r="AR416" s="8">
        <v>0</v>
      </c>
      <c r="AT416" s="8">
        <v>60000</v>
      </c>
      <c r="AV416" s="8">
        <v>8390</v>
      </c>
      <c r="AX416" s="8">
        <v>0</v>
      </c>
      <c r="AZ416" s="9">
        <f t="shared" si="24"/>
        <v>22473141</v>
      </c>
      <c r="BB416" s="8">
        <v>129991</v>
      </c>
      <c r="BH416" s="8">
        <v>0</v>
      </c>
      <c r="BJ416" s="9">
        <f t="shared" si="22"/>
        <v>22603132</v>
      </c>
      <c r="BL416" s="9">
        <f>'Gov Fd Rv'!AU416-'Gov Fnd Exp'!BJ416</f>
        <v>2764841</v>
      </c>
      <c r="BN416" s="8">
        <f>4602851+2248</f>
        <v>4605099</v>
      </c>
      <c r="BP416" s="8">
        <v>3811</v>
      </c>
      <c r="BR416" s="8">
        <v>0</v>
      </c>
      <c r="BT416" s="9">
        <f t="shared" si="23"/>
        <v>7373751</v>
      </c>
      <c r="BU416" s="9"/>
      <c r="BV416" s="9">
        <f>BT416-'Gov Fd BS'!AA416</f>
        <v>0</v>
      </c>
    </row>
    <row r="417" spans="1:74">
      <c r="A417" s="13" t="s">
        <v>213</v>
      </c>
      <c r="B417" s="13"/>
      <c r="C417" s="13" t="s">
        <v>41</v>
      </c>
      <c r="D417" s="13"/>
      <c r="E417" s="32">
        <v>47902</v>
      </c>
      <c r="G417" s="8">
        <v>11260700</v>
      </c>
      <c r="I417" s="8">
        <v>1478133</v>
      </c>
      <c r="K417" s="8">
        <v>108115</v>
      </c>
      <c r="M417" s="8">
        <v>760547</v>
      </c>
      <c r="O417" s="8">
        <v>984687</v>
      </c>
      <c r="Q417" s="8">
        <v>2499901</v>
      </c>
      <c r="S417" s="8">
        <v>125543</v>
      </c>
      <c r="U417" s="8">
        <v>1830378</v>
      </c>
      <c r="W417" s="8">
        <v>947270</v>
      </c>
      <c r="Y417" s="8">
        <v>278348</v>
      </c>
      <c r="AA417" s="8">
        <v>4459596</v>
      </c>
      <c r="AC417" s="8">
        <v>1272936</v>
      </c>
      <c r="AE417" s="8">
        <v>50928</v>
      </c>
      <c r="AG417" s="8">
        <v>989954</v>
      </c>
      <c r="AI417" s="8">
        <v>424243</v>
      </c>
      <c r="AJ417" s="13" t="s">
        <v>213</v>
      </c>
      <c r="AK417" s="13"/>
      <c r="AL417" s="13" t="s">
        <v>41</v>
      </c>
      <c r="AN417" s="8">
        <v>1289702</v>
      </c>
      <c r="AP417" s="8">
        <v>1571292</v>
      </c>
      <c r="AR417" s="8">
        <v>0</v>
      </c>
      <c r="AT417" s="8">
        <v>187396</v>
      </c>
      <c r="AV417" s="8">
        <v>74887</v>
      </c>
      <c r="AX417" s="8">
        <v>0</v>
      </c>
      <c r="AZ417" s="9">
        <f t="shared" si="24"/>
        <v>30594556</v>
      </c>
      <c r="BB417" s="8">
        <v>2598697</v>
      </c>
      <c r="BH417" s="8">
        <v>0</v>
      </c>
      <c r="BJ417" s="9">
        <f t="shared" si="22"/>
        <v>33193253</v>
      </c>
      <c r="BL417" s="9">
        <f>'Gov Fd Rv'!AU417-'Gov Fnd Exp'!BJ417</f>
        <v>2516799</v>
      </c>
      <c r="BN417" s="8">
        <f>24868301-188400</f>
        <v>24679901</v>
      </c>
      <c r="BP417" s="8">
        <v>0</v>
      </c>
      <c r="BR417" s="8">
        <v>0</v>
      </c>
      <c r="BT417" s="9">
        <f t="shared" si="23"/>
        <v>27196700</v>
      </c>
      <c r="BU417" s="9"/>
      <c r="BV417" s="9">
        <f>BT417-'Gov Fd BS'!AA417</f>
        <v>0</v>
      </c>
    </row>
    <row r="418" spans="1:74">
      <c r="A418" s="13" t="s">
        <v>213</v>
      </c>
      <c r="B418" s="13"/>
      <c r="C418" s="13" t="s">
        <v>62</v>
      </c>
      <c r="D418" s="13"/>
      <c r="E418" s="32">
        <v>49924</v>
      </c>
      <c r="G418" s="8">
        <v>17837132</v>
      </c>
      <c r="I418" s="8">
        <v>4420878</v>
      </c>
      <c r="K418" s="8">
        <v>2190677</v>
      </c>
      <c r="M418" s="8">
        <v>505891</v>
      </c>
      <c r="O418" s="8">
        <v>2857373</v>
      </c>
      <c r="Q418" s="8">
        <v>1851437</v>
      </c>
      <c r="S418" s="8">
        <v>97863</v>
      </c>
      <c r="U418" s="8">
        <v>2908149</v>
      </c>
      <c r="W418" s="8">
        <v>726782</v>
      </c>
      <c r="Y418" s="8">
        <v>129679</v>
      </c>
      <c r="AA418" s="8">
        <v>3903564</v>
      </c>
      <c r="AC418" s="8">
        <v>2223254</v>
      </c>
      <c r="AE418" s="8">
        <v>395576</v>
      </c>
      <c r="AG418" s="8">
        <v>1602779</v>
      </c>
      <c r="AI418" s="8">
        <v>358779</v>
      </c>
      <c r="AJ418" s="13" t="s">
        <v>213</v>
      </c>
      <c r="AK418" s="13"/>
      <c r="AL418" s="13" t="s">
        <v>62</v>
      </c>
      <c r="AN418" s="8">
        <v>1064952</v>
      </c>
      <c r="AP418" s="8">
        <v>836222</v>
      </c>
      <c r="AR418" s="8">
        <v>0</v>
      </c>
      <c r="AT418" s="8">
        <v>105000</v>
      </c>
      <c r="AV418" s="8">
        <v>23734</v>
      </c>
      <c r="AX418" s="8">
        <v>0</v>
      </c>
      <c r="AZ418" s="9">
        <f t="shared" si="24"/>
        <v>44039721</v>
      </c>
      <c r="BB418" s="8">
        <v>0</v>
      </c>
      <c r="BH418" s="8">
        <v>0</v>
      </c>
      <c r="BJ418" s="9">
        <f t="shared" si="22"/>
        <v>44039721</v>
      </c>
      <c r="BL418" s="9">
        <f>'Gov Fd Rv'!AU418-'Gov Fnd Exp'!BJ418</f>
        <v>4756422</v>
      </c>
      <c r="BN418" s="8">
        <v>19535627</v>
      </c>
      <c r="BP418" s="8">
        <v>0</v>
      </c>
      <c r="BR418" s="8">
        <v>0</v>
      </c>
      <c r="BT418" s="9">
        <f t="shared" si="23"/>
        <v>24292049</v>
      </c>
      <c r="BU418" s="9"/>
      <c r="BV418" s="9">
        <f>BT418-'Gov Fd BS'!AA418</f>
        <v>0</v>
      </c>
    </row>
    <row r="419" spans="1:74">
      <c r="A419" s="13" t="s">
        <v>744</v>
      </c>
      <c r="B419" s="13"/>
      <c r="C419" s="13" t="s">
        <v>72</v>
      </c>
      <c r="D419" s="13"/>
      <c r="E419" s="32">
        <v>45583</v>
      </c>
      <c r="G419" s="8">
        <v>21208854</v>
      </c>
      <c r="I419" s="8">
        <v>3948240</v>
      </c>
      <c r="K419" s="8">
        <v>0</v>
      </c>
      <c r="M419" s="8">
        <v>227207</v>
      </c>
      <c r="O419" s="8">
        <v>2131658</v>
      </c>
      <c r="Q419" s="8">
        <v>819052</v>
      </c>
      <c r="S419" s="8">
        <v>133021</v>
      </c>
      <c r="U419" s="8">
        <v>2502821</v>
      </c>
      <c r="W419" s="8">
        <v>887246</v>
      </c>
      <c r="Y419" s="8">
        <v>195267</v>
      </c>
      <c r="AA419" s="8">
        <v>5443070</v>
      </c>
      <c r="AC419" s="8">
        <v>2271854</v>
      </c>
      <c r="AE419" s="8">
        <v>533967</v>
      </c>
      <c r="AG419" s="8">
        <v>0</v>
      </c>
      <c r="AI419" s="8">
        <v>833300</v>
      </c>
      <c r="AJ419" s="13" t="s">
        <v>744</v>
      </c>
      <c r="AK419" s="13"/>
      <c r="AL419" s="13" t="s">
        <v>72</v>
      </c>
      <c r="AN419" s="8">
        <v>959100</v>
      </c>
      <c r="AP419" s="8">
        <v>143</v>
      </c>
      <c r="AR419" s="8">
        <v>0</v>
      </c>
      <c r="AT419" s="8">
        <v>1660059</v>
      </c>
      <c r="AV419" s="8">
        <v>1461980</v>
      </c>
      <c r="AX419" s="8">
        <v>0</v>
      </c>
      <c r="AZ419" s="9">
        <f t="shared" si="24"/>
        <v>45216839</v>
      </c>
      <c r="BB419" s="8">
        <v>0</v>
      </c>
      <c r="BH419" s="8">
        <v>0</v>
      </c>
      <c r="BJ419" s="9">
        <f t="shared" si="22"/>
        <v>45216839</v>
      </c>
      <c r="BL419" s="9">
        <f>'Gov Fd Rv'!AU419-'Gov Fnd Exp'!BJ419</f>
        <v>-1050090</v>
      </c>
      <c r="BN419" s="8">
        <v>6169418</v>
      </c>
      <c r="BP419" s="8">
        <v>0</v>
      </c>
      <c r="BR419" s="8">
        <v>0</v>
      </c>
      <c r="BT419" s="9">
        <f t="shared" si="23"/>
        <v>5119328</v>
      </c>
      <c r="BU419" s="9"/>
      <c r="BV419" s="9">
        <f>BT419-'Gov Fd BS'!AA419</f>
        <v>0</v>
      </c>
    </row>
    <row r="420" spans="1:74">
      <c r="A420" s="13" t="s">
        <v>375</v>
      </c>
      <c r="B420" s="13"/>
      <c r="C420" s="13" t="s">
        <v>28</v>
      </c>
      <c r="D420" s="13"/>
      <c r="E420" s="32">
        <v>47076</v>
      </c>
      <c r="G420" s="8">
        <v>2309550</v>
      </c>
      <c r="I420" s="8">
        <v>203354</v>
      </c>
      <c r="K420" s="8">
        <v>210381</v>
      </c>
      <c r="M420" s="8">
        <v>19809</v>
      </c>
      <c r="O420" s="8">
        <v>105804</v>
      </c>
      <c r="Q420" s="8">
        <v>140973</v>
      </c>
      <c r="S420" s="8">
        <v>17384</v>
      </c>
      <c r="U420" s="8">
        <v>445725</v>
      </c>
      <c r="W420" s="8">
        <v>173400</v>
      </c>
      <c r="Y420" s="8">
        <v>1043</v>
      </c>
      <c r="AA420" s="8">
        <v>421456</v>
      </c>
      <c r="AC420" s="8">
        <v>327068</v>
      </c>
      <c r="AE420" s="8">
        <v>53193</v>
      </c>
      <c r="AG420" s="8">
        <v>0</v>
      </c>
      <c r="AI420" s="8">
        <v>252743</v>
      </c>
      <c r="AJ420" s="13" t="s">
        <v>375</v>
      </c>
      <c r="AK420" s="13"/>
      <c r="AL420" s="13" t="s">
        <v>28</v>
      </c>
      <c r="AN420" s="8">
        <v>334826</v>
      </c>
      <c r="AP420" s="8">
        <v>31508</v>
      </c>
      <c r="AR420" s="8">
        <v>0</v>
      </c>
      <c r="AT420" s="8">
        <v>0</v>
      </c>
      <c r="AV420" s="8">
        <v>0</v>
      </c>
      <c r="AX420" s="8">
        <v>0</v>
      </c>
      <c r="AZ420" s="9">
        <f t="shared" si="24"/>
        <v>5048217</v>
      </c>
      <c r="BB420" s="8">
        <v>0</v>
      </c>
      <c r="BH420" s="8">
        <v>0</v>
      </c>
      <c r="BJ420" s="9">
        <f t="shared" si="22"/>
        <v>5048217</v>
      </c>
      <c r="BL420" s="9">
        <f>'Gov Fd Rv'!AU420-'Gov Fnd Exp'!BJ420</f>
        <v>92482</v>
      </c>
      <c r="BN420" s="8">
        <v>1033221</v>
      </c>
      <c r="BP420" s="8">
        <v>0</v>
      </c>
      <c r="BR420" s="8">
        <v>0</v>
      </c>
      <c r="BT420" s="9">
        <f t="shared" si="23"/>
        <v>1125703</v>
      </c>
      <c r="BU420" s="9"/>
      <c r="BV420" s="9">
        <f>BT420-'Gov Fd BS'!AA420</f>
        <v>0</v>
      </c>
    </row>
    <row r="421" spans="1:74">
      <c r="A421" s="13" t="s">
        <v>353</v>
      </c>
      <c r="B421" s="13"/>
      <c r="C421" s="13" t="s">
        <v>25</v>
      </c>
      <c r="D421" s="13"/>
      <c r="E421" s="32">
        <v>46896</v>
      </c>
      <c r="G421" s="8">
        <v>44385494</v>
      </c>
      <c r="I421" s="8">
        <v>7085188</v>
      </c>
      <c r="K421" s="8">
        <v>1107582</v>
      </c>
      <c r="M421" s="8">
        <v>2404790</v>
      </c>
      <c r="O421" s="8">
        <v>4323183</v>
      </c>
      <c r="Q421" s="8">
        <v>5602688</v>
      </c>
      <c r="S421" s="8">
        <v>517491</v>
      </c>
      <c r="U421" s="8">
        <v>7548391</v>
      </c>
      <c r="W421" s="8">
        <v>1798451</v>
      </c>
      <c r="Y421" s="8">
        <v>85315</v>
      </c>
      <c r="AA421" s="8">
        <v>8316116</v>
      </c>
      <c r="AC421" s="8">
        <v>5516101</v>
      </c>
      <c r="AE421" s="8">
        <v>162150</v>
      </c>
      <c r="AG421" s="8">
        <v>3256499</v>
      </c>
      <c r="AI421" s="8">
        <v>65316</v>
      </c>
      <c r="AJ421" s="13" t="s">
        <v>353</v>
      </c>
      <c r="AK421" s="13"/>
      <c r="AL421" s="13" t="s">
        <v>25</v>
      </c>
      <c r="AN421" s="8">
        <v>2612138</v>
      </c>
      <c r="AP421" s="8">
        <v>16959574</v>
      </c>
      <c r="AR421" s="8">
        <v>0</v>
      </c>
      <c r="AT421" s="8">
        <v>7445000</v>
      </c>
      <c r="AV421" s="8">
        <v>6077208</v>
      </c>
      <c r="AX421" s="8">
        <v>0</v>
      </c>
      <c r="AZ421" s="9">
        <f t="shared" si="24"/>
        <v>125268675</v>
      </c>
      <c r="BB421" s="8">
        <v>0</v>
      </c>
      <c r="BH421" s="8">
        <v>0</v>
      </c>
      <c r="BJ421" s="9">
        <f t="shared" si="22"/>
        <v>125268675</v>
      </c>
      <c r="BL421" s="9">
        <f>'Gov Fd Rv'!AU421-'Gov Fnd Exp'!BJ421</f>
        <v>-11095322</v>
      </c>
      <c r="BN421" s="8">
        <v>88139436</v>
      </c>
      <c r="BP421" s="8">
        <v>-5313</v>
      </c>
      <c r="BR421" s="8">
        <v>0</v>
      </c>
      <c r="BT421" s="9">
        <f t="shared" si="23"/>
        <v>77038801</v>
      </c>
      <c r="BU421" s="9"/>
      <c r="BV421" s="9">
        <f>BT421-'Gov Fd BS'!AA421</f>
        <v>0</v>
      </c>
    </row>
    <row r="422" spans="1:74">
      <c r="A422" s="13" t="s">
        <v>376</v>
      </c>
      <c r="B422" s="13"/>
      <c r="C422" s="13" t="s">
        <v>28</v>
      </c>
      <c r="D422" s="13"/>
      <c r="E422" s="32">
        <v>47084</v>
      </c>
      <c r="G422" s="8">
        <v>6728207</v>
      </c>
      <c r="I422" s="8">
        <v>1601422</v>
      </c>
      <c r="K422" s="8">
        <v>118188</v>
      </c>
      <c r="M422" s="8">
        <v>0</v>
      </c>
      <c r="O422" s="8">
        <v>634447</v>
      </c>
      <c r="Q422" s="8">
        <v>693827</v>
      </c>
      <c r="S422" s="8">
        <v>29185</v>
      </c>
      <c r="U422" s="8">
        <v>1016983</v>
      </c>
      <c r="W422" s="8">
        <v>410012</v>
      </c>
      <c r="Y422" s="8">
        <v>10726</v>
      </c>
      <c r="AA422" s="8">
        <v>1455524</v>
      </c>
      <c r="AC422" s="8">
        <v>1026396</v>
      </c>
      <c r="AE422" s="8">
        <v>82802</v>
      </c>
      <c r="AG422" s="8">
        <v>0</v>
      </c>
      <c r="AI422" s="8">
        <v>525593</v>
      </c>
      <c r="AJ422" s="13" t="s">
        <v>376</v>
      </c>
      <c r="AK422" s="13"/>
      <c r="AL422" s="13" t="s">
        <v>28</v>
      </c>
      <c r="AN422" s="8">
        <v>624941</v>
      </c>
      <c r="AP422" s="8">
        <v>0</v>
      </c>
      <c r="AR422" s="8">
        <v>0</v>
      </c>
      <c r="AT422" s="8">
        <v>760000</v>
      </c>
      <c r="AV422" s="8">
        <v>236625</v>
      </c>
      <c r="AX422" s="8">
        <v>0</v>
      </c>
      <c r="AZ422" s="9">
        <f t="shared" si="24"/>
        <v>15954878</v>
      </c>
      <c r="BB422" s="8">
        <v>13250</v>
      </c>
      <c r="BH422" s="8">
        <v>0</v>
      </c>
      <c r="BJ422" s="9">
        <f t="shared" si="22"/>
        <v>15968128</v>
      </c>
      <c r="BL422" s="9">
        <f>'Gov Fd Rv'!AU422-'Gov Fnd Exp'!BJ422</f>
        <v>1494061</v>
      </c>
      <c r="BN422" s="8">
        <v>4366418</v>
      </c>
      <c r="BP422" s="8">
        <v>0</v>
      </c>
      <c r="BR422" s="8">
        <v>0</v>
      </c>
      <c r="BT422" s="9">
        <f t="shared" si="23"/>
        <v>5860479</v>
      </c>
      <c r="BU422" s="9"/>
      <c r="BV422" s="9">
        <f>BT422-'Gov Fd BS'!AA422</f>
        <v>0</v>
      </c>
    </row>
    <row r="423" spans="1:74">
      <c r="A423" s="13" t="s">
        <v>548</v>
      </c>
      <c r="B423" s="13"/>
      <c r="C423" s="13" t="s">
        <v>48</v>
      </c>
      <c r="D423" s="13"/>
      <c r="E423" s="32">
        <v>44644</v>
      </c>
      <c r="G423" s="8">
        <v>18247045</v>
      </c>
      <c r="I423" s="8">
        <v>0</v>
      </c>
      <c r="K423" s="8">
        <v>0</v>
      </c>
      <c r="M423" s="8">
        <v>0</v>
      </c>
      <c r="O423" s="8">
        <v>1574056</v>
      </c>
      <c r="Q423" s="8">
        <v>2075287</v>
      </c>
      <c r="S423" s="8">
        <v>20339</v>
      </c>
      <c r="U423" s="8">
        <v>2274443</v>
      </c>
      <c r="W423" s="8">
        <v>404047</v>
      </c>
      <c r="Y423" s="8">
        <v>54748</v>
      </c>
      <c r="AA423" s="8">
        <v>2823351</v>
      </c>
      <c r="AC423" s="8">
        <v>1369429</v>
      </c>
      <c r="AE423" s="8">
        <v>191322</v>
      </c>
      <c r="AG423" s="8">
        <v>0</v>
      </c>
      <c r="AI423" s="8">
        <v>286744</v>
      </c>
      <c r="AJ423" s="13" t="s">
        <v>548</v>
      </c>
      <c r="AK423" s="13"/>
      <c r="AL423" s="13" t="s">
        <v>48</v>
      </c>
      <c r="AN423" s="8">
        <v>664053</v>
      </c>
      <c r="AP423" s="8">
        <v>349557</v>
      </c>
      <c r="AR423" s="8">
        <v>0</v>
      </c>
      <c r="AT423" s="8">
        <v>807637</v>
      </c>
      <c r="AV423" s="8">
        <v>337922</v>
      </c>
      <c r="AX423" s="8">
        <v>0</v>
      </c>
      <c r="AZ423" s="9">
        <f t="shared" si="24"/>
        <v>31479980</v>
      </c>
      <c r="BB423" s="8">
        <v>0</v>
      </c>
      <c r="BH423" s="8">
        <v>0</v>
      </c>
      <c r="BJ423" s="9">
        <f t="shared" si="22"/>
        <v>31479980</v>
      </c>
      <c r="BL423" s="9">
        <f>'Gov Fd Rv'!AU423-'Gov Fnd Exp'!BJ423</f>
        <v>1338211</v>
      </c>
      <c r="BN423" s="8">
        <f>3593869+13430</f>
        <v>3607299</v>
      </c>
      <c r="BP423" s="8">
        <v>-6715</v>
      </c>
      <c r="BR423" s="8">
        <v>0</v>
      </c>
      <c r="BT423" s="9">
        <f t="shared" si="23"/>
        <v>4938795</v>
      </c>
      <c r="BU423" s="9"/>
      <c r="BV423" s="9">
        <f>BT423-'Gov Fd BS'!AA423</f>
        <v>0</v>
      </c>
    </row>
    <row r="424" spans="1:74" hidden="1">
      <c r="A424" s="13" t="s">
        <v>365</v>
      </c>
      <c r="B424" s="13"/>
      <c r="C424" s="13" t="s">
        <v>27</v>
      </c>
      <c r="D424" s="13"/>
      <c r="E424" s="32">
        <v>46995</v>
      </c>
      <c r="G424" s="8">
        <v>0</v>
      </c>
      <c r="I424" s="8">
        <v>0</v>
      </c>
      <c r="K424" s="8">
        <v>0</v>
      </c>
      <c r="M424" s="8">
        <v>0</v>
      </c>
      <c r="O424" s="8">
        <v>0</v>
      </c>
      <c r="Q424" s="8">
        <v>0</v>
      </c>
      <c r="S424" s="8">
        <v>0</v>
      </c>
      <c r="U424" s="8">
        <v>0</v>
      </c>
      <c r="W424" s="8">
        <v>0</v>
      </c>
      <c r="Y424" s="8">
        <v>0</v>
      </c>
      <c r="AA424" s="8">
        <v>0</v>
      </c>
      <c r="AC424" s="8">
        <v>0</v>
      </c>
      <c r="AE424" s="8">
        <v>0</v>
      </c>
      <c r="AG424" s="8">
        <v>0</v>
      </c>
      <c r="AI424" s="8">
        <v>0</v>
      </c>
      <c r="AJ424" s="13" t="s">
        <v>365</v>
      </c>
      <c r="AK424" s="13"/>
      <c r="AL424" s="13" t="s">
        <v>27</v>
      </c>
      <c r="AN424" s="8">
        <v>0</v>
      </c>
      <c r="AP424" s="8">
        <v>0</v>
      </c>
      <c r="AR424" s="8">
        <v>0</v>
      </c>
      <c r="AT424" s="8">
        <v>0</v>
      </c>
      <c r="AV424" s="8">
        <v>0</v>
      </c>
      <c r="AX424" s="8">
        <v>0</v>
      </c>
      <c r="AZ424" s="9">
        <f t="shared" si="24"/>
        <v>0</v>
      </c>
      <c r="BB424" s="8">
        <v>0</v>
      </c>
      <c r="BH424" s="8">
        <v>0</v>
      </c>
      <c r="BJ424" s="9">
        <f t="shared" si="22"/>
        <v>0</v>
      </c>
      <c r="BL424" s="9">
        <f>'Gov Fd Rv'!AU424-'Gov Fnd Exp'!BJ424</f>
        <v>0</v>
      </c>
      <c r="BN424" s="8">
        <v>0</v>
      </c>
      <c r="BP424" s="8">
        <v>0</v>
      </c>
      <c r="BR424" s="8">
        <v>0</v>
      </c>
      <c r="BT424" s="9">
        <f t="shared" si="23"/>
        <v>0</v>
      </c>
      <c r="BU424" s="9"/>
      <c r="BV424" s="9">
        <f>BT424-'Gov Fd BS'!AA424</f>
        <v>0</v>
      </c>
    </row>
    <row r="425" spans="1:74">
      <c r="A425" s="13" t="s">
        <v>365</v>
      </c>
      <c r="B425" s="13"/>
      <c r="C425" s="13" t="s">
        <v>62</v>
      </c>
      <c r="D425" s="13"/>
      <c r="E425" s="32">
        <v>49932</v>
      </c>
      <c r="G425" s="8">
        <v>22508767</v>
      </c>
      <c r="I425" s="8">
        <v>4917346</v>
      </c>
      <c r="K425" s="8">
        <v>1894990</v>
      </c>
      <c r="M425" s="8">
        <v>706815</v>
      </c>
      <c r="O425" s="8">
        <v>2969933</v>
      </c>
      <c r="Q425" s="8">
        <v>3643657</v>
      </c>
      <c r="S425" s="8">
        <v>92411</v>
      </c>
      <c r="U425" s="8">
        <v>3688557</v>
      </c>
      <c r="W425" s="8">
        <v>906792</v>
      </c>
      <c r="Y425" s="8">
        <v>155159</v>
      </c>
      <c r="AA425" s="8">
        <v>5183893</v>
      </c>
      <c r="AC425" s="8">
        <v>2273681</v>
      </c>
      <c r="AE425" s="8">
        <v>229466</v>
      </c>
      <c r="AG425" s="8">
        <v>2366886</v>
      </c>
      <c r="AI425" s="8">
        <v>39777</v>
      </c>
      <c r="AJ425" s="13" t="s">
        <v>365</v>
      </c>
      <c r="AK425" s="13"/>
      <c r="AL425" s="13" t="s">
        <v>62</v>
      </c>
      <c r="AN425" s="8">
        <v>1190691</v>
      </c>
      <c r="AP425" s="8">
        <v>673674</v>
      </c>
      <c r="AR425" s="8">
        <v>527080</v>
      </c>
      <c r="AT425" s="8">
        <v>1570000</v>
      </c>
      <c r="AV425" s="8">
        <v>2570960</v>
      </c>
      <c r="AX425" s="8">
        <v>0</v>
      </c>
      <c r="AZ425" s="9">
        <f t="shared" si="24"/>
        <v>58110535</v>
      </c>
      <c r="BB425" s="8">
        <v>0</v>
      </c>
      <c r="BH425" s="8">
        <v>0</v>
      </c>
      <c r="BJ425" s="9">
        <f t="shared" si="22"/>
        <v>58110535</v>
      </c>
      <c r="BL425" s="9">
        <f>'Gov Fd Rv'!AU425-'Gov Fnd Exp'!BJ425</f>
        <v>-1290864</v>
      </c>
      <c r="BN425" s="8">
        <f>12880955+4718</f>
        <v>12885673</v>
      </c>
      <c r="BP425" s="8">
        <v>-16899</v>
      </c>
      <c r="BR425" s="8">
        <v>0</v>
      </c>
      <c r="BT425" s="9">
        <f t="shared" si="23"/>
        <v>11577910</v>
      </c>
      <c r="BU425" s="9"/>
      <c r="BV425" s="9">
        <f>BT425-'Gov Fd BS'!AA425</f>
        <v>0</v>
      </c>
    </row>
    <row r="426" spans="1:74">
      <c r="A426" s="13" t="s">
        <v>528</v>
      </c>
      <c r="B426" s="13"/>
      <c r="C426" s="13" t="s">
        <v>46</v>
      </c>
      <c r="D426" s="13"/>
      <c r="E426" s="32">
        <v>48421</v>
      </c>
      <c r="G426" s="8">
        <v>7064656</v>
      </c>
      <c r="I426" s="8">
        <v>911540</v>
      </c>
      <c r="K426" s="8">
        <v>74700</v>
      </c>
      <c r="M426" s="8">
        <v>10021</v>
      </c>
      <c r="O426" s="8">
        <v>443987</v>
      </c>
      <c r="Q426" s="8">
        <v>386393</v>
      </c>
      <c r="S426" s="8">
        <v>100740</v>
      </c>
      <c r="U426" s="8">
        <v>1197546</v>
      </c>
      <c r="W426" s="8">
        <v>311144</v>
      </c>
      <c r="Y426" s="8">
        <v>0</v>
      </c>
      <c r="AA426" s="8">
        <v>990486</v>
      </c>
      <c r="AC426" s="8">
        <v>531907</v>
      </c>
      <c r="AE426" s="8">
        <v>0</v>
      </c>
      <c r="AG426" s="8">
        <v>0</v>
      </c>
      <c r="AI426" s="8">
        <v>526336</v>
      </c>
      <c r="AJ426" s="13" t="s">
        <v>528</v>
      </c>
      <c r="AK426" s="13"/>
      <c r="AL426" s="13" t="s">
        <v>46</v>
      </c>
      <c r="AN426" s="8">
        <v>576254</v>
      </c>
      <c r="AP426" s="8">
        <v>409226</v>
      </c>
      <c r="AR426" s="8">
        <v>0</v>
      </c>
      <c r="AT426" s="8">
        <v>310488</v>
      </c>
      <c r="AV426" s="8">
        <v>132029</v>
      </c>
      <c r="AX426" s="8">
        <v>0</v>
      </c>
      <c r="AZ426" s="9">
        <f t="shared" si="24"/>
        <v>13977453</v>
      </c>
      <c r="BB426" s="8">
        <v>78468</v>
      </c>
      <c r="BH426" s="8">
        <v>0</v>
      </c>
      <c r="BJ426" s="9">
        <f t="shared" si="22"/>
        <v>14055921</v>
      </c>
      <c r="BL426" s="9">
        <f>'Gov Fd Rv'!AU426-'Gov Fnd Exp'!BJ426</f>
        <v>-418394</v>
      </c>
      <c r="BN426" s="8">
        <v>5755051</v>
      </c>
      <c r="BP426" s="8">
        <v>0</v>
      </c>
      <c r="BR426" s="8">
        <v>0</v>
      </c>
      <c r="BT426" s="9">
        <f t="shared" si="23"/>
        <v>5336657</v>
      </c>
      <c r="BU426" s="9"/>
      <c r="BV426" s="9">
        <f>BT426-'Gov Fd BS'!AA426</f>
        <v>0</v>
      </c>
    </row>
    <row r="427" spans="1:74">
      <c r="A427" s="13" t="s">
        <v>619</v>
      </c>
      <c r="B427" s="13"/>
      <c r="C427" s="13" t="s">
        <v>113</v>
      </c>
      <c r="D427" s="13"/>
      <c r="E427" s="32">
        <v>49460</v>
      </c>
      <c r="G427" s="8">
        <v>3410280</v>
      </c>
      <c r="I427" s="8">
        <v>921469</v>
      </c>
      <c r="K427" s="8">
        <v>193419</v>
      </c>
      <c r="M427" s="8">
        <v>420955</v>
      </c>
      <c r="O427" s="8">
        <v>442788</v>
      </c>
      <c r="Q427" s="8">
        <v>412270</v>
      </c>
      <c r="S427" s="8">
        <v>19016</v>
      </c>
      <c r="U427" s="8">
        <v>804432</v>
      </c>
      <c r="W427" s="8">
        <v>260264</v>
      </c>
      <c r="Y427" s="8">
        <v>11451</v>
      </c>
      <c r="AA427" s="8">
        <v>900751</v>
      </c>
      <c r="AC427" s="8">
        <v>428045</v>
      </c>
      <c r="AE427" s="8">
        <v>54771</v>
      </c>
      <c r="AG427" s="8">
        <v>472073</v>
      </c>
      <c r="AI427" s="8">
        <v>0</v>
      </c>
      <c r="AJ427" s="13" t="s">
        <v>619</v>
      </c>
      <c r="AK427" s="13"/>
      <c r="AL427" s="13" t="s">
        <v>113</v>
      </c>
      <c r="AN427" s="8">
        <v>316390</v>
      </c>
      <c r="AP427" s="8">
        <v>6660207</v>
      </c>
      <c r="AR427" s="8">
        <v>0</v>
      </c>
      <c r="AT427" s="8">
        <v>105311</v>
      </c>
      <c r="AV427" s="8">
        <v>99711</v>
      </c>
      <c r="AX427" s="8">
        <v>0</v>
      </c>
      <c r="AZ427" s="9">
        <f t="shared" si="24"/>
        <v>15933603</v>
      </c>
      <c r="BB427" s="8">
        <v>162089</v>
      </c>
      <c r="BH427" s="8">
        <v>0</v>
      </c>
      <c r="BJ427" s="9">
        <f t="shared" si="22"/>
        <v>16095692</v>
      </c>
      <c r="BL427" s="9">
        <f>'Gov Fd Rv'!AU427-'Gov Fnd Exp'!BJ427</f>
        <v>-260244</v>
      </c>
      <c r="BN427" s="8">
        <v>5500565</v>
      </c>
      <c r="BP427" s="8">
        <v>0</v>
      </c>
      <c r="BR427" s="8">
        <v>0</v>
      </c>
      <c r="BT427" s="9">
        <f t="shared" si="23"/>
        <v>5240321</v>
      </c>
      <c r="BU427" s="9"/>
      <c r="BV427" s="9">
        <f>BT427-'Gov Fd BS'!AA427</f>
        <v>0</v>
      </c>
    </row>
    <row r="428" spans="1:74">
      <c r="A428" s="13" t="s">
        <v>520</v>
      </c>
      <c r="B428" s="13"/>
      <c r="C428" s="13" t="s">
        <v>45</v>
      </c>
      <c r="D428" s="13"/>
      <c r="E428" s="32">
        <v>48348</v>
      </c>
      <c r="G428" s="8">
        <v>10630900</v>
      </c>
      <c r="I428" s="8">
        <v>1016635</v>
      </c>
      <c r="K428" s="8">
        <v>332501</v>
      </c>
      <c r="M428" s="8">
        <v>290</v>
      </c>
      <c r="O428" s="8">
        <v>1499527</v>
      </c>
      <c r="Q428" s="8">
        <v>412073</v>
      </c>
      <c r="S428" s="8">
        <v>17482</v>
      </c>
      <c r="U428" s="8">
        <v>1420712</v>
      </c>
      <c r="W428" s="8">
        <v>519420</v>
      </c>
      <c r="Y428" s="8">
        <v>266</v>
      </c>
      <c r="AA428" s="8">
        <v>2181148</v>
      </c>
      <c r="AC428" s="8">
        <v>1047335</v>
      </c>
      <c r="AE428" s="8">
        <v>8800</v>
      </c>
      <c r="AG428" s="8">
        <v>828182</v>
      </c>
      <c r="AI428" s="8">
        <v>359402</v>
      </c>
      <c r="AJ428" s="13" t="s">
        <v>520</v>
      </c>
      <c r="AK428" s="13"/>
      <c r="AL428" s="13" t="s">
        <v>45</v>
      </c>
      <c r="AN428" s="8">
        <v>708496</v>
      </c>
      <c r="AP428" s="8">
        <v>644774</v>
      </c>
      <c r="AR428" s="8">
        <v>0</v>
      </c>
      <c r="AT428" s="8">
        <v>575317</v>
      </c>
      <c r="AV428" s="8">
        <v>242369</v>
      </c>
      <c r="AX428" s="8">
        <v>0</v>
      </c>
      <c r="AZ428" s="9">
        <f t="shared" si="24"/>
        <v>22445629</v>
      </c>
      <c r="BB428" s="8">
        <v>0</v>
      </c>
      <c r="BH428" s="8">
        <v>0</v>
      </c>
      <c r="BJ428" s="9">
        <f t="shared" si="22"/>
        <v>22445629</v>
      </c>
      <c r="BL428" s="9">
        <f>'Gov Fd Rv'!AU428-'Gov Fnd Exp'!BJ428</f>
        <v>44939</v>
      </c>
      <c r="BN428" s="8">
        <v>1516576</v>
      </c>
      <c r="BP428" s="8">
        <v>556</v>
      </c>
      <c r="BR428" s="8">
        <v>0</v>
      </c>
      <c r="BT428" s="9">
        <f t="shared" si="23"/>
        <v>1562071</v>
      </c>
      <c r="BU428" s="9"/>
      <c r="BV428" s="9">
        <f>BT428-'Gov Fd BS'!AA428</f>
        <v>0</v>
      </c>
    </row>
    <row r="429" spans="1:74">
      <c r="A429" s="13" t="s">
        <v>582</v>
      </c>
      <c r="B429" s="13"/>
      <c r="C429" s="13" t="s">
        <v>53</v>
      </c>
      <c r="D429" s="13"/>
      <c r="E429" s="32">
        <v>44651</v>
      </c>
      <c r="G429" s="8">
        <v>8166920</v>
      </c>
      <c r="I429" s="8">
        <v>1881804</v>
      </c>
      <c r="K429" s="8">
        <v>133579</v>
      </c>
      <c r="M429" s="8">
        <v>1481406</v>
      </c>
      <c r="O429" s="8">
        <v>1794558</v>
      </c>
      <c r="Q429" s="8">
        <v>350259</v>
      </c>
      <c r="S429" s="8">
        <v>20551</v>
      </c>
      <c r="U429" s="8">
        <v>1385047</v>
      </c>
      <c r="W429" s="8">
        <v>655409</v>
      </c>
      <c r="Y429" s="8">
        <v>0</v>
      </c>
      <c r="AA429" s="8">
        <v>2262454</v>
      </c>
      <c r="AC429" s="8">
        <v>956770</v>
      </c>
      <c r="AE429" s="8">
        <v>119714</v>
      </c>
      <c r="AG429" s="8">
        <v>651385</v>
      </c>
      <c r="AI429" s="8">
        <v>118107</v>
      </c>
      <c r="AJ429" s="13" t="s">
        <v>582</v>
      </c>
      <c r="AK429" s="13"/>
      <c r="AL429" s="13" t="s">
        <v>53</v>
      </c>
      <c r="AN429" s="8">
        <v>564837</v>
      </c>
      <c r="AP429" s="8">
        <v>291052</v>
      </c>
      <c r="AR429" s="8">
        <v>0</v>
      </c>
      <c r="AT429" s="8">
        <v>759000</v>
      </c>
      <c r="AV429" s="8">
        <v>86692</v>
      </c>
      <c r="AX429" s="8">
        <v>0</v>
      </c>
      <c r="AZ429" s="9">
        <f t="shared" si="24"/>
        <v>21679544</v>
      </c>
      <c r="BB429" s="8">
        <v>535493</v>
      </c>
      <c r="BH429" s="8">
        <v>0</v>
      </c>
      <c r="BJ429" s="9">
        <f t="shared" si="22"/>
        <v>22215037</v>
      </c>
      <c r="BL429" s="9">
        <f>'Gov Fd Rv'!AU431-'Gov Fnd Exp'!BJ429</f>
        <v>1557726</v>
      </c>
      <c r="BN429" s="8">
        <v>8901808</v>
      </c>
      <c r="BP429" s="8">
        <v>0</v>
      </c>
      <c r="BR429" s="8">
        <v>0</v>
      </c>
      <c r="BT429" s="9">
        <f t="shared" si="23"/>
        <v>10459534</v>
      </c>
      <c r="BU429" s="9"/>
      <c r="BV429" s="9">
        <f>BT429-'Gov Fd BS'!AA429</f>
        <v>0</v>
      </c>
    </row>
    <row r="430" spans="1:74">
      <c r="A430" s="13" t="s">
        <v>636</v>
      </c>
      <c r="B430" s="13"/>
      <c r="C430" s="13" t="s">
        <v>59</v>
      </c>
      <c r="D430" s="13"/>
      <c r="E430" s="32">
        <v>44669</v>
      </c>
      <c r="G430" s="8">
        <v>11922586</v>
      </c>
      <c r="I430" s="8">
        <v>5082517</v>
      </c>
      <c r="K430" s="8">
        <v>414553</v>
      </c>
      <c r="M430" s="8">
        <v>1465554</v>
      </c>
      <c r="O430" s="8">
        <v>1581368</v>
      </c>
      <c r="Q430" s="8">
        <v>1672959</v>
      </c>
      <c r="S430" s="8">
        <v>22717</v>
      </c>
      <c r="U430" s="8">
        <v>1579663</v>
      </c>
      <c r="W430" s="8">
        <v>765319</v>
      </c>
      <c r="Y430" s="8">
        <v>61376</v>
      </c>
      <c r="AA430" s="8">
        <v>2540184</v>
      </c>
      <c r="AC430" s="8">
        <v>584863</v>
      </c>
      <c r="AE430" s="8">
        <v>77150</v>
      </c>
      <c r="AG430" s="8">
        <v>1008844</v>
      </c>
      <c r="AI430" s="8">
        <v>236064</v>
      </c>
      <c r="AJ430" s="13" t="s">
        <v>636</v>
      </c>
      <c r="AK430" s="13"/>
      <c r="AL430" s="13" t="s">
        <v>59</v>
      </c>
      <c r="AN430" s="8">
        <v>318507</v>
      </c>
      <c r="AP430" s="8">
        <v>462503</v>
      </c>
      <c r="AR430" s="8">
        <v>0</v>
      </c>
      <c r="AT430" s="8">
        <v>216638</v>
      </c>
      <c r="AV430" s="8">
        <v>621758</v>
      </c>
      <c r="AX430" s="8">
        <v>237558</v>
      </c>
      <c r="AZ430" s="9">
        <f t="shared" si="24"/>
        <v>30872681</v>
      </c>
      <c r="BB430" s="8">
        <v>113451</v>
      </c>
      <c r="BH430" s="8">
        <v>0</v>
      </c>
      <c r="BJ430" s="9">
        <f t="shared" si="22"/>
        <v>30986132</v>
      </c>
      <c r="BL430" s="9">
        <f>'Gov Fd Rv'!AU432-'Gov Fnd Exp'!BJ430</f>
        <v>-442079</v>
      </c>
      <c r="BN430" s="8">
        <v>6443718</v>
      </c>
      <c r="BP430" s="8">
        <v>0</v>
      </c>
      <c r="BR430" s="8">
        <v>0</v>
      </c>
      <c r="BT430" s="9">
        <f t="shared" si="23"/>
        <v>6001639</v>
      </c>
      <c r="BU430" s="9"/>
      <c r="BV430" s="9">
        <f>BT430-'Gov Fd BS'!AA430</f>
        <v>0</v>
      </c>
    </row>
    <row r="431" spans="1:74" hidden="1">
      <c r="A431" s="13" t="s">
        <v>605</v>
      </c>
      <c r="B431" s="13"/>
      <c r="C431" s="13" t="s">
        <v>57</v>
      </c>
      <c r="D431" s="13"/>
      <c r="E431" s="32">
        <v>49288</v>
      </c>
      <c r="AG431" s="8">
        <v>0</v>
      </c>
      <c r="AJ431" s="13" t="s">
        <v>605</v>
      </c>
      <c r="AK431" s="13"/>
      <c r="AL431" s="13" t="s">
        <v>57</v>
      </c>
      <c r="AR431" s="8">
        <v>0</v>
      </c>
      <c r="AX431" s="8">
        <v>0</v>
      </c>
      <c r="AZ431" s="9">
        <f t="shared" si="24"/>
        <v>0</v>
      </c>
      <c r="BJ431" s="9">
        <f t="shared" si="22"/>
        <v>0</v>
      </c>
      <c r="BL431" s="9">
        <f>'Gov Fd Rv'!AU433-'Gov Fnd Exp'!BJ431</f>
        <v>0</v>
      </c>
      <c r="BN431" s="8">
        <v>0</v>
      </c>
      <c r="BP431" s="8">
        <v>0</v>
      </c>
      <c r="BR431" s="8">
        <v>0</v>
      </c>
      <c r="BT431" s="9">
        <f t="shared" si="23"/>
        <v>0</v>
      </c>
      <c r="BU431" s="9"/>
      <c r="BV431" s="9">
        <f>BT431-'Gov Fd BS'!AA431</f>
        <v>0</v>
      </c>
    </row>
    <row r="432" spans="1:74">
      <c r="A432" s="13" t="s">
        <v>410</v>
      </c>
      <c r="B432" s="13"/>
      <c r="C432" s="13" t="s">
        <v>32</v>
      </c>
      <c r="D432" s="13"/>
      <c r="E432" s="32">
        <v>44677</v>
      </c>
      <c r="G432" s="8">
        <v>27339788</v>
      </c>
      <c r="I432" s="8">
        <v>7317052</v>
      </c>
      <c r="K432" s="8">
        <v>128333</v>
      </c>
      <c r="M432" s="8">
        <v>5670695</v>
      </c>
      <c r="O432" s="8">
        <v>4451245</v>
      </c>
      <c r="Q432" s="8">
        <v>5797624</v>
      </c>
      <c r="S432" s="8">
        <v>271234</v>
      </c>
      <c r="U432" s="8">
        <v>6217725</v>
      </c>
      <c r="W432" s="8">
        <v>2945291</v>
      </c>
      <c r="Y432" s="8">
        <v>564917</v>
      </c>
      <c r="AA432" s="8">
        <v>7951463</v>
      </c>
      <c r="AC432" s="8">
        <v>4466487</v>
      </c>
      <c r="AE432" s="8">
        <v>1646156</v>
      </c>
      <c r="AG432" s="8">
        <v>0</v>
      </c>
      <c r="AI432" s="8">
        <v>4056406</v>
      </c>
      <c r="AJ432" s="13" t="s">
        <v>410</v>
      </c>
      <c r="AK432" s="13"/>
      <c r="AL432" s="13" t="s">
        <v>32</v>
      </c>
      <c r="AN432" s="8">
        <v>1402027</v>
      </c>
      <c r="AP432" s="8">
        <v>7296149</v>
      </c>
      <c r="AR432" s="8">
        <v>0</v>
      </c>
      <c r="AT432" s="8">
        <v>2359000</v>
      </c>
      <c r="AV432" s="8">
        <v>3737224</v>
      </c>
      <c r="AX432" s="8">
        <v>0</v>
      </c>
      <c r="AZ432" s="9">
        <f t="shared" si="24"/>
        <v>93618816</v>
      </c>
      <c r="BB432" s="8">
        <v>2080616</v>
      </c>
      <c r="BH432" s="8">
        <v>0</v>
      </c>
      <c r="BJ432" s="9">
        <f t="shared" si="22"/>
        <v>95699432</v>
      </c>
      <c r="BL432" s="9">
        <f>'Gov Fd Rv'!AU434-'Gov Fnd Exp'!BJ432</f>
        <v>-10053888</v>
      </c>
      <c r="BN432" s="8">
        <v>49670196</v>
      </c>
      <c r="BP432" s="8">
        <v>0</v>
      </c>
      <c r="BR432" s="8">
        <v>0</v>
      </c>
      <c r="BT432" s="9">
        <f t="shared" si="23"/>
        <v>39616308</v>
      </c>
      <c r="BU432" s="9"/>
      <c r="BV432" s="9">
        <f>BT432-'Gov Fd BS'!AA432</f>
        <v>0</v>
      </c>
    </row>
    <row r="433" spans="1:74">
      <c r="A433" s="13" t="s">
        <v>224</v>
      </c>
      <c r="B433" s="13"/>
      <c r="C433" s="13" t="s">
        <v>12</v>
      </c>
      <c r="D433" s="13"/>
      <c r="E433" s="32">
        <v>45880</v>
      </c>
      <c r="G433" s="8">
        <v>4668523</v>
      </c>
      <c r="I433" s="8">
        <v>1387704</v>
      </c>
      <c r="K433" s="8">
        <v>206937</v>
      </c>
      <c r="M433" s="8">
        <v>653896</v>
      </c>
      <c r="O433" s="8">
        <v>556958</v>
      </c>
      <c r="Q433" s="8">
        <v>216024</v>
      </c>
      <c r="S433" s="8">
        <v>24196</v>
      </c>
      <c r="U433" s="8">
        <v>1136724</v>
      </c>
      <c r="W433" s="8">
        <v>267462</v>
      </c>
      <c r="Y433" s="8">
        <v>72993</v>
      </c>
      <c r="AA433" s="8">
        <v>1295220</v>
      </c>
      <c r="AC433" s="8">
        <v>1116304</v>
      </c>
      <c r="AE433" s="8">
        <v>65889</v>
      </c>
      <c r="AG433" s="8">
        <v>518056</v>
      </c>
      <c r="AI433" s="8">
        <v>21164</v>
      </c>
      <c r="AJ433" s="13" t="s">
        <v>224</v>
      </c>
      <c r="AK433" s="13"/>
      <c r="AL433" s="13" t="s">
        <v>12</v>
      </c>
      <c r="AN433" s="8">
        <v>472831</v>
      </c>
      <c r="AP433" s="8">
        <v>2044255</v>
      </c>
      <c r="AR433" s="8">
        <v>0</v>
      </c>
      <c r="AT433" s="8">
        <v>445661</v>
      </c>
      <c r="AV433" s="8">
        <v>310591</v>
      </c>
      <c r="AX433" s="8">
        <v>0</v>
      </c>
      <c r="AZ433" s="9">
        <f t="shared" si="24"/>
        <v>15481388</v>
      </c>
      <c r="BB433" s="8">
        <v>86040</v>
      </c>
      <c r="BH433" s="8">
        <v>0</v>
      </c>
      <c r="BJ433" s="9">
        <f t="shared" si="22"/>
        <v>15567428</v>
      </c>
      <c r="BL433" s="9">
        <f>'Gov Fd Rv'!AU435-'Gov Fnd Exp'!BJ433</f>
        <v>-770557</v>
      </c>
      <c r="BN433" s="8">
        <v>3657803</v>
      </c>
      <c r="BP433" s="8">
        <v>0</v>
      </c>
      <c r="BR433" s="8">
        <v>0</v>
      </c>
      <c r="BT433" s="9">
        <f t="shared" si="23"/>
        <v>2887246</v>
      </c>
      <c r="BU433" s="9"/>
      <c r="BV433" s="9">
        <f>BT433-'Gov Fd BS'!AA433</f>
        <v>0</v>
      </c>
    </row>
    <row r="434" spans="1:74">
      <c r="A434" s="12" t="s">
        <v>903</v>
      </c>
      <c r="B434" s="12"/>
      <c r="C434" s="12" t="s">
        <v>56</v>
      </c>
      <c r="D434" s="12"/>
      <c r="E434" s="32"/>
      <c r="G434" s="8">
        <v>12167921</v>
      </c>
      <c r="I434" s="8">
        <v>4411078</v>
      </c>
      <c r="K434" s="8">
        <v>333078</v>
      </c>
      <c r="M434" s="8">
        <v>1182384</v>
      </c>
      <c r="O434" s="8">
        <v>1398590</v>
      </c>
      <c r="Q434" s="8">
        <v>961708</v>
      </c>
      <c r="S434" s="8">
        <v>36906</v>
      </c>
      <c r="U434" s="8">
        <v>2633093</v>
      </c>
      <c r="W434" s="8">
        <v>664241</v>
      </c>
      <c r="Y434" s="8">
        <v>151610</v>
      </c>
      <c r="AA434" s="8">
        <v>2594623</v>
      </c>
      <c r="AC434" s="8">
        <v>1623447</v>
      </c>
      <c r="AE434" s="8">
        <v>702218</v>
      </c>
      <c r="AG434" s="8">
        <v>1352262</v>
      </c>
      <c r="AI434" s="8">
        <v>90906</v>
      </c>
      <c r="AJ434" s="13" t="s">
        <v>813</v>
      </c>
      <c r="AK434" s="13"/>
      <c r="AL434" s="13" t="s">
        <v>56</v>
      </c>
      <c r="AN434" s="8">
        <v>995616</v>
      </c>
      <c r="AP434" s="8">
        <v>1348604</v>
      </c>
      <c r="AR434" s="8">
        <v>0</v>
      </c>
      <c r="AT434" s="8">
        <v>520000</v>
      </c>
      <c r="AV434" s="8">
        <v>859100</v>
      </c>
      <c r="AX434" s="8">
        <v>0</v>
      </c>
      <c r="AZ434" s="9">
        <f t="shared" si="24"/>
        <v>34027385</v>
      </c>
      <c r="BB434" s="8">
        <v>175000</v>
      </c>
      <c r="BH434" s="8">
        <v>0</v>
      </c>
      <c r="BJ434" s="9">
        <f t="shared" si="22"/>
        <v>34202385</v>
      </c>
      <c r="BL434" s="9">
        <f>'Gov Fd Rv'!AU436-'Gov Fnd Exp'!BJ434</f>
        <v>6948230</v>
      </c>
      <c r="BN434" s="8">
        <v>22052069</v>
      </c>
      <c r="BP434" s="8">
        <v>0</v>
      </c>
      <c r="BR434" s="8">
        <v>0</v>
      </c>
      <c r="BT434" s="9">
        <f t="shared" si="23"/>
        <v>29000299</v>
      </c>
      <c r="BU434" s="9"/>
      <c r="BV434" s="9">
        <f>BT434-'Gov Fd BS'!AA434</f>
        <v>0</v>
      </c>
    </row>
    <row r="435" spans="1:74">
      <c r="A435" s="13" t="s">
        <v>411</v>
      </c>
      <c r="B435" s="13"/>
      <c r="C435" s="13" t="s">
        <v>32</v>
      </c>
      <c r="D435" s="13"/>
      <c r="E435" s="32">
        <v>44693</v>
      </c>
      <c r="G435" s="8">
        <v>6482879</v>
      </c>
      <c r="I435" s="8">
        <v>1808176</v>
      </c>
      <c r="K435" s="8">
        <v>91172</v>
      </c>
      <c r="M435" s="8">
        <v>395299</v>
      </c>
      <c r="O435" s="8">
        <v>918067</v>
      </c>
      <c r="Q435" s="8">
        <v>733945</v>
      </c>
      <c r="S435" s="8">
        <v>47281</v>
      </c>
      <c r="U435" s="8">
        <v>1248086</v>
      </c>
      <c r="W435" s="8">
        <v>425112</v>
      </c>
      <c r="Y435" s="8">
        <v>26889</v>
      </c>
      <c r="AA435" s="8">
        <v>1051609</v>
      </c>
      <c r="AC435" s="8">
        <v>305344</v>
      </c>
      <c r="AE435" s="8">
        <v>308942</v>
      </c>
      <c r="AG435" s="8">
        <v>0</v>
      </c>
      <c r="AI435" s="8">
        <v>1083458</v>
      </c>
      <c r="AJ435" s="13" t="s">
        <v>411</v>
      </c>
      <c r="AK435" s="13"/>
      <c r="AL435" s="13" t="s">
        <v>32</v>
      </c>
      <c r="AN435" s="8">
        <v>596472</v>
      </c>
      <c r="AP435" s="8">
        <v>0</v>
      </c>
      <c r="AR435" s="8">
        <v>0</v>
      </c>
      <c r="AT435" s="8">
        <v>53873</v>
      </c>
      <c r="AV435" s="8">
        <v>20959</v>
      </c>
      <c r="AX435" s="8">
        <v>0</v>
      </c>
      <c r="AZ435" s="9">
        <f t="shared" si="24"/>
        <v>15597563</v>
      </c>
      <c r="BB435" s="8">
        <v>59766</v>
      </c>
      <c r="BH435" s="8">
        <v>0</v>
      </c>
      <c r="BJ435" s="9">
        <f t="shared" si="22"/>
        <v>15657329</v>
      </c>
      <c r="BL435" s="9">
        <f>'Gov Fd Rv'!AU437-'Gov Fnd Exp'!BJ435</f>
        <v>-552084</v>
      </c>
      <c r="BN435" s="8">
        <v>3778989</v>
      </c>
      <c r="BP435" s="8">
        <v>0</v>
      </c>
      <c r="BR435" s="8">
        <v>0</v>
      </c>
      <c r="BT435" s="9">
        <f t="shared" si="23"/>
        <v>3226905</v>
      </c>
      <c r="BU435" s="9"/>
      <c r="BV435" s="9">
        <f>BT435-'Gov Fd BS'!AA435</f>
        <v>0</v>
      </c>
    </row>
    <row r="436" spans="1:74">
      <c r="A436" s="13" t="s">
        <v>675</v>
      </c>
      <c r="B436" s="13"/>
      <c r="C436" s="13" t="s">
        <v>63</v>
      </c>
      <c r="D436" s="13"/>
      <c r="E436" s="32">
        <v>50054</v>
      </c>
      <c r="G436" s="8">
        <v>13451735</v>
      </c>
      <c r="I436" s="8">
        <v>2540827</v>
      </c>
      <c r="K436" s="8">
        <v>431749</v>
      </c>
      <c r="M436" s="8">
        <v>443542</v>
      </c>
      <c r="O436" s="8">
        <v>1561671</v>
      </c>
      <c r="Q436" s="8">
        <v>830372</v>
      </c>
      <c r="S436" s="8">
        <v>371562</v>
      </c>
      <c r="U436" s="8">
        <v>2285028</v>
      </c>
      <c r="W436" s="8">
        <v>898900</v>
      </c>
      <c r="Y436" s="8">
        <v>74119</v>
      </c>
      <c r="AA436" s="8">
        <v>3665576</v>
      </c>
      <c r="AC436" s="8">
        <v>2421822</v>
      </c>
      <c r="AE436" s="8">
        <v>242040</v>
      </c>
      <c r="AG436" s="8">
        <v>758267</v>
      </c>
      <c r="AI436" s="8">
        <v>343959</v>
      </c>
      <c r="AJ436" s="13" t="s">
        <v>675</v>
      </c>
      <c r="AK436" s="13"/>
      <c r="AL436" s="13" t="s">
        <v>63</v>
      </c>
      <c r="AN436" s="8">
        <v>1043821</v>
      </c>
      <c r="AP436" s="8">
        <v>10260</v>
      </c>
      <c r="AR436" s="8">
        <v>0</v>
      </c>
      <c r="AT436" s="8">
        <v>972842</v>
      </c>
      <c r="AV436" s="8">
        <v>528136</v>
      </c>
      <c r="AX436" s="8">
        <v>0</v>
      </c>
      <c r="AZ436" s="9">
        <f t="shared" si="24"/>
        <v>32876228</v>
      </c>
      <c r="BB436" s="8">
        <v>60000</v>
      </c>
      <c r="BH436" s="8">
        <v>0</v>
      </c>
      <c r="BJ436" s="9">
        <f t="shared" si="22"/>
        <v>32936228</v>
      </c>
      <c r="BL436" s="9">
        <f>'Gov Fd Rv'!AU438-'Gov Fnd Exp'!BJ436</f>
        <v>1193640</v>
      </c>
      <c r="BN436" s="8">
        <v>14534524</v>
      </c>
      <c r="BP436" s="8">
        <v>0</v>
      </c>
      <c r="BR436" s="8">
        <v>0</v>
      </c>
      <c r="BT436" s="9">
        <f t="shared" si="23"/>
        <v>15728164</v>
      </c>
      <c r="BU436" s="9"/>
      <c r="BV436" s="9">
        <f>BT436-'Gov Fd BS'!AA436</f>
        <v>0</v>
      </c>
    </row>
    <row r="437" spans="1:74">
      <c r="A437" s="13" t="s">
        <v>366</v>
      </c>
      <c r="B437" s="13"/>
      <c r="C437" s="13" t="s">
        <v>27</v>
      </c>
      <c r="D437" s="13"/>
      <c r="E437" s="32">
        <v>47001</v>
      </c>
      <c r="G437" s="8">
        <v>27259894</v>
      </c>
      <c r="I437" s="8">
        <v>3728751</v>
      </c>
      <c r="K437" s="8">
        <v>78130</v>
      </c>
      <c r="M437" s="8">
        <v>67158</v>
      </c>
      <c r="O437" s="8">
        <v>9998045</v>
      </c>
      <c r="Q437" s="8">
        <v>1685194</v>
      </c>
      <c r="S437" s="8">
        <v>50299</v>
      </c>
      <c r="U437" s="8">
        <v>5726576</v>
      </c>
      <c r="W437" s="8">
        <v>1266720</v>
      </c>
      <c r="Y437" s="8">
        <v>419538</v>
      </c>
      <c r="AA437" s="8">
        <v>6200586</v>
      </c>
      <c r="AC437" s="8">
        <v>2996329</v>
      </c>
      <c r="AE437" s="8">
        <v>562670</v>
      </c>
      <c r="AG437" s="8">
        <v>2325239</v>
      </c>
      <c r="AI437" s="8">
        <v>37304</v>
      </c>
      <c r="AJ437" s="13" t="s">
        <v>366</v>
      </c>
      <c r="AK437" s="13"/>
      <c r="AL437" s="13" t="s">
        <v>27</v>
      </c>
      <c r="AN437" s="8">
        <v>1417336</v>
      </c>
      <c r="AP437" s="8">
        <f>122949+4862448</f>
        <v>4985397</v>
      </c>
      <c r="AR437" s="8">
        <v>308392</v>
      </c>
      <c r="AT437" s="8">
        <v>12396063</v>
      </c>
      <c r="AV437" s="8">
        <v>2796606</v>
      </c>
      <c r="AX437" s="8">
        <f>99658+899088</f>
        <v>998746</v>
      </c>
      <c r="AZ437" s="9">
        <f t="shared" si="24"/>
        <v>85304973</v>
      </c>
      <c r="BB437" s="8">
        <v>68924</v>
      </c>
      <c r="BH437" s="8">
        <v>0</v>
      </c>
      <c r="BJ437" s="9">
        <f t="shared" si="22"/>
        <v>85373897</v>
      </c>
      <c r="BL437" s="9">
        <f>'Gov Fd Rv'!AU439-'Gov Fnd Exp'!BJ437</f>
        <v>47982325</v>
      </c>
      <c r="BN437" s="8">
        <v>18279223</v>
      </c>
      <c r="BP437" s="8">
        <v>11453</v>
      </c>
      <c r="BR437" s="8">
        <v>0</v>
      </c>
      <c r="BT437" s="9">
        <f t="shared" si="23"/>
        <v>66273001</v>
      </c>
      <c r="BU437" s="9"/>
      <c r="BV437" s="9">
        <f>BT437-'Gov Fd BS'!AA437</f>
        <v>0</v>
      </c>
    </row>
    <row r="438" spans="1:74" hidden="1">
      <c r="A438" s="13" t="s">
        <v>322</v>
      </c>
      <c r="B438" s="13"/>
      <c r="C438" s="13" t="s">
        <v>20</v>
      </c>
      <c r="D438" s="13"/>
      <c r="E438" s="32">
        <v>46599</v>
      </c>
      <c r="G438" s="8">
        <v>0</v>
      </c>
      <c r="I438" s="8">
        <v>0</v>
      </c>
      <c r="K438" s="8">
        <v>0</v>
      </c>
      <c r="M438" s="8">
        <v>0</v>
      </c>
      <c r="O438" s="8">
        <v>0</v>
      </c>
      <c r="Q438" s="8">
        <v>0</v>
      </c>
      <c r="S438" s="8">
        <v>0</v>
      </c>
      <c r="U438" s="8">
        <v>0</v>
      </c>
      <c r="W438" s="8">
        <v>0</v>
      </c>
      <c r="Y438" s="8">
        <v>0</v>
      </c>
      <c r="AA438" s="8">
        <v>0</v>
      </c>
      <c r="AC438" s="8">
        <v>0</v>
      </c>
      <c r="AE438" s="8">
        <v>0</v>
      </c>
      <c r="AG438" s="8">
        <v>0</v>
      </c>
      <c r="AI438" s="8">
        <v>0</v>
      </c>
      <c r="AJ438" s="13" t="s">
        <v>322</v>
      </c>
      <c r="AK438" s="13"/>
      <c r="AL438" s="13" t="s">
        <v>20</v>
      </c>
      <c r="AN438" s="8">
        <v>0</v>
      </c>
      <c r="AP438" s="8">
        <v>0</v>
      </c>
      <c r="AR438" s="8">
        <v>0</v>
      </c>
      <c r="AT438" s="8">
        <v>0</v>
      </c>
      <c r="AV438" s="8">
        <v>0</v>
      </c>
      <c r="AX438" s="8">
        <v>0</v>
      </c>
      <c r="AZ438" s="9">
        <f t="shared" si="24"/>
        <v>0</v>
      </c>
      <c r="BB438" s="8">
        <v>0</v>
      </c>
      <c r="BH438" s="8">
        <v>0</v>
      </c>
      <c r="BJ438" s="9">
        <f t="shared" si="22"/>
        <v>0</v>
      </c>
      <c r="BL438" s="9">
        <f>'Gov Fd Rv'!AU440-'Gov Fnd Exp'!BJ438</f>
        <v>0</v>
      </c>
      <c r="BN438" s="8">
        <v>0</v>
      </c>
      <c r="BP438" s="8">
        <v>0</v>
      </c>
      <c r="BR438" s="8">
        <v>0</v>
      </c>
      <c r="BT438" s="9">
        <f t="shared" si="23"/>
        <v>0</v>
      </c>
      <c r="BU438" s="9"/>
      <c r="BV438" s="9">
        <f>BT438-'Gov Fd BS'!AA438</f>
        <v>0</v>
      </c>
    </row>
    <row r="439" spans="1:74">
      <c r="A439" s="13" t="s">
        <v>529</v>
      </c>
      <c r="B439" s="13"/>
      <c r="C439" s="13" t="s">
        <v>46</v>
      </c>
      <c r="D439" s="13"/>
      <c r="E439" s="32">
        <v>48439</v>
      </c>
      <c r="G439" s="8">
        <v>3030963</v>
      </c>
      <c r="I439" s="8">
        <v>548875</v>
      </c>
      <c r="K439" s="8">
        <v>137446</v>
      </c>
      <c r="M439" s="8">
        <v>1175169</v>
      </c>
      <c r="O439" s="8">
        <v>260030</v>
      </c>
      <c r="Q439" s="8">
        <v>239457</v>
      </c>
      <c r="S439" s="8">
        <v>42551</v>
      </c>
      <c r="U439" s="8">
        <v>643945</v>
      </c>
      <c r="W439" s="8">
        <v>236040</v>
      </c>
      <c r="Y439" s="8">
        <v>0</v>
      </c>
      <c r="AA439" s="8">
        <v>658162</v>
      </c>
      <c r="AC439" s="8">
        <v>513072</v>
      </c>
      <c r="AE439" s="8">
        <v>26001</v>
      </c>
      <c r="AG439" s="8">
        <v>333025</v>
      </c>
      <c r="AI439" s="8">
        <v>0</v>
      </c>
      <c r="AJ439" s="13" t="s">
        <v>529</v>
      </c>
      <c r="AK439" s="13"/>
      <c r="AL439" s="13" t="s">
        <v>46</v>
      </c>
      <c r="AN439" s="8">
        <v>245878</v>
      </c>
      <c r="AP439" s="8">
        <v>35210</v>
      </c>
      <c r="AR439" s="8">
        <v>0</v>
      </c>
      <c r="AT439" s="8">
        <v>93213</v>
      </c>
      <c r="AV439" s="8">
        <v>16672</v>
      </c>
      <c r="AX439" s="8">
        <v>0</v>
      </c>
      <c r="AZ439" s="9">
        <f t="shared" si="24"/>
        <v>8235709</v>
      </c>
      <c r="BB439" s="8">
        <v>0</v>
      </c>
      <c r="BH439" s="8">
        <v>0</v>
      </c>
      <c r="BJ439" s="9">
        <f t="shared" si="22"/>
        <v>8235709</v>
      </c>
      <c r="BL439" s="9">
        <f>'Gov Fd Rv'!AU441-'Gov Fnd Exp'!BJ439</f>
        <v>567460</v>
      </c>
      <c r="BN439" s="8">
        <v>1673666</v>
      </c>
      <c r="BP439" s="8">
        <v>0</v>
      </c>
      <c r="BR439" s="8">
        <v>0</v>
      </c>
      <c r="BT439" s="9">
        <f t="shared" si="23"/>
        <v>2241126</v>
      </c>
      <c r="BU439" s="9"/>
      <c r="BV439" s="9">
        <f>BT439-'Gov Fd BS'!AA439</f>
        <v>0</v>
      </c>
    </row>
    <row r="440" spans="1:74">
      <c r="A440" s="13" t="s">
        <v>429</v>
      </c>
      <c r="B440" s="13"/>
      <c r="C440" s="13" t="s">
        <v>426</v>
      </c>
      <c r="D440" s="13"/>
      <c r="E440" s="32">
        <v>47506</v>
      </c>
      <c r="G440" s="8">
        <v>2389413</v>
      </c>
      <c r="I440" s="8">
        <v>453525</v>
      </c>
      <c r="K440" s="8">
        <v>154538</v>
      </c>
      <c r="M440" s="8">
        <v>2916</v>
      </c>
      <c r="O440" s="8">
        <v>214456</v>
      </c>
      <c r="Q440" s="8">
        <v>248707</v>
      </c>
      <c r="S440" s="8">
        <v>28828</v>
      </c>
      <c r="U440" s="8">
        <v>600455</v>
      </c>
      <c r="W440" s="8">
        <v>203244</v>
      </c>
      <c r="Y440" s="8">
        <v>0</v>
      </c>
      <c r="AA440" s="8">
        <v>446512</v>
      </c>
      <c r="AC440" s="8">
        <v>307368</v>
      </c>
      <c r="AE440" s="8">
        <v>35808</v>
      </c>
      <c r="AG440" s="8">
        <v>0</v>
      </c>
      <c r="AI440" s="8">
        <v>626</v>
      </c>
      <c r="AJ440" s="13" t="s">
        <v>429</v>
      </c>
      <c r="AK440" s="13"/>
      <c r="AL440" s="13" t="s">
        <v>426</v>
      </c>
      <c r="AN440" s="8">
        <v>177284</v>
      </c>
      <c r="AP440" s="8">
        <v>20036</v>
      </c>
      <c r="AR440" s="8">
        <v>0</v>
      </c>
      <c r="AT440" s="8">
        <v>80573</v>
      </c>
      <c r="AV440" s="8">
        <v>109427</v>
      </c>
      <c r="AX440" s="8">
        <v>0</v>
      </c>
      <c r="AZ440" s="9">
        <f t="shared" si="24"/>
        <v>5473716</v>
      </c>
      <c r="BB440" s="8">
        <v>70000</v>
      </c>
      <c r="BH440" s="8">
        <v>0</v>
      </c>
      <c r="BJ440" s="9">
        <f t="shared" si="22"/>
        <v>5543716</v>
      </c>
      <c r="BL440" s="9">
        <f>'Gov Fd Rv'!AU442-'Gov Fnd Exp'!BJ440</f>
        <v>-108332</v>
      </c>
      <c r="BN440" s="8">
        <f>1367327+27443</f>
        <v>1394770</v>
      </c>
      <c r="BP440" s="8">
        <v>0</v>
      </c>
      <c r="BR440" s="8">
        <v>0</v>
      </c>
      <c r="BT440" s="9">
        <f t="shared" si="23"/>
        <v>1286438</v>
      </c>
      <c r="BU440" s="9"/>
      <c r="BV440" s="9">
        <f>BT440-'Gov Fd BS'!AA440</f>
        <v>0</v>
      </c>
    </row>
    <row r="441" spans="1:74">
      <c r="A441" s="13" t="s">
        <v>292</v>
      </c>
      <c r="B441" s="13"/>
      <c r="C441" s="13" t="s">
        <v>19</v>
      </c>
      <c r="D441" s="13"/>
      <c r="E441" s="32">
        <v>46474</v>
      </c>
      <c r="G441" s="8">
        <v>5310287</v>
      </c>
      <c r="I441" s="8">
        <v>996882</v>
      </c>
      <c r="K441" s="8">
        <v>221102</v>
      </c>
      <c r="M441" s="8">
        <v>38266</v>
      </c>
      <c r="O441" s="8">
        <v>445378</v>
      </c>
      <c r="Q441" s="8">
        <v>602166</v>
      </c>
      <c r="S441" s="8">
        <v>19147</v>
      </c>
      <c r="U441" s="8">
        <v>762414</v>
      </c>
      <c r="W441" s="8">
        <v>328943</v>
      </c>
      <c r="Y441" s="8">
        <v>0</v>
      </c>
      <c r="AA441" s="8">
        <v>1238864</v>
      </c>
      <c r="AC441" s="8">
        <v>845762</v>
      </c>
      <c r="AE441" s="8">
        <v>2819</v>
      </c>
      <c r="AG441" s="8">
        <v>519574</v>
      </c>
      <c r="AI441" s="8">
        <v>0</v>
      </c>
      <c r="AJ441" s="13" t="s">
        <v>292</v>
      </c>
      <c r="AK441" s="13"/>
      <c r="AL441" s="13" t="s">
        <v>19</v>
      </c>
      <c r="AN441" s="8">
        <v>375299</v>
      </c>
      <c r="AP441" s="8">
        <v>45128</v>
      </c>
      <c r="AR441" s="8">
        <v>0</v>
      </c>
      <c r="AT441" s="8">
        <v>185560</v>
      </c>
      <c r="AV441" s="8">
        <v>145009</v>
      </c>
      <c r="AX441" s="8">
        <v>0</v>
      </c>
      <c r="AZ441" s="9">
        <f t="shared" si="24"/>
        <v>12082600</v>
      </c>
      <c r="BB441" s="8">
        <v>35000</v>
      </c>
      <c r="BH441" s="8">
        <v>0</v>
      </c>
      <c r="BJ441" s="9">
        <f t="shared" si="22"/>
        <v>12117600</v>
      </c>
      <c r="BL441" s="9">
        <f>'Gov Fd Rv'!AU443-'Gov Fnd Exp'!BJ441</f>
        <v>801253</v>
      </c>
      <c r="BN441" s="8">
        <v>3435870</v>
      </c>
      <c r="BP441" s="8">
        <v>0</v>
      </c>
      <c r="BR441" s="8">
        <v>0</v>
      </c>
      <c r="BT441" s="9">
        <f t="shared" si="23"/>
        <v>4237123</v>
      </c>
      <c r="BU441" s="9"/>
      <c r="BV441" s="9">
        <f>BT441-'Gov Fd BS'!AA441</f>
        <v>0</v>
      </c>
    </row>
    <row r="442" spans="1:74">
      <c r="A442" s="13" t="s">
        <v>986</v>
      </c>
      <c r="B442" s="13"/>
      <c r="C442" s="13" t="s">
        <v>77</v>
      </c>
      <c r="D442" s="13"/>
      <c r="E442" s="32">
        <v>46078</v>
      </c>
      <c r="G442" s="8">
        <v>4677067</v>
      </c>
      <c r="I442" s="8">
        <v>1261169</v>
      </c>
      <c r="K442" s="8">
        <v>591066</v>
      </c>
      <c r="M442" s="8">
        <v>188325</v>
      </c>
      <c r="O442" s="8">
        <v>344816</v>
      </c>
      <c r="Q442" s="8">
        <v>877939</v>
      </c>
      <c r="S442" s="8">
        <v>102734</v>
      </c>
      <c r="U442" s="8">
        <v>824166</v>
      </c>
      <c r="W442" s="8">
        <v>312316</v>
      </c>
      <c r="Y442" s="8">
        <v>0</v>
      </c>
      <c r="AA442" s="8">
        <v>1211576</v>
      </c>
      <c r="AC442" s="8">
        <v>700671</v>
      </c>
      <c r="AE442" s="8">
        <v>77969</v>
      </c>
      <c r="AG442" s="8">
        <v>580138</v>
      </c>
      <c r="AI442" s="8">
        <v>30499</v>
      </c>
      <c r="AJ442" s="13" t="s">
        <v>243</v>
      </c>
      <c r="AK442" s="13"/>
      <c r="AL442" s="13" t="s">
        <v>77</v>
      </c>
      <c r="AN442" s="8">
        <v>176031</v>
      </c>
      <c r="AP442" s="8">
        <v>0</v>
      </c>
      <c r="AR442" s="8">
        <v>0</v>
      </c>
      <c r="AT442" s="8">
        <v>321095</v>
      </c>
      <c r="AV442" s="8">
        <v>223368</v>
      </c>
      <c r="AX442" s="8">
        <v>20114</v>
      </c>
      <c r="AZ442" s="9">
        <f t="shared" si="24"/>
        <v>12521059</v>
      </c>
      <c r="BB442" s="8">
        <v>0</v>
      </c>
      <c r="BH442" s="8">
        <v>0</v>
      </c>
      <c r="BJ442" s="9">
        <f t="shared" si="22"/>
        <v>12521059</v>
      </c>
      <c r="BL442" s="9">
        <f>'Gov Fd Rv'!AU444-'Gov Fnd Exp'!BJ442</f>
        <v>146360</v>
      </c>
      <c r="BN442" s="8">
        <v>3277140</v>
      </c>
      <c r="BP442" s="8">
        <v>0</v>
      </c>
      <c r="BR442" s="8">
        <v>0</v>
      </c>
      <c r="BT442" s="9">
        <f t="shared" si="23"/>
        <v>3423500</v>
      </c>
      <c r="BU442" s="9"/>
      <c r="BV442" s="9">
        <f>BT442-'Gov Fd BS'!AA442</f>
        <v>0</v>
      </c>
    </row>
    <row r="443" spans="1:74">
      <c r="A443" s="13" t="s">
        <v>730</v>
      </c>
      <c r="B443" s="13"/>
      <c r="C443" s="13" t="s">
        <v>71</v>
      </c>
      <c r="D443" s="13"/>
      <c r="E443" s="32">
        <v>45591</v>
      </c>
      <c r="G443" s="8">
        <v>4246769</v>
      </c>
      <c r="I443" s="8">
        <v>985962</v>
      </c>
      <c r="K443" s="8">
        <v>77478</v>
      </c>
      <c r="M443" s="8">
        <v>75444</v>
      </c>
      <c r="O443" s="8">
        <v>365988</v>
      </c>
      <c r="Q443" s="8">
        <v>555939</v>
      </c>
      <c r="S443" s="8">
        <v>69254</v>
      </c>
      <c r="U443" s="8">
        <v>698699</v>
      </c>
      <c r="W443" s="8">
        <v>334387</v>
      </c>
      <c r="Y443" s="8">
        <v>0</v>
      </c>
      <c r="AA443" s="8">
        <v>933570</v>
      </c>
      <c r="AC443" s="8">
        <v>188627</v>
      </c>
      <c r="AE443" s="8">
        <v>0</v>
      </c>
      <c r="AG443" s="8">
        <v>493421</v>
      </c>
      <c r="AI443" s="8">
        <v>0</v>
      </c>
      <c r="AJ443" s="13" t="s">
        <v>730</v>
      </c>
      <c r="AK443" s="13"/>
      <c r="AL443" s="13" t="s">
        <v>71</v>
      </c>
      <c r="AN443" s="8">
        <v>141817</v>
      </c>
      <c r="AP443" s="8">
        <v>210539</v>
      </c>
      <c r="AR443" s="8">
        <v>0</v>
      </c>
      <c r="AT443" s="8">
        <v>419082</v>
      </c>
      <c r="AV443" s="8">
        <v>205917</v>
      </c>
      <c r="AX443" s="8">
        <v>149861</v>
      </c>
      <c r="AZ443" s="9">
        <f t="shared" si="24"/>
        <v>10152754</v>
      </c>
      <c r="BB443" s="8">
        <v>46995</v>
      </c>
      <c r="BH443" s="8">
        <v>8480777</v>
      </c>
      <c r="BJ443" s="9">
        <f t="shared" si="22"/>
        <v>18680526</v>
      </c>
      <c r="BL443" s="9">
        <f>'Gov Fd Rv'!AU445-'Gov Fnd Exp'!BJ443</f>
        <v>666158</v>
      </c>
      <c r="BN443" s="8">
        <v>3302640</v>
      </c>
      <c r="BP443" s="8">
        <v>0</v>
      </c>
      <c r="BR443" s="8">
        <v>0</v>
      </c>
      <c r="BT443" s="9">
        <f t="shared" si="23"/>
        <v>3968798</v>
      </c>
      <c r="BU443" s="9"/>
      <c r="BV443" s="9">
        <f>BT443-'Gov Fd BS'!AA443</f>
        <v>0</v>
      </c>
    </row>
    <row r="444" spans="1:74">
      <c r="A444" s="13" t="s">
        <v>530</v>
      </c>
      <c r="B444" s="13"/>
      <c r="C444" s="13" t="s">
        <v>46</v>
      </c>
      <c r="D444" s="13"/>
      <c r="E444" s="32">
        <v>48447</v>
      </c>
      <c r="G444" s="8">
        <v>9427555</v>
      </c>
      <c r="I444" s="8">
        <v>1338847</v>
      </c>
      <c r="K444" s="8">
        <v>190479</v>
      </c>
      <c r="M444" s="8">
        <v>0</v>
      </c>
      <c r="O444" s="8">
        <v>460668</v>
      </c>
      <c r="Q444" s="8">
        <v>784907</v>
      </c>
      <c r="S444" s="8">
        <v>14481</v>
      </c>
      <c r="U444" s="8">
        <v>1275091</v>
      </c>
      <c r="W444" s="8">
        <v>500863</v>
      </c>
      <c r="Y444" s="8">
        <v>29940</v>
      </c>
      <c r="AA444" s="8">
        <v>1404387</v>
      </c>
      <c r="AC444" s="8">
        <v>887966</v>
      </c>
      <c r="AE444" s="8">
        <v>77207</v>
      </c>
      <c r="AG444" s="8">
        <v>0</v>
      </c>
      <c r="AI444" s="8">
        <v>772001</v>
      </c>
      <c r="AJ444" s="13" t="s">
        <v>530</v>
      </c>
      <c r="AK444" s="13"/>
      <c r="AL444" s="13" t="s">
        <v>46</v>
      </c>
      <c r="AN444" s="8">
        <v>420683</v>
      </c>
      <c r="AP444" s="8">
        <v>205058</v>
      </c>
      <c r="AR444" s="8">
        <v>0</v>
      </c>
      <c r="AT444" s="8">
        <v>658364</v>
      </c>
      <c r="AV444" s="8">
        <v>766682</v>
      </c>
      <c r="AX444" s="8">
        <v>134800</v>
      </c>
      <c r="AZ444" s="9">
        <f t="shared" si="24"/>
        <v>19349979</v>
      </c>
      <c r="BB444" s="8">
        <v>78219</v>
      </c>
      <c r="BH444" s="8">
        <v>9648412</v>
      </c>
      <c r="BJ444" s="9">
        <f t="shared" si="22"/>
        <v>29076610</v>
      </c>
      <c r="BL444" s="9">
        <f>'Gov Fd Rv'!AU446-'Gov Fnd Exp'!BJ444</f>
        <v>227</v>
      </c>
      <c r="BN444" s="8">
        <v>6472343</v>
      </c>
      <c r="BP444" s="8">
        <v>0</v>
      </c>
      <c r="BR444" s="8">
        <v>0</v>
      </c>
      <c r="BT444" s="9">
        <f t="shared" si="23"/>
        <v>6472570</v>
      </c>
      <c r="BU444" s="9"/>
      <c r="BV444" s="9">
        <f>BT444-'Gov Fd BS'!AA444</f>
        <v>0</v>
      </c>
    </row>
    <row r="445" spans="1:74">
      <c r="A445" s="13" t="s">
        <v>293</v>
      </c>
      <c r="B445" s="13"/>
      <c r="C445" s="13" t="s">
        <v>19</v>
      </c>
      <c r="D445" s="13"/>
      <c r="E445" s="32">
        <v>46482</v>
      </c>
      <c r="G445" s="8">
        <v>9048878</v>
      </c>
      <c r="I445" s="8">
        <v>2308612</v>
      </c>
      <c r="K445" s="8">
        <v>358812</v>
      </c>
      <c r="M445" s="8">
        <v>0</v>
      </c>
      <c r="O445" s="8">
        <v>781683</v>
      </c>
      <c r="Q445" s="8">
        <v>1017168</v>
      </c>
      <c r="S445" s="8">
        <v>47337</v>
      </c>
      <c r="U445" s="8">
        <v>1376112</v>
      </c>
      <c r="W445" s="8">
        <v>603906</v>
      </c>
      <c r="Y445" s="8">
        <v>0</v>
      </c>
      <c r="AA445" s="8">
        <v>1864370</v>
      </c>
      <c r="AC445" s="8">
        <v>1543757</v>
      </c>
      <c r="AE445" s="8">
        <v>355708</v>
      </c>
      <c r="AG445" s="8">
        <v>1004649</v>
      </c>
      <c r="AI445" s="8">
        <v>0</v>
      </c>
      <c r="AJ445" s="13" t="s">
        <v>293</v>
      </c>
      <c r="AK445" s="13"/>
      <c r="AL445" s="13" t="s">
        <v>19</v>
      </c>
      <c r="AN445" s="8">
        <v>414152</v>
      </c>
      <c r="AP445" s="8">
        <v>0</v>
      </c>
      <c r="AR445" s="8">
        <v>0</v>
      </c>
      <c r="AT445" s="8">
        <v>168378</v>
      </c>
      <c r="AV445" s="8">
        <v>103893</v>
      </c>
      <c r="AX445" s="8">
        <v>0</v>
      </c>
      <c r="AZ445" s="9">
        <f t="shared" si="24"/>
        <v>20997415</v>
      </c>
      <c r="BB445" s="8">
        <v>0</v>
      </c>
      <c r="BH445" s="8">
        <v>6277</v>
      </c>
      <c r="BJ445" s="9">
        <f t="shared" si="22"/>
        <v>21003692</v>
      </c>
      <c r="BL445" s="9">
        <f>'Gov Fd Rv'!AU447-'Gov Fnd Exp'!BJ445</f>
        <v>1793559</v>
      </c>
      <c r="BN445" s="8">
        <v>3811874</v>
      </c>
      <c r="BP445" s="8">
        <v>0</v>
      </c>
      <c r="BR445" s="8">
        <v>0</v>
      </c>
      <c r="BT445" s="9">
        <f t="shared" si="23"/>
        <v>5605433</v>
      </c>
      <c r="BU445" s="9"/>
      <c r="BV445" s="9">
        <f>BT445-'Gov Fd BS'!AA445</f>
        <v>0</v>
      </c>
    </row>
    <row r="446" spans="1:74">
      <c r="A446" s="13" t="s">
        <v>430</v>
      </c>
      <c r="B446" s="13"/>
      <c r="C446" s="13" t="s">
        <v>426</v>
      </c>
      <c r="D446" s="13"/>
      <c r="E446" s="32">
        <v>47514</v>
      </c>
      <c r="G446" s="8">
        <v>4071238</v>
      </c>
      <c r="I446" s="8">
        <v>1063049</v>
      </c>
      <c r="K446" s="8">
        <v>257111</v>
      </c>
      <c r="M446" s="8">
        <v>741928</v>
      </c>
      <c r="O446" s="8">
        <v>286798</v>
      </c>
      <c r="Q446" s="8">
        <v>441352</v>
      </c>
      <c r="S446" s="8">
        <v>89887</v>
      </c>
      <c r="U446" s="8">
        <v>771377</v>
      </c>
      <c r="W446" s="8">
        <v>231300</v>
      </c>
      <c r="Y446" s="8">
        <v>31641</v>
      </c>
      <c r="AA446" s="8">
        <v>1132400</v>
      </c>
      <c r="AC446" s="8">
        <v>840808</v>
      </c>
      <c r="AE446" s="8">
        <v>42535</v>
      </c>
      <c r="AG446" s="8">
        <v>0</v>
      </c>
      <c r="AI446" s="8">
        <v>382355</v>
      </c>
      <c r="AJ446" s="13" t="s">
        <v>430</v>
      </c>
      <c r="AK446" s="13"/>
      <c r="AL446" s="13" t="s">
        <v>426</v>
      </c>
      <c r="AN446" s="8">
        <v>356686</v>
      </c>
      <c r="AP446" s="8">
        <v>58355</v>
      </c>
      <c r="AR446" s="8">
        <v>0</v>
      </c>
      <c r="AT446" s="8">
        <v>235854</v>
      </c>
      <c r="AV446" s="8">
        <v>230770</v>
      </c>
      <c r="AX446" s="8">
        <v>0</v>
      </c>
      <c r="AZ446" s="9">
        <f t="shared" si="24"/>
        <v>11265444</v>
      </c>
      <c r="BB446" s="8">
        <v>4513</v>
      </c>
      <c r="BH446" s="8">
        <v>0</v>
      </c>
      <c r="BJ446" s="9">
        <f t="shared" si="22"/>
        <v>11269957</v>
      </c>
      <c r="BL446" s="9">
        <f>'Gov Fd Rv'!AU448-'Gov Fnd Exp'!BJ446</f>
        <v>-344774</v>
      </c>
      <c r="BN446" s="8">
        <v>4055689</v>
      </c>
      <c r="BP446" s="8">
        <v>0</v>
      </c>
      <c r="BR446" s="8">
        <v>0</v>
      </c>
      <c r="BT446" s="9">
        <f t="shared" si="23"/>
        <v>3710915</v>
      </c>
      <c r="BU446" s="9"/>
      <c r="BV446" s="9">
        <f>BT446-'Gov Fd BS'!AA446</f>
        <v>0</v>
      </c>
    </row>
    <row r="447" spans="1:74">
      <c r="A447" s="13" t="s">
        <v>488</v>
      </c>
      <c r="B447" s="13"/>
      <c r="C447" s="13" t="s">
        <v>41</v>
      </c>
      <c r="D447" s="13"/>
      <c r="E447" s="32"/>
      <c r="G447" s="8">
        <v>18674206</v>
      </c>
      <c r="I447" s="8">
        <v>3278438</v>
      </c>
      <c r="K447" s="8">
        <v>0</v>
      </c>
      <c r="M447" s="8">
        <v>640132</v>
      </c>
      <c r="O447" s="8">
        <v>1872428</v>
      </c>
      <c r="Q447" s="8">
        <v>1724095</v>
      </c>
      <c r="S447" s="8">
        <v>18227</v>
      </c>
      <c r="U447" s="8">
        <v>4632807</v>
      </c>
      <c r="W447" s="8">
        <v>1046478</v>
      </c>
      <c r="Y447" s="8">
        <v>101990</v>
      </c>
      <c r="AA447" s="8">
        <v>5369756</v>
      </c>
      <c r="AC447" s="8">
        <v>5013302</v>
      </c>
      <c r="AE447" s="8">
        <v>64587</v>
      </c>
      <c r="AG447" s="8">
        <v>28598</v>
      </c>
      <c r="AI447" s="8">
        <v>78620</v>
      </c>
      <c r="AJ447" s="13" t="s">
        <v>488</v>
      </c>
      <c r="AK447" s="13"/>
      <c r="AL447" s="13" t="s">
        <v>41</v>
      </c>
      <c r="AN447" s="8">
        <v>758900</v>
      </c>
      <c r="AP447" s="8">
        <v>0</v>
      </c>
      <c r="AR447" s="8">
        <v>0</v>
      </c>
      <c r="AT447" s="8">
        <v>438823</v>
      </c>
      <c r="AV447" s="8">
        <v>438857</v>
      </c>
      <c r="AX447" s="8">
        <v>0</v>
      </c>
      <c r="AZ447" s="9">
        <f t="shared" si="24"/>
        <v>44180244</v>
      </c>
      <c r="BB447" s="8">
        <v>443342</v>
      </c>
      <c r="BH447" s="8">
        <v>0</v>
      </c>
      <c r="BJ447" s="9">
        <f t="shared" si="22"/>
        <v>44623586</v>
      </c>
      <c r="BL447" s="9">
        <f>'Gov Fd Rv'!AU449-'Gov Fnd Exp'!BJ447</f>
        <v>132706</v>
      </c>
      <c r="BN447" s="8">
        <f>7406365-298690</f>
        <v>7107675</v>
      </c>
      <c r="BP447" s="8">
        <v>-29010</v>
      </c>
      <c r="BR447" s="8">
        <v>0</v>
      </c>
      <c r="BT447" s="9">
        <f t="shared" si="23"/>
        <v>7211371</v>
      </c>
      <c r="BU447" s="9"/>
      <c r="BV447" s="9">
        <f>BT447-'Gov Fd BS'!AA447</f>
        <v>0</v>
      </c>
    </row>
    <row r="448" spans="1:74">
      <c r="A448" s="13" t="s">
        <v>488</v>
      </c>
      <c r="B448" s="13"/>
      <c r="C448" s="13" t="s">
        <v>43</v>
      </c>
      <c r="D448" s="13"/>
      <c r="E448" s="32">
        <v>48090</v>
      </c>
      <c r="G448" s="8">
        <v>3502945</v>
      </c>
      <c r="I448" s="8">
        <v>721739</v>
      </c>
      <c r="K448" s="8">
        <v>111726</v>
      </c>
      <c r="M448" s="8">
        <v>0</v>
      </c>
      <c r="O448" s="8">
        <v>209208</v>
      </c>
      <c r="Q448" s="8">
        <v>531779</v>
      </c>
      <c r="S448" s="8">
        <v>18421</v>
      </c>
      <c r="U448" s="8">
        <v>579528</v>
      </c>
      <c r="W448" s="8">
        <v>243496</v>
      </c>
      <c r="Y448" s="8">
        <v>15455</v>
      </c>
      <c r="AA448" s="8">
        <v>832499</v>
      </c>
      <c r="AC448" s="8">
        <v>415567</v>
      </c>
      <c r="AE448" s="8">
        <v>42016</v>
      </c>
      <c r="AG448" s="8">
        <v>313422</v>
      </c>
      <c r="AI448" s="8">
        <v>74773</v>
      </c>
      <c r="AJ448" s="13" t="s">
        <v>488</v>
      </c>
      <c r="AK448" s="13"/>
      <c r="AL448" s="13" t="s">
        <v>43</v>
      </c>
      <c r="AN448" s="8">
        <v>202274</v>
      </c>
      <c r="AP448" s="8">
        <v>0</v>
      </c>
      <c r="AR448" s="8">
        <v>0</v>
      </c>
      <c r="AT448" s="8">
        <v>150000</v>
      </c>
      <c r="AV448" s="8">
        <v>85277</v>
      </c>
      <c r="AX448" s="8">
        <v>0</v>
      </c>
      <c r="AZ448" s="9">
        <f t="shared" si="24"/>
        <v>8050125</v>
      </c>
      <c r="BB448" s="8">
        <v>1000</v>
      </c>
      <c r="BH448" s="8">
        <v>0</v>
      </c>
      <c r="BJ448" s="9">
        <f t="shared" si="22"/>
        <v>8051125</v>
      </c>
      <c r="BL448" s="9">
        <f>'Gov Fd Rv'!AU450-'Gov Fnd Exp'!BJ448</f>
        <v>-497165</v>
      </c>
      <c r="BN448" s="8">
        <v>1370165</v>
      </c>
      <c r="BP448" s="8">
        <v>0</v>
      </c>
      <c r="BR448" s="8">
        <v>0</v>
      </c>
      <c r="BT448" s="9">
        <f t="shared" si="23"/>
        <v>873000</v>
      </c>
      <c r="BU448" s="9"/>
      <c r="BV448" s="9">
        <f>BT448-'Gov Fd BS'!AA448</f>
        <v>0</v>
      </c>
    </row>
    <row r="449" spans="1:74">
      <c r="A449" s="13" t="s">
        <v>475</v>
      </c>
      <c r="B449" s="13"/>
      <c r="C449" s="13" t="s">
        <v>471</v>
      </c>
      <c r="D449" s="13"/>
      <c r="E449" s="32">
        <v>47944</v>
      </c>
      <c r="G449" s="8">
        <v>7971478</v>
      </c>
      <c r="I449" s="8">
        <v>2706433</v>
      </c>
      <c r="K449" s="8">
        <v>231797</v>
      </c>
      <c r="M449" s="8">
        <v>0</v>
      </c>
      <c r="O449" s="8">
        <v>455124</v>
      </c>
      <c r="Q449" s="8">
        <v>614571</v>
      </c>
      <c r="S449" s="8">
        <v>270463</v>
      </c>
      <c r="U449" s="8">
        <v>1325515</v>
      </c>
      <c r="W449" s="8">
        <v>336289</v>
      </c>
      <c r="Y449" s="8">
        <v>0</v>
      </c>
      <c r="AA449" s="8">
        <v>3379918</v>
      </c>
      <c r="AC449" s="8">
        <v>1652151</v>
      </c>
      <c r="AE449" s="8">
        <v>60480</v>
      </c>
      <c r="AG449" s="8">
        <v>1260502</v>
      </c>
      <c r="AI449" s="8">
        <v>0</v>
      </c>
      <c r="AJ449" s="13" t="s">
        <v>475</v>
      </c>
      <c r="AK449" s="13"/>
      <c r="AL449" s="13" t="s">
        <v>471</v>
      </c>
      <c r="AN449" s="8">
        <v>351465</v>
      </c>
      <c r="AP449" s="8">
        <v>567958</v>
      </c>
      <c r="AR449" s="8">
        <v>0</v>
      </c>
      <c r="AT449" s="8">
        <v>0</v>
      </c>
      <c r="AV449" s="8">
        <v>0</v>
      </c>
      <c r="AX449" s="8">
        <v>0</v>
      </c>
      <c r="AZ449" s="9">
        <f t="shared" si="24"/>
        <v>21184144</v>
      </c>
      <c r="BB449" s="8">
        <v>560762</v>
      </c>
      <c r="BH449" s="8">
        <v>0</v>
      </c>
      <c r="BJ449" s="9">
        <f t="shared" si="22"/>
        <v>21744906</v>
      </c>
      <c r="BL449" s="9">
        <f>'Gov Fd Rv'!AU451-'Gov Fnd Exp'!BJ449</f>
        <v>-1817895</v>
      </c>
      <c r="BN449" s="8">
        <v>9201796</v>
      </c>
      <c r="BP449" s="8">
        <v>0</v>
      </c>
      <c r="BR449" s="8">
        <v>0</v>
      </c>
      <c r="BT449" s="9">
        <f t="shared" si="23"/>
        <v>7383901</v>
      </c>
      <c r="BU449" s="9"/>
      <c r="BV449" s="9">
        <f>BT449-'Gov Fd BS'!AA449</f>
        <v>0</v>
      </c>
    </row>
    <row r="450" spans="1:74">
      <c r="A450" s="13" t="s">
        <v>323</v>
      </c>
      <c r="B450" s="13"/>
      <c r="C450" s="13" t="s">
        <v>20</v>
      </c>
      <c r="D450" s="13"/>
      <c r="E450" s="32">
        <v>44701</v>
      </c>
      <c r="G450" s="8">
        <v>13326223</v>
      </c>
      <c r="I450" s="8">
        <v>3715276</v>
      </c>
      <c r="K450" s="8">
        <v>413149</v>
      </c>
      <c r="M450" s="8">
        <v>26948</v>
      </c>
      <c r="O450" s="8">
        <v>1873323</v>
      </c>
      <c r="Q450" s="8">
        <v>861608</v>
      </c>
      <c r="S450" s="8">
        <v>38499</v>
      </c>
      <c r="U450" s="8">
        <v>2053567</v>
      </c>
      <c r="W450" s="8">
        <v>714321</v>
      </c>
      <c r="Y450" s="8">
        <v>450682</v>
      </c>
      <c r="AA450" s="8">
        <v>3329102</v>
      </c>
      <c r="AC450" s="8">
        <v>1845272</v>
      </c>
      <c r="AE450" s="8">
        <v>664206</v>
      </c>
      <c r="AG450" s="8">
        <v>0</v>
      </c>
      <c r="AI450" s="8">
        <v>166761</v>
      </c>
      <c r="AJ450" s="13" t="s">
        <v>323</v>
      </c>
      <c r="AK450" s="13"/>
      <c r="AL450" s="13" t="s">
        <v>20</v>
      </c>
      <c r="AN450" s="8">
        <v>1110154</v>
      </c>
      <c r="AP450" s="8">
        <v>34638</v>
      </c>
      <c r="AR450" s="8">
        <v>1409413</v>
      </c>
      <c r="AT450" s="8">
        <v>2192469</v>
      </c>
      <c r="AV450" s="8">
        <v>889329</v>
      </c>
      <c r="AX450" s="8">
        <v>0</v>
      </c>
      <c r="AZ450" s="9">
        <f t="shared" si="24"/>
        <v>35114940</v>
      </c>
      <c r="BB450" s="8">
        <v>0</v>
      </c>
      <c r="BH450" s="8">
        <v>0</v>
      </c>
      <c r="BJ450" s="9">
        <f t="shared" si="22"/>
        <v>35114940</v>
      </c>
      <c r="BL450" s="9">
        <f>'Gov Fd Rv'!AU452-'Gov Fnd Exp'!BJ450</f>
        <v>-853471</v>
      </c>
      <c r="BN450" s="8">
        <v>3191408</v>
      </c>
      <c r="BP450" s="8">
        <v>0</v>
      </c>
      <c r="BR450" s="8">
        <v>0</v>
      </c>
      <c r="BT450" s="9">
        <f t="shared" si="23"/>
        <v>2337937</v>
      </c>
      <c r="BU450" s="9"/>
      <c r="BV450" s="9">
        <f>BT450-'Gov Fd BS'!AA450</f>
        <v>0</v>
      </c>
    </row>
    <row r="451" spans="1:74">
      <c r="A451" s="13" t="s">
        <v>395</v>
      </c>
      <c r="B451" s="13"/>
      <c r="C451" s="13" t="s">
        <v>31</v>
      </c>
      <c r="D451" s="13"/>
      <c r="E451" s="32">
        <v>47308</v>
      </c>
      <c r="G451" s="8">
        <v>8070622</v>
      </c>
      <c r="I451" s="8">
        <v>1884861</v>
      </c>
      <c r="K451" s="8">
        <v>322312</v>
      </c>
      <c r="M451" s="8">
        <v>0</v>
      </c>
      <c r="O451" s="8">
        <v>601649</v>
      </c>
      <c r="Q451" s="8">
        <v>1057133</v>
      </c>
      <c r="S451" s="8">
        <v>28620</v>
      </c>
      <c r="U451" s="8">
        <v>1319171</v>
      </c>
      <c r="W451" s="8">
        <v>518638</v>
      </c>
      <c r="Y451" s="8">
        <v>0</v>
      </c>
      <c r="AA451" s="8">
        <v>1687420</v>
      </c>
      <c r="AC451" s="8">
        <v>788988</v>
      </c>
      <c r="AE451" s="8">
        <v>24848</v>
      </c>
      <c r="AG451" s="8">
        <v>931456</v>
      </c>
      <c r="AI451" s="8">
        <v>9905</v>
      </c>
      <c r="AJ451" s="13" t="s">
        <v>395</v>
      </c>
      <c r="AK451" s="13"/>
      <c r="AL451" s="13" t="s">
        <v>31</v>
      </c>
      <c r="AN451" s="8">
        <v>236238</v>
      </c>
      <c r="AP451" s="8">
        <v>58976</v>
      </c>
      <c r="AR451" s="8">
        <v>0</v>
      </c>
      <c r="AT451" s="8">
        <v>325000</v>
      </c>
      <c r="AV451" s="8">
        <v>43875</v>
      </c>
      <c r="AX451" s="8">
        <v>0</v>
      </c>
      <c r="AZ451" s="9">
        <f t="shared" si="24"/>
        <v>17909712</v>
      </c>
      <c r="BB451" s="8">
        <v>200000</v>
      </c>
      <c r="BH451" s="8">
        <v>0</v>
      </c>
      <c r="BJ451" s="9">
        <f t="shared" si="22"/>
        <v>18109712</v>
      </c>
      <c r="BL451" s="9">
        <f>'Gov Fd Rv'!AU453-'Gov Fnd Exp'!BJ451</f>
        <v>165695</v>
      </c>
      <c r="BN451" s="8">
        <v>1970367</v>
      </c>
      <c r="BP451" s="8">
        <v>0</v>
      </c>
      <c r="BR451" s="8">
        <v>0</v>
      </c>
      <c r="BT451" s="9">
        <f t="shared" si="23"/>
        <v>2136062</v>
      </c>
      <c r="BU451" s="9"/>
      <c r="BV451" s="9">
        <f>BT451-'Gov Fd BS'!AA451</f>
        <v>0</v>
      </c>
    </row>
    <row r="452" spans="1:74">
      <c r="A452" s="13" t="s">
        <v>600</v>
      </c>
      <c r="B452" s="13"/>
      <c r="C452" s="13" t="s">
        <v>56</v>
      </c>
      <c r="D452" s="13"/>
      <c r="E452" s="32">
        <v>49213</v>
      </c>
      <c r="G452" s="8">
        <v>5041202</v>
      </c>
      <c r="I452" s="8">
        <v>1188294</v>
      </c>
      <c r="K452" s="8">
        <v>331355</v>
      </c>
      <c r="M452" s="8">
        <v>558119</v>
      </c>
      <c r="O452" s="8">
        <v>503942</v>
      </c>
      <c r="Q452" s="8">
        <v>374214</v>
      </c>
      <c r="S452" s="8">
        <v>25833</v>
      </c>
      <c r="U452" s="8">
        <v>784286</v>
      </c>
      <c r="W452" s="8">
        <v>350142</v>
      </c>
      <c r="Y452" s="8">
        <v>10854</v>
      </c>
      <c r="AA452" s="8">
        <v>1009428</v>
      </c>
      <c r="AC452" s="8">
        <v>734075</v>
      </c>
      <c r="AE452" s="8">
        <v>17363</v>
      </c>
      <c r="AG452" s="8">
        <v>412278</v>
      </c>
      <c r="AI452" s="8">
        <v>15621</v>
      </c>
      <c r="AJ452" s="13" t="s">
        <v>600</v>
      </c>
      <c r="AK452" s="13"/>
      <c r="AL452" s="13" t="s">
        <v>56</v>
      </c>
      <c r="AN452" s="8">
        <v>338690</v>
      </c>
      <c r="AP452" s="8">
        <v>41396</v>
      </c>
      <c r="AR452" s="8">
        <v>0</v>
      </c>
      <c r="AT452" s="8">
        <v>150000</v>
      </c>
      <c r="AV452" s="8">
        <v>22113</v>
      </c>
      <c r="AX452" s="8">
        <v>27155</v>
      </c>
      <c r="AZ452" s="9">
        <f t="shared" si="24"/>
        <v>11936360</v>
      </c>
      <c r="BB452" s="8">
        <v>0</v>
      </c>
      <c r="BH452" s="8">
        <v>0</v>
      </c>
      <c r="BJ452" s="9">
        <f t="shared" si="22"/>
        <v>11936360</v>
      </c>
      <c r="BL452" s="9">
        <f>'Gov Fd Rv'!AU454-'Gov Fnd Exp'!BJ452</f>
        <v>-172343</v>
      </c>
      <c r="BN452" s="8">
        <v>-128819</v>
      </c>
      <c r="BP452" s="8">
        <v>0</v>
      </c>
      <c r="BR452" s="8">
        <v>0</v>
      </c>
      <c r="BT452" s="9">
        <f t="shared" si="23"/>
        <v>-301162</v>
      </c>
      <c r="BU452" s="9"/>
      <c r="BV452" s="9">
        <f>BT452-'Gov Fd BS'!AA452</f>
        <v>0</v>
      </c>
    </row>
    <row r="453" spans="1:74">
      <c r="A453" s="13" t="s">
        <v>254</v>
      </c>
      <c r="B453" s="13"/>
      <c r="C453" s="13" t="s">
        <v>246</v>
      </c>
      <c r="D453" s="13"/>
      <c r="E453" s="32">
        <v>46144</v>
      </c>
      <c r="G453" s="8">
        <v>10938234</v>
      </c>
      <c r="I453" s="8">
        <v>1828241</v>
      </c>
      <c r="K453" s="8">
        <v>0</v>
      </c>
      <c r="M453" s="8">
        <v>224071</v>
      </c>
      <c r="O453" s="8">
        <v>993799</v>
      </c>
      <c r="Q453" s="8">
        <v>1420677</v>
      </c>
      <c r="S453" s="8">
        <v>27103</v>
      </c>
      <c r="U453" s="8">
        <v>1879562</v>
      </c>
      <c r="W453" s="8">
        <v>642145</v>
      </c>
      <c r="Y453" s="8">
        <v>0</v>
      </c>
      <c r="AA453" s="8">
        <v>1931543</v>
      </c>
      <c r="AC453" s="8">
        <v>1808953</v>
      </c>
      <c r="AE453" s="8">
        <v>32014</v>
      </c>
      <c r="AG453" s="8">
        <v>1007494</v>
      </c>
      <c r="AI453" s="8">
        <v>0</v>
      </c>
      <c r="AJ453" s="13" t="s">
        <v>254</v>
      </c>
      <c r="AK453" s="13"/>
      <c r="AL453" s="13" t="s">
        <v>246</v>
      </c>
      <c r="AN453" s="8">
        <v>908045</v>
      </c>
      <c r="AP453" s="8">
        <v>890594</v>
      </c>
      <c r="AR453" s="8">
        <v>0</v>
      </c>
      <c r="AT453" s="8">
        <v>1005492</v>
      </c>
      <c r="AV453" s="8">
        <v>896377</v>
      </c>
      <c r="AX453" s="8">
        <v>0</v>
      </c>
      <c r="AZ453" s="9">
        <f t="shared" si="24"/>
        <v>26434344</v>
      </c>
      <c r="BB453" s="8">
        <v>4569</v>
      </c>
      <c r="BH453" s="8">
        <v>0</v>
      </c>
      <c r="BJ453" s="9">
        <f t="shared" si="22"/>
        <v>26438913</v>
      </c>
      <c r="BL453" s="9">
        <f>'Gov Fd Rv'!AU455-'Gov Fnd Exp'!BJ453</f>
        <v>690614</v>
      </c>
      <c r="BN453" s="8">
        <v>3656159</v>
      </c>
      <c r="BP453" s="8">
        <v>0</v>
      </c>
      <c r="BR453" s="8">
        <v>0</v>
      </c>
      <c r="BT453" s="9">
        <f t="shared" si="23"/>
        <v>4346773</v>
      </c>
      <c r="BU453" s="9"/>
      <c r="BV453" s="9">
        <f>BT453-'Gov Fd BS'!AA453</f>
        <v>0</v>
      </c>
    </row>
    <row r="454" spans="1:74" ht="12" customHeight="1">
      <c r="A454" s="13" t="s">
        <v>745</v>
      </c>
      <c r="B454" s="13"/>
      <c r="C454" s="13" t="s">
        <v>72</v>
      </c>
      <c r="D454" s="13"/>
      <c r="E454" s="32">
        <v>45609</v>
      </c>
      <c r="G454" s="8">
        <v>10421386</v>
      </c>
      <c r="I454" s="8">
        <v>2263842</v>
      </c>
      <c r="K454" s="8">
        <v>248650</v>
      </c>
      <c r="M454" s="8">
        <v>23675</v>
      </c>
      <c r="O454" s="8">
        <v>1805253</v>
      </c>
      <c r="Q454" s="8">
        <v>1143242</v>
      </c>
      <c r="S454" s="8">
        <v>57706</v>
      </c>
      <c r="U454" s="8">
        <v>1771827</v>
      </c>
      <c r="W454" s="8">
        <v>495152</v>
      </c>
      <c r="Y454" s="8">
        <v>114697</v>
      </c>
      <c r="AA454" s="8">
        <v>2841307</v>
      </c>
      <c r="AC454" s="8">
        <v>892856</v>
      </c>
      <c r="AE454" s="8">
        <v>472348</v>
      </c>
      <c r="AG454" s="8">
        <v>0</v>
      </c>
      <c r="AI454" s="8">
        <v>961233</v>
      </c>
      <c r="AJ454" s="34" t="s">
        <v>745</v>
      </c>
      <c r="AK454" s="34"/>
      <c r="AL454" s="34" t="s">
        <v>72</v>
      </c>
      <c r="AM454" s="35"/>
      <c r="AN454" s="8">
        <v>717946</v>
      </c>
      <c r="AP454" s="8">
        <v>5177</v>
      </c>
      <c r="AR454" s="8">
        <v>0</v>
      </c>
      <c r="AT454" s="8">
        <v>0</v>
      </c>
      <c r="AV454" s="8">
        <v>0</v>
      </c>
      <c r="AX454" s="8">
        <v>0</v>
      </c>
      <c r="AZ454" s="9">
        <f t="shared" si="24"/>
        <v>24236297</v>
      </c>
      <c r="BB454" s="8">
        <v>17375</v>
      </c>
      <c r="BH454" s="8">
        <v>0</v>
      </c>
      <c r="BJ454" s="9">
        <f t="shared" si="22"/>
        <v>24253672</v>
      </c>
      <c r="BL454" s="9">
        <f>'Gov Fd Rv'!AU456-'Gov Fnd Exp'!BJ454</f>
        <v>813606</v>
      </c>
      <c r="BN454" s="8">
        <v>8940355</v>
      </c>
      <c r="BP454" s="8">
        <v>0</v>
      </c>
      <c r="BR454" s="8">
        <v>0</v>
      </c>
      <c r="BT454" s="9">
        <f t="shared" si="23"/>
        <v>9753961</v>
      </c>
      <c r="BU454" s="9"/>
      <c r="BV454" s="9">
        <f>BT454-'Gov Fd BS'!AA454</f>
        <v>0</v>
      </c>
    </row>
    <row r="455" spans="1:74">
      <c r="A455" s="13" t="s">
        <v>651</v>
      </c>
      <c r="B455" s="13"/>
      <c r="C455" s="13" t="s">
        <v>61</v>
      </c>
      <c r="D455" s="13"/>
      <c r="E455" s="13">
        <v>49817</v>
      </c>
      <c r="G455" s="8">
        <v>1930498</v>
      </c>
      <c r="I455" s="8">
        <v>523766</v>
      </c>
      <c r="K455" s="8">
        <v>278</v>
      </c>
      <c r="M455" s="8">
        <v>9738</v>
      </c>
      <c r="O455" s="8">
        <v>89467</v>
      </c>
      <c r="Q455" s="8">
        <v>114402</v>
      </c>
      <c r="S455" s="8">
        <v>9672</v>
      </c>
      <c r="U455" s="8">
        <v>336320</v>
      </c>
      <c r="W455" s="8">
        <v>134842</v>
      </c>
      <c r="Y455" s="8">
        <v>935</v>
      </c>
      <c r="AA455" s="8">
        <v>399894</v>
      </c>
      <c r="AC455" s="8">
        <v>236775</v>
      </c>
      <c r="AE455" s="8">
        <v>121412</v>
      </c>
      <c r="AG455" s="8">
        <v>0</v>
      </c>
      <c r="AI455" s="8">
        <v>143581</v>
      </c>
      <c r="AJ455" s="13" t="s">
        <v>651</v>
      </c>
      <c r="AK455" s="13"/>
      <c r="AL455" s="13" t="s">
        <v>61</v>
      </c>
      <c r="AN455" s="8">
        <v>180206</v>
      </c>
      <c r="AP455" s="8">
        <v>0</v>
      </c>
      <c r="AR455" s="8">
        <v>0</v>
      </c>
      <c r="AT455" s="8">
        <v>105000</v>
      </c>
      <c r="AV455" s="8">
        <v>207544</v>
      </c>
      <c r="AX455" s="8">
        <v>81342</v>
      </c>
      <c r="AZ455" s="9">
        <f t="shared" si="24"/>
        <v>4625672</v>
      </c>
      <c r="BB455" s="8">
        <v>10000</v>
      </c>
      <c r="BH455" s="8">
        <v>3681493</v>
      </c>
      <c r="BJ455" s="9">
        <f t="shared" si="22"/>
        <v>8317165</v>
      </c>
      <c r="BL455" s="9">
        <f>'Gov Fd Rv'!AU457-'Gov Fnd Exp'!BJ455</f>
        <v>76324</v>
      </c>
      <c r="BN455" s="8">
        <v>1513371</v>
      </c>
      <c r="BP455" s="8">
        <v>0</v>
      </c>
      <c r="BR455" s="8">
        <v>0</v>
      </c>
      <c r="BT455" s="9">
        <f t="shared" si="23"/>
        <v>1589695</v>
      </c>
      <c r="BU455" s="9"/>
      <c r="BV455" s="9">
        <f>BT455-'Gov Fd BS'!AA455</f>
        <v>0</v>
      </c>
    </row>
    <row r="456" spans="1:74">
      <c r="A456" s="12" t="s">
        <v>839</v>
      </c>
      <c r="B456" s="12"/>
      <c r="C456" s="12" t="s">
        <v>115</v>
      </c>
      <c r="D456" s="12"/>
      <c r="E456" s="32"/>
      <c r="G456" s="8">
        <v>7558021</v>
      </c>
      <c r="I456" s="8">
        <v>2612847</v>
      </c>
      <c r="K456" s="8">
        <v>500031</v>
      </c>
      <c r="M456" s="8">
        <f>580008+1664453</f>
        <v>2244461</v>
      </c>
      <c r="O456" s="8">
        <v>862157</v>
      </c>
      <c r="Q456" s="8">
        <v>532363</v>
      </c>
      <c r="S456" s="8">
        <v>20060</v>
      </c>
      <c r="U456" s="8">
        <v>1399885</v>
      </c>
      <c r="W456" s="8">
        <v>676218</v>
      </c>
      <c r="Y456" s="8">
        <v>11794</v>
      </c>
      <c r="AA456" s="8">
        <v>2026078</v>
      </c>
      <c r="AC456" s="8">
        <v>865652</v>
      </c>
      <c r="AE456" s="8">
        <v>207253</v>
      </c>
      <c r="AG456" s="8">
        <v>592551</v>
      </c>
      <c r="AI456" s="8">
        <v>42624</v>
      </c>
      <c r="AJ456" s="13" t="s">
        <v>814</v>
      </c>
      <c r="AK456" s="13"/>
      <c r="AL456" s="13" t="s">
        <v>115</v>
      </c>
      <c r="AN456" s="8">
        <v>569359</v>
      </c>
      <c r="AP456" s="8">
        <v>743940</v>
      </c>
      <c r="AR456" s="8">
        <v>92589</v>
      </c>
      <c r="AT456" s="8">
        <v>433000</v>
      </c>
      <c r="AV456" s="8">
        <v>45838</v>
      </c>
      <c r="AX456" s="8">
        <v>0</v>
      </c>
      <c r="AZ456" s="9">
        <f t="shared" ref="AZ456:AZ506" si="25">SUM(G456:AX456)</f>
        <v>22036721</v>
      </c>
      <c r="BB456" s="8">
        <v>35986</v>
      </c>
      <c r="BH456" s="8">
        <v>0</v>
      </c>
      <c r="BJ456" s="9">
        <f t="shared" ref="BJ456:BJ506" si="26">AZ456+BB456+BH456</f>
        <v>22072707</v>
      </c>
      <c r="BL456" s="9">
        <f>'Gov Fd Rv'!AU458-'Gov Fnd Exp'!BJ456</f>
        <v>795828</v>
      </c>
      <c r="BN456" s="8">
        <v>-202074</v>
      </c>
      <c r="BP456" s="8">
        <v>-648</v>
      </c>
      <c r="BR456" s="8">
        <v>0</v>
      </c>
      <c r="BT456" s="9">
        <f t="shared" ref="BT456:BT506" si="27">BL456+BN456+BP456+BR456</f>
        <v>593106</v>
      </c>
      <c r="BU456" s="9"/>
      <c r="BV456" s="9">
        <f>BT456-'Gov Fd BS'!AA456</f>
        <v>0</v>
      </c>
    </row>
    <row r="457" spans="1:74">
      <c r="A457" s="12"/>
      <c r="B457" s="12"/>
      <c r="C457" s="12"/>
      <c r="D457" s="12"/>
      <c r="E457" s="32"/>
      <c r="AJ457" s="13"/>
      <c r="AK457" s="13"/>
      <c r="AL457" s="13"/>
      <c r="AZ457" s="9"/>
      <c r="BJ457" s="9"/>
      <c r="BL457" s="9"/>
      <c r="BT457" s="9"/>
      <c r="BU457" s="9"/>
      <c r="BV457" s="9"/>
    </row>
    <row r="458" spans="1:74">
      <c r="A458" s="12"/>
      <c r="B458" s="12"/>
      <c r="C458" s="12"/>
      <c r="D458" s="12"/>
      <c r="E458" s="32"/>
      <c r="AI458" s="89" t="s">
        <v>819</v>
      </c>
      <c r="AJ458" s="13"/>
      <c r="AK458" s="13"/>
      <c r="AL458" s="13"/>
      <c r="AZ458" s="9"/>
      <c r="BJ458" s="9"/>
      <c r="BL458" s="9"/>
      <c r="BT458" s="89" t="s">
        <v>819</v>
      </c>
      <c r="BU458" s="9"/>
      <c r="BV458" s="9"/>
    </row>
    <row r="459" spans="1:74" s="35" customFormat="1">
      <c r="A459" s="34" t="s">
        <v>345</v>
      </c>
      <c r="B459" s="34"/>
      <c r="C459" s="34" t="s">
        <v>24</v>
      </c>
      <c r="D459" s="34"/>
      <c r="E459" s="34">
        <v>44743</v>
      </c>
      <c r="G459" s="35">
        <v>16594441</v>
      </c>
      <c r="I459" s="35">
        <v>8882066</v>
      </c>
      <c r="K459" s="35">
        <v>1709504</v>
      </c>
      <c r="M459" s="35">
        <f>1201522+356416</f>
        <v>1557938</v>
      </c>
      <c r="O459" s="35">
        <v>2052683</v>
      </c>
      <c r="Q459" s="35">
        <v>2542778</v>
      </c>
      <c r="S459" s="35">
        <v>225384</v>
      </c>
      <c r="U459" s="35">
        <v>3334918</v>
      </c>
      <c r="W459" s="35">
        <v>849145</v>
      </c>
      <c r="Y459" s="35">
        <v>170505</v>
      </c>
      <c r="AA459" s="35">
        <v>3781806</v>
      </c>
      <c r="AC459" s="35">
        <v>1527984</v>
      </c>
      <c r="AE459" s="35">
        <v>892227</v>
      </c>
      <c r="AG459" s="35">
        <v>1942459</v>
      </c>
      <c r="AI459" s="35">
        <v>1521894</v>
      </c>
      <c r="AJ459" s="34" t="s">
        <v>345</v>
      </c>
      <c r="AK459" s="34"/>
      <c r="AL459" s="34" t="s">
        <v>24</v>
      </c>
      <c r="AN459" s="35">
        <v>1331218</v>
      </c>
      <c r="AP459" s="35">
        <v>807741</v>
      </c>
      <c r="AR459" s="35">
        <v>0</v>
      </c>
      <c r="AT459" s="35">
        <v>456362</v>
      </c>
      <c r="AV459" s="35">
        <v>45198</v>
      </c>
      <c r="AX459" s="35">
        <v>0</v>
      </c>
      <c r="AZ459" s="44">
        <f t="shared" si="25"/>
        <v>50226251</v>
      </c>
      <c r="BB459" s="35">
        <v>166354</v>
      </c>
      <c r="BH459" s="35">
        <v>0</v>
      </c>
      <c r="BJ459" s="44">
        <f t="shared" si="26"/>
        <v>50392605</v>
      </c>
      <c r="BL459" s="44">
        <f>'Gov Fd Rv'!AU459-'Gov Fnd Exp'!BJ459</f>
        <v>-34209</v>
      </c>
      <c r="BN459" s="35">
        <v>2522965</v>
      </c>
      <c r="BP459" s="35">
        <v>-2673</v>
      </c>
      <c r="BR459" s="35">
        <v>0</v>
      </c>
      <c r="BT459" s="44">
        <f t="shared" si="27"/>
        <v>2486083</v>
      </c>
      <c r="BU459" s="44"/>
      <c r="BV459" s="44">
        <f>BT459-'Gov Fd BS'!AA457</f>
        <v>0</v>
      </c>
    </row>
    <row r="460" spans="1:74">
      <c r="A460" s="13" t="s">
        <v>665</v>
      </c>
      <c r="B460" s="13"/>
      <c r="C460" s="13" t="s">
        <v>62</v>
      </c>
      <c r="D460" s="13"/>
      <c r="E460" s="32">
        <v>49940</v>
      </c>
      <c r="G460" s="8">
        <v>5579296</v>
      </c>
      <c r="I460" s="8">
        <v>1979660</v>
      </c>
      <c r="K460" s="8">
        <v>331109</v>
      </c>
      <c r="M460" s="8">
        <f>6001+357154</f>
        <v>363155</v>
      </c>
      <c r="O460" s="8">
        <v>1127597</v>
      </c>
      <c r="Q460" s="8">
        <v>153054</v>
      </c>
      <c r="S460" s="8">
        <v>11084</v>
      </c>
      <c r="U460" s="8">
        <v>1198108</v>
      </c>
      <c r="W460" s="8">
        <v>353694</v>
      </c>
      <c r="Y460" s="8">
        <v>48810</v>
      </c>
      <c r="AA460" s="8">
        <v>871695</v>
      </c>
      <c r="AC460" s="8">
        <v>934133</v>
      </c>
      <c r="AE460" s="8">
        <v>24590</v>
      </c>
      <c r="AG460" s="8">
        <v>477123</v>
      </c>
      <c r="AI460" s="8">
        <v>77666</v>
      </c>
      <c r="AJ460" s="13" t="s">
        <v>665</v>
      </c>
      <c r="AK460" s="13"/>
      <c r="AL460" s="13" t="s">
        <v>62</v>
      </c>
      <c r="AN460" s="8">
        <v>448737</v>
      </c>
      <c r="AP460" s="8">
        <v>22446784</v>
      </c>
      <c r="AR460" s="8">
        <v>0</v>
      </c>
      <c r="AT460" s="8">
        <v>303659</v>
      </c>
      <c r="AV460" s="8">
        <v>522425</v>
      </c>
      <c r="AX460" s="8">
        <v>0</v>
      </c>
      <c r="AZ460" s="9">
        <f t="shared" si="25"/>
        <v>37252379</v>
      </c>
      <c r="BB460" s="8">
        <v>0</v>
      </c>
      <c r="BH460" s="8">
        <v>0</v>
      </c>
      <c r="BJ460" s="9">
        <f t="shared" si="26"/>
        <v>37252379</v>
      </c>
      <c r="BL460" s="9">
        <f>'Gov Fd Rv'!AU460-'Gov Fnd Exp'!BJ460</f>
        <v>-8302975</v>
      </c>
      <c r="BN460" s="8">
        <v>22694532</v>
      </c>
      <c r="BP460" s="8">
        <v>-319</v>
      </c>
      <c r="BR460" s="8">
        <v>0</v>
      </c>
      <c r="BT460" s="9">
        <f t="shared" si="27"/>
        <v>14391238</v>
      </c>
      <c r="BU460" s="9"/>
      <c r="BV460" s="9">
        <f>BT460-'Gov Fd BS'!AA458</f>
        <v>0</v>
      </c>
    </row>
    <row r="461" spans="1:74">
      <c r="A461" s="13" t="s">
        <v>592</v>
      </c>
      <c r="B461" s="13"/>
      <c r="C461" s="13" t="s">
        <v>55</v>
      </c>
      <c r="D461" s="13"/>
      <c r="E461" s="32">
        <v>49130</v>
      </c>
      <c r="G461" s="8">
        <v>5859306</v>
      </c>
      <c r="I461" s="8">
        <v>1835612</v>
      </c>
      <c r="K461" s="8">
        <v>0</v>
      </c>
      <c r="M461" s="8">
        <v>99394</v>
      </c>
      <c r="O461" s="8">
        <v>666681</v>
      </c>
      <c r="Q461" s="8">
        <v>913226</v>
      </c>
      <c r="S461" s="8">
        <v>16983</v>
      </c>
      <c r="U461" s="8">
        <v>1958853</v>
      </c>
      <c r="W461" s="8">
        <v>316941</v>
      </c>
      <c r="Y461" s="8">
        <v>0</v>
      </c>
      <c r="AA461" s="8">
        <v>1935863</v>
      </c>
      <c r="AC461" s="8">
        <v>1463631</v>
      </c>
      <c r="AE461" s="8">
        <v>115066</v>
      </c>
      <c r="AG461" s="8">
        <v>700608</v>
      </c>
      <c r="AI461" s="8">
        <v>0</v>
      </c>
      <c r="AJ461" s="13" t="s">
        <v>592</v>
      </c>
      <c r="AK461" s="13"/>
      <c r="AL461" s="13" t="s">
        <v>55</v>
      </c>
      <c r="AN461" s="8">
        <v>384940</v>
      </c>
      <c r="AP461" s="8">
        <v>107716</v>
      </c>
      <c r="AR461" s="8">
        <v>50933</v>
      </c>
      <c r="AT461" s="8">
        <v>45000</v>
      </c>
      <c r="AV461" s="8">
        <v>37081</v>
      </c>
      <c r="AX461" s="8">
        <v>0</v>
      </c>
      <c r="AZ461" s="9">
        <f t="shared" si="25"/>
        <v>16507834</v>
      </c>
      <c r="BB461" s="8">
        <v>74538</v>
      </c>
      <c r="BH461" s="8">
        <v>0</v>
      </c>
      <c r="BJ461" s="9">
        <f t="shared" si="26"/>
        <v>16582372</v>
      </c>
      <c r="BL461" s="9">
        <f>'Gov Fd Rv'!AU461-'Gov Fnd Exp'!BJ461</f>
        <v>-3912</v>
      </c>
      <c r="BN461" s="8">
        <v>7950636</v>
      </c>
      <c r="BP461" s="8">
        <v>0</v>
      </c>
      <c r="BR461" s="8">
        <v>0</v>
      </c>
      <c r="BT461" s="9">
        <f t="shared" si="27"/>
        <v>7946724</v>
      </c>
      <c r="BU461" s="9"/>
      <c r="BV461" s="9">
        <f>BT461-'Gov Fd BS'!AA459</f>
        <v>0</v>
      </c>
    </row>
    <row r="462" spans="1:74">
      <c r="A462" s="13" t="s">
        <v>521</v>
      </c>
      <c r="B462" s="13"/>
      <c r="C462" s="13" t="s">
        <v>45</v>
      </c>
      <c r="D462" s="13"/>
      <c r="E462" s="32">
        <v>48355</v>
      </c>
      <c r="G462" s="8">
        <v>2454229</v>
      </c>
      <c r="I462" s="8">
        <v>1581610</v>
      </c>
      <c r="K462" s="8">
        <v>0</v>
      </c>
      <c r="M462" s="8">
        <v>5833</v>
      </c>
      <c r="O462" s="8">
        <v>157123</v>
      </c>
      <c r="Q462" s="8">
        <v>230723</v>
      </c>
      <c r="S462" s="8">
        <v>21276</v>
      </c>
      <c r="U462" s="8">
        <v>663658</v>
      </c>
      <c r="W462" s="8">
        <v>269807</v>
      </c>
      <c r="Y462" s="8">
        <v>0</v>
      </c>
      <c r="AA462" s="8">
        <v>835431</v>
      </c>
      <c r="AC462" s="8">
        <v>121741</v>
      </c>
      <c r="AE462" s="8">
        <v>1234</v>
      </c>
      <c r="AG462" s="8">
        <v>276138</v>
      </c>
      <c r="AI462" s="8">
        <v>0</v>
      </c>
      <c r="AJ462" s="13" t="s">
        <v>521</v>
      </c>
      <c r="AK462" s="13"/>
      <c r="AL462" s="13" t="s">
        <v>45</v>
      </c>
      <c r="AN462" s="8">
        <v>212038</v>
      </c>
      <c r="AP462" s="8">
        <v>116393</v>
      </c>
      <c r="AR462" s="8">
        <v>0</v>
      </c>
      <c r="AT462" s="8">
        <v>60000</v>
      </c>
      <c r="AV462" s="8">
        <v>82762</v>
      </c>
      <c r="AX462" s="8">
        <v>0</v>
      </c>
      <c r="AZ462" s="9">
        <f t="shared" si="25"/>
        <v>7089996</v>
      </c>
      <c r="BB462" s="8">
        <v>0</v>
      </c>
      <c r="BH462" s="8">
        <v>0</v>
      </c>
      <c r="BJ462" s="9">
        <f t="shared" si="26"/>
        <v>7089996</v>
      </c>
      <c r="BL462" s="9">
        <f>'Gov Fd Rv'!AU462-'Gov Fnd Exp'!BJ462</f>
        <v>417868</v>
      </c>
      <c r="BN462" s="8">
        <v>832061</v>
      </c>
      <c r="BP462" s="8">
        <v>0</v>
      </c>
      <c r="BR462" s="8">
        <v>0</v>
      </c>
      <c r="BT462" s="9">
        <f t="shared" si="27"/>
        <v>1249929</v>
      </c>
      <c r="BU462" s="9"/>
      <c r="BV462" s="9">
        <f>BT462-'Gov Fd BS'!AA460</f>
        <v>0</v>
      </c>
    </row>
    <row r="463" spans="1:74">
      <c r="A463" s="13" t="s">
        <v>644</v>
      </c>
      <c r="B463" s="13"/>
      <c r="C463" s="13" t="s">
        <v>60</v>
      </c>
      <c r="D463" s="13"/>
      <c r="E463" s="32">
        <v>49684</v>
      </c>
      <c r="G463" s="8">
        <v>4339257</v>
      </c>
      <c r="I463" s="8">
        <v>1015476</v>
      </c>
      <c r="K463" s="8">
        <v>148257</v>
      </c>
      <c r="M463" s="8">
        <v>0</v>
      </c>
      <c r="O463" s="8">
        <v>93261</v>
      </c>
      <c r="Q463" s="8">
        <v>283409</v>
      </c>
      <c r="S463" s="8">
        <v>20542</v>
      </c>
      <c r="U463" s="8">
        <v>567246</v>
      </c>
      <c r="W463" s="8">
        <v>270767</v>
      </c>
      <c r="Y463" s="8">
        <v>0</v>
      </c>
      <c r="AA463" s="8">
        <v>823084</v>
      </c>
      <c r="AC463" s="8">
        <v>793084</v>
      </c>
      <c r="AE463" s="8">
        <v>0</v>
      </c>
      <c r="AG463" s="8">
        <v>391321</v>
      </c>
      <c r="AI463" s="8">
        <v>0</v>
      </c>
      <c r="AJ463" s="13" t="s">
        <v>644</v>
      </c>
      <c r="AK463" s="13"/>
      <c r="AL463" s="13" t="s">
        <v>60</v>
      </c>
      <c r="AN463" s="8">
        <v>312277</v>
      </c>
      <c r="AP463" s="8">
        <f>11359+10165816</f>
        <v>10177175</v>
      </c>
      <c r="AR463" s="8">
        <v>0</v>
      </c>
      <c r="AT463" s="8">
        <v>268117</v>
      </c>
      <c r="AV463" s="8">
        <v>493701</v>
      </c>
      <c r="AX463" s="8">
        <v>0</v>
      </c>
      <c r="AZ463" s="9">
        <f t="shared" si="25"/>
        <v>19996974</v>
      </c>
      <c r="BB463" s="8">
        <v>932015</v>
      </c>
      <c r="BH463" s="8">
        <v>0</v>
      </c>
      <c r="BJ463" s="9">
        <f t="shared" si="26"/>
        <v>20928989</v>
      </c>
      <c r="BL463" s="9">
        <f>'Gov Fd Rv'!AU463-'Gov Fnd Exp'!BJ463</f>
        <v>-7735177</v>
      </c>
      <c r="BN463" s="8">
        <v>10367236</v>
      </c>
      <c r="BP463" s="8">
        <v>0</v>
      </c>
      <c r="BR463" s="8">
        <v>0</v>
      </c>
      <c r="BT463" s="9">
        <f t="shared" si="27"/>
        <v>2632059</v>
      </c>
      <c r="BU463" s="9"/>
      <c r="BV463" s="9">
        <f>BT463-'Gov Fd BS'!AA461</f>
        <v>0</v>
      </c>
    </row>
    <row r="464" spans="1:74">
      <c r="A464" s="13" t="s">
        <v>237</v>
      </c>
      <c r="B464" s="13"/>
      <c r="C464" s="13" t="s">
        <v>15</v>
      </c>
      <c r="D464" s="13"/>
      <c r="E464" s="32">
        <v>46003</v>
      </c>
      <c r="G464" s="8">
        <v>3417143</v>
      </c>
      <c r="I464" s="8">
        <v>725508</v>
      </c>
      <c r="K464" s="8">
        <v>17112</v>
      </c>
      <c r="M464" s="8">
        <v>0</v>
      </c>
      <c r="O464" s="8">
        <v>243159</v>
      </c>
      <c r="Q464" s="8">
        <v>135711</v>
      </c>
      <c r="S464" s="8">
        <v>19629</v>
      </c>
      <c r="U464" s="8">
        <v>668620</v>
      </c>
      <c r="W464" s="8">
        <v>261386</v>
      </c>
      <c r="Y464" s="8">
        <v>0</v>
      </c>
      <c r="AA464" s="8">
        <v>755149</v>
      </c>
      <c r="AC464" s="8">
        <v>174564</v>
      </c>
      <c r="AE464" s="8">
        <v>0</v>
      </c>
      <c r="AG464" s="8">
        <v>148996</v>
      </c>
      <c r="AI464" s="8">
        <v>500</v>
      </c>
      <c r="AJ464" s="13" t="s">
        <v>237</v>
      </c>
      <c r="AK464" s="13"/>
      <c r="AL464" s="13" t="s">
        <v>15</v>
      </c>
      <c r="AN464" s="8">
        <v>180948</v>
      </c>
      <c r="AP464" s="8">
        <v>2518</v>
      </c>
      <c r="AR464" s="8">
        <v>0</v>
      </c>
      <c r="AT464" s="8">
        <v>38037</v>
      </c>
      <c r="AV464" s="8">
        <v>7317</v>
      </c>
      <c r="AX464" s="8">
        <v>0</v>
      </c>
      <c r="AZ464" s="9">
        <f t="shared" si="25"/>
        <v>6796297</v>
      </c>
      <c r="BB464" s="8">
        <v>109211</v>
      </c>
      <c r="BH464" s="8">
        <v>0</v>
      </c>
      <c r="BJ464" s="9">
        <f t="shared" si="26"/>
        <v>6905508</v>
      </c>
      <c r="BL464" s="9">
        <f>'Gov Fd Rv'!AU464-'Gov Fnd Exp'!BJ464</f>
        <v>865439</v>
      </c>
      <c r="BN464" s="8">
        <v>428220</v>
      </c>
      <c r="BP464" s="8">
        <v>0</v>
      </c>
      <c r="BR464" s="8">
        <v>0</v>
      </c>
      <c r="BT464" s="9">
        <f t="shared" si="27"/>
        <v>1293659</v>
      </c>
      <c r="BU464" s="9"/>
      <c r="BV464" s="9">
        <f>BT464-'Gov Fd BS'!AA462</f>
        <v>0</v>
      </c>
    </row>
    <row r="465" spans="1:74">
      <c r="A465" s="13" t="s">
        <v>324</v>
      </c>
      <c r="B465" s="13"/>
      <c r="C465" s="13" t="s">
        <v>20</v>
      </c>
      <c r="D465" s="13"/>
      <c r="E465" s="32">
        <v>44750</v>
      </c>
      <c r="G465" s="8">
        <v>33666620</v>
      </c>
      <c r="I465" s="8">
        <v>11338941</v>
      </c>
      <c r="K465" s="8">
        <v>222870</v>
      </c>
      <c r="M465" s="8">
        <v>0</v>
      </c>
      <c r="O465" s="8">
        <v>5424438</v>
      </c>
      <c r="Q465" s="8">
        <v>5643430</v>
      </c>
      <c r="S465" s="8">
        <v>29232</v>
      </c>
      <c r="U465" s="8">
        <v>5901551</v>
      </c>
      <c r="W465" s="8">
        <v>1630945</v>
      </c>
      <c r="Y465" s="8">
        <v>906739</v>
      </c>
      <c r="AA465" s="8">
        <v>12186506</v>
      </c>
      <c r="AC465" s="8">
        <v>4191485</v>
      </c>
      <c r="AE465" s="8">
        <v>1620601</v>
      </c>
      <c r="AG465" s="8">
        <v>1512621</v>
      </c>
      <c r="AI465" s="8">
        <v>1418516</v>
      </c>
      <c r="AJ465" s="13" t="s">
        <v>324</v>
      </c>
      <c r="AK465" s="13"/>
      <c r="AL465" s="13" t="s">
        <v>20</v>
      </c>
      <c r="AN465" s="8">
        <v>1217636</v>
      </c>
      <c r="AP465" s="8">
        <v>7388359</v>
      </c>
      <c r="AR465" s="8">
        <v>0</v>
      </c>
      <c r="AT465" s="8">
        <v>2300000</v>
      </c>
      <c r="AV465" s="8">
        <v>1198467</v>
      </c>
      <c r="AX465" s="8">
        <v>0</v>
      </c>
      <c r="AZ465" s="9">
        <f t="shared" si="25"/>
        <v>97798957</v>
      </c>
      <c r="BB465" s="8">
        <v>175000</v>
      </c>
      <c r="BH465" s="8">
        <v>500000</v>
      </c>
      <c r="BJ465" s="9">
        <f t="shared" si="26"/>
        <v>98473957</v>
      </c>
      <c r="BL465" s="9">
        <f>'Gov Fd Rv'!AU465-'Gov Fnd Exp'!BJ465</f>
        <v>7846471</v>
      </c>
      <c r="BN465" s="8">
        <v>26782391</v>
      </c>
      <c r="BP465" s="8">
        <v>0</v>
      </c>
      <c r="BR465" s="8">
        <v>0</v>
      </c>
      <c r="BT465" s="9">
        <f t="shared" si="27"/>
        <v>34628862</v>
      </c>
      <c r="BU465" s="9"/>
      <c r="BV465" s="9">
        <f>BT465-'Gov Fd BS'!AA463</f>
        <v>0</v>
      </c>
    </row>
    <row r="466" spans="1:74">
      <c r="A466" s="13" t="s">
        <v>500</v>
      </c>
      <c r="B466" s="13"/>
      <c r="C466" s="13" t="s">
        <v>44</v>
      </c>
      <c r="D466" s="13"/>
      <c r="E466" s="32">
        <v>44768</v>
      </c>
      <c r="G466" s="8">
        <v>7975068</v>
      </c>
      <c r="I466" s="8">
        <v>1999045</v>
      </c>
      <c r="K466" s="8">
        <v>194167</v>
      </c>
      <c r="M466" s="8">
        <v>184809</v>
      </c>
      <c r="O466" s="8">
        <v>1128500</v>
      </c>
      <c r="Q466" s="8">
        <v>657367</v>
      </c>
      <c r="S466" s="8">
        <v>29979</v>
      </c>
      <c r="U466" s="8">
        <v>1304350</v>
      </c>
      <c r="W466" s="8">
        <v>504220</v>
      </c>
      <c r="Y466" s="8">
        <v>155208</v>
      </c>
      <c r="AA466" s="8">
        <v>1881170</v>
      </c>
      <c r="AC466" s="8">
        <v>824194</v>
      </c>
      <c r="AE466" s="8">
        <v>209454</v>
      </c>
      <c r="AG466" s="8">
        <v>572698</v>
      </c>
      <c r="AI466" s="8">
        <v>82374</v>
      </c>
      <c r="AJ466" s="13" t="s">
        <v>500</v>
      </c>
      <c r="AK466" s="13"/>
      <c r="AL466" s="13" t="s">
        <v>44</v>
      </c>
      <c r="AN466" s="8">
        <v>344227</v>
      </c>
      <c r="AP466" s="8">
        <v>6929</v>
      </c>
      <c r="AR466" s="8">
        <v>0</v>
      </c>
      <c r="AT466" s="8">
        <v>0</v>
      </c>
      <c r="AV466" s="8">
        <v>0</v>
      </c>
      <c r="AX466" s="8">
        <v>0</v>
      </c>
      <c r="AZ466" s="9">
        <f t="shared" si="25"/>
        <v>18053759</v>
      </c>
      <c r="BB466" s="8">
        <v>1229473</v>
      </c>
      <c r="BH466" s="8">
        <v>0</v>
      </c>
      <c r="BJ466" s="9">
        <f t="shared" si="26"/>
        <v>19283232</v>
      </c>
      <c r="BL466" s="9">
        <f>'Gov Fd Rv'!AU466-'Gov Fnd Exp'!BJ466</f>
        <v>2911440</v>
      </c>
      <c r="BN466" s="8">
        <v>5420306</v>
      </c>
      <c r="BP466" s="8">
        <v>0</v>
      </c>
      <c r="BR466" s="8">
        <v>0</v>
      </c>
      <c r="BT466" s="9">
        <f t="shared" si="27"/>
        <v>8331746</v>
      </c>
      <c r="BU466" s="9"/>
      <c r="BV466" s="9">
        <f>BT466-'Gov Fd BS'!AA464</f>
        <v>0</v>
      </c>
    </row>
    <row r="467" spans="1:74">
      <c r="A467" s="13" t="s">
        <v>620</v>
      </c>
      <c r="B467" s="13"/>
      <c r="C467" s="13" t="s">
        <v>113</v>
      </c>
      <c r="D467" s="13"/>
      <c r="E467" s="32">
        <v>44776</v>
      </c>
      <c r="G467" s="8">
        <v>8458596</v>
      </c>
      <c r="I467" s="8">
        <v>2097436</v>
      </c>
      <c r="K467" s="8">
        <v>193123</v>
      </c>
      <c r="M467" s="8">
        <v>0</v>
      </c>
      <c r="O467" s="8">
        <v>883978</v>
      </c>
      <c r="Q467" s="8">
        <v>1279571</v>
      </c>
      <c r="S467" s="8">
        <v>34691</v>
      </c>
      <c r="U467" s="8">
        <v>1319518</v>
      </c>
      <c r="W467" s="8">
        <v>721079</v>
      </c>
      <c r="Y467" s="8">
        <v>0</v>
      </c>
      <c r="AA467" s="8">
        <v>2322451</v>
      </c>
      <c r="AC467" s="8">
        <v>752608</v>
      </c>
      <c r="AE467" s="8">
        <v>49407</v>
      </c>
      <c r="AG467" s="8">
        <v>0</v>
      </c>
      <c r="AI467" s="8">
        <v>118126</v>
      </c>
      <c r="AJ467" s="13" t="s">
        <v>620</v>
      </c>
      <c r="AK467" s="13"/>
      <c r="AL467" s="13" t="s">
        <v>113</v>
      </c>
      <c r="AN467" s="8">
        <v>564481</v>
      </c>
      <c r="AP467" s="8">
        <v>165326</v>
      </c>
      <c r="AR467" s="8">
        <v>0</v>
      </c>
      <c r="AT467" s="8">
        <v>183594</v>
      </c>
      <c r="AV467" s="8">
        <v>63287</v>
      </c>
      <c r="AX467" s="8">
        <v>0</v>
      </c>
      <c r="AZ467" s="9">
        <f t="shared" si="25"/>
        <v>19207272</v>
      </c>
      <c r="BB467" s="8">
        <v>81062</v>
      </c>
      <c r="BH467" s="8">
        <v>0</v>
      </c>
      <c r="BJ467" s="9">
        <f t="shared" si="26"/>
        <v>19288334</v>
      </c>
      <c r="BL467" s="9">
        <f>'Gov Fd Rv'!AU467-'Gov Fnd Exp'!BJ467</f>
        <v>3091930</v>
      </c>
      <c r="BN467" s="8">
        <v>54686</v>
      </c>
      <c r="BP467" s="8">
        <v>0</v>
      </c>
      <c r="BR467" s="8">
        <v>0</v>
      </c>
      <c r="BT467" s="9">
        <f t="shared" si="27"/>
        <v>3146616</v>
      </c>
      <c r="BU467" s="9"/>
      <c r="BV467" s="9">
        <f>BT467-'Gov Fd BS'!AA465</f>
        <v>0</v>
      </c>
    </row>
    <row r="468" spans="1:74" hidden="1">
      <c r="A468" s="13" t="s">
        <v>652</v>
      </c>
      <c r="B468" s="13"/>
      <c r="C468" s="13" t="s">
        <v>61</v>
      </c>
      <c r="D468" s="13"/>
      <c r="E468" s="32">
        <v>44784</v>
      </c>
      <c r="G468" s="8">
        <v>0</v>
      </c>
      <c r="I468" s="8">
        <v>0</v>
      </c>
      <c r="K468" s="8">
        <v>0</v>
      </c>
      <c r="M468" s="8">
        <v>0</v>
      </c>
      <c r="O468" s="8">
        <v>0</v>
      </c>
      <c r="Q468" s="8">
        <v>0</v>
      </c>
      <c r="S468" s="8">
        <v>0</v>
      </c>
      <c r="U468" s="8">
        <v>0</v>
      </c>
      <c r="W468" s="8">
        <v>0</v>
      </c>
      <c r="Y468" s="8">
        <v>0</v>
      </c>
      <c r="AA468" s="8">
        <v>0</v>
      </c>
      <c r="AC468" s="8">
        <v>0</v>
      </c>
      <c r="AE468" s="8">
        <v>0</v>
      </c>
      <c r="AG468" s="8">
        <v>0</v>
      </c>
      <c r="AI468" s="8">
        <v>0</v>
      </c>
      <c r="AJ468" s="13" t="s">
        <v>652</v>
      </c>
      <c r="AK468" s="13"/>
      <c r="AL468" s="13" t="s">
        <v>61</v>
      </c>
      <c r="AN468" s="8">
        <v>0</v>
      </c>
      <c r="AP468" s="8">
        <v>0</v>
      </c>
      <c r="AR468" s="8">
        <v>0</v>
      </c>
      <c r="AT468" s="8">
        <v>0</v>
      </c>
      <c r="AV468" s="8">
        <v>0</v>
      </c>
      <c r="AX468" s="8">
        <v>0</v>
      </c>
      <c r="AZ468" s="9">
        <f t="shared" si="25"/>
        <v>0</v>
      </c>
      <c r="BB468" s="8">
        <v>0</v>
      </c>
      <c r="BH468" s="8">
        <v>0</v>
      </c>
      <c r="BJ468" s="9">
        <f t="shared" si="26"/>
        <v>0</v>
      </c>
      <c r="BL468" s="9">
        <f>'Gov Fd Rv'!AU468-'Gov Fnd Exp'!BJ468</f>
        <v>0</v>
      </c>
      <c r="BN468" s="8">
        <v>0</v>
      </c>
      <c r="BP468" s="8">
        <v>0</v>
      </c>
      <c r="BR468" s="8">
        <v>0</v>
      </c>
      <c r="BT468" s="9">
        <f t="shared" si="27"/>
        <v>0</v>
      </c>
      <c r="BU468" s="9"/>
      <c r="BV468" s="9">
        <f>BT468-'Gov Fd BS'!AA466</f>
        <v>-902683</v>
      </c>
    </row>
    <row r="469" spans="1:74">
      <c r="A469" s="13" t="s">
        <v>325</v>
      </c>
      <c r="B469" s="13"/>
      <c r="C469" s="13" t="s">
        <v>20</v>
      </c>
      <c r="D469" s="13"/>
      <c r="E469" s="32">
        <v>46607</v>
      </c>
      <c r="G469" s="8">
        <v>31933681</v>
      </c>
      <c r="I469" s="8">
        <v>6739394</v>
      </c>
      <c r="K469" s="8">
        <v>653556</v>
      </c>
      <c r="M469" s="8">
        <v>449742</v>
      </c>
      <c r="O469" s="8">
        <v>4028735</v>
      </c>
      <c r="Q469" s="8">
        <v>1717858</v>
      </c>
      <c r="S469" s="8">
        <v>35105</v>
      </c>
      <c r="U469" s="8">
        <v>3247860</v>
      </c>
      <c r="W469" s="8">
        <v>1452851</v>
      </c>
      <c r="Y469" s="8">
        <v>1003179</v>
      </c>
      <c r="AA469" s="8">
        <v>6753123</v>
      </c>
      <c r="AC469" s="8">
        <v>3367770</v>
      </c>
      <c r="AE469" s="8">
        <v>1009677</v>
      </c>
      <c r="AG469" s="8">
        <v>0</v>
      </c>
      <c r="AI469" s="8">
        <f>328412+3281</f>
        <v>331693</v>
      </c>
      <c r="AJ469" s="13" t="s">
        <v>325</v>
      </c>
      <c r="AK469" s="13"/>
      <c r="AL469" s="13" t="s">
        <v>20</v>
      </c>
      <c r="AN469" s="8">
        <v>2221714</v>
      </c>
      <c r="AP469" s="8">
        <v>2446159</v>
      </c>
      <c r="AR469" s="8">
        <v>0</v>
      </c>
      <c r="AT469" s="8">
        <v>1479632</v>
      </c>
      <c r="AV469" s="8">
        <v>2029100</v>
      </c>
      <c r="AX469" s="8">
        <v>0</v>
      </c>
      <c r="AZ469" s="9">
        <f t="shared" si="25"/>
        <v>70900829</v>
      </c>
      <c r="BB469" s="8">
        <v>116152</v>
      </c>
      <c r="BH469" s="8">
        <v>0</v>
      </c>
      <c r="BJ469" s="9">
        <f t="shared" si="26"/>
        <v>71016981</v>
      </c>
      <c r="BL469" s="9">
        <f>'Gov Fd Rv'!AU469-'Gov Fnd Exp'!BJ469</f>
        <v>2975327</v>
      </c>
      <c r="BN469" s="8">
        <v>20451858</v>
      </c>
      <c r="BP469" s="8">
        <v>0</v>
      </c>
      <c r="BR469" s="8">
        <v>0</v>
      </c>
      <c r="BT469" s="9">
        <f t="shared" si="27"/>
        <v>23427185</v>
      </c>
      <c r="BU469" s="9"/>
      <c r="BV469" s="9">
        <f>BT469-'Gov Fd BS'!AA467</f>
        <v>0</v>
      </c>
    </row>
    <row r="470" spans="1:74">
      <c r="A470" s="13" t="s">
        <v>905</v>
      </c>
      <c r="B470" s="13"/>
      <c r="C470" s="13" t="s">
        <v>37</v>
      </c>
      <c r="D470" s="13"/>
      <c r="E470" s="13"/>
      <c r="G470" s="8">
        <v>4180933</v>
      </c>
      <c r="I470" s="8">
        <v>467464</v>
      </c>
      <c r="K470" s="8">
        <v>175082</v>
      </c>
      <c r="M470" s="8">
        <v>630969</v>
      </c>
      <c r="O470" s="8">
        <v>90082</v>
      </c>
      <c r="Q470" s="8">
        <v>106056</v>
      </c>
      <c r="S470" s="8">
        <v>22514</v>
      </c>
      <c r="U470" s="8">
        <v>833391</v>
      </c>
      <c r="W470" s="8">
        <v>225812</v>
      </c>
      <c r="Y470" s="8">
        <v>0</v>
      </c>
      <c r="AA470" s="8">
        <v>808852</v>
      </c>
      <c r="AC470" s="8">
        <v>477769</v>
      </c>
      <c r="AE470" s="8">
        <v>437</v>
      </c>
      <c r="AG470" s="8">
        <v>384023</v>
      </c>
      <c r="AI470" s="8">
        <v>1000</v>
      </c>
      <c r="AJ470" s="13" t="s">
        <v>841</v>
      </c>
      <c r="AK470" s="13"/>
      <c r="AL470" s="13" t="s">
        <v>37</v>
      </c>
      <c r="AN470" s="8">
        <v>331064</v>
      </c>
      <c r="AP470" s="8">
        <v>0</v>
      </c>
      <c r="AR470" s="8">
        <v>0</v>
      </c>
      <c r="AT470" s="8">
        <v>110000</v>
      </c>
      <c r="AV470" s="8">
        <v>56840</v>
      </c>
      <c r="AX470" s="8">
        <v>0</v>
      </c>
      <c r="AZ470" s="9">
        <f t="shared" si="25"/>
        <v>8902288</v>
      </c>
      <c r="BB470" s="8">
        <v>14513</v>
      </c>
      <c r="BH470" s="8">
        <v>0</v>
      </c>
      <c r="BJ470" s="9">
        <f t="shared" si="26"/>
        <v>8916801</v>
      </c>
      <c r="BL470" s="9">
        <f>'Gov Fd Rv'!AU470-'Gov Fnd Exp'!BJ470</f>
        <v>-82101</v>
      </c>
      <c r="BN470" s="8">
        <v>4607578</v>
      </c>
      <c r="BP470" s="8">
        <v>0</v>
      </c>
      <c r="BR470" s="8">
        <v>0</v>
      </c>
      <c r="BT470" s="9">
        <f t="shared" si="27"/>
        <v>4525477</v>
      </c>
      <c r="BU470" s="9"/>
      <c r="BV470" s="9">
        <f>BT470-'Gov Fd BS'!AA468</f>
        <v>0</v>
      </c>
    </row>
    <row r="471" spans="1:74">
      <c r="A471" s="13" t="s">
        <v>326</v>
      </c>
      <c r="B471" s="13"/>
      <c r="C471" s="13" t="s">
        <v>20</v>
      </c>
      <c r="D471" s="13"/>
      <c r="E471" s="32">
        <v>44792</v>
      </c>
      <c r="G471" s="8">
        <v>22591874</v>
      </c>
      <c r="I471" s="8">
        <v>7129015</v>
      </c>
      <c r="K471" s="8">
        <v>1578371</v>
      </c>
      <c r="M471" s="8">
        <v>1431278</v>
      </c>
      <c r="O471" s="8">
        <v>3620837</v>
      </c>
      <c r="Q471" s="8">
        <v>1510924</v>
      </c>
      <c r="S471" s="8">
        <v>192283</v>
      </c>
      <c r="U471" s="8">
        <v>3577483</v>
      </c>
      <c r="W471" s="8">
        <v>1564236</v>
      </c>
      <c r="Y471" s="8">
        <v>359053</v>
      </c>
      <c r="AA471" s="8">
        <v>7316577</v>
      </c>
      <c r="AC471" s="8">
        <v>3977838</v>
      </c>
      <c r="AE471" s="8">
        <v>1986370</v>
      </c>
      <c r="AG471" s="8">
        <v>188733</v>
      </c>
      <c r="AI471" s="8">
        <f>2748871+76319</f>
        <v>2825190</v>
      </c>
      <c r="AJ471" s="13" t="s">
        <v>326</v>
      </c>
      <c r="AK471" s="13"/>
      <c r="AL471" s="13" t="s">
        <v>20</v>
      </c>
      <c r="AN471" s="8">
        <v>987643</v>
      </c>
      <c r="AP471" s="8">
        <v>11296527</v>
      </c>
      <c r="AR471" s="8">
        <v>0</v>
      </c>
      <c r="AT471" s="8">
        <v>1895000</v>
      </c>
      <c r="AV471" s="8">
        <v>904877</v>
      </c>
      <c r="AX471" s="8">
        <v>0</v>
      </c>
      <c r="AZ471" s="9">
        <f t="shared" si="25"/>
        <v>74934109</v>
      </c>
      <c r="BB471" s="8">
        <v>2990211</v>
      </c>
      <c r="BH471" s="8">
        <v>10000</v>
      </c>
      <c r="BJ471" s="9">
        <f t="shared" si="26"/>
        <v>77934320</v>
      </c>
      <c r="BL471" s="9">
        <f>'Gov Fd Rv'!AU471-'Gov Fnd Exp'!BJ471</f>
        <v>-4068616</v>
      </c>
      <c r="BN471" s="8">
        <v>17702057</v>
      </c>
      <c r="BP471" s="8">
        <v>0</v>
      </c>
      <c r="BR471" s="8">
        <v>0</v>
      </c>
      <c r="BT471" s="9">
        <f t="shared" si="27"/>
        <v>13633441</v>
      </c>
      <c r="BU471" s="9"/>
      <c r="BV471" s="9">
        <f>BT471-'Gov Fd BS'!AA469</f>
        <v>0</v>
      </c>
    </row>
    <row r="472" spans="1:74" hidden="1">
      <c r="A472" s="13" t="s">
        <v>476</v>
      </c>
      <c r="B472" s="13"/>
      <c r="C472" s="13" t="s">
        <v>471</v>
      </c>
      <c r="D472" s="13"/>
      <c r="E472" s="32">
        <v>47951</v>
      </c>
      <c r="G472" s="8">
        <v>0</v>
      </c>
      <c r="I472" s="8">
        <v>0</v>
      </c>
      <c r="K472" s="8">
        <v>0</v>
      </c>
      <c r="M472" s="8">
        <v>0</v>
      </c>
      <c r="O472" s="8">
        <v>0</v>
      </c>
      <c r="Q472" s="8">
        <v>0</v>
      </c>
      <c r="S472" s="8">
        <v>0</v>
      </c>
      <c r="U472" s="8">
        <v>0</v>
      </c>
      <c r="W472" s="8">
        <v>0</v>
      </c>
      <c r="Y472" s="8">
        <v>0</v>
      </c>
      <c r="AA472" s="8">
        <v>0</v>
      </c>
      <c r="AC472" s="8">
        <v>0</v>
      </c>
      <c r="AE472" s="8">
        <v>0</v>
      </c>
      <c r="AG472" s="8">
        <v>0</v>
      </c>
      <c r="AI472" s="8">
        <v>0</v>
      </c>
      <c r="AJ472" s="13" t="s">
        <v>476</v>
      </c>
      <c r="AK472" s="13"/>
      <c r="AL472" s="13" t="s">
        <v>471</v>
      </c>
      <c r="AN472" s="8">
        <v>0</v>
      </c>
      <c r="AP472" s="8">
        <v>0</v>
      </c>
      <c r="AR472" s="8">
        <v>0</v>
      </c>
      <c r="AT472" s="8">
        <v>0</v>
      </c>
      <c r="AV472" s="8">
        <v>0</v>
      </c>
      <c r="AX472" s="8">
        <v>0</v>
      </c>
      <c r="AZ472" s="9">
        <f t="shared" si="25"/>
        <v>0</v>
      </c>
      <c r="BB472" s="8">
        <v>0</v>
      </c>
      <c r="BH472" s="8">
        <v>0</v>
      </c>
      <c r="BJ472" s="9">
        <f t="shared" si="26"/>
        <v>0</v>
      </c>
      <c r="BL472" s="9">
        <f>'Gov Fd Rv'!AU472-'Gov Fnd Exp'!BJ472</f>
        <v>0</v>
      </c>
      <c r="BN472" s="8">
        <v>0</v>
      </c>
      <c r="BP472" s="8">
        <v>0</v>
      </c>
      <c r="BR472" s="8">
        <v>0</v>
      </c>
      <c r="BT472" s="9">
        <f t="shared" si="27"/>
        <v>0</v>
      </c>
      <c r="BU472" s="9"/>
      <c r="BV472" s="9">
        <f>BT472-'Gov Fd BS'!AA470</f>
        <v>0</v>
      </c>
    </row>
    <row r="473" spans="1:74">
      <c r="A473" s="13" t="s">
        <v>522</v>
      </c>
      <c r="B473" s="13"/>
      <c r="C473" s="13" t="s">
        <v>45</v>
      </c>
      <c r="D473" s="13"/>
      <c r="E473" s="32">
        <v>48363</v>
      </c>
      <c r="G473" s="8">
        <v>5170943</v>
      </c>
      <c r="I473" s="8">
        <v>1368496</v>
      </c>
      <c r="K473" s="8">
        <v>150547</v>
      </c>
      <c r="M473" s="8">
        <v>167520</v>
      </c>
      <c r="O473" s="8">
        <v>266535</v>
      </c>
      <c r="Q473" s="8">
        <v>558063</v>
      </c>
      <c r="S473" s="8">
        <v>49987</v>
      </c>
      <c r="U473" s="8">
        <v>907889</v>
      </c>
      <c r="W473" s="8">
        <v>328674</v>
      </c>
      <c r="Y473" s="8">
        <v>0</v>
      </c>
      <c r="AA473" s="8">
        <v>894384</v>
      </c>
      <c r="AC473" s="8">
        <v>817479</v>
      </c>
      <c r="AE473" s="8">
        <v>97802</v>
      </c>
      <c r="AG473" s="8">
        <v>373184</v>
      </c>
      <c r="AI473" s="8">
        <v>2051</v>
      </c>
      <c r="AJ473" s="13" t="s">
        <v>522</v>
      </c>
      <c r="AK473" s="13"/>
      <c r="AL473" s="13" t="s">
        <v>45</v>
      </c>
      <c r="AN473" s="8">
        <v>489160</v>
      </c>
      <c r="AP473" s="8">
        <v>709349</v>
      </c>
      <c r="AR473" s="8">
        <v>0</v>
      </c>
      <c r="AT473" s="8">
        <v>512756</v>
      </c>
      <c r="AV473" s="8">
        <v>294331</v>
      </c>
      <c r="AX473" s="8">
        <v>0</v>
      </c>
      <c r="AZ473" s="9">
        <f t="shared" si="25"/>
        <v>13159150</v>
      </c>
      <c r="BB473" s="8">
        <v>18402897</v>
      </c>
      <c r="BH473" s="8">
        <v>0</v>
      </c>
      <c r="BJ473" s="9">
        <f t="shared" si="26"/>
        <v>31562047</v>
      </c>
      <c r="BL473" s="9">
        <f>'Gov Fd Rv'!AU473-'Gov Fnd Exp'!BJ473</f>
        <v>22895433</v>
      </c>
      <c r="BN473" s="8">
        <v>1586924</v>
      </c>
      <c r="BP473" s="8">
        <v>0</v>
      </c>
      <c r="BR473" s="8">
        <v>0</v>
      </c>
      <c r="BT473" s="9">
        <f t="shared" si="27"/>
        <v>24482357</v>
      </c>
      <c r="BU473" s="9"/>
      <c r="BV473" s="9">
        <f>BT473-'Gov Fd BS'!AA471</f>
        <v>0</v>
      </c>
    </row>
    <row r="474" spans="1:74">
      <c r="A474" s="13" t="s">
        <v>601</v>
      </c>
      <c r="B474" s="13"/>
      <c r="C474" s="13" t="s">
        <v>56</v>
      </c>
      <c r="D474" s="13"/>
      <c r="E474" s="32">
        <v>49221</v>
      </c>
      <c r="G474" s="8">
        <v>6145720</v>
      </c>
      <c r="I474" s="8">
        <v>1570445</v>
      </c>
      <c r="K474" s="8">
        <v>112022</v>
      </c>
      <c r="M474" s="8">
        <v>933356</v>
      </c>
      <c r="O474" s="8">
        <v>1671897</v>
      </c>
      <c r="Q474" s="8">
        <v>467703</v>
      </c>
      <c r="S474" s="8">
        <v>30450</v>
      </c>
      <c r="U474" s="8">
        <v>1107064</v>
      </c>
      <c r="W474" s="8">
        <v>379666</v>
      </c>
      <c r="Y474" s="8">
        <v>224892</v>
      </c>
      <c r="AA474" s="8">
        <v>1263031</v>
      </c>
      <c r="AC474" s="8">
        <v>1248048</v>
      </c>
      <c r="AE474" s="8">
        <v>2349278</v>
      </c>
      <c r="AG474" s="8">
        <v>645178</v>
      </c>
      <c r="AI474" s="8">
        <v>11996</v>
      </c>
      <c r="AJ474" s="13" t="s">
        <v>601</v>
      </c>
      <c r="AK474" s="13"/>
      <c r="AL474" s="13" t="s">
        <v>56</v>
      </c>
      <c r="AN474" s="8">
        <v>538048</v>
      </c>
      <c r="AP474" s="8">
        <v>34800</v>
      </c>
      <c r="AR474" s="8">
        <v>0</v>
      </c>
      <c r="AT474" s="8">
        <v>275000</v>
      </c>
      <c r="AV474" s="8">
        <v>274973</v>
      </c>
      <c r="AX474" s="8">
        <v>0</v>
      </c>
      <c r="AZ474" s="9">
        <f t="shared" si="25"/>
        <v>19283567</v>
      </c>
      <c r="BB474" s="8">
        <v>0</v>
      </c>
      <c r="BH474" s="8">
        <v>0</v>
      </c>
      <c r="BJ474" s="9">
        <f t="shared" si="26"/>
        <v>19283567</v>
      </c>
      <c r="BL474" s="9">
        <f>'Gov Fd Rv'!AU474-'Gov Fnd Exp'!BJ474</f>
        <v>1697716</v>
      </c>
      <c r="BN474" s="8">
        <v>1394069</v>
      </c>
      <c r="BP474" s="8">
        <v>0</v>
      </c>
      <c r="BR474" s="8">
        <v>0</v>
      </c>
      <c r="BT474" s="9">
        <f t="shared" si="27"/>
        <v>3091785</v>
      </c>
      <c r="BU474" s="9"/>
      <c r="BV474" s="9">
        <f>BT474-'Gov Fd BS'!AA472</f>
        <v>0</v>
      </c>
    </row>
    <row r="475" spans="1:74" s="35" customFormat="1">
      <c r="A475" s="34" t="s">
        <v>601</v>
      </c>
      <c r="B475" s="34"/>
      <c r="C475" s="34" t="s">
        <v>71</v>
      </c>
      <c r="D475" s="34"/>
      <c r="E475" s="34">
        <v>50583</v>
      </c>
      <c r="G475" s="8">
        <v>6381422</v>
      </c>
      <c r="H475" s="8"/>
      <c r="I475" s="8">
        <v>2331350</v>
      </c>
      <c r="J475" s="8"/>
      <c r="K475" s="8">
        <v>315446</v>
      </c>
      <c r="L475" s="8"/>
      <c r="M475" s="8">
        <v>370738</v>
      </c>
      <c r="N475" s="8"/>
      <c r="O475" s="8">
        <v>840118</v>
      </c>
      <c r="P475" s="8"/>
      <c r="Q475" s="8">
        <v>437853</v>
      </c>
      <c r="R475" s="8"/>
      <c r="S475" s="8">
        <v>40317</v>
      </c>
      <c r="T475" s="8"/>
      <c r="U475" s="8">
        <v>1707520</v>
      </c>
      <c r="V475" s="8"/>
      <c r="W475" s="8">
        <v>405108</v>
      </c>
      <c r="X475" s="8"/>
      <c r="Y475" s="8">
        <v>0</v>
      </c>
      <c r="Z475" s="8"/>
      <c r="AA475" s="8">
        <v>1328807</v>
      </c>
      <c r="AB475" s="8"/>
      <c r="AC475" s="8">
        <v>955891</v>
      </c>
      <c r="AD475" s="8"/>
      <c r="AE475" s="8">
        <v>176727</v>
      </c>
      <c r="AF475" s="8"/>
      <c r="AG475" s="8">
        <v>0</v>
      </c>
      <c r="AH475" s="8"/>
      <c r="AI475" s="8">
        <v>741886</v>
      </c>
      <c r="AJ475" s="34" t="s">
        <v>601</v>
      </c>
      <c r="AK475" s="34"/>
      <c r="AL475" s="34" t="s">
        <v>71</v>
      </c>
      <c r="AN475" s="8">
        <v>490418</v>
      </c>
      <c r="AO475" s="8"/>
      <c r="AP475" s="8">
        <v>298127</v>
      </c>
      <c r="AQ475" s="8"/>
      <c r="AR475" s="8">
        <v>0</v>
      </c>
      <c r="AS475" s="8"/>
      <c r="AT475" s="8">
        <v>46699</v>
      </c>
      <c r="AU475" s="8"/>
      <c r="AV475" s="8">
        <v>14314</v>
      </c>
      <c r="AW475" s="8"/>
      <c r="AX475" s="8">
        <v>0</v>
      </c>
      <c r="AY475" s="8"/>
      <c r="AZ475" s="9">
        <f t="shared" si="25"/>
        <v>16882741</v>
      </c>
      <c r="BA475" s="8"/>
      <c r="BB475" s="8">
        <v>0</v>
      </c>
      <c r="BC475" s="8"/>
      <c r="BD475" s="8"/>
      <c r="BE475" s="8"/>
      <c r="BF475" s="8"/>
      <c r="BG475" s="8"/>
      <c r="BH475" s="8">
        <v>0</v>
      </c>
      <c r="BI475" s="8"/>
      <c r="BJ475" s="9">
        <f t="shared" si="26"/>
        <v>16882741</v>
      </c>
      <c r="BK475" s="8"/>
      <c r="BL475" s="9">
        <f>'Gov Fd Rv'!AU475-'Gov Fnd Exp'!BJ475</f>
        <v>-646997</v>
      </c>
      <c r="BM475" s="8"/>
      <c r="BN475" s="8">
        <v>2407266</v>
      </c>
      <c r="BO475" s="8"/>
      <c r="BP475" s="8">
        <v>0</v>
      </c>
      <c r="BQ475" s="8"/>
      <c r="BR475" s="8">
        <v>0</v>
      </c>
      <c r="BS475" s="8"/>
      <c r="BT475" s="9">
        <f t="shared" si="27"/>
        <v>1760269</v>
      </c>
      <c r="BU475" s="9"/>
      <c r="BV475" s="9">
        <f>BT475-'Gov Fd BS'!AA473</f>
        <v>0</v>
      </c>
    </row>
    <row r="476" spans="1:74">
      <c r="A476" s="13" t="s">
        <v>268</v>
      </c>
      <c r="B476" s="13"/>
      <c r="C476" s="13" t="s">
        <v>17</v>
      </c>
      <c r="D476" s="13"/>
      <c r="E476" s="32">
        <v>46276</v>
      </c>
      <c r="G476" s="8">
        <v>3422690</v>
      </c>
      <c r="I476" s="8">
        <v>883509</v>
      </c>
      <c r="K476" s="8">
        <v>216408</v>
      </c>
      <c r="M476" s="8">
        <v>12266</v>
      </c>
      <c r="O476" s="8">
        <v>425135</v>
      </c>
      <c r="Q476" s="8">
        <v>252733</v>
      </c>
      <c r="S476" s="8">
        <v>25279</v>
      </c>
      <c r="U476" s="8">
        <v>629316</v>
      </c>
      <c r="W476" s="8">
        <v>270848</v>
      </c>
      <c r="Y476" s="8">
        <v>0</v>
      </c>
      <c r="AA476" s="8">
        <v>498979</v>
      </c>
      <c r="AC476" s="8">
        <v>348432</v>
      </c>
      <c r="AE476" s="8">
        <v>31317</v>
      </c>
      <c r="AG476" s="8">
        <v>0</v>
      </c>
      <c r="AI476" s="8">
        <v>218138</v>
      </c>
      <c r="AJ476" s="13" t="s">
        <v>268</v>
      </c>
      <c r="AK476" s="13"/>
      <c r="AL476" s="13" t="s">
        <v>17</v>
      </c>
      <c r="AN476" s="8">
        <v>314797</v>
      </c>
      <c r="AP476" s="8">
        <v>0</v>
      </c>
      <c r="AR476" s="8">
        <v>0</v>
      </c>
      <c r="AT476" s="8">
        <v>170227</v>
      </c>
      <c r="AV476" s="8">
        <v>32733</v>
      </c>
      <c r="AX476" s="8">
        <v>0</v>
      </c>
      <c r="AZ476" s="9">
        <f t="shared" si="25"/>
        <v>7752807</v>
      </c>
      <c r="BB476" s="8">
        <v>0</v>
      </c>
      <c r="BH476" s="8">
        <v>0</v>
      </c>
      <c r="BJ476" s="9">
        <f t="shared" si="26"/>
        <v>7752807</v>
      </c>
      <c r="BL476" s="9">
        <f>'Gov Fd Rv'!AU476-'Gov Fnd Exp'!BJ476</f>
        <v>510546</v>
      </c>
      <c r="BN476" s="8">
        <v>4650189</v>
      </c>
      <c r="BP476" s="8">
        <v>0</v>
      </c>
      <c r="BR476" s="8">
        <v>0</v>
      </c>
      <c r="BT476" s="9">
        <f t="shared" si="27"/>
        <v>5160735</v>
      </c>
      <c r="BU476" s="9"/>
      <c r="BV476" s="9">
        <f>BT476-'Gov Fd BS'!AA474</f>
        <v>0</v>
      </c>
    </row>
    <row r="477" spans="1:74">
      <c r="A477" s="13" t="s">
        <v>268</v>
      </c>
      <c r="B477" s="13"/>
      <c r="C477" s="13" t="s">
        <v>58</v>
      </c>
      <c r="D477" s="13"/>
      <c r="E477" s="32">
        <v>49528</v>
      </c>
      <c r="G477" s="8">
        <v>4666158</v>
      </c>
      <c r="I477" s="8">
        <v>1174348</v>
      </c>
      <c r="K477" s="8">
        <v>0</v>
      </c>
      <c r="M477" s="8">
        <v>2625</v>
      </c>
      <c r="O477" s="8">
        <v>422335</v>
      </c>
      <c r="Q477" s="8">
        <v>300098</v>
      </c>
      <c r="S477" s="8">
        <v>16543</v>
      </c>
      <c r="U477" s="8">
        <v>511541</v>
      </c>
      <c r="W477" s="8">
        <v>200000</v>
      </c>
      <c r="Y477" s="8">
        <v>194125</v>
      </c>
      <c r="AA477" s="8">
        <v>1112121</v>
      </c>
      <c r="AC477" s="8">
        <v>826981</v>
      </c>
      <c r="AE477" s="8">
        <v>59525</v>
      </c>
      <c r="AG477" s="8">
        <v>0</v>
      </c>
      <c r="AI477" s="8">
        <v>417430</v>
      </c>
      <c r="AJ477" s="13" t="s">
        <v>268</v>
      </c>
      <c r="AK477" s="13"/>
      <c r="AL477" s="13" t="s">
        <v>58</v>
      </c>
      <c r="AN477" s="8">
        <v>303056</v>
      </c>
      <c r="AP477" s="8">
        <v>143640</v>
      </c>
      <c r="AR477" s="8">
        <v>0</v>
      </c>
      <c r="AT477" s="8">
        <v>177000</v>
      </c>
      <c r="AV477" s="8">
        <v>203247</v>
      </c>
      <c r="AX477" s="8">
        <v>0</v>
      </c>
      <c r="AZ477" s="9">
        <f t="shared" si="25"/>
        <v>10730773</v>
      </c>
      <c r="BB477" s="8">
        <v>44008</v>
      </c>
      <c r="BH477" s="8">
        <v>0</v>
      </c>
      <c r="BJ477" s="9">
        <f t="shared" si="26"/>
        <v>10774781</v>
      </c>
      <c r="BL477" s="9">
        <f>'Gov Fd Rv'!AU477-'Gov Fnd Exp'!BJ477</f>
        <v>1436989</v>
      </c>
      <c r="BN477" s="8">
        <v>3630400</v>
      </c>
      <c r="BP477" s="8">
        <v>0</v>
      </c>
      <c r="BR477" s="8">
        <v>0</v>
      </c>
      <c r="BT477" s="9">
        <f t="shared" si="27"/>
        <v>5067389</v>
      </c>
      <c r="BU477" s="9"/>
      <c r="BV477" s="9">
        <f>BT477-'Gov Fd BS'!AA475</f>
        <v>0</v>
      </c>
    </row>
    <row r="478" spans="1:74">
      <c r="A478" s="13" t="s">
        <v>288</v>
      </c>
      <c r="B478" s="13"/>
      <c r="C478" s="13" t="s">
        <v>115</v>
      </c>
      <c r="D478" s="13"/>
      <c r="E478" s="32">
        <v>46441</v>
      </c>
      <c r="G478" s="8">
        <v>3029957</v>
      </c>
      <c r="I478" s="8">
        <v>1238219</v>
      </c>
      <c r="K478" s="8">
        <v>230004</v>
      </c>
      <c r="M478" s="8">
        <v>18923</v>
      </c>
      <c r="O478" s="8">
        <v>314151</v>
      </c>
      <c r="Q478" s="8">
        <v>211094</v>
      </c>
      <c r="S478" s="8">
        <v>1292877</v>
      </c>
      <c r="U478" s="8">
        <v>687822</v>
      </c>
      <c r="W478" s="8">
        <v>221746</v>
      </c>
      <c r="Y478" s="8">
        <v>49058</v>
      </c>
      <c r="AA478" s="8">
        <v>1118107</v>
      </c>
      <c r="AC478" s="8">
        <v>903170</v>
      </c>
      <c r="AE478" s="8">
        <v>0</v>
      </c>
      <c r="AG478" s="8">
        <v>447726</v>
      </c>
      <c r="AI478" s="8">
        <v>4908</v>
      </c>
      <c r="AJ478" s="13" t="s">
        <v>288</v>
      </c>
      <c r="AK478" s="13"/>
      <c r="AL478" s="13" t="s">
        <v>115</v>
      </c>
      <c r="AN478" s="8">
        <v>218301</v>
      </c>
      <c r="AP478" s="8">
        <v>16975</v>
      </c>
      <c r="AR478" s="8">
        <v>0</v>
      </c>
      <c r="AT478" s="8">
        <v>164227</v>
      </c>
      <c r="AV478" s="8">
        <v>98465</v>
      </c>
      <c r="AX478" s="8">
        <v>77597</v>
      </c>
      <c r="AZ478" s="9">
        <f>SUM(G478:AX478)</f>
        <v>10343327</v>
      </c>
      <c r="BB478" s="8">
        <v>175000</v>
      </c>
      <c r="BH478" s="8">
        <v>2580996</v>
      </c>
      <c r="BJ478" s="9">
        <f>AZ478+BB478+BH478</f>
        <v>13099323</v>
      </c>
      <c r="BL478" s="9">
        <f>'Gov Fd Rv'!AU478-'Gov Fnd Exp'!BJ478</f>
        <v>-231675</v>
      </c>
      <c r="BN478" s="8">
        <v>1266886</v>
      </c>
      <c r="BP478" s="8">
        <v>0</v>
      </c>
      <c r="BR478" s="8">
        <v>0</v>
      </c>
      <c r="BT478" s="9">
        <f>BL478+BN478+BP478+BR478</f>
        <v>1035211</v>
      </c>
      <c r="BU478" s="9"/>
      <c r="BV478" s="9">
        <f>BT478-'Gov Fd BS'!AA476</f>
        <v>0</v>
      </c>
    </row>
    <row r="479" spans="1:74">
      <c r="A479" s="13" t="s">
        <v>288</v>
      </c>
      <c r="B479" s="13"/>
      <c r="C479" s="13" t="s">
        <v>537</v>
      </c>
      <c r="D479" s="13"/>
      <c r="E479" s="32">
        <v>46441</v>
      </c>
      <c r="G479" s="8">
        <v>2620257</v>
      </c>
      <c r="I479" s="8">
        <v>928060</v>
      </c>
      <c r="K479" s="8">
        <v>122270</v>
      </c>
      <c r="M479" s="8">
        <v>5707</v>
      </c>
      <c r="O479" s="8">
        <v>243973</v>
      </c>
      <c r="Q479" s="8">
        <v>257474</v>
      </c>
      <c r="S479" s="8">
        <v>15846</v>
      </c>
      <c r="U479" s="8">
        <v>1154151</v>
      </c>
      <c r="W479" s="8">
        <v>296620</v>
      </c>
      <c r="Y479" s="8">
        <v>0</v>
      </c>
      <c r="AA479" s="8">
        <v>559757</v>
      </c>
      <c r="AC479" s="8">
        <v>478384</v>
      </c>
      <c r="AE479" s="8">
        <v>65905</v>
      </c>
      <c r="AG479" s="8">
        <v>0</v>
      </c>
      <c r="AI479" s="8">
        <v>369800</v>
      </c>
      <c r="AJ479" s="13" t="s">
        <v>288</v>
      </c>
      <c r="AK479" s="13"/>
      <c r="AL479" s="13" t="s">
        <v>115</v>
      </c>
      <c r="AN479" s="8">
        <v>127030</v>
      </c>
      <c r="AP479" s="8">
        <v>0</v>
      </c>
      <c r="AR479" s="8">
        <v>0</v>
      </c>
      <c r="AT479" s="8">
        <v>152718</v>
      </c>
      <c r="AV479" s="8">
        <v>155059</v>
      </c>
      <c r="AX479" s="8">
        <v>0</v>
      </c>
      <c r="AZ479" s="9">
        <f t="shared" si="25"/>
        <v>7553011</v>
      </c>
      <c r="BB479" s="8">
        <v>54303</v>
      </c>
      <c r="BH479" s="8">
        <v>0</v>
      </c>
      <c r="BJ479" s="9">
        <f t="shared" si="26"/>
        <v>7607314</v>
      </c>
      <c r="BL479" s="9">
        <f>'Gov Fd Rv'!AU479-'Gov Fnd Exp'!BJ479</f>
        <v>296812</v>
      </c>
      <c r="BN479" s="8">
        <v>823996</v>
      </c>
      <c r="BP479" s="8">
        <v>0</v>
      </c>
      <c r="BR479" s="8">
        <v>0</v>
      </c>
      <c r="BT479" s="9">
        <f t="shared" si="27"/>
        <v>1120808</v>
      </c>
      <c r="BU479" s="9"/>
      <c r="BV479" s="9">
        <f>BT479-'Gov Fd BS'!AA477</f>
        <v>0</v>
      </c>
    </row>
    <row r="480" spans="1:74">
      <c r="A480" s="13" t="s">
        <v>696</v>
      </c>
      <c r="B480" s="13"/>
      <c r="C480" s="13" t="s">
        <v>64</v>
      </c>
      <c r="D480" s="13"/>
      <c r="E480" s="32">
        <v>50237</v>
      </c>
      <c r="G480" s="8">
        <v>2828028</v>
      </c>
      <c r="I480" s="8">
        <v>282587</v>
      </c>
      <c r="K480" s="8">
        <v>0</v>
      </c>
      <c r="M480" s="8">
        <v>0</v>
      </c>
      <c r="O480" s="8">
        <v>513290</v>
      </c>
      <c r="Q480" s="8">
        <v>158589</v>
      </c>
      <c r="S480" s="8">
        <v>59287</v>
      </c>
      <c r="U480" s="8">
        <v>400825</v>
      </c>
      <c r="W480" s="8">
        <v>237592</v>
      </c>
      <c r="Y480" s="8">
        <v>31546</v>
      </c>
      <c r="AA480" s="8">
        <v>417902</v>
      </c>
      <c r="AC480" s="8">
        <v>377897</v>
      </c>
      <c r="AE480" s="8">
        <v>11070</v>
      </c>
      <c r="AG480" s="8">
        <v>180381</v>
      </c>
      <c r="AI480" s="8">
        <v>100</v>
      </c>
      <c r="AJ480" s="13" t="s">
        <v>696</v>
      </c>
      <c r="AK480" s="13"/>
      <c r="AL480" s="13" t="s">
        <v>64</v>
      </c>
      <c r="AN480" s="8">
        <v>224154</v>
      </c>
      <c r="AP480" s="8">
        <v>466639</v>
      </c>
      <c r="AR480" s="8">
        <v>0</v>
      </c>
      <c r="AT480" s="8">
        <v>166797</v>
      </c>
      <c r="AV480" s="8">
        <v>61350</v>
      </c>
      <c r="AX480" s="8">
        <v>0</v>
      </c>
      <c r="AZ480" s="9">
        <f t="shared" si="25"/>
        <v>6418034</v>
      </c>
      <c r="BB480" s="8">
        <v>12000</v>
      </c>
      <c r="BH480" s="8">
        <v>0</v>
      </c>
      <c r="BJ480" s="9">
        <f t="shared" si="26"/>
        <v>6430034</v>
      </c>
      <c r="BL480" s="9">
        <f>'Gov Fd Rv'!AU480-'Gov Fnd Exp'!BJ480</f>
        <v>9017783</v>
      </c>
      <c r="BN480" s="8">
        <v>1787533</v>
      </c>
      <c r="BP480" s="8">
        <v>0</v>
      </c>
      <c r="BR480" s="8">
        <v>0</v>
      </c>
      <c r="BT480" s="9">
        <f t="shared" si="27"/>
        <v>10805316</v>
      </c>
      <c r="BU480" s="9"/>
      <c r="BV480" s="9">
        <f>BT480-'Gov Fd BS'!AA478</f>
        <v>0</v>
      </c>
    </row>
    <row r="481" spans="1:74" ht="10.5" customHeight="1">
      <c r="A481" s="13" t="s">
        <v>487</v>
      </c>
      <c r="B481" s="13"/>
      <c r="C481" s="13" t="s">
        <v>42</v>
      </c>
      <c r="D481" s="13"/>
      <c r="E481" s="32">
        <v>48041</v>
      </c>
      <c r="G481" s="8">
        <v>13525206</v>
      </c>
      <c r="I481" s="8">
        <v>3093292</v>
      </c>
      <c r="K481" s="8">
        <v>441232</v>
      </c>
      <c r="M481" s="8">
        <v>2373617</v>
      </c>
      <c r="O481" s="8">
        <v>1955346</v>
      </c>
      <c r="Q481" s="8">
        <v>1566030</v>
      </c>
      <c r="S481" s="8">
        <v>63441</v>
      </c>
      <c r="U481" s="8">
        <v>2845043</v>
      </c>
      <c r="W481" s="8">
        <v>873047</v>
      </c>
      <c r="Y481" s="8">
        <v>150037</v>
      </c>
      <c r="AA481" s="8">
        <v>2576144</v>
      </c>
      <c r="AC481" s="8">
        <v>2546121</v>
      </c>
      <c r="AE481" s="8">
        <v>705024</v>
      </c>
      <c r="AG481" s="8">
        <v>0</v>
      </c>
      <c r="AI481" s="8">
        <v>1501303</v>
      </c>
      <c r="AJ481" s="13" t="s">
        <v>487</v>
      </c>
      <c r="AK481" s="13"/>
      <c r="AL481" s="13" t="s">
        <v>42</v>
      </c>
      <c r="AN481" s="8">
        <v>941342</v>
      </c>
      <c r="AP481" s="8">
        <v>1158942</v>
      </c>
      <c r="AR481" s="8">
        <v>0</v>
      </c>
      <c r="AT481" s="8">
        <v>1249635</v>
      </c>
      <c r="AV481" s="8">
        <v>775958</v>
      </c>
      <c r="AX481" s="8">
        <v>0</v>
      </c>
      <c r="AZ481" s="9">
        <f t="shared" si="25"/>
        <v>38340760</v>
      </c>
      <c r="BB481" s="8">
        <v>80073</v>
      </c>
      <c r="BH481" s="8">
        <v>0</v>
      </c>
      <c r="BJ481" s="9">
        <f t="shared" si="26"/>
        <v>38420833</v>
      </c>
      <c r="BL481" s="9">
        <f>'Gov Fd Rv'!AU481-'Gov Fnd Exp'!BJ481</f>
        <v>873724</v>
      </c>
      <c r="BN481" s="8">
        <v>7933063</v>
      </c>
      <c r="BP481" s="8">
        <v>0</v>
      </c>
      <c r="BR481" s="8">
        <v>0</v>
      </c>
      <c r="BT481" s="9">
        <f t="shared" si="27"/>
        <v>8806787</v>
      </c>
      <c r="BU481" s="9"/>
      <c r="BV481" s="9">
        <f>BT481-'Gov Fd BS'!AA479</f>
        <v>0</v>
      </c>
    </row>
    <row r="482" spans="1:74">
      <c r="A482" s="13" t="s">
        <v>412</v>
      </c>
      <c r="B482" s="13"/>
      <c r="C482" s="13" t="s">
        <v>32</v>
      </c>
      <c r="D482" s="13"/>
      <c r="E482" s="32">
        <v>47381</v>
      </c>
      <c r="G482" s="8">
        <v>15267982</v>
      </c>
      <c r="I482" s="8">
        <v>4078727</v>
      </c>
      <c r="K482" s="8">
        <v>238480</v>
      </c>
      <c r="M482" s="8">
        <v>661079</v>
      </c>
      <c r="O482" s="8">
        <v>1464056</v>
      </c>
      <c r="Q482" s="8">
        <v>1279557</v>
      </c>
      <c r="S482" s="8">
        <v>0</v>
      </c>
      <c r="U482" s="8">
        <f>50357+3107687</f>
        <v>3158044</v>
      </c>
      <c r="W482" s="8">
        <v>760740</v>
      </c>
      <c r="Y482" s="8">
        <v>0</v>
      </c>
      <c r="AA482" s="8">
        <v>3546544</v>
      </c>
      <c r="AC482" s="8">
        <v>1865202</v>
      </c>
      <c r="AE482" s="8">
        <v>68998</v>
      </c>
      <c r="AG482" s="8">
        <v>0</v>
      </c>
      <c r="AI482" s="8">
        <v>2177123</v>
      </c>
      <c r="AJ482" s="13" t="s">
        <v>412</v>
      </c>
      <c r="AK482" s="13"/>
      <c r="AL482" s="13" t="s">
        <v>32</v>
      </c>
      <c r="AN482" s="8">
        <v>801414</v>
      </c>
      <c r="AP482" s="8">
        <v>183114</v>
      </c>
      <c r="AR482" s="8">
        <v>0</v>
      </c>
      <c r="AT482" s="8">
        <v>936559</v>
      </c>
      <c r="AV482" s="8">
        <v>1431773</v>
      </c>
      <c r="AX482" s="8">
        <v>0</v>
      </c>
      <c r="AZ482" s="9">
        <f t="shared" si="25"/>
        <v>37919392</v>
      </c>
      <c r="BB482" s="8">
        <v>0</v>
      </c>
      <c r="BH482" s="8">
        <v>9632849</v>
      </c>
      <c r="BJ482" s="9">
        <f t="shared" si="26"/>
        <v>47552241</v>
      </c>
      <c r="BL482" s="9">
        <f>'Gov Fd Rv'!AU482-'Gov Fnd Exp'!BJ482</f>
        <v>-1076125</v>
      </c>
      <c r="BN482" s="8">
        <v>5215353</v>
      </c>
      <c r="BP482" s="8">
        <v>0</v>
      </c>
      <c r="BR482" s="8">
        <v>0</v>
      </c>
      <c r="BT482" s="9">
        <f t="shared" si="27"/>
        <v>4139228</v>
      </c>
      <c r="BU482" s="9"/>
      <c r="BV482" s="9">
        <f>BT482-'Gov Fd BS'!AA480</f>
        <v>0</v>
      </c>
    </row>
    <row r="483" spans="1:74">
      <c r="A483" s="13" t="s">
        <v>367</v>
      </c>
      <c r="B483" s="13"/>
      <c r="C483" s="13" t="s">
        <v>27</v>
      </c>
      <c r="D483" s="13"/>
      <c r="E483" s="32">
        <v>44800</v>
      </c>
      <c r="G483" s="8">
        <v>2762191</v>
      </c>
      <c r="I483" s="8">
        <v>5343756</v>
      </c>
      <c r="K483" s="8">
        <v>524794</v>
      </c>
      <c r="M483" s="8">
        <v>2304299</v>
      </c>
      <c r="O483" s="8">
        <v>1340513</v>
      </c>
      <c r="Q483" s="8">
        <v>4497205</v>
      </c>
      <c r="S483" s="8">
        <v>0</v>
      </c>
      <c r="U483" s="8">
        <v>1438291</v>
      </c>
      <c r="W483" s="8">
        <v>210317</v>
      </c>
      <c r="Y483" s="8">
        <v>0</v>
      </c>
      <c r="AA483" s="8">
        <v>386837</v>
      </c>
      <c r="AC483" s="8">
        <v>144188</v>
      </c>
      <c r="AE483" s="8">
        <v>411801</v>
      </c>
      <c r="AG483" s="8">
        <v>8005503</v>
      </c>
      <c r="AI483" s="8">
        <v>779596</v>
      </c>
      <c r="AJ483" s="13" t="s">
        <v>367</v>
      </c>
      <c r="AK483" s="13"/>
      <c r="AL483" s="13" t="s">
        <v>27</v>
      </c>
      <c r="AN483" s="8">
        <v>1209596</v>
      </c>
      <c r="AP483" s="8">
        <v>531340</v>
      </c>
      <c r="AR483" s="8">
        <v>0</v>
      </c>
      <c r="AT483" s="8">
        <v>0</v>
      </c>
      <c r="AV483" s="8">
        <v>0</v>
      </c>
      <c r="AX483" s="8">
        <v>0</v>
      </c>
      <c r="AZ483" s="9">
        <f t="shared" si="25"/>
        <v>29890227</v>
      </c>
      <c r="BB483" s="8">
        <v>0</v>
      </c>
      <c r="BH483" s="8">
        <v>0</v>
      </c>
      <c r="BJ483" s="9">
        <f t="shared" si="26"/>
        <v>29890227</v>
      </c>
      <c r="BL483" s="9">
        <f>'Gov Fd Rv'!AU483-'Gov Fnd Exp'!BJ483</f>
        <v>413634</v>
      </c>
      <c r="BN483" s="8">
        <v>3183117</v>
      </c>
      <c r="BP483" s="8">
        <v>0</v>
      </c>
      <c r="BR483" s="8">
        <v>0</v>
      </c>
      <c r="BT483" s="9">
        <f t="shared" si="27"/>
        <v>3596751</v>
      </c>
      <c r="BU483" s="9"/>
      <c r="BV483" s="9">
        <f>BT483-'Gov Fd BS'!AA481</f>
        <v>0</v>
      </c>
    </row>
    <row r="484" spans="1:74" hidden="1">
      <c r="A484" s="13" t="s">
        <v>214</v>
      </c>
      <c r="B484" s="13"/>
      <c r="C484" s="13" t="s">
        <v>10</v>
      </c>
      <c r="D484" s="13"/>
      <c r="E484" s="32">
        <v>45807</v>
      </c>
      <c r="G484" s="8">
        <v>0</v>
      </c>
      <c r="I484" s="8">
        <v>0</v>
      </c>
      <c r="K484" s="8">
        <v>0</v>
      </c>
      <c r="M484" s="8">
        <v>0</v>
      </c>
      <c r="O484" s="8">
        <v>0</v>
      </c>
      <c r="Q484" s="8">
        <v>0</v>
      </c>
      <c r="S484" s="8">
        <v>0</v>
      </c>
      <c r="U484" s="8">
        <v>0</v>
      </c>
      <c r="W484" s="8">
        <v>0</v>
      </c>
      <c r="Y484" s="8">
        <v>0</v>
      </c>
      <c r="AA484" s="8">
        <v>0</v>
      </c>
      <c r="AC484" s="8">
        <v>0</v>
      </c>
      <c r="AE484" s="8">
        <v>0</v>
      </c>
      <c r="AG484" s="8">
        <v>0</v>
      </c>
      <c r="AI484" s="8">
        <v>0</v>
      </c>
      <c r="AJ484" s="13" t="s">
        <v>214</v>
      </c>
      <c r="AK484" s="13"/>
      <c r="AL484" s="13" t="s">
        <v>10</v>
      </c>
      <c r="AN484" s="8">
        <v>0</v>
      </c>
      <c r="AP484" s="8">
        <v>0</v>
      </c>
      <c r="AR484" s="8">
        <v>0</v>
      </c>
      <c r="AT484" s="8">
        <v>0</v>
      </c>
      <c r="AV484" s="8">
        <v>0</v>
      </c>
      <c r="AX484" s="8">
        <v>0</v>
      </c>
      <c r="AZ484" s="9">
        <f t="shared" si="25"/>
        <v>0</v>
      </c>
      <c r="BB484" s="8">
        <v>0</v>
      </c>
      <c r="BH484" s="8">
        <v>0</v>
      </c>
      <c r="BJ484" s="9">
        <f t="shared" si="26"/>
        <v>0</v>
      </c>
      <c r="BL484" s="9">
        <f>'Gov Fd Rv'!AU484-'Gov Fnd Exp'!BJ484</f>
        <v>0</v>
      </c>
      <c r="BN484" s="8">
        <v>0</v>
      </c>
      <c r="BP484" s="8">
        <v>0</v>
      </c>
      <c r="BR484" s="8">
        <v>0</v>
      </c>
      <c r="BT484" s="9">
        <f t="shared" si="27"/>
        <v>0</v>
      </c>
      <c r="BU484" s="9"/>
      <c r="BV484" s="9">
        <f>BT484-'Gov Fd BS'!AA482</f>
        <v>0</v>
      </c>
    </row>
    <row r="485" spans="1:74">
      <c r="A485" s="13" t="s">
        <v>719</v>
      </c>
      <c r="B485" s="13"/>
      <c r="C485" s="13" t="s">
        <v>69</v>
      </c>
      <c r="D485" s="13"/>
      <c r="E485" s="32">
        <v>50427</v>
      </c>
      <c r="G485" s="8">
        <v>19810782</v>
      </c>
      <c r="I485" s="8">
        <v>3200036</v>
      </c>
      <c r="K485" s="8">
        <v>96299</v>
      </c>
      <c r="M485" s="8">
        <v>321652</v>
      </c>
      <c r="O485" s="8">
        <v>3180644</v>
      </c>
      <c r="Q485" s="8">
        <v>3221192</v>
      </c>
      <c r="S485" s="8">
        <v>154772</v>
      </c>
      <c r="U485" s="8">
        <v>2970060</v>
      </c>
      <c r="W485" s="8">
        <v>1145980</v>
      </c>
      <c r="Y485" s="8">
        <v>182274</v>
      </c>
      <c r="AA485" s="8">
        <v>4788641</v>
      </c>
      <c r="AC485" s="8">
        <v>2870856</v>
      </c>
      <c r="AE485" s="8">
        <v>206665</v>
      </c>
      <c r="AG485" s="8">
        <v>0</v>
      </c>
      <c r="AI485" s="8">
        <v>1283494</v>
      </c>
      <c r="AJ485" s="13" t="s">
        <v>719</v>
      </c>
      <c r="AK485" s="13"/>
      <c r="AL485" s="13" t="s">
        <v>69</v>
      </c>
      <c r="AN485" s="8">
        <v>1023630</v>
      </c>
      <c r="AP485" s="8">
        <v>1785561</v>
      </c>
      <c r="AR485" s="8">
        <v>0</v>
      </c>
      <c r="AT485" s="8">
        <v>3836240</v>
      </c>
      <c r="AV485" s="8">
        <v>4776181</v>
      </c>
      <c r="AX485" s="8">
        <v>206278</v>
      </c>
      <c r="AZ485" s="9">
        <f t="shared" si="25"/>
        <v>55061237</v>
      </c>
      <c r="BB485" s="8">
        <v>176324</v>
      </c>
      <c r="BH485" s="8">
        <v>0</v>
      </c>
      <c r="BJ485" s="9">
        <f t="shared" si="26"/>
        <v>55237561</v>
      </c>
      <c r="BL485" s="9">
        <f>'Gov Fd Rv'!AU485-'Gov Fnd Exp'!BJ485</f>
        <v>9425032</v>
      </c>
      <c r="BN485" s="8">
        <v>5910265</v>
      </c>
      <c r="BP485" s="8">
        <v>0</v>
      </c>
      <c r="BR485" s="8">
        <v>0</v>
      </c>
      <c r="BT485" s="9">
        <f t="shared" si="27"/>
        <v>15335297</v>
      </c>
      <c r="BU485" s="9"/>
      <c r="BV485" s="9">
        <f>BT485-'Gov Fd BS'!AA483</f>
        <v>0</v>
      </c>
    </row>
    <row r="486" spans="1:74">
      <c r="A486" s="12" t="s">
        <v>899</v>
      </c>
      <c r="B486" s="12"/>
      <c r="C486" s="12" t="s">
        <v>17</v>
      </c>
      <c r="D486" s="12"/>
      <c r="E486" s="32"/>
      <c r="G486" s="8">
        <v>39375026</v>
      </c>
      <c r="I486" s="8">
        <v>10083496</v>
      </c>
      <c r="K486" s="8">
        <v>414629</v>
      </c>
      <c r="M486" s="8">
        <f>261753+1737343</f>
        <v>1999096</v>
      </c>
      <c r="O486" s="8">
        <v>5898809</v>
      </c>
      <c r="Q486" s="8">
        <v>7136895</v>
      </c>
      <c r="S486" s="8">
        <v>205787</v>
      </c>
      <c r="U486" s="8">
        <v>6018205</v>
      </c>
      <c r="W486" s="8">
        <v>1645196</v>
      </c>
      <c r="Y486" s="8">
        <v>354993</v>
      </c>
      <c r="AA486" s="8">
        <v>7599335</v>
      </c>
      <c r="AC486" s="8">
        <v>1908896</v>
      </c>
      <c r="AE486" s="8">
        <v>766860</v>
      </c>
      <c r="AG486" s="8">
        <v>0</v>
      </c>
      <c r="AI486" s="8">
        <v>6010956</v>
      </c>
      <c r="AJ486" s="13" t="s">
        <v>815</v>
      </c>
      <c r="AK486" s="13"/>
      <c r="AL486" s="13" t="s">
        <v>17</v>
      </c>
      <c r="AN486" s="8">
        <v>949361</v>
      </c>
      <c r="AP486" s="8">
        <v>29962375</v>
      </c>
      <c r="AR486" s="8">
        <v>0</v>
      </c>
      <c r="AT486" s="8">
        <v>3349783</v>
      </c>
      <c r="AV486" s="8">
        <v>1861975</v>
      </c>
      <c r="AX486" s="8">
        <v>0</v>
      </c>
      <c r="AZ486" s="9">
        <f t="shared" si="25"/>
        <v>125541673</v>
      </c>
      <c r="BB486" s="8">
        <v>0</v>
      </c>
      <c r="BH486" s="8">
        <v>0</v>
      </c>
      <c r="BJ486" s="9">
        <f t="shared" si="26"/>
        <v>125541673</v>
      </c>
      <c r="BL486" s="9">
        <f>'Gov Fd Rv'!AU486-'Gov Fnd Exp'!BJ486</f>
        <v>-1782537</v>
      </c>
      <c r="BN486" s="8">
        <v>25499292</v>
      </c>
      <c r="BP486" s="8">
        <v>0</v>
      </c>
      <c r="BR486" s="8">
        <v>0</v>
      </c>
      <c r="BT486" s="9">
        <f t="shared" si="27"/>
        <v>23716755</v>
      </c>
      <c r="BU486" s="9"/>
      <c r="BV486" s="9">
        <f>BT486-'Gov Fd BS'!AA484</f>
        <v>0</v>
      </c>
    </row>
    <row r="487" spans="1:74">
      <c r="A487" s="13" t="s">
        <v>506</v>
      </c>
      <c r="B487" s="13"/>
      <c r="C487" s="13" t="s">
        <v>118</v>
      </c>
      <c r="D487" s="13"/>
      <c r="E487" s="32">
        <v>48223</v>
      </c>
      <c r="G487" s="8">
        <v>16261259</v>
      </c>
      <c r="I487" s="8">
        <v>4039638</v>
      </c>
      <c r="K487" s="8">
        <v>317538</v>
      </c>
      <c r="M487" s="8">
        <v>2474062</v>
      </c>
      <c r="O487" s="8">
        <v>1544508</v>
      </c>
      <c r="Q487" s="8">
        <v>549865</v>
      </c>
      <c r="S487" s="8">
        <v>53771</v>
      </c>
      <c r="U487" s="8">
        <v>2791696</v>
      </c>
      <c r="W487" s="8">
        <v>691951</v>
      </c>
      <c r="Y487" s="8">
        <v>0</v>
      </c>
      <c r="AA487" s="8">
        <v>3504383</v>
      </c>
      <c r="AC487" s="8">
        <v>2115440</v>
      </c>
      <c r="AE487" s="8">
        <v>144290</v>
      </c>
      <c r="AG487" s="8">
        <v>0</v>
      </c>
      <c r="AI487" s="8">
        <v>2445378</v>
      </c>
      <c r="AJ487" s="13" t="s">
        <v>506</v>
      </c>
      <c r="AK487" s="13"/>
      <c r="AL487" s="13" t="s">
        <v>118</v>
      </c>
      <c r="AN487" s="8">
        <v>1102117</v>
      </c>
      <c r="AP487" s="8">
        <v>2976405</v>
      </c>
      <c r="AR487" s="8">
        <v>0</v>
      </c>
      <c r="AT487" s="8">
        <v>1390000</v>
      </c>
      <c r="AV487" s="8">
        <v>717091</v>
      </c>
      <c r="AX487" s="8">
        <v>0</v>
      </c>
      <c r="AZ487" s="9">
        <f t="shared" si="25"/>
        <v>43119392</v>
      </c>
      <c r="BB487" s="8">
        <v>184074</v>
      </c>
      <c r="BH487" s="8">
        <v>0</v>
      </c>
      <c r="BJ487" s="9">
        <f t="shared" si="26"/>
        <v>43303466</v>
      </c>
      <c r="BL487" s="9">
        <f>'Gov Fd Rv'!AU487-'Gov Fnd Exp'!BJ487</f>
        <v>-1085858</v>
      </c>
      <c r="BN487" s="8">
        <v>5239422</v>
      </c>
      <c r="BP487" s="8">
        <v>0</v>
      </c>
      <c r="BR487" s="8">
        <v>0</v>
      </c>
      <c r="BT487" s="9">
        <f t="shared" si="27"/>
        <v>4153564</v>
      </c>
      <c r="BU487" s="9"/>
      <c r="BV487" s="9">
        <f>BT487-'Gov Fd BS'!AA485</f>
        <v>0</v>
      </c>
    </row>
    <row r="488" spans="1:74">
      <c r="A488" s="13" t="s">
        <v>506</v>
      </c>
      <c r="B488" s="13"/>
      <c r="C488" s="13" t="s">
        <v>45</v>
      </c>
      <c r="D488" s="13"/>
      <c r="E488" s="32">
        <v>48371</v>
      </c>
      <c r="G488" s="8">
        <v>4665274</v>
      </c>
      <c r="I488" s="8">
        <v>973117</v>
      </c>
      <c r="K488" s="8">
        <v>196723</v>
      </c>
      <c r="M488" s="8">
        <v>74862</v>
      </c>
      <c r="O488" s="8">
        <v>411514</v>
      </c>
      <c r="Q488" s="8">
        <v>513323</v>
      </c>
      <c r="S488" s="8">
        <v>18383</v>
      </c>
      <c r="U488" s="8">
        <v>1145266</v>
      </c>
      <c r="W488" s="8">
        <v>294765</v>
      </c>
      <c r="Y488" s="8">
        <v>4786</v>
      </c>
      <c r="AA488" s="8">
        <v>957827</v>
      </c>
      <c r="AC488" s="8">
        <v>601338</v>
      </c>
      <c r="AE488" s="8">
        <v>38060</v>
      </c>
      <c r="AG488" s="8">
        <v>513131</v>
      </c>
      <c r="AI488" s="8">
        <v>7415</v>
      </c>
      <c r="AJ488" s="13" t="s">
        <v>506</v>
      </c>
      <c r="AK488" s="13"/>
      <c r="AL488" s="13" t="s">
        <v>45</v>
      </c>
      <c r="AN488" s="8">
        <v>420480</v>
      </c>
      <c r="AP488" s="8">
        <v>7649</v>
      </c>
      <c r="AR488" s="8">
        <v>0</v>
      </c>
      <c r="AT488" s="8">
        <v>358154</v>
      </c>
      <c r="AV488" s="8">
        <v>95624</v>
      </c>
      <c r="AX488" s="8">
        <v>0</v>
      </c>
      <c r="AZ488" s="9">
        <f t="shared" si="25"/>
        <v>11297691</v>
      </c>
      <c r="BB488" s="8">
        <v>40000</v>
      </c>
      <c r="BH488" s="8">
        <v>0</v>
      </c>
      <c r="BJ488" s="9">
        <f t="shared" si="26"/>
        <v>11337691</v>
      </c>
      <c r="BL488" s="9">
        <f>'Gov Fd Rv'!AU488-'Gov Fnd Exp'!BJ488</f>
        <v>405939</v>
      </c>
      <c r="BN488" s="8">
        <v>2999277</v>
      </c>
      <c r="BP488" s="8">
        <v>0</v>
      </c>
      <c r="BR488" s="8">
        <v>0</v>
      </c>
      <c r="BT488" s="9">
        <f t="shared" si="27"/>
        <v>3405216</v>
      </c>
      <c r="BU488" s="9"/>
      <c r="BV488" s="9">
        <f>BT488-'Gov Fd BS'!AA486</f>
        <v>0</v>
      </c>
    </row>
    <row r="489" spans="1:74">
      <c r="A489" s="13" t="s">
        <v>506</v>
      </c>
      <c r="B489" s="13"/>
      <c r="C489" s="13" t="s">
        <v>63</v>
      </c>
      <c r="D489" s="13"/>
      <c r="E489" s="32">
        <v>50062</v>
      </c>
      <c r="G489" s="8">
        <v>11596326</v>
      </c>
      <c r="I489" s="8">
        <v>3709515</v>
      </c>
      <c r="K489" s="8">
        <v>188617</v>
      </c>
      <c r="M489" s="8">
        <v>2297849</v>
      </c>
      <c r="O489" s="8">
        <v>1396585</v>
      </c>
      <c r="Q489" s="8">
        <v>842517</v>
      </c>
      <c r="S489" s="8">
        <v>38952</v>
      </c>
      <c r="U489" s="8">
        <v>1654043</v>
      </c>
      <c r="W489" s="8">
        <v>666286</v>
      </c>
      <c r="Y489" s="8">
        <v>121689</v>
      </c>
      <c r="AA489" s="8">
        <v>2227263</v>
      </c>
      <c r="AC489" s="8">
        <v>1426239</v>
      </c>
      <c r="AE489" s="8">
        <v>61008</v>
      </c>
      <c r="AG489" s="8">
        <v>1054256</v>
      </c>
      <c r="AI489" s="8">
        <f>8120+27701</f>
        <v>35821</v>
      </c>
      <c r="AJ489" s="13" t="s">
        <v>506</v>
      </c>
      <c r="AK489" s="13"/>
      <c r="AL489" s="13" t="s">
        <v>63</v>
      </c>
      <c r="AN489" s="8">
        <v>588296</v>
      </c>
      <c r="AP489" s="8">
        <v>166873</v>
      </c>
      <c r="AR489" s="8">
        <v>0</v>
      </c>
      <c r="AT489" s="8">
        <v>1081354</v>
      </c>
      <c r="AV489" s="8">
        <v>45388</v>
      </c>
      <c r="AX489" s="8">
        <v>0</v>
      </c>
      <c r="AZ489" s="9">
        <f t="shared" si="25"/>
        <v>29198877</v>
      </c>
      <c r="BB489" s="8">
        <v>2000000</v>
      </c>
      <c r="BH489" s="8">
        <v>0</v>
      </c>
      <c r="BJ489" s="9">
        <f t="shared" si="26"/>
        <v>31198877</v>
      </c>
      <c r="BL489" s="9">
        <f>'Gov Fd Rv'!AU489-'Gov Fnd Exp'!BJ489</f>
        <v>-341446</v>
      </c>
      <c r="BN489" s="8">
        <v>-894476</v>
      </c>
      <c r="BP489" s="8">
        <v>0</v>
      </c>
      <c r="BR489" s="8">
        <v>0</v>
      </c>
      <c r="BT489" s="9">
        <f t="shared" si="27"/>
        <v>-1235922</v>
      </c>
      <c r="BU489" s="9"/>
      <c r="BV489" s="9">
        <f>BT489-'Gov Fd BS'!AA487</f>
        <v>0</v>
      </c>
    </row>
    <row r="490" spans="1:74">
      <c r="A490" s="13" t="s">
        <v>909</v>
      </c>
      <c r="B490" s="13"/>
      <c r="C490" s="13" t="s">
        <v>32</v>
      </c>
      <c r="D490" s="13"/>
      <c r="E490" s="32">
        <v>44719</v>
      </c>
      <c r="G490" s="8">
        <v>5801409</v>
      </c>
      <c r="I490" s="8">
        <v>1222160</v>
      </c>
      <c r="K490" s="8">
        <v>0</v>
      </c>
      <c r="M490" s="8">
        <v>31963</v>
      </c>
      <c r="O490" s="8">
        <v>1082033</v>
      </c>
      <c r="Q490" s="8">
        <v>914225</v>
      </c>
      <c r="S490" s="8">
        <v>0</v>
      </c>
      <c r="U490" s="8">
        <f>19929+1032010</f>
        <v>1051939</v>
      </c>
      <c r="W490" s="8">
        <v>322043</v>
      </c>
      <c r="Y490" s="8">
        <v>0</v>
      </c>
      <c r="AA490" s="8">
        <v>1235705</v>
      </c>
      <c r="AC490" s="8">
        <v>419493</v>
      </c>
      <c r="AE490" s="8">
        <v>156047</v>
      </c>
      <c r="AG490" s="8">
        <v>0</v>
      </c>
      <c r="AI490" s="8">
        <v>1067081</v>
      </c>
      <c r="AJ490" s="13" t="s">
        <v>413</v>
      </c>
      <c r="AK490" s="13"/>
      <c r="AL490" s="13" t="s">
        <v>32</v>
      </c>
      <c r="AN490" s="8">
        <v>182911</v>
      </c>
      <c r="AP490" s="8">
        <v>0</v>
      </c>
      <c r="AR490" s="8">
        <v>0</v>
      </c>
      <c r="AT490" s="8">
        <v>99000</v>
      </c>
      <c r="AV490" s="8">
        <v>104762</v>
      </c>
      <c r="AX490" s="8">
        <v>0</v>
      </c>
      <c r="AZ490" s="9">
        <f t="shared" si="25"/>
        <v>13690771</v>
      </c>
      <c r="BB490" s="8">
        <v>960582</v>
      </c>
      <c r="BH490" s="8">
        <v>0</v>
      </c>
      <c r="BJ490" s="9">
        <f t="shared" si="26"/>
        <v>14651353</v>
      </c>
      <c r="BL490" s="9">
        <f>'Gov Fd Rv'!AU490-'Gov Fnd Exp'!BJ490</f>
        <v>634884</v>
      </c>
      <c r="BN490" s="8">
        <v>3513290</v>
      </c>
      <c r="BP490" s="8">
        <v>0</v>
      </c>
      <c r="BR490" s="8">
        <v>0</v>
      </c>
      <c r="BT490" s="9">
        <f t="shared" si="27"/>
        <v>4148174</v>
      </c>
      <c r="BU490" s="9"/>
      <c r="BV490" s="9">
        <f>BT490-'Gov Fd BS'!AA490</f>
        <v>0</v>
      </c>
    </row>
    <row r="491" spans="1:74">
      <c r="A491" s="13" t="s">
        <v>908</v>
      </c>
      <c r="B491" s="13"/>
      <c r="C491" s="13" t="s">
        <v>15</v>
      </c>
      <c r="D491" s="13"/>
      <c r="E491" s="32">
        <v>45997</v>
      </c>
      <c r="G491" s="8">
        <v>6404158</v>
      </c>
      <c r="I491" s="8">
        <v>1342896</v>
      </c>
      <c r="K491" s="8">
        <v>7718</v>
      </c>
      <c r="M491" s="8">
        <v>0</v>
      </c>
      <c r="O491" s="8">
        <v>634719</v>
      </c>
      <c r="Q491" s="8">
        <v>539229</v>
      </c>
      <c r="S491" s="8">
        <v>24831</v>
      </c>
      <c r="U491" s="8">
        <v>1000934</v>
      </c>
      <c r="W491" s="8">
        <v>464186</v>
      </c>
      <c r="Y491" s="8">
        <v>0</v>
      </c>
      <c r="AA491" s="8">
        <v>1134214</v>
      </c>
      <c r="AC491" s="8">
        <v>823465</v>
      </c>
      <c r="AE491" s="8">
        <v>250537</v>
      </c>
      <c r="AG491" s="8">
        <v>424730</v>
      </c>
      <c r="AI491" s="8">
        <v>230918</v>
      </c>
      <c r="AJ491" s="13" t="s">
        <v>238</v>
      </c>
      <c r="AK491" s="13"/>
      <c r="AL491" s="13" t="s">
        <v>15</v>
      </c>
      <c r="AN491" s="8">
        <v>622880</v>
      </c>
      <c r="AP491" s="8">
        <v>416082</v>
      </c>
      <c r="AR491" s="8">
        <v>0</v>
      </c>
      <c r="AT491" s="8">
        <v>723368</v>
      </c>
      <c r="AV491" s="8">
        <v>193663</v>
      </c>
      <c r="AX491" s="8">
        <v>0</v>
      </c>
      <c r="AZ491" s="9">
        <f t="shared" si="25"/>
        <v>15238528</v>
      </c>
      <c r="BB491" s="8">
        <v>410000</v>
      </c>
      <c r="BH491" s="8">
        <v>0</v>
      </c>
      <c r="BJ491" s="9">
        <f t="shared" si="26"/>
        <v>15648528</v>
      </c>
      <c r="BL491" s="9">
        <f>'Gov Fd Rv'!AU491-'Gov Fnd Exp'!BJ491</f>
        <v>704102</v>
      </c>
      <c r="BN491" s="8">
        <v>3420109</v>
      </c>
      <c r="BP491" s="8">
        <v>0</v>
      </c>
      <c r="BR491" s="8">
        <v>0</v>
      </c>
      <c r="BT491" s="9">
        <f t="shared" si="27"/>
        <v>4124211</v>
      </c>
      <c r="BU491" s="9"/>
      <c r="BV491" s="9">
        <f>BT491-'Gov Fd BS'!AA491</f>
        <v>0</v>
      </c>
    </row>
    <row r="492" spans="1:74" hidden="1">
      <c r="A492" s="13" t="s">
        <v>542</v>
      </c>
      <c r="B492" s="13"/>
      <c r="C492" s="13" t="s">
        <v>540</v>
      </c>
      <c r="D492" s="13"/>
      <c r="E492" s="32">
        <v>48587</v>
      </c>
      <c r="G492" s="8">
        <v>0</v>
      </c>
      <c r="I492" s="8">
        <v>0</v>
      </c>
      <c r="K492" s="8">
        <v>0</v>
      </c>
      <c r="M492" s="8">
        <v>0</v>
      </c>
      <c r="O492" s="8">
        <v>0</v>
      </c>
      <c r="Q492" s="8">
        <v>0</v>
      </c>
      <c r="S492" s="8">
        <v>0</v>
      </c>
      <c r="U492" s="8">
        <v>0</v>
      </c>
      <c r="W492" s="8">
        <v>0</v>
      </c>
      <c r="Y492" s="8">
        <v>0</v>
      </c>
      <c r="AA492" s="8">
        <v>0</v>
      </c>
      <c r="AC492" s="8">
        <v>0</v>
      </c>
      <c r="AE492" s="8">
        <v>0</v>
      </c>
      <c r="AG492" s="8">
        <v>0</v>
      </c>
      <c r="AI492" s="8">
        <v>0</v>
      </c>
      <c r="AJ492" s="13" t="s">
        <v>542</v>
      </c>
      <c r="AK492" s="13"/>
      <c r="AL492" s="13" t="s">
        <v>540</v>
      </c>
      <c r="AN492" s="8">
        <v>0</v>
      </c>
      <c r="AP492" s="8">
        <v>0</v>
      </c>
      <c r="AR492" s="8">
        <v>0</v>
      </c>
      <c r="AT492" s="8">
        <v>0</v>
      </c>
      <c r="AV492" s="8">
        <v>0</v>
      </c>
      <c r="AX492" s="8">
        <v>0</v>
      </c>
      <c r="AZ492" s="9">
        <f t="shared" si="25"/>
        <v>0</v>
      </c>
      <c r="BB492" s="8">
        <v>0</v>
      </c>
      <c r="BH492" s="8">
        <v>0</v>
      </c>
      <c r="BJ492" s="9">
        <f t="shared" si="26"/>
        <v>0</v>
      </c>
      <c r="BL492" s="9">
        <f>'Gov Fd Rv'!AU492-'Gov Fnd Exp'!BJ492</f>
        <v>0</v>
      </c>
      <c r="BN492" s="8">
        <v>0</v>
      </c>
      <c r="BP492" s="8">
        <v>0</v>
      </c>
      <c r="BR492" s="8">
        <v>0</v>
      </c>
      <c r="BT492" s="9">
        <f t="shared" si="27"/>
        <v>0</v>
      </c>
      <c r="BU492" s="9"/>
      <c r="BV492" s="9">
        <f>BT492-'Gov Fd BS'!AA492</f>
        <v>0</v>
      </c>
    </row>
    <row r="493" spans="1:74" hidden="1">
      <c r="A493" s="13" t="s">
        <v>232</v>
      </c>
      <c r="B493" s="13"/>
      <c r="C493" s="13" t="s">
        <v>14</v>
      </c>
      <c r="D493" s="13"/>
      <c r="E493" s="32">
        <v>44727</v>
      </c>
      <c r="G493" s="8">
        <v>0</v>
      </c>
      <c r="I493" s="8">
        <v>0</v>
      </c>
      <c r="K493" s="8">
        <v>0</v>
      </c>
      <c r="M493" s="8">
        <v>0</v>
      </c>
      <c r="O493" s="8">
        <v>0</v>
      </c>
      <c r="Q493" s="8">
        <v>0</v>
      </c>
      <c r="S493" s="8">
        <v>0</v>
      </c>
      <c r="U493" s="8">
        <v>0</v>
      </c>
      <c r="W493" s="8">
        <v>0</v>
      </c>
      <c r="Y493" s="8">
        <v>0</v>
      </c>
      <c r="AA493" s="8">
        <v>0</v>
      </c>
      <c r="AC493" s="8">
        <v>0</v>
      </c>
      <c r="AE493" s="8">
        <v>0</v>
      </c>
      <c r="AG493" s="8">
        <v>0</v>
      </c>
      <c r="AI493" s="8">
        <v>0</v>
      </c>
      <c r="AJ493" s="13" t="s">
        <v>232</v>
      </c>
      <c r="AK493" s="13"/>
      <c r="AL493" s="13" t="s">
        <v>14</v>
      </c>
      <c r="AN493" s="8">
        <v>0</v>
      </c>
      <c r="AP493" s="8">
        <v>0</v>
      </c>
      <c r="AR493" s="8">
        <v>0</v>
      </c>
      <c r="AT493" s="8">
        <v>0</v>
      </c>
      <c r="AV493" s="8">
        <v>0</v>
      </c>
      <c r="AX493" s="8">
        <v>0</v>
      </c>
      <c r="AZ493" s="9">
        <f t="shared" si="25"/>
        <v>0</v>
      </c>
      <c r="BB493" s="8">
        <v>0</v>
      </c>
      <c r="BH493" s="8">
        <v>0</v>
      </c>
      <c r="BJ493" s="9">
        <f t="shared" si="26"/>
        <v>0</v>
      </c>
      <c r="BL493" s="9">
        <f>'Gov Fd Rv'!AU493-'Gov Fnd Exp'!BJ493</f>
        <v>0</v>
      </c>
      <c r="BN493" s="8">
        <v>0</v>
      </c>
      <c r="BP493" s="8">
        <v>0</v>
      </c>
      <c r="BR493" s="8">
        <v>0</v>
      </c>
      <c r="BT493" s="9">
        <f t="shared" si="27"/>
        <v>0</v>
      </c>
      <c r="BU493" s="9"/>
      <c r="BV493" s="9">
        <f>BT493-'Gov Fd BS'!AA493</f>
        <v>0</v>
      </c>
    </row>
    <row r="494" spans="1:74">
      <c r="A494" s="13" t="s">
        <v>457</v>
      </c>
      <c r="B494" s="13"/>
      <c r="C494" s="13" t="s">
        <v>39</v>
      </c>
      <c r="D494" s="13"/>
      <c r="E494" s="32">
        <v>44826</v>
      </c>
      <c r="G494" s="8">
        <v>8764193</v>
      </c>
      <c r="I494" s="8">
        <v>3320884</v>
      </c>
      <c r="K494" s="8">
        <v>1005383</v>
      </c>
      <c r="M494" s="8">
        <v>0</v>
      </c>
      <c r="O494" s="8">
        <v>1070667</v>
      </c>
      <c r="Q494" s="8">
        <v>689740</v>
      </c>
      <c r="S494" s="8">
        <v>35454</v>
      </c>
      <c r="U494" s="8">
        <v>1753367</v>
      </c>
      <c r="W494" s="8">
        <v>385965</v>
      </c>
      <c r="Y494" s="8">
        <v>173985</v>
      </c>
      <c r="AA494" s="8">
        <v>2265452</v>
      </c>
      <c r="AC494" s="8">
        <v>403041</v>
      </c>
      <c r="AE494" s="8">
        <v>17553</v>
      </c>
      <c r="AG494" s="8">
        <v>870782</v>
      </c>
      <c r="AI494" s="8">
        <v>487205</v>
      </c>
      <c r="AJ494" s="13" t="s">
        <v>457</v>
      </c>
      <c r="AK494" s="13"/>
      <c r="AL494" s="13" t="s">
        <v>39</v>
      </c>
      <c r="AN494" s="8">
        <v>559801</v>
      </c>
      <c r="AP494" s="8">
        <v>14750448</v>
      </c>
      <c r="AR494" s="8">
        <v>0</v>
      </c>
      <c r="AT494" s="8">
        <v>755000</v>
      </c>
      <c r="AV494" s="8">
        <v>336763</v>
      </c>
      <c r="AX494" s="8">
        <v>28000</v>
      </c>
      <c r="AZ494" s="9">
        <f t="shared" si="25"/>
        <v>37673683</v>
      </c>
      <c r="BB494" s="8">
        <v>946932</v>
      </c>
      <c r="BH494" s="8">
        <v>0</v>
      </c>
      <c r="BJ494" s="9">
        <f t="shared" si="26"/>
        <v>38620615</v>
      </c>
      <c r="BL494" s="9">
        <f>'Gov Fd Rv'!AU494-'Gov Fnd Exp'!BJ494</f>
        <v>-10879007</v>
      </c>
      <c r="BN494" s="8">
        <v>26081668</v>
      </c>
      <c r="BP494" s="8">
        <v>0</v>
      </c>
      <c r="BR494" s="8">
        <v>0</v>
      </c>
      <c r="BT494" s="9">
        <f t="shared" si="27"/>
        <v>15202661</v>
      </c>
      <c r="BU494" s="9"/>
      <c r="BV494" s="9">
        <f>BT494-'Gov Fd BS'!AA494</f>
        <v>0</v>
      </c>
    </row>
    <row r="495" spans="1:74">
      <c r="A495" s="13" t="s">
        <v>676</v>
      </c>
      <c r="B495" s="13"/>
      <c r="C495" s="13" t="s">
        <v>63</v>
      </c>
      <c r="D495" s="13"/>
      <c r="E495" s="32">
        <v>44834</v>
      </c>
      <c r="G495" s="8">
        <v>23988547</v>
      </c>
      <c r="I495" s="8">
        <v>4463939</v>
      </c>
      <c r="K495" s="8">
        <v>1705596</v>
      </c>
      <c r="M495" s="8">
        <f>14550+296984</f>
        <v>311534</v>
      </c>
      <c r="O495" s="8">
        <v>3161162</v>
      </c>
      <c r="Q495" s="8">
        <v>2592951</v>
      </c>
      <c r="S495" s="8">
        <v>460799</v>
      </c>
      <c r="U495" s="8">
        <v>2831147</v>
      </c>
      <c r="W495" s="8">
        <v>1142634</v>
      </c>
      <c r="Y495" s="8">
        <v>552632</v>
      </c>
      <c r="AA495" s="8">
        <v>5059450</v>
      </c>
      <c r="AC495" s="8">
        <v>3255461</v>
      </c>
      <c r="AE495" s="8">
        <v>838344</v>
      </c>
      <c r="AG495" s="8">
        <v>1275691</v>
      </c>
      <c r="AI495" s="8">
        <v>44473</v>
      </c>
      <c r="AJ495" s="13" t="s">
        <v>676</v>
      </c>
      <c r="AK495" s="13"/>
      <c r="AL495" s="13" t="s">
        <v>63</v>
      </c>
      <c r="AN495" s="8">
        <v>1095834</v>
      </c>
      <c r="AP495" s="8">
        <v>341507</v>
      </c>
      <c r="AR495" s="8">
        <v>422912</v>
      </c>
      <c r="AT495" s="8">
        <v>640000</v>
      </c>
      <c r="AV495" s="8">
        <v>258452</v>
      </c>
      <c r="AX495" s="8">
        <v>0</v>
      </c>
      <c r="AZ495" s="9">
        <f t="shared" si="25"/>
        <v>54443065</v>
      </c>
      <c r="BB495" s="8">
        <v>52265</v>
      </c>
      <c r="BH495" s="8">
        <v>0</v>
      </c>
      <c r="BJ495" s="9">
        <f t="shared" si="26"/>
        <v>54495330</v>
      </c>
      <c r="BL495" s="9">
        <f>'Gov Fd Rv'!AU495-'Gov Fnd Exp'!BJ495</f>
        <v>1158729</v>
      </c>
      <c r="BN495" s="8">
        <v>6003099</v>
      </c>
      <c r="BP495" s="8">
        <v>0</v>
      </c>
      <c r="BR495" s="8">
        <v>0</v>
      </c>
      <c r="BT495" s="9">
        <f t="shared" si="27"/>
        <v>7161828</v>
      </c>
      <c r="BU495" s="9"/>
      <c r="BV495" s="9">
        <f>BT495-'Gov Fd BS'!AA495</f>
        <v>0</v>
      </c>
    </row>
    <row r="496" spans="1:74" hidden="1">
      <c r="A496" s="13" t="s">
        <v>705</v>
      </c>
      <c r="B496" s="13"/>
      <c r="C496" s="13" t="s">
        <v>65</v>
      </c>
      <c r="D496" s="13"/>
      <c r="E496" s="32">
        <v>50294</v>
      </c>
      <c r="G496" s="8">
        <v>0</v>
      </c>
      <c r="I496" s="8">
        <v>0</v>
      </c>
      <c r="K496" s="8">
        <v>0</v>
      </c>
      <c r="M496" s="8">
        <v>0</v>
      </c>
      <c r="O496" s="8">
        <v>0</v>
      </c>
      <c r="Q496" s="8">
        <v>0</v>
      </c>
      <c r="S496" s="8">
        <v>0</v>
      </c>
      <c r="U496" s="8">
        <v>0</v>
      </c>
      <c r="W496" s="8">
        <v>0</v>
      </c>
      <c r="Y496" s="8">
        <v>0</v>
      </c>
      <c r="AA496" s="8">
        <v>0</v>
      </c>
      <c r="AC496" s="8">
        <v>0</v>
      </c>
      <c r="AE496" s="8">
        <v>0</v>
      </c>
      <c r="AG496" s="8">
        <v>0</v>
      </c>
      <c r="AI496" s="8">
        <v>0</v>
      </c>
      <c r="AJ496" s="13" t="s">
        <v>705</v>
      </c>
      <c r="AK496" s="13"/>
      <c r="AL496" s="13" t="s">
        <v>65</v>
      </c>
      <c r="AN496" s="8">
        <v>0</v>
      </c>
      <c r="AP496" s="8">
        <v>0</v>
      </c>
      <c r="AR496" s="8">
        <v>0</v>
      </c>
      <c r="AT496" s="8">
        <v>0</v>
      </c>
      <c r="AV496" s="8">
        <v>0</v>
      </c>
      <c r="AX496" s="8">
        <v>0</v>
      </c>
      <c r="AZ496" s="9">
        <f t="shared" si="25"/>
        <v>0</v>
      </c>
      <c r="BB496" s="8">
        <v>0</v>
      </c>
      <c r="BH496" s="8">
        <v>0</v>
      </c>
      <c r="BJ496" s="9">
        <f t="shared" si="26"/>
        <v>0</v>
      </c>
      <c r="BL496" s="9">
        <f>'Gov Fd Rv'!AU496-'Gov Fnd Exp'!BJ496</f>
        <v>0</v>
      </c>
      <c r="BN496" s="8">
        <v>0</v>
      </c>
      <c r="BP496" s="8">
        <v>0</v>
      </c>
      <c r="BR496" s="8">
        <v>0</v>
      </c>
      <c r="BT496" s="9">
        <f t="shared" si="27"/>
        <v>0</v>
      </c>
      <c r="BU496" s="9"/>
      <c r="BV496" s="9">
        <f>BT496-'Gov Fd BS'!AA496</f>
        <v>0</v>
      </c>
    </row>
    <row r="497" spans="1:74">
      <c r="A497" s="13" t="s">
        <v>602</v>
      </c>
      <c r="B497" s="13"/>
      <c r="C497" s="13" t="s">
        <v>56</v>
      </c>
      <c r="D497" s="13"/>
      <c r="E497" s="32">
        <v>49239</v>
      </c>
      <c r="G497" s="8">
        <v>10364341</v>
      </c>
      <c r="I497" s="8">
        <v>1370459</v>
      </c>
      <c r="K497" s="8">
        <v>85762</v>
      </c>
      <c r="M497" s="8">
        <f>4042+1056607</f>
        <v>1060649</v>
      </c>
      <c r="O497" s="8">
        <v>1155933</v>
      </c>
      <c r="Q497" s="8">
        <v>1191672</v>
      </c>
      <c r="S497" s="8">
        <v>218777</v>
      </c>
      <c r="U497" s="8">
        <v>1540963</v>
      </c>
      <c r="W497" s="8">
        <v>697008</v>
      </c>
      <c r="Y497" s="8">
        <v>147361</v>
      </c>
      <c r="AA497" s="8">
        <v>1863701</v>
      </c>
      <c r="AC497" s="8">
        <v>1065189</v>
      </c>
      <c r="AE497" s="8">
        <v>142343</v>
      </c>
      <c r="AG497" s="8">
        <v>689502</v>
      </c>
      <c r="AI497" s="8">
        <v>153074</v>
      </c>
      <c r="AJ497" s="13" t="s">
        <v>602</v>
      </c>
      <c r="AK497" s="13"/>
      <c r="AL497" s="13" t="s">
        <v>56</v>
      </c>
      <c r="AN497" s="8">
        <v>512224</v>
      </c>
      <c r="AP497" s="8">
        <v>93865</v>
      </c>
      <c r="AR497" s="8">
        <v>0</v>
      </c>
      <c r="AT497" s="8">
        <v>955000</v>
      </c>
      <c r="AV497" s="8">
        <v>626441</v>
      </c>
      <c r="AX497" s="8">
        <v>0</v>
      </c>
      <c r="AZ497" s="9">
        <f t="shared" si="25"/>
        <v>23934264</v>
      </c>
      <c r="BB497" s="8">
        <v>0</v>
      </c>
      <c r="BH497" s="8">
        <v>0</v>
      </c>
      <c r="BJ497" s="9">
        <f t="shared" si="26"/>
        <v>23934264</v>
      </c>
      <c r="BL497" s="9">
        <f>'Gov Fd Rv'!AU497-'Gov Fnd Exp'!BJ497</f>
        <v>629888</v>
      </c>
      <c r="BN497" s="8">
        <v>-308525</v>
      </c>
      <c r="BP497" s="8">
        <v>0</v>
      </c>
      <c r="BR497" s="8">
        <v>0</v>
      </c>
      <c r="BT497" s="9">
        <f t="shared" si="27"/>
        <v>321363</v>
      </c>
      <c r="BU497" s="9"/>
      <c r="BV497" s="9">
        <f>BT497-'Gov Fd BS'!AA497</f>
        <v>0</v>
      </c>
    </row>
    <row r="498" spans="1:74">
      <c r="A498" s="13" t="s">
        <v>327</v>
      </c>
      <c r="B498" s="13"/>
      <c r="C498" s="13" t="s">
        <v>20</v>
      </c>
      <c r="D498" s="13"/>
      <c r="E498" s="32">
        <v>44842</v>
      </c>
      <c r="G498" s="8">
        <v>39382098</v>
      </c>
      <c r="I498" s="8">
        <v>4756125</v>
      </c>
      <c r="K498" s="8">
        <v>314997</v>
      </c>
      <c r="M498" s="8">
        <f>19893+8502</f>
        <v>28395</v>
      </c>
      <c r="O498" s="8">
        <v>3118502</v>
      </c>
      <c r="Q498" s="8">
        <v>3058059</v>
      </c>
      <c r="S498" s="8">
        <v>128027</v>
      </c>
      <c r="U498" s="8">
        <v>2950934</v>
      </c>
      <c r="W498" s="8">
        <v>5131127</v>
      </c>
      <c r="Y498" s="8">
        <v>461821</v>
      </c>
      <c r="AA498" s="8">
        <v>7132148</v>
      </c>
      <c r="AC498" s="8">
        <v>3925384</v>
      </c>
      <c r="AE498" s="8">
        <v>576100</v>
      </c>
      <c r="AG498" s="8">
        <v>1997231</v>
      </c>
      <c r="AI498" s="8">
        <v>613373</v>
      </c>
      <c r="AJ498" s="13" t="s">
        <v>327</v>
      </c>
      <c r="AK498" s="13"/>
      <c r="AL498" s="13" t="s">
        <v>20</v>
      </c>
      <c r="AN498" s="8">
        <v>562605</v>
      </c>
      <c r="AP498" s="8">
        <v>102551</v>
      </c>
      <c r="AR498" s="8">
        <v>0</v>
      </c>
      <c r="AT498" s="8">
        <v>2749541</v>
      </c>
      <c r="AV498" s="8">
        <v>1556612</v>
      </c>
      <c r="AX498" s="8">
        <v>0</v>
      </c>
      <c r="AZ498" s="9">
        <f t="shared" si="25"/>
        <v>78545630</v>
      </c>
      <c r="BB498" s="8">
        <v>1466772</v>
      </c>
      <c r="BH498" s="8">
        <v>0</v>
      </c>
      <c r="BJ498" s="9">
        <f t="shared" si="26"/>
        <v>80012402</v>
      </c>
      <c r="BL498" s="9">
        <f>'Gov Fd Rv'!AU498-'Gov Fnd Exp'!BJ498</f>
        <v>3922117</v>
      </c>
      <c r="BN498" s="8">
        <v>833109</v>
      </c>
      <c r="BP498" s="8">
        <v>0</v>
      </c>
      <c r="BR498" s="8">
        <v>0</v>
      </c>
      <c r="BT498" s="9">
        <f t="shared" si="27"/>
        <v>4755226</v>
      </c>
      <c r="BU498" s="9"/>
      <c r="BV498" s="9">
        <f>BT498-'Gov Fd BS'!AA498</f>
        <v>0</v>
      </c>
    </row>
    <row r="499" spans="1:74">
      <c r="A499" s="13" t="s">
        <v>523</v>
      </c>
      <c r="B499" s="13"/>
      <c r="C499" s="13" t="s">
        <v>45</v>
      </c>
      <c r="D499" s="13"/>
      <c r="E499" s="32">
        <v>44859</v>
      </c>
      <c r="G499" s="8">
        <v>7706475</v>
      </c>
      <c r="I499" s="8">
        <v>1553757</v>
      </c>
      <c r="K499" s="8">
        <v>493032</v>
      </c>
      <c r="M499" s="8">
        <v>1021741</v>
      </c>
      <c r="O499" s="8">
        <v>596220</v>
      </c>
      <c r="Q499" s="8">
        <v>142020</v>
      </c>
      <c r="S499" s="8">
        <v>84940</v>
      </c>
      <c r="U499" s="8">
        <v>1120032</v>
      </c>
      <c r="W499" s="8">
        <v>421517</v>
      </c>
      <c r="Y499" s="8">
        <v>50108</v>
      </c>
      <c r="AA499" s="8">
        <v>1755952</v>
      </c>
      <c r="AC499" s="8">
        <v>283992</v>
      </c>
      <c r="AE499" s="8">
        <v>18145</v>
      </c>
      <c r="AG499" s="8">
        <v>627898</v>
      </c>
      <c r="AI499" s="8">
        <v>140808</v>
      </c>
      <c r="AJ499" s="13" t="s">
        <v>523</v>
      </c>
      <c r="AK499" s="13"/>
      <c r="AL499" s="13" t="s">
        <v>45</v>
      </c>
      <c r="AN499" s="8">
        <v>426390</v>
      </c>
      <c r="AP499" s="8">
        <v>66809</v>
      </c>
      <c r="AR499" s="8">
        <v>0</v>
      </c>
      <c r="AT499" s="8">
        <v>1415901</v>
      </c>
      <c r="AV499" s="8">
        <v>228672</v>
      </c>
      <c r="AX499" s="8">
        <v>0</v>
      </c>
      <c r="AZ499" s="9">
        <f t="shared" si="25"/>
        <v>18154409</v>
      </c>
      <c r="BB499" s="8">
        <v>0</v>
      </c>
      <c r="BH499" s="8">
        <v>0</v>
      </c>
      <c r="BJ499" s="9">
        <f t="shared" si="26"/>
        <v>18154409</v>
      </c>
      <c r="BL499" s="9">
        <f>'Gov Fd Rv'!AU499-'Gov Fnd Exp'!BJ499</f>
        <v>1686774</v>
      </c>
      <c r="BN499" s="8">
        <v>648581</v>
      </c>
      <c r="BP499" s="8">
        <v>0</v>
      </c>
      <c r="BR499" s="8">
        <v>0</v>
      </c>
      <c r="BT499" s="9">
        <f t="shared" si="27"/>
        <v>2335355</v>
      </c>
      <c r="BU499" s="9"/>
      <c r="BV499" s="9">
        <f>BT499-'Gov Fd BS'!AA499</f>
        <v>0</v>
      </c>
    </row>
    <row r="500" spans="1:74">
      <c r="A500" s="13" t="s">
        <v>738</v>
      </c>
      <c r="B500" s="13"/>
      <c r="C500" s="13" t="s">
        <v>733</v>
      </c>
      <c r="D500" s="13"/>
      <c r="E500" s="32">
        <v>50658</v>
      </c>
      <c r="G500" s="8">
        <v>2015465</v>
      </c>
      <c r="I500" s="8">
        <v>257573</v>
      </c>
      <c r="K500" s="8">
        <v>26524</v>
      </c>
      <c r="M500" s="8">
        <f>5350+339983</f>
        <v>345333</v>
      </c>
      <c r="O500" s="8">
        <v>309151</v>
      </c>
      <c r="Q500" s="8">
        <v>244972</v>
      </c>
      <c r="S500" s="8">
        <v>23294</v>
      </c>
      <c r="U500" s="8">
        <v>345974</v>
      </c>
      <c r="W500" s="8">
        <v>208209</v>
      </c>
      <c r="Y500" s="8">
        <v>9970</v>
      </c>
      <c r="AA500" s="8">
        <v>291891</v>
      </c>
      <c r="AC500" s="8">
        <v>138918</v>
      </c>
      <c r="AE500" s="8">
        <v>25173</v>
      </c>
      <c r="AG500" s="8">
        <v>0</v>
      </c>
      <c r="AI500" s="8">
        <v>181620</v>
      </c>
      <c r="AJ500" s="13" t="s">
        <v>738</v>
      </c>
      <c r="AK500" s="13"/>
      <c r="AL500" s="13" t="s">
        <v>733</v>
      </c>
      <c r="AN500" s="8">
        <v>214634</v>
      </c>
      <c r="AP500" s="8">
        <v>740266</v>
      </c>
      <c r="AR500" s="8">
        <v>0</v>
      </c>
      <c r="AT500" s="8">
        <v>5084983</v>
      </c>
      <c r="AV500" s="8">
        <v>80574</v>
      </c>
      <c r="AX500" s="8">
        <v>0</v>
      </c>
      <c r="AZ500" s="9">
        <f t="shared" si="25"/>
        <v>10544524</v>
      </c>
      <c r="BB500" s="8">
        <v>0</v>
      </c>
      <c r="BH500" s="8">
        <v>0</v>
      </c>
      <c r="BJ500" s="9">
        <f t="shared" si="26"/>
        <v>10544524</v>
      </c>
      <c r="BL500" s="9">
        <f>'Gov Fd Rv'!AU500-'Gov Fnd Exp'!BJ500</f>
        <v>9431735</v>
      </c>
      <c r="BN500" s="8">
        <v>660288</v>
      </c>
      <c r="BP500" s="8">
        <v>0</v>
      </c>
      <c r="BR500" s="8">
        <v>0</v>
      </c>
      <c r="BT500" s="9">
        <f t="shared" si="27"/>
        <v>10092023</v>
      </c>
      <c r="BU500" s="9"/>
      <c r="BV500" s="9">
        <f>BT500-'Gov Fd BS'!AA500</f>
        <v>0</v>
      </c>
    </row>
    <row r="501" spans="1:74">
      <c r="A501" s="13" t="s">
        <v>391</v>
      </c>
      <c r="B501" s="13"/>
      <c r="C501" s="13" t="s">
        <v>117</v>
      </c>
      <c r="D501" s="13"/>
      <c r="E501" s="32">
        <v>47274</v>
      </c>
      <c r="G501" s="8">
        <v>10552557</v>
      </c>
      <c r="I501" s="8">
        <v>1730515</v>
      </c>
      <c r="K501" s="8">
        <v>0</v>
      </c>
      <c r="M501" s="8">
        <v>0</v>
      </c>
      <c r="O501" s="8">
        <v>2514632</v>
      </c>
      <c r="Q501" s="8">
        <v>1106372</v>
      </c>
      <c r="S501" s="8">
        <v>44698</v>
      </c>
      <c r="U501" s="8">
        <v>1848649</v>
      </c>
      <c r="W501" s="8">
        <v>757538</v>
      </c>
      <c r="Y501" s="8">
        <v>118141</v>
      </c>
      <c r="AA501" s="8">
        <v>2415055</v>
      </c>
      <c r="AC501" s="8">
        <v>1559990</v>
      </c>
      <c r="AE501" s="8">
        <v>101812</v>
      </c>
      <c r="AG501" s="8">
        <v>0</v>
      </c>
      <c r="AI501" s="8">
        <v>668807</v>
      </c>
      <c r="AJ501" s="13" t="s">
        <v>391</v>
      </c>
      <c r="AK501" s="13"/>
      <c r="AL501" s="13" t="s">
        <v>117</v>
      </c>
      <c r="AN501" s="8">
        <v>1219203</v>
      </c>
      <c r="AP501" s="8">
        <v>3602763</v>
      </c>
      <c r="AR501" s="8">
        <v>0</v>
      </c>
      <c r="AT501" s="8">
        <v>2048290</v>
      </c>
      <c r="AV501" s="8">
        <v>1927295</v>
      </c>
      <c r="AX501" s="8">
        <v>0</v>
      </c>
      <c r="AZ501" s="9">
        <f t="shared" si="25"/>
        <v>32216317</v>
      </c>
      <c r="BB501" s="8">
        <v>2301705</v>
      </c>
      <c r="BH501" s="8">
        <v>0</v>
      </c>
      <c r="BJ501" s="9">
        <f t="shared" si="26"/>
        <v>34518022</v>
      </c>
      <c r="BL501" s="9">
        <f>'Gov Fd Rv'!AU501-'Gov Fnd Exp'!BJ501</f>
        <v>1582317</v>
      </c>
      <c r="BN501" s="8">
        <v>323234</v>
      </c>
      <c r="BP501" s="8">
        <v>0</v>
      </c>
      <c r="BR501" s="8">
        <v>0</v>
      </c>
      <c r="BT501" s="9">
        <f t="shared" si="27"/>
        <v>1905551</v>
      </c>
      <c r="BU501" s="9"/>
      <c r="BV501" s="9">
        <f>BT501-'Gov Fd BS'!AA501</f>
        <v>0</v>
      </c>
    </row>
    <row r="502" spans="1:74">
      <c r="A502" s="13" t="s">
        <v>377</v>
      </c>
      <c r="B502" s="13"/>
      <c r="C502" s="13" t="s">
        <v>28</v>
      </c>
      <c r="D502" s="13"/>
      <c r="E502" s="32">
        <v>47092</v>
      </c>
      <c r="G502" s="8">
        <v>5629284</v>
      </c>
      <c r="I502" s="8">
        <v>1452449</v>
      </c>
      <c r="K502" s="8">
        <v>0</v>
      </c>
      <c r="M502" s="8">
        <v>0</v>
      </c>
      <c r="O502" s="8">
        <v>575685</v>
      </c>
      <c r="Q502" s="8">
        <v>774415</v>
      </c>
      <c r="S502" s="8">
        <v>7833</v>
      </c>
      <c r="U502" s="8">
        <v>1125968</v>
      </c>
      <c r="W502" s="8">
        <v>491383</v>
      </c>
      <c r="Y502" s="8">
        <v>2435</v>
      </c>
      <c r="AA502" s="8">
        <v>1140217</v>
      </c>
      <c r="AC502" s="8">
        <v>695673</v>
      </c>
      <c r="AE502" s="8">
        <v>54075</v>
      </c>
      <c r="AG502" s="8">
        <v>0</v>
      </c>
      <c r="AI502" s="8">
        <v>670271</v>
      </c>
      <c r="AJ502" s="13" t="s">
        <v>377</v>
      </c>
      <c r="AK502" s="13"/>
      <c r="AL502" s="13" t="s">
        <v>28</v>
      </c>
      <c r="AN502" s="8">
        <v>506285</v>
      </c>
      <c r="AP502" s="8">
        <v>486336</v>
      </c>
      <c r="AR502" s="8">
        <v>0</v>
      </c>
      <c r="AT502" s="8">
        <v>930000</v>
      </c>
      <c r="AV502" s="8">
        <v>551198</v>
      </c>
      <c r="AX502" s="8">
        <v>0</v>
      </c>
      <c r="AZ502" s="9">
        <f t="shared" si="25"/>
        <v>15093507</v>
      </c>
      <c r="BB502" s="8">
        <v>413786</v>
      </c>
      <c r="BH502" s="8">
        <v>0</v>
      </c>
      <c r="BJ502" s="9">
        <f t="shared" si="26"/>
        <v>15507293</v>
      </c>
      <c r="BL502" s="9">
        <f>'Gov Fd Rv'!AU502-'Gov Fnd Exp'!BJ502</f>
        <v>3208431</v>
      </c>
      <c r="BN502" s="8">
        <v>7305371</v>
      </c>
      <c r="BP502" s="8">
        <v>0</v>
      </c>
      <c r="BR502" s="8">
        <v>0</v>
      </c>
      <c r="BT502" s="9">
        <f t="shared" si="27"/>
        <v>10513802</v>
      </c>
      <c r="BU502" s="9"/>
      <c r="BV502" s="9">
        <f>BT502-'Gov Fd BS'!AA502</f>
        <v>0</v>
      </c>
    </row>
    <row r="503" spans="1:74">
      <c r="A503" s="13" t="s">
        <v>897</v>
      </c>
      <c r="B503" s="13"/>
      <c r="C503" s="13" t="s">
        <v>49</v>
      </c>
      <c r="D503" s="13"/>
      <c r="E503" s="32">
        <v>48652</v>
      </c>
      <c r="G503" s="8">
        <v>10377181</v>
      </c>
      <c r="I503" s="8">
        <v>2571823</v>
      </c>
      <c r="K503" s="8">
        <v>1956977</v>
      </c>
      <c r="M503" s="8">
        <f>32918+82815</f>
        <v>115733</v>
      </c>
      <c r="O503" s="8">
        <v>955844</v>
      </c>
      <c r="Q503" s="8">
        <v>944496</v>
      </c>
      <c r="S503" s="8">
        <v>23984</v>
      </c>
      <c r="U503" s="8">
        <v>1885448</v>
      </c>
      <c r="W503" s="8">
        <v>706284</v>
      </c>
      <c r="Y503" s="8">
        <v>0</v>
      </c>
      <c r="AA503" s="8">
        <v>2192014</v>
      </c>
      <c r="AC503" s="8">
        <v>2919254</v>
      </c>
      <c r="AE503" s="8">
        <v>82346</v>
      </c>
      <c r="AG503" s="8">
        <v>0</v>
      </c>
      <c r="AI503" s="8">
        <v>1231223</v>
      </c>
      <c r="AJ503" s="13" t="s">
        <v>551</v>
      </c>
      <c r="AK503" s="13"/>
      <c r="AL503" s="13" t="s">
        <v>49</v>
      </c>
      <c r="AN503" s="8">
        <v>585323</v>
      </c>
      <c r="AP503" s="8">
        <v>233575</v>
      </c>
      <c r="AR503" s="8">
        <v>0</v>
      </c>
      <c r="AT503" s="8">
        <v>0</v>
      </c>
      <c r="AV503" s="8">
        <v>0</v>
      </c>
      <c r="AX503" s="8">
        <v>0</v>
      </c>
      <c r="AZ503" s="9">
        <f t="shared" si="25"/>
        <v>26781505</v>
      </c>
      <c r="BB503" s="8">
        <v>74685</v>
      </c>
      <c r="BH503" s="8">
        <v>0</v>
      </c>
      <c r="BJ503" s="9">
        <f t="shared" si="26"/>
        <v>26856190</v>
      </c>
      <c r="BL503" s="9">
        <f>'Gov Fd Rv'!AU503-'Gov Fnd Exp'!BJ503</f>
        <v>-735102</v>
      </c>
      <c r="BN503" s="8">
        <v>327222</v>
      </c>
      <c r="BP503" s="8">
        <v>0</v>
      </c>
      <c r="BR503" s="8">
        <v>0</v>
      </c>
      <c r="BT503" s="9">
        <f t="shared" si="27"/>
        <v>-407880</v>
      </c>
      <c r="BU503" s="9"/>
      <c r="BV503" s="9">
        <f>BT503-'Gov Fd BS'!AA503</f>
        <v>0</v>
      </c>
    </row>
    <row r="504" spans="1:74">
      <c r="A504" s="13" t="s">
        <v>414</v>
      </c>
      <c r="B504" s="13"/>
      <c r="C504" s="13" t="s">
        <v>32</v>
      </c>
      <c r="D504" s="13"/>
      <c r="E504" s="32">
        <v>44867</v>
      </c>
      <c r="G504" s="8">
        <v>32460942</v>
      </c>
      <c r="I504" s="8">
        <v>7744631</v>
      </c>
      <c r="K504" s="8">
        <v>2405</v>
      </c>
      <c r="M504" s="8">
        <v>284575</v>
      </c>
      <c r="O504" s="8">
        <v>4474355</v>
      </c>
      <c r="Q504" s="8">
        <v>5227462</v>
      </c>
      <c r="S504" s="8">
        <v>41267</v>
      </c>
      <c r="U504" s="8">
        <v>5117549</v>
      </c>
      <c r="W504" s="8">
        <v>1633171</v>
      </c>
      <c r="Y504" s="8">
        <v>82073</v>
      </c>
      <c r="AA504" s="8">
        <v>7442304</v>
      </c>
      <c r="AC504" s="8">
        <v>4168032</v>
      </c>
      <c r="AE504" s="8">
        <v>1684652</v>
      </c>
      <c r="AG504" s="8">
        <v>0</v>
      </c>
      <c r="AI504" s="8">
        <v>3566871</v>
      </c>
      <c r="AJ504" s="13" t="s">
        <v>414</v>
      </c>
      <c r="AK504" s="13"/>
      <c r="AL504" s="13" t="s">
        <v>32</v>
      </c>
      <c r="AN504" s="8">
        <v>1538140</v>
      </c>
      <c r="AP504" s="8">
        <v>842682</v>
      </c>
      <c r="AR504" s="8">
        <v>0</v>
      </c>
      <c r="AT504" s="8">
        <v>2453246</v>
      </c>
      <c r="AV504" s="8">
        <v>2412738</v>
      </c>
      <c r="AX504" s="8">
        <v>0</v>
      </c>
      <c r="AZ504" s="9">
        <f t="shared" si="25"/>
        <v>81177095</v>
      </c>
      <c r="BB504" s="8">
        <v>1444350</v>
      </c>
      <c r="BH504" s="8">
        <v>8206158</v>
      </c>
      <c r="BJ504" s="9">
        <f t="shared" si="26"/>
        <v>90827603</v>
      </c>
      <c r="BL504" s="9">
        <f>'Gov Fd Rv'!AU504-'Gov Fnd Exp'!BJ504</f>
        <v>697597</v>
      </c>
      <c r="BN504" s="8">
        <v>56650448</v>
      </c>
      <c r="BP504" s="8">
        <v>0</v>
      </c>
      <c r="BR504" s="8">
        <v>0</v>
      </c>
      <c r="BT504" s="9">
        <f t="shared" si="27"/>
        <v>57348045</v>
      </c>
      <c r="BU504" s="9"/>
      <c r="BV504" s="9">
        <f>BT504-'Gov Fd BS'!AA504</f>
        <v>0</v>
      </c>
    </row>
    <row r="505" spans="1:74">
      <c r="A505" s="13" t="s">
        <v>507</v>
      </c>
      <c r="B505" s="13"/>
      <c r="C505" s="13" t="s">
        <v>118</v>
      </c>
      <c r="D505" s="13"/>
      <c r="E505" s="32">
        <v>44875</v>
      </c>
      <c r="G505" s="8">
        <v>33024189</v>
      </c>
      <c r="I505" s="8">
        <v>7423240</v>
      </c>
      <c r="K505" s="8">
        <v>2286999</v>
      </c>
      <c r="M505" s="8">
        <f>100208+1394321</f>
        <v>1494529</v>
      </c>
      <c r="O505" s="8">
        <v>5464587</v>
      </c>
      <c r="Q505" s="8">
        <v>4461586</v>
      </c>
      <c r="S505" s="8">
        <v>17584</v>
      </c>
      <c r="U505" s="8">
        <v>7340159</v>
      </c>
      <c r="W505" s="8">
        <v>1598446</v>
      </c>
      <c r="Y505" s="8">
        <v>127710</v>
      </c>
      <c r="AA505" s="8">
        <v>8874375</v>
      </c>
      <c r="AC505" s="8">
        <v>5733457</v>
      </c>
      <c r="AE505" s="8">
        <v>1046145</v>
      </c>
      <c r="AG505" s="8">
        <v>1845644</v>
      </c>
      <c r="AI505" s="8">
        <v>221734</v>
      </c>
      <c r="AJ505" s="13" t="s">
        <v>507</v>
      </c>
      <c r="AK505" s="13"/>
      <c r="AL505" s="13" t="s">
        <v>118</v>
      </c>
      <c r="AN505" s="8">
        <v>2095322</v>
      </c>
      <c r="AP505" s="8">
        <f>136121+618564</f>
        <v>754685</v>
      </c>
      <c r="AR505" s="8">
        <v>915830</v>
      </c>
      <c r="AT505" s="8">
        <v>3696501</v>
      </c>
      <c r="AV505" s="8">
        <v>1129025</v>
      </c>
      <c r="AX505" s="8">
        <v>0</v>
      </c>
      <c r="AZ505" s="9">
        <f t="shared" si="25"/>
        <v>89551747</v>
      </c>
      <c r="BB505" s="8">
        <v>274136</v>
      </c>
      <c r="BH505" s="8">
        <v>0</v>
      </c>
      <c r="BJ505" s="9">
        <f t="shared" si="26"/>
        <v>89825883</v>
      </c>
      <c r="BL505" s="9">
        <f>'Gov Fd Rv'!AU505-'Gov Fnd Exp'!BJ505</f>
        <v>760595</v>
      </c>
      <c r="BN505" s="8">
        <v>12031462</v>
      </c>
      <c r="BP505" s="8">
        <v>13337</v>
      </c>
      <c r="BR505" s="8">
        <v>0</v>
      </c>
      <c r="BT505" s="9">
        <f t="shared" si="27"/>
        <v>12805394</v>
      </c>
      <c r="BU505" s="9"/>
      <c r="BV505" s="9">
        <f>BT505-'Gov Fd BS'!AA505</f>
        <v>0</v>
      </c>
    </row>
    <row r="506" spans="1:74">
      <c r="A506" s="13" t="s">
        <v>477</v>
      </c>
      <c r="B506" s="13"/>
      <c r="C506" s="13" t="s">
        <v>471</v>
      </c>
      <c r="D506" s="13"/>
      <c r="E506" s="32">
        <v>47969</v>
      </c>
      <c r="G506" s="8">
        <v>4257357</v>
      </c>
      <c r="I506" s="8">
        <v>976860</v>
      </c>
      <c r="K506" s="8">
        <v>181565</v>
      </c>
      <c r="M506" s="8">
        <v>0</v>
      </c>
      <c r="O506" s="8">
        <v>276390</v>
      </c>
      <c r="Q506" s="8">
        <v>232072</v>
      </c>
      <c r="S506" s="8">
        <v>54282</v>
      </c>
      <c r="U506" s="8">
        <v>578542</v>
      </c>
      <c r="W506" s="8">
        <v>311692</v>
      </c>
      <c r="Y506" s="8">
        <v>0</v>
      </c>
      <c r="AA506" s="8">
        <v>967672</v>
      </c>
      <c r="AC506" s="8">
        <v>1021001</v>
      </c>
      <c r="AE506" s="8">
        <v>68378</v>
      </c>
      <c r="AG506" s="8">
        <v>432837</v>
      </c>
      <c r="AI506" s="8">
        <v>1875</v>
      </c>
      <c r="AJ506" s="13" t="s">
        <v>477</v>
      </c>
      <c r="AK506" s="13"/>
      <c r="AL506" s="13" t="s">
        <v>471</v>
      </c>
      <c r="AN506" s="8">
        <v>243170</v>
      </c>
      <c r="AP506" s="8">
        <v>0</v>
      </c>
      <c r="AR506" s="8">
        <v>0</v>
      </c>
      <c r="AT506" s="8">
        <v>145000</v>
      </c>
      <c r="AV506" s="8">
        <v>3988</v>
      </c>
      <c r="AX506" s="8">
        <v>0</v>
      </c>
      <c r="AZ506" s="9">
        <f t="shared" si="25"/>
        <v>9752681</v>
      </c>
      <c r="BB506" s="8">
        <v>543933</v>
      </c>
      <c r="BH506" s="8">
        <v>0</v>
      </c>
      <c r="BJ506" s="9">
        <f t="shared" si="26"/>
        <v>10296614</v>
      </c>
      <c r="BL506" s="9">
        <f>'Gov Fd Rv'!AU506-'Gov Fnd Exp'!BJ506</f>
        <v>-722711</v>
      </c>
      <c r="BN506" s="8">
        <v>6402076</v>
      </c>
      <c r="BP506" s="8">
        <v>0</v>
      </c>
      <c r="BR506" s="8">
        <v>0</v>
      </c>
      <c r="BT506" s="9">
        <f t="shared" si="27"/>
        <v>5679365</v>
      </c>
      <c r="BU506" s="9"/>
      <c r="BV506" s="9">
        <f>BT506-'Gov Fd BS'!AA506</f>
        <v>0</v>
      </c>
    </row>
    <row r="507" spans="1:74">
      <c r="A507" s="13" t="s">
        <v>255</v>
      </c>
      <c r="B507" s="13"/>
      <c r="C507" s="13" t="s">
        <v>246</v>
      </c>
      <c r="D507" s="13"/>
      <c r="E507" s="32">
        <v>46151</v>
      </c>
      <c r="G507" s="8">
        <v>13444600</v>
      </c>
      <c r="I507" s="8">
        <v>2677304</v>
      </c>
      <c r="K507" s="8">
        <v>0</v>
      </c>
      <c r="M507" s="8">
        <v>1232110</v>
      </c>
      <c r="O507" s="8">
        <v>1775994</v>
      </c>
      <c r="Q507" s="8">
        <v>1971959</v>
      </c>
      <c r="S507" s="8">
        <v>59448</v>
      </c>
      <c r="U507" s="8">
        <v>2028060</v>
      </c>
      <c r="W507" s="8">
        <v>1145868</v>
      </c>
      <c r="Y507" s="8">
        <v>7691</v>
      </c>
      <c r="AA507" s="8">
        <v>3084668</v>
      </c>
      <c r="AC507" s="8">
        <v>2553000</v>
      </c>
      <c r="AE507" s="8">
        <v>103191</v>
      </c>
      <c r="AG507" s="8">
        <v>1037531</v>
      </c>
      <c r="AI507" s="8">
        <v>0</v>
      </c>
      <c r="AJ507" s="13" t="s">
        <v>255</v>
      </c>
      <c r="AK507" s="13"/>
      <c r="AL507" s="13" t="s">
        <v>246</v>
      </c>
      <c r="AN507" s="8">
        <v>825270</v>
      </c>
      <c r="AP507" s="8">
        <v>460995</v>
      </c>
      <c r="AR507" s="8">
        <v>0</v>
      </c>
      <c r="AT507" s="8">
        <v>414000</v>
      </c>
      <c r="AV507" s="8">
        <v>447377</v>
      </c>
      <c r="AX507" s="8">
        <v>0</v>
      </c>
      <c r="AZ507" s="9">
        <f t="shared" ref="AZ507:AZ534" si="28">SUM(G507:AX507)</f>
        <v>33269066</v>
      </c>
      <c r="BB507" s="8">
        <v>0</v>
      </c>
      <c r="BH507" s="8">
        <v>0</v>
      </c>
      <c r="BJ507" s="9">
        <f t="shared" ref="BJ507:BJ534" si="29">AZ507+BB507+BH507</f>
        <v>33269066</v>
      </c>
      <c r="BL507" s="9">
        <f>'Gov Fd Rv'!AU507-'Gov Fnd Exp'!BJ507</f>
        <v>2181145</v>
      </c>
      <c r="BN507" s="8">
        <v>10960406</v>
      </c>
      <c r="BP507" s="8">
        <v>0</v>
      </c>
      <c r="BR507" s="8">
        <v>0</v>
      </c>
      <c r="BT507" s="9">
        <f t="shared" ref="BT507:BT536" si="30">BL507+BN507+BP507+BR507</f>
        <v>13141551</v>
      </c>
      <c r="BU507" s="9"/>
      <c r="BV507" s="9">
        <f>BT507-'Gov Fd BS'!AA507</f>
        <v>0</v>
      </c>
    </row>
    <row r="508" spans="1:74">
      <c r="A508" s="13" t="s">
        <v>677</v>
      </c>
      <c r="B508" s="13"/>
      <c r="C508" s="13" t="s">
        <v>63</v>
      </c>
      <c r="D508" s="13"/>
      <c r="E508" s="32">
        <v>44883</v>
      </c>
      <c r="G508" s="8">
        <v>13290730</v>
      </c>
      <c r="I508" s="8">
        <v>2736476</v>
      </c>
      <c r="K508" s="8">
        <v>907360</v>
      </c>
      <c r="M508" s="8">
        <v>103397</v>
      </c>
      <c r="O508" s="8">
        <v>1521308</v>
      </c>
      <c r="Q508" s="8">
        <v>791067</v>
      </c>
      <c r="S508" s="8">
        <v>32954</v>
      </c>
      <c r="U508" s="8">
        <v>2006658</v>
      </c>
      <c r="W508" s="8">
        <v>725515</v>
      </c>
      <c r="Y508" s="8">
        <v>126816</v>
      </c>
      <c r="AA508" s="8">
        <v>2074091</v>
      </c>
      <c r="AC508" s="8">
        <v>1411999</v>
      </c>
      <c r="AE508" s="8">
        <v>269813</v>
      </c>
      <c r="AG508" s="8">
        <v>0</v>
      </c>
      <c r="AI508" s="8">
        <v>621166</v>
      </c>
      <c r="AJ508" s="13" t="s">
        <v>677</v>
      </c>
      <c r="AK508" s="13"/>
      <c r="AL508" s="13" t="s">
        <v>63</v>
      </c>
      <c r="AN508" s="8">
        <v>942095</v>
      </c>
      <c r="AP508" s="8">
        <v>17205111</v>
      </c>
      <c r="AR508" s="8">
        <v>0</v>
      </c>
      <c r="AT508" s="8">
        <v>640000</v>
      </c>
      <c r="AV508" s="8">
        <v>1324665</v>
      </c>
      <c r="AX508" s="8">
        <v>0</v>
      </c>
      <c r="AZ508" s="9">
        <f t="shared" si="28"/>
        <v>46731221</v>
      </c>
      <c r="BB508" s="8">
        <v>16410</v>
      </c>
      <c r="BH508" s="8">
        <v>0</v>
      </c>
      <c r="BJ508" s="9">
        <f t="shared" si="29"/>
        <v>46747631</v>
      </c>
      <c r="BL508" s="9">
        <f>'Gov Fd Rv'!AU508-'Gov Fnd Exp'!BJ508</f>
        <v>-18170720</v>
      </c>
      <c r="BN508" s="8">
        <v>27917140</v>
      </c>
      <c r="BP508" s="8">
        <v>0</v>
      </c>
      <c r="BR508" s="8">
        <v>0</v>
      </c>
      <c r="BT508" s="9">
        <f t="shared" si="30"/>
        <v>9746420</v>
      </c>
      <c r="BU508" s="9"/>
      <c r="BV508" s="9">
        <f>BT508-'Gov Fd BS'!AA508</f>
        <v>0</v>
      </c>
    </row>
    <row r="509" spans="1:74">
      <c r="A509" s="13" t="s">
        <v>590</v>
      </c>
      <c r="B509" s="13"/>
      <c r="C509" s="13" t="s">
        <v>54</v>
      </c>
      <c r="D509" s="13"/>
      <c r="E509" s="32">
        <v>49098</v>
      </c>
      <c r="G509" s="8">
        <v>13593557</v>
      </c>
      <c r="I509" s="8">
        <v>2928601</v>
      </c>
      <c r="K509" s="8">
        <v>862602</v>
      </c>
      <c r="M509" s="8">
        <v>260456</v>
      </c>
      <c r="O509" s="8">
        <v>1043898</v>
      </c>
      <c r="Q509" s="8">
        <v>1551017</v>
      </c>
      <c r="S509" s="8">
        <v>104600</v>
      </c>
      <c r="U509" s="8">
        <v>2824084</v>
      </c>
      <c r="W509" s="8">
        <v>726455</v>
      </c>
      <c r="Y509" s="8">
        <v>53149</v>
      </c>
      <c r="AA509" s="8">
        <v>2536654</v>
      </c>
      <c r="AC509" s="8">
        <v>2082907</v>
      </c>
      <c r="AE509" s="8">
        <v>121633</v>
      </c>
      <c r="AG509" s="8">
        <v>1093088</v>
      </c>
      <c r="AI509" s="8">
        <v>11063</v>
      </c>
      <c r="AJ509" s="13" t="s">
        <v>590</v>
      </c>
      <c r="AK509" s="13"/>
      <c r="AL509" s="13" t="s">
        <v>54</v>
      </c>
      <c r="AN509" s="8">
        <v>676812</v>
      </c>
      <c r="AP509" s="8">
        <v>6589627</v>
      </c>
      <c r="AR509" s="8">
        <v>14441</v>
      </c>
      <c r="AT509" s="8">
        <v>944503</v>
      </c>
      <c r="AV509" s="8">
        <v>1830836</v>
      </c>
      <c r="AX509" s="8">
        <v>0</v>
      </c>
      <c r="AZ509" s="9">
        <f t="shared" si="28"/>
        <v>39849983</v>
      </c>
      <c r="BB509" s="8">
        <v>82306</v>
      </c>
      <c r="BH509" s="8">
        <v>0</v>
      </c>
      <c r="BJ509" s="9">
        <f t="shared" si="29"/>
        <v>39932289</v>
      </c>
      <c r="BL509" s="9">
        <f>'Gov Fd Rv'!AU509-'Gov Fnd Exp'!BJ509</f>
        <v>11813087</v>
      </c>
      <c r="BN509" s="8">
        <v>29123840</v>
      </c>
      <c r="BP509" s="8">
        <v>4861</v>
      </c>
      <c r="BR509" s="8">
        <v>0</v>
      </c>
      <c r="BT509" s="9">
        <f t="shared" si="30"/>
        <v>40941788</v>
      </c>
      <c r="BU509" s="9"/>
      <c r="BV509" s="9">
        <f>BT509-'Gov Fd BS'!AA509</f>
        <v>0</v>
      </c>
    </row>
    <row r="510" spans="1:74">
      <c r="A510" s="13" t="s">
        <v>269</v>
      </c>
      <c r="B510" s="13"/>
      <c r="C510" s="13" t="s">
        <v>17</v>
      </c>
      <c r="D510" s="13"/>
      <c r="E510" s="32">
        <v>46243</v>
      </c>
      <c r="G510" s="8">
        <v>12799978</v>
      </c>
      <c r="I510" s="8">
        <v>3206914</v>
      </c>
      <c r="K510" s="8">
        <v>526131</v>
      </c>
      <c r="M510" s="8">
        <v>772725</v>
      </c>
      <c r="O510" s="8">
        <v>1919732</v>
      </c>
      <c r="Q510" s="8">
        <v>1306392</v>
      </c>
      <c r="S510" s="8">
        <v>102638</v>
      </c>
      <c r="U510" s="8">
        <v>2921077</v>
      </c>
      <c r="W510" s="8">
        <v>574272</v>
      </c>
      <c r="Y510" s="8">
        <v>90168</v>
      </c>
      <c r="AA510" s="8">
        <v>3544688</v>
      </c>
      <c r="AC510" s="8">
        <v>1443944</v>
      </c>
      <c r="AE510" s="8">
        <v>145157</v>
      </c>
      <c r="AG510" s="8">
        <v>0</v>
      </c>
      <c r="AI510" s="8">
        <v>1491048</v>
      </c>
      <c r="AJ510" s="13" t="s">
        <v>269</v>
      </c>
      <c r="AK510" s="13"/>
      <c r="AL510" s="13" t="s">
        <v>17</v>
      </c>
      <c r="AN510" s="8">
        <v>580086</v>
      </c>
      <c r="AP510" s="8">
        <v>8397882</v>
      </c>
      <c r="AR510" s="8">
        <v>0</v>
      </c>
      <c r="AT510" s="8">
        <v>425000</v>
      </c>
      <c r="AV510" s="8">
        <v>875168</v>
      </c>
      <c r="AX510" s="8">
        <v>0</v>
      </c>
      <c r="AZ510" s="9">
        <f t="shared" si="28"/>
        <v>41123000</v>
      </c>
      <c r="BB510" s="8">
        <v>0</v>
      </c>
      <c r="BH510" s="8">
        <v>0</v>
      </c>
      <c r="BJ510" s="9">
        <f t="shared" si="29"/>
        <v>41123000</v>
      </c>
      <c r="BL510" s="9">
        <f>'Gov Fd Rv'!AU510-'Gov Fnd Exp'!BJ510</f>
        <v>-7327090</v>
      </c>
      <c r="BN510" s="8">
        <v>13964630</v>
      </c>
      <c r="BP510" s="8">
        <v>0</v>
      </c>
      <c r="BR510" s="8">
        <v>0</v>
      </c>
      <c r="BT510" s="9">
        <f t="shared" si="30"/>
        <v>6637540</v>
      </c>
      <c r="BU510" s="9"/>
      <c r="BV510" s="9">
        <f>BT510-'Gov Fd BS'!AA510</f>
        <v>0</v>
      </c>
    </row>
    <row r="511" spans="1:74">
      <c r="A511" s="13" t="s">
        <v>415</v>
      </c>
      <c r="B511" s="13"/>
      <c r="C511" s="13" t="s">
        <v>32</v>
      </c>
      <c r="D511" s="13"/>
      <c r="E511" s="32">
        <v>47399</v>
      </c>
      <c r="G511" s="8">
        <v>9247827</v>
      </c>
      <c r="I511" s="8">
        <v>2194687</v>
      </c>
      <c r="K511" s="8">
        <v>2723</v>
      </c>
      <c r="M511" s="8">
        <v>9633</v>
      </c>
      <c r="O511" s="8">
        <v>1060804</v>
      </c>
      <c r="Q511" s="8">
        <v>1294543</v>
      </c>
      <c r="S511" s="8">
        <v>20297</v>
      </c>
      <c r="U511" s="8">
        <v>1355072</v>
      </c>
      <c r="W511" s="8">
        <v>718008</v>
      </c>
      <c r="Y511" s="8">
        <v>16069</v>
      </c>
      <c r="AA511" s="8">
        <v>1253980</v>
      </c>
      <c r="AC511" s="8">
        <v>1151436</v>
      </c>
      <c r="AE511" s="8">
        <v>373583</v>
      </c>
      <c r="AG511" s="8">
        <v>0</v>
      </c>
      <c r="AI511" s="8">
        <v>691750</v>
      </c>
      <c r="AJ511" s="13" t="s">
        <v>415</v>
      </c>
      <c r="AK511" s="13"/>
      <c r="AL511" s="13" t="s">
        <v>32</v>
      </c>
      <c r="AN511" s="8">
        <v>326388</v>
      </c>
      <c r="AP511" s="8">
        <v>457841</v>
      </c>
      <c r="AR511" s="8">
        <v>0</v>
      </c>
      <c r="AT511" s="8">
        <v>0</v>
      </c>
      <c r="AV511" s="8">
        <v>0</v>
      </c>
      <c r="AX511" s="8">
        <v>0</v>
      </c>
      <c r="AZ511" s="9">
        <f t="shared" si="28"/>
        <v>20174641</v>
      </c>
      <c r="BB511" s="8">
        <v>117170</v>
      </c>
      <c r="BH511" s="8">
        <v>0</v>
      </c>
      <c r="BJ511" s="9">
        <f t="shared" si="29"/>
        <v>20291811</v>
      </c>
      <c r="BL511" s="9">
        <f>'Gov Fd Rv'!AU513-'Gov Fnd Exp'!BJ511</f>
        <v>656374</v>
      </c>
      <c r="BN511" s="8">
        <v>7727098</v>
      </c>
      <c r="BP511" s="8">
        <v>0</v>
      </c>
      <c r="BR511" s="8">
        <v>0</v>
      </c>
      <c r="BT511" s="9">
        <f t="shared" si="30"/>
        <v>8383472</v>
      </c>
      <c r="BU511" s="9"/>
      <c r="BV511" s="9">
        <f>BT511-'Gov Fd BS'!AA511</f>
        <v>0</v>
      </c>
    </row>
    <row r="512" spans="1:74" hidden="1">
      <c r="A512" s="13" t="s">
        <v>645</v>
      </c>
      <c r="B512" s="13"/>
      <c r="C512" s="13" t="s">
        <v>60</v>
      </c>
      <c r="D512" s="13"/>
      <c r="E512" s="32">
        <v>44891</v>
      </c>
      <c r="G512" s="8">
        <v>0</v>
      </c>
      <c r="I512" s="8">
        <v>0</v>
      </c>
      <c r="K512" s="8">
        <v>0</v>
      </c>
      <c r="M512" s="8">
        <v>0</v>
      </c>
      <c r="O512" s="8">
        <v>0</v>
      </c>
      <c r="Q512" s="8">
        <v>0</v>
      </c>
      <c r="S512" s="8">
        <v>0</v>
      </c>
      <c r="U512" s="8">
        <v>0</v>
      </c>
      <c r="W512" s="8">
        <v>0</v>
      </c>
      <c r="Y512" s="8">
        <v>0</v>
      </c>
      <c r="AA512" s="8">
        <v>0</v>
      </c>
      <c r="AC512" s="8">
        <v>0</v>
      </c>
      <c r="AE512" s="8">
        <v>0</v>
      </c>
      <c r="AG512" s="8">
        <v>0</v>
      </c>
      <c r="AI512" s="8">
        <v>0</v>
      </c>
      <c r="AJ512" s="13" t="s">
        <v>645</v>
      </c>
      <c r="AK512" s="13"/>
      <c r="AL512" s="13" t="s">
        <v>60</v>
      </c>
      <c r="AN512" s="8">
        <v>0</v>
      </c>
      <c r="AP512" s="8">
        <v>0</v>
      </c>
      <c r="AR512" s="8">
        <v>0</v>
      </c>
      <c r="AT512" s="8">
        <v>0</v>
      </c>
      <c r="AV512" s="8">
        <v>0</v>
      </c>
      <c r="AX512" s="8">
        <v>0</v>
      </c>
      <c r="AZ512" s="9">
        <f t="shared" si="28"/>
        <v>0</v>
      </c>
      <c r="BB512" s="8">
        <v>0</v>
      </c>
      <c r="BH512" s="8">
        <v>0</v>
      </c>
      <c r="BJ512" s="9">
        <f t="shared" si="29"/>
        <v>0</v>
      </c>
      <c r="BL512" s="9">
        <f>'Gov Fd Rv'!AU514-'Gov Fnd Exp'!BJ512</f>
        <v>0</v>
      </c>
      <c r="BN512" s="8">
        <v>0</v>
      </c>
      <c r="BP512" s="8">
        <v>0</v>
      </c>
      <c r="BR512" s="8">
        <v>0</v>
      </c>
      <c r="BT512" s="9">
        <f t="shared" si="30"/>
        <v>0</v>
      </c>
      <c r="BU512" s="9"/>
      <c r="BV512" s="9">
        <f>BT512-'Gov Fd BS'!AA512</f>
        <v>0</v>
      </c>
    </row>
    <row r="513" spans="1:74">
      <c r="A513" s="13" t="s">
        <v>645</v>
      </c>
      <c r="B513" s="13"/>
      <c r="C513" s="13" t="s">
        <v>60</v>
      </c>
      <c r="D513" s="13"/>
      <c r="E513" s="32">
        <v>45617</v>
      </c>
      <c r="G513" s="8">
        <v>10302254</v>
      </c>
      <c r="I513" s="8">
        <v>3252103</v>
      </c>
      <c r="K513" s="8">
        <v>205739</v>
      </c>
      <c r="M513" s="8">
        <v>1801541</v>
      </c>
      <c r="O513" s="8">
        <v>1080428</v>
      </c>
      <c r="Q513" s="8">
        <v>1464022</v>
      </c>
      <c r="S513" s="8">
        <v>40644</v>
      </c>
      <c r="U513" s="8">
        <v>1836103</v>
      </c>
      <c r="W513" s="8">
        <v>739239</v>
      </c>
      <c r="Y513" s="8">
        <v>350</v>
      </c>
      <c r="AA513" s="8">
        <v>2372116</v>
      </c>
      <c r="AC513" s="8">
        <v>723038</v>
      </c>
      <c r="AE513" s="8">
        <v>38905</v>
      </c>
      <c r="AG513" s="8">
        <v>809360</v>
      </c>
      <c r="AI513" s="8">
        <v>522697</v>
      </c>
      <c r="AJ513" s="13" t="s">
        <v>549</v>
      </c>
      <c r="AK513" s="13"/>
      <c r="AL513" s="13" t="s">
        <v>48</v>
      </c>
      <c r="AN513" s="8">
        <v>654923</v>
      </c>
      <c r="AP513" s="8">
        <v>199767</v>
      </c>
      <c r="AR513" s="8">
        <v>0</v>
      </c>
      <c r="AT513" s="8">
        <v>703739</v>
      </c>
      <c r="AV513" s="8">
        <v>438232</v>
      </c>
      <c r="AX513" s="8">
        <v>0</v>
      </c>
      <c r="AZ513" s="9">
        <f>SUM(G513:AX513)</f>
        <v>27185200</v>
      </c>
      <c r="BB513" s="8">
        <v>31964</v>
      </c>
      <c r="BH513" s="8">
        <v>0</v>
      </c>
      <c r="BJ513" s="9">
        <f>AZ513+BB513+BH513</f>
        <v>27217164</v>
      </c>
      <c r="BL513" s="9">
        <f>'Gov Fd Rv'!AU515-'Gov Fnd Exp'!BJ513</f>
        <v>1427444</v>
      </c>
      <c r="BN513" s="8">
        <v>2934970</v>
      </c>
      <c r="BP513" s="8">
        <v>0</v>
      </c>
      <c r="BR513" s="8">
        <v>0</v>
      </c>
      <c r="BT513" s="9">
        <f>BL513+BN513+BP513+BR513</f>
        <v>4362414</v>
      </c>
      <c r="BU513" s="9"/>
      <c r="BV513" s="9">
        <f>BT513-'Gov Fd BS'!AA513</f>
        <v>0</v>
      </c>
    </row>
    <row r="514" spans="1:74">
      <c r="A514" s="13" t="s">
        <v>549</v>
      </c>
      <c r="B514" s="13"/>
      <c r="C514" s="13" t="s">
        <v>48</v>
      </c>
      <c r="D514" s="13"/>
      <c r="E514" s="32">
        <v>45617</v>
      </c>
      <c r="G514" s="8">
        <v>13612288</v>
      </c>
      <c r="I514" s="8">
        <v>0</v>
      </c>
      <c r="K514" s="8">
        <v>0</v>
      </c>
      <c r="M514" s="8">
        <v>0</v>
      </c>
      <c r="O514" s="8">
        <v>816012</v>
      </c>
      <c r="Q514" s="8">
        <v>1117983</v>
      </c>
      <c r="S514" s="8">
        <v>37727</v>
      </c>
      <c r="U514" s="8">
        <v>1415397</v>
      </c>
      <c r="W514" s="8">
        <v>561464</v>
      </c>
      <c r="Y514" s="8">
        <v>0</v>
      </c>
      <c r="AA514" s="8">
        <v>1949943</v>
      </c>
      <c r="AC514" s="8">
        <v>1049770</v>
      </c>
      <c r="AE514" s="8">
        <v>518917</v>
      </c>
      <c r="AG514" s="8">
        <v>0</v>
      </c>
      <c r="AI514" s="8">
        <v>754212</v>
      </c>
      <c r="AJ514" s="13" t="s">
        <v>549</v>
      </c>
      <c r="AK514" s="13"/>
      <c r="AL514" s="13" t="s">
        <v>48</v>
      </c>
      <c r="AN514" s="8">
        <v>1202271</v>
      </c>
      <c r="AP514" s="8">
        <v>285923</v>
      </c>
      <c r="AR514" s="8">
        <v>0</v>
      </c>
      <c r="AT514" s="8">
        <v>787953</v>
      </c>
      <c r="AV514" s="8">
        <v>802929</v>
      </c>
      <c r="AX514" s="8">
        <v>0</v>
      </c>
      <c r="AZ514" s="9">
        <f t="shared" si="28"/>
        <v>24912789</v>
      </c>
      <c r="BB514" s="8">
        <v>0</v>
      </c>
      <c r="BH514" s="8">
        <v>0</v>
      </c>
      <c r="BJ514" s="9">
        <f t="shared" si="29"/>
        <v>24912789</v>
      </c>
      <c r="BL514" s="9">
        <f>'Gov Fd Rv'!AU516-'Gov Fnd Exp'!BJ514</f>
        <v>531739</v>
      </c>
      <c r="BN514" s="8">
        <v>839685</v>
      </c>
      <c r="BP514" s="8">
        <v>-2624</v>
      </c>
      <c r="BR514" s="8">
        <v>0</v>
      </c>
      <c r="BT514" s="9">
        <f t="shared" si="30"/>
        <v>1368800</v>
      </c>
      <c r="BU514" s="9"/>
      <c r="BV514" s="9">
        <f>BT514-'Gov Fd BS'!AA514</f>
        <v>0</v>
      </c>
    </row>
    <row r="515" spans="1:74">
      <c r="A515" s="13" t="s">
        <v>508</v>
      </c>
      <c r="B515" s="13"/>
      <c r="C515" s="13" t="s">
        <v>118</v>
      </c>
      <c r="D515" s="13"/>
      <c r="E515" s="32">
        <v>44909</v>
      </c>
      <c r="G515" s="8">
        <v>227146418</v>
      </c>
      <c r="I515" s="8">
        <v>0</v>
      </c>
      <c r="K515" s="8">
        <v>0</v>
      </c>
      <c r="M515" s="8">
        <v>0</v>
      </c>
      <c r="O515" s="8">
        <v>141435072</v>
      </c>
      <c r="Q515" s="8">
        <v>0</v>
      </c>
      <c r="S515" s="8">
        <v>0</v>
      </c>
      <c r="U515" s="8">
        <v>0</v>
      </c>
      <c r="W515" s="8">
        <v>0</v>
      </c>
      <c r="Y515" s="8">
        <v>0</v>
      </c>
      <c r="AA515" s="8">
        <v>0</v>
      </c>
      <c r="AC515" s="8">
        <v>0</v>
      </c>
      <c r="AE515" s="8">
        <v>0</v>
      </c>
      <c r="AG515" s="8">
        <v>0</v>
      </c>
      <c r="AI515" s="8">
        <v>24872493</v>
      </c>
      <c r="AJ515" s="13" t="s">
        <v>508</v>
      </c>
      <c r="AK515" s="13"/>
      <c r="AL515" s="13" t="s">
        <v>118</v>
      </c>
      <c r="AN515" s="8">
        <v>5011251</v>
      </c>
      <c r="AP515" s="8">
        <v>106553504</v>
      </c>
      <c r="AR515" s="8">
        <v>0</v>
      </c>
      <c r="AT515" s="8">
        <v>3330000</v>
      </c>
      <c r="AV515" s="8">
        <v>7047876</v>
      </c>
      <c r="AX515" s="8">
        <v>0</v>
      </c>
      <c r="AZ515" s="9">
        <f t="shared" si="28"/>
        <v>515396614</v>
      </c>
      <c r="BB515" s="8">
        <v>8360676</v>
      </c>
      <c r="BH515" s="8">
        <v>0</v>
      </c>
      <c r="BJ515" s="9">
        <f t="shared" si="29"/>
        <v>523757290</v>
      </c>
      <c r="BL515" s="9">
        <f>'Gov Fd Rv'!AU517-'Gov Fnd Exp'!BJ515</f>
        <v>-33003306</v>
      </c>
      <c r="BN515" s="8">
        <v>130066353</v>
      </c>
      <c r="BP515" s="8">
        <v>0</v>
      </c>
      <c r="BR515" s="8">
        <v>0</v>
      </c>
      <c r="BT515" s="9">
        <f t="shared" si="30"/>
        <v>97063047</v>
      </c>
      <c r="BU515" s="9"/>
      <c r="BV515" s="9">
        <f>BT515-'Gov Fd BS'!AA515</f>
        <v>0</v>
      </c>
    </row>
    <row r="516" spans="1:74">
      <c r="A516" s="13" t="s">
        <v>458</v>
      </c>
      <c r="B516" s="13"/>
      <c r="C516" s="13" t="s">
        <v>39</v>
      </c>
      <c r="D516" s="13"/>
      <c r="E516" s="32">
        <v>44917</v>
      </c>
      <c r="G516" s="8">
        <v>3037735</v>
      </c>
      <c r="I516" s="8">
        <v>826569</v>
      </c>
      <c r="K516" s="8">
        <v>105494</v>
      </c>
      <c r="M516" s="8">
        <v>134716</v>
      </c>
      <c r="O516" s="8">
        <v>262969</v>
      </c>
      <c r="Q516" s="8">
        <v>310591</v>
      </c>
      <c r="S516" s="8">
        <v>9748</v>
      </c>
      <c r="U516" s="8">
        <v>876446</v>
      </c>
      <c r="W516" s="8">
        <v>313683</v>
      </c>
      <c r="Y516" s="8">
        <v>58324</v>
      </c>
      <c r="AA516" s="8">
        <v>857479</v>
      </c>
      <c r="AC516" s="8">
        <v>150559</v>
      </c>
      <c r="AE516" s="8">
        <v>0</v>
      </c>
      <c r="AG516" s="8">
        <v>0</v>
      </c>
      <c r="AI516" s="8">
        <v>414926</v>
      </c>
      <c r="AJ516" s="13" t="s">
        <v>458</v>
      </c>
      <c r="AK516" s="13"/>
      <c r="AL516" s="13" t="s">
        <v>39</v>
      </c>
      <c r="AN516" s="8">
        <v>246168</v>
      </c>
      <c r="AP516" s="8">
        <v>0</v>
      </c>
      <c r="AR516" s="8">
        <v>0</v>
      </c>
      <c r="AT516" s="8">
        <v>0</v>
      </c>
      <c r="AV516" s="8">
        <v>0</v>
      </c>
      <c r="AX516" s="8">
        <v>0</v>
      </c>
      <c r="AZ516" s="9">
        <f t="shared" si="28"/>
        <v>7605407</v>
      </c>
      <c r="BB516" s="8">
        <v>67190</v>
      </c>
      <c r="BH516" s="8">
        <v>0</v>
      </c>
      <c r="BJ516" s="9">
        <f t="shared" si="29"/>
        <v>7672597</v>
      </c>
      <c r="BL516" s="9">
        <f>'Gov Fd Rv'!AU518-'Gov Fnd Exp'!BJ516</f>
        <v>333097</v>
      </c>
      <c r="BN516" s="8">
        <v>2797792</v>
      </c>
      <c r="BP516" s="8">
        <v>0</v>
      </c>
      <c r="BR516" s="8">
        <v>0</v>
      </c>
      <c r="BT516" s="9">
        <f t="shared" si="30"/>
        <v>3130889</v>
      </c>
      <c r="BU516" s="9"/>
      <c r="BV516" s="9">
        <f>BT516-'Gov Fd BS'!AA516</f>
        <v>0</v>
      </c>
    </row>
    <row r="517" spans="1:74">
      <c r="A517" s="13" t="s">
        <v>261</v>
      </c>
      <c r="B517" s="13"/>
      <c r="C517" s="13" t="s">
        <v>259</v>
      </c>
      <c r="D517" s="13"/>
      <c r="E517" s="32">
        <v>46201</v>
      </c>
      <c r="G517" s="8">
        <v>4256189</v>
      </c>
      <c r="I517" s="8">
        <v>1104474</v>
      </c>
      <c r="K517" s="8">
        <v>203767</v>
      </c>
      <c r="M517" s="8">
        <v>0</v>
      </c>
      <c r="O517" s="8">
        <v>387597</v>
      </c>
      <c r="Q517" s="8">
        <v>243957</v>
      </c>
      <c r="S517" s="8">
        <v>67326</v>
      </c>
      <c r="U517" s="8">
        <v>815364</v>
      </c>
      <c r="W517" s="8">
        <v>274825</v>
      </c>
      <c r="Y517" s="8">
        <v>1072</v>
      </c>
      <c r="AA517" s="8">
        <v>1085765</v>
      </c>
      <c r="AC517" s="8">
        <v>641909</v>
      </c>
      <c r="AE517" s="8">
        <v>234155</v>
      </c>
      <c r="AG517" s="8">
        <v>358644</v>
      </c>
      <c r="AI517" s="8">
        <v>0</v>
      </c>
      <c r="AJ517" s="13" t="s">
        <v>261</v>
      </c>
      <c r="AK517" s="13"/>
      <c r="AL517" s="13" t="s">
        <v>259</v>
      </c>
      <c r="AN517" s="8">
        <v>417277</v>
      </c>
      <c r="AP517" s="8">
        <v>32523</v>
      </c>
      <c r="AR517" s="8">
        <v>0</v>
      </c>
      <c r="AT517" s="8">
        <v>201000</v>
      </c>
      <c r="AV517" s="8">
        <v>212513</v>
      </c>
      <c r="AX517" s="8">
        <v>0</v>
      </c>
      <c r="AZ517" s="9">
        <f t="shared" si="28"/>
        <v>10538357</v>
      </c>
      <c r="BB517" s="8">
        <v>164638</v>
      </c>
      <c r="BH517" s="8">
        <v>0</v>
      </c>
      <c r="BJ517" s="9">
        <f t="shared" si="29"/>
        <v>10702995</v>
      </c>
      <c r="BL517" s="9">
        <f>'Gov Fd Rv'!AU519-'Gov Fnd Exp'!BJ517</f>
        <v>462604</v>
      </c>
      <c r="BN517" s="8">
        <v>1626180</v>
      </c>
      <c r="BP517" s="8">
        <v>0</v>
      </c>
      <c r="BR517" s="8">
        <v>0</v>
      </c>
      <c r="BT517" s="9">
        <f t="shared" si="30"/>
        <v>2088784</v>
      </c>
      <c r="BU517" s="9"/>
      <c r="BV517" s="9">
        <f>BT517-'Gov Fd BS'!AA517</f>
        <v>0</v>
      </c>
    </row>
    <row r="518" spans="1:74">
      <c r="A518" s="13" t="s">
        <v>606</v>
      </c>
      <c r="B518" s="13"/>
      <c r="C518" s="13" t="s">
        <v>57</v>
      </c>
      <c r="D518" s="13"/>
      <c r="E518" s="32">
        <v>91397</v>
      </c>
      <c r="G518" s="8">
        <v>4672537</v>
      </c>
      <c r="I518" s="8">
        <v>795427</v>
      </c>
      <c r="K518" s="8">
        <v>182138</v>
      </c>
      <c r="M518" s="8">
        <v>0</v>
      </c>
      <c r="O518" s="8">
        <v>538861</v>
      </c>
      <c r="Q518" s="8">
        <v>475659</v>
      </c>
      <c r="S518" s="8">
        <v>18139</v>
      </c>
      <c r="U518" s="8">
        <v>1044179</v>
      </c>
      <c r="W518" s="8">
        <v>200517</v>
      </c>
      <c r="Y518" s="8">
        <v>0</v>
      </c>
      <c r="AA518" s="8">
        <v>1226199</v>
      </c>
      <c r="AC518" s="8">
        <v>565017</v>
      </c>
      <c r="AE518" s="8">
        <v>27755</v>
      </c>
      <c r="AG518" s="8">
        <v>0</v>
      </c>
      <c r="AI518" s="8">
        <v>464641</v>
      </c>
      <c r="AJ518" s="13" t="s">
        <v>606</v>
      </c>
      <c r="AK518" s="13"/>
      <c r="AL518" s="13" t="s">
        <v>57</v>
      </c>
      <c r="AN518" s="8">
        <v>383777</v>
      </c>
      <c r="AP518" s="8">
        <v>79437</v>
      </c>
      <c r="AR518" s="8">
        <v>0</v>
      </c>
      <c r="AT518" s="8">
        <v>300000</v>
      </c>
      <c r="AV518" s="8">
        <v>45861</v>
      </c>
      <c r="AX518" s="8">
        <v>0</v>
      </c>
      <c r="AZ518" s="9">
        <f t="shared" si="28"/>
        <v>11020144</v>
      </c>
      <c r="BB518" s="8">
        <v>0</v>
      </c>
      <c r="BH518" s="8">
        <v>0</v>
      </c>
      <c r="BJ518" s="9">
        <f t="shared" si="29"/>
        <v>11020144</v>
      </c>
      <c r="BL518" s="9">
        <f>'Gov Fd Rv'!AU520-'Gov Fnd Exp'!BJ518</f>
        <v>-714819</v>
      </c>
      <c r="BN518" s="8">
        <v>5571218</v>
      </c>
      <c r="BP518" s="8">
        <v>0</v>
      </c>
      <c r="BR518" s="8">
        <v>0</v>
      </c>
      <c r="BT518" s="9">
        <f t="shared" si="30"/>
        <v>4856399</v>
      </c>
      <c r="BU518" s="9"/>
      <c r="BV518" s="9">
        <f>BT518-'Gov Fd BS'!AA518</f>
        <v>0</v>
      </c>
    </row>
    <row r="519" spans="1:74">
      <c r="A519" s="13" t="s">
        <v>228</v>
      </c>
      <c r="B519" s="13"/>
      <c r="C519" s="13" t="s">
        <v>13</v>
      </c>
      <c r="D519" s="13"/>
      <c r="E519" s="32">
        <v>45922</v>
      </c>
      <c r="G519" s="8">
        <v>3586063</v>
      </c>
      <c r="I519" s="8">
        <v>1405881</v>
      </c>
      <c r="K519" s="8">
        <v>63643</v>
      </c>
      <c r="M519" s="8">
        <v>782000</v>
      </c>
      <c r="O519" s="8">
        <v>515845</v>
      </c>
      <c r="Q519" s="8">
        <v>405809</v>
      </c>
      <c r="S519" s="8">
        <v>107878</v>
      </c>
      <c r="U519" s="8">
        <v>754445</v>
      </c>
      <c r="W519" s="8">
        <v>162474</v>
      </c>
      <c r="Y519" s="8">
        <v>0</v>
      </c>
      <c r="AA519" s="8">
        <v>847095</v>
      </c>
      <c r="AC519" s="8">
        <v>641440</v>
      </c>
      <c r="AE519" s="8">
        <v>3000</v>
      </c>
      <c r="AG519" s="8">
        <v>0</v>
      </c>
      <c r="AI519" s="8">
        <v>429379</v>
      </c>
      <c r="AJ519" s="13" t="s">
        <v>228</v>
      </c>
      <c r="AK519" s="13"/>
      <c r="AL519" s="13" t="s">
        <v>13</v>
      </c>
      <c r="AN519" s="8">
        <v>149152</v>
      </c>
      <c r="AP519" s="8">
        <v>0</v>
      </c>
      <c r="AR519" s="8">
        <v>0</v>
      </c>
      <c r="AT519" s="8">
        <v>114930</v>
      </c>
      <c r="AV519" s="8">
        <v>44464</v>
      </c>
      <c r="AX519" s="8">
        <v>0</v>
      </c>
      <c r="AZ519" s="9">
        <f t="shared" si="28"/>
        <v>10013498</v>
      </c>
      <c r="BB519" s="8">
        <v>13800</v>
      </c>
      <c r="BH519" s="8">
        <v>0</v>
      </c>
      <c r="BJ519" s="9">
        <f t="shared" si="29"/>
        <v>10027298</v>
      </c>
      <c r="BL519" s="9">
        <f>'Gov Fd Rv'!AU521-'Gov Fnd Exp'!BJ519</f>
        <v>238924</v>
      </c>
      <c r="BN519" s="8">
        <f>-402757-500</f>
        <v>-403257</v>
      </c>
      <c r="BP519" s="8">
        <v>0</v>
      </c>
      <c r="BR519" s="8">
        <v>0</v>
      </c>
      <c r="BT519" s="9">
        <f t="shared" si="30"/>
        <v>-164333</v>
      </c>
      <c r="BU519" s="9"/>
      <c r="BV519" s="9">
        <f>BT519-'Gov Fd BS'!AA519</f>
        <v>0</v>
      </c>
    </row>
    <row r="520" spans="1:74">
      <c r="A520" s="13" t="s">
        <v>574</v>
      </c>
      <c r="B520" s="13"/>
      <c r="C520" s="13" t="s">
        <v>51</v>
      </c>
      <c r="D520" s="13"/>
      <c r="E520" s="32">
        <v>48876</v>
      </c>
      <c r="G520" s="8">
        <v>11736332</v>
      </c>
      <c r="I520" s="8">
        <v>3585522</v>
      </c>
      <c r="K520" s="8">
        <v>421013</v>
      </c>
      <c r="M520" s="8">
        <v>0</v>
      </c>
      <c r="O520" s="8">
        <v>858312</v>
      </c>
      <c r="Q520" s="8">
        <v>1199357</v>
      </c>
      <c r="S520" s="8">
        <v>777791</v>
      </c>
      <c r="U520" s="8">
        <v>2318578</v>
      </c>
      <c r="W520" s="8">
        <v>484853</v>
      </c>
      <c r="Y520" s="8">
        <v>0</v>
      </c>
      <c r="AA520" s="8">
        <v>2247770</v>
      </c>
      <c r="AC520" s="8">
        <v>2033234</v>
      </c>
      <c r="AE520" s="8">
        <v>359706</v>
      </c>
      <c r="AG520" s="8">
        <v>1173203</v>
      </c>
      <c r="AI520" s="8">
        <v>3317</v>
      </c>
      <c r="AJ520" s="13" t="s">
        <v>574</v>
      </c>
      <c r="AK520" s="13"/>
      <c r="AL520" s="13" t="s">
        <v>51</v>
      </c>
      <c r="AN520" s="8">
        <v>180909</v>
      </c>
      <c r="AP520" s="8">
        <v>26408886</v>
      </c>
      <c r="AR520" s="8">
        <v>0</v>
      </c>
      <c r="AT520" s="8">
        <v>388844</v>
      </c>
      <c r="AV520" s="8">
        <v>732805</v>
      </c>
      <c r="AX520" s="8">
        <v>0</v>
      </c>
      <c r="AZ520" s="9">
        <f t="shared" si="28"/>
        <v>54910432</v>
      </c>
      <c r="BB520" s="8">
        <v>0</v>
      </c>
      <c r="BH520" s="8">
        <v>0</v>
      </c>
      <c r="BJ520" s="9">
        <f t="shared" si="29"/>
        <v>54910432</v>
      </c>
      <c r="BL520" s="9">
        <f>'Gov Fd Rv'!AU522-'Gov Fnd Exp'!BJ520</f>
        <v>-14471447</v>
      </c>
      <c r="BN520" s="8">
        <v>21503326</v>
      </c>
      <c r="BP520" s="8">
        <v>0</v>
      </c>
      <c r="BR520" s="8">
        <v>0</v>
      </c>
      <c r="BT520" s="9">
        <f t="shared" si="30"/>
        <v>7031879</v>
      </c>
      <c r="BU520" s="9"/>
      <c r="BV520" s="9">
        <f>BT520-'Gov Fd BS'!AA520</f>
        <v>0</v>
      </c>
    </row>
    <row r="521" spans="1:74" hidden="1">
      <c r="A521" s="13" t="s">
        <v>333</v>
      </c>
      <c r="B521" s="13"/>
      <c r="C521" s="13" t="s">
        <v>21</v>
      </c>
      <c r="D521" s="13"/>
      <c r="E521" s="32">
        <v>46680</v>
      </c>
      <c r="G521" s="8">
        <v>0</v>
      </c>
      <c r="I521" s="8">
        <v>0</v>
      </c>
      <c r="K521" s="8">
        <v>0</v>
      </c>
      <c r="M521" s="8">
        <v>0</v>
      </c>
      <c r="O521" s="8">
        <v>0</v>
      </c>
      <c r="Q521" s="8">
        <v>0</v>
      </c>
      <c r="S521" s="8">
        <v>0</v>
      </c>
      <c r="U521" s="8">
        <v>0</v>
      </c>
      <c r="W521" s="8">
        <v>0</v>
      </c>
      <c r="Y521" s="8">
        <v>0</v>
      </c>
      <c r="AA521" s="8">
        <v>0</v>
      </c>
      <c r="AC521" s="8">
        <v>0</v>
      </c>
      <c r="AE521" s="8">
        <v>0</v>
      </c>
      <c r="AG521" s="8">
        <v>0</v>
      </c>
      <c r="AI521" s="8">
        <v>0</v>
      </c>
      <c r="AJ521" s="13" t="s">
        <v>333</v>
      </c>
      <c r="AK521" s="13"/>
      <c r="AL521" s="13" t="s">
        <v>21</v>
      </c>
      <c r="AN521" s="8">
        <v>0</v>
      </c>
      <c r="AP521" s="8">
        <v>0</v>
      </c>
      <c r="AR521" s="8">
        <v>0</v>
      </c>
      <c r="AT521" s="8">
        <v>0</v>
      </c>
      <c r="AV521" s="8">
        <v>0</v>
      </c>
      <c r="AX521" s="8">
        <v>0</v>
      </c>
      <c r="AZ521" s="9">
        <f t="shared" si="28"/>
        <v>0</v>
      </c>
      <c r="BB521" s="8">
        <v>0</v>
      </c>
      <c r="BH521" s="8">
        <v>0</v>
      </c>
      <c r="BJ521" s="9">
        <f t="shared" si="29"/>
        <v>0</v>
      </c>
      <c r="BL521" s="9">
        <f>'Gov Fd Rv'!AU523-'Gov Fnd Exp'!BJ521</f>
        <v>0</v>
      </c>
      <c r="BN521" s="8">
        <v>0</v>
      </c>
      <c r="BP521" s="8">
        <v>0</v>
      </c>
      <c r="BR521" s="8">
        <v>0</v>
      </c>
      <c r="BT521" s="9">
        <f t="shared" si="30"/>
        <v>0</v>
      </c>
      <c r="BU521" s="9"/>
      <c r="BV521" s="9">
        <f>BT521-'Gov Fd BS'!AA521</f>
        <v>0</v>
      </c>
    </row>
    <row r="522" spans="1:74">
      <c r="A522" s="13" t="s">
        <v>731</v>
      </c>
      <c r="B522" s="13"/>
      <c r="C522" s="13" t="s">
        <v>71</v>
      </c>
      <c r="D522" s="13"/>
      <c r="E522" s="32">
        <v>50591</v>
      </c>
      <c r="G522" s="8">
        <v>8504821</v>
      </c>
      <c r="I522" s="8">
        <v>1688187</v>
      </c>
      <c r="K522" s="8">
        <v>468664</v>
      </c>
      <c r="M522" s="8">
        <v>107207</v>
      </c>
      <c r="O522" s="8">
        <v>544831</v>
      </c>
      <c r="Q522" s="8">
        <v>818733</v>
      </c>
      <c r="S522" s="8">
        <v>49159</v>
      </c>
      <c r="U522" s="8">
        <v>1332768</v>
      </c>
      <c r="W522" s="8">
        <v>364907</v>
      </c>
      <c r="Y522" s="8">
        <v>24298</v>
      </c>
      <c r="AA522" s="8">
        <v>1498168</v>
      </c>
      <c r="AC522" s="8">
        <v>1139571</v>
      </c>
      <c r="AE522" s="8">
        <v>474246</v>
      </c>
      <c r="AG522" s="8">
        <v>775543</v>
      </c>
      <c r="AI522" s="8">
        <v>199480</v>
      </c>
      <c r="AJ522" s="13" t="s">
        <v>731</v>
      </c>
      <c r="AK522" s="13"/>
      <c r="AL522" s="13" t="s">
        <v>71</v>
      </c>
      <c r="AN522" s="8">
        <v>682802</v>
      </c>
      <c r="AP522" s="8">
        <v>127002</v>
      </c>
      <c r="AR522" s="8">
        <v>0</v>
      </c>
      <c r="AT522" s="8">
        <v>305456</v>
      </c>
      <c r="AV522" s="8">
        <v>72085</v>
      </c>
      <c r="AX522" s="8">
        <v>0</v>
      </c>
      <c r="AZ522" s="9">
        <f t="shared" si="28"/>
        <v>19177928</v>
      </c>
      <c r="BB522" s="8">
        <v>377541</v>
      </c>
      <c r="BH522" s="8">
        <v>0</v>
      </c>
      <c r="BJ522" s="9">
        <f t="shared" si="29"/>
        <v>19555469</v>
      </c>
      <c r="BL522" s="9">
        <f>'Gov Fd Rv'!AU524-'Gov Fnd Exp'!BJ522</f>
        <v>-11918</v>
      </c>
      <c r="BN522" s="8">
        <f>1757265+1334</f>
        <v>1758599</v>
      </c>
      <c r="BP522" s="8">
        <v>3751</v>
      </c>
      <c r="BR522" s="8">
        <v>0</v>
      </c>
      <c r="BT522" s="9">
        <f t="shared" si="30"/>
        <v>1750432</v>
      </c>
      <c r="BU522" s="9"/>
      <c r="BV522" s="9">
        <f>BT522-'Gov Fd BS'!AA522</f>
        <v>0</v>
      </c>
    </row>
    <row r="523" spans="1:74">
      <c r="A523" s="13" t="s">
        <v>563</v>
      </c>
      <c r="B523" s="13"/>
      <c r="C523" s="13" t="s">
        <v>50</v>
      </c>
      <c r="D523" s="13"/>
      <c r="E523" s="32">
        <v>48694</v>
      </c>
      <c r="G523" s="8">
        <v>16975408</v>
      </c>
      <c r="I523" s="8">
        <v>4935557</v>
      </c>
      <c r="K523" s="8">
        <v>0</v>
      </c>
      <c r="M523" s="8">
        <v>705963</v>
      </c>
      <c r="O523" s="8">
        <v>1987776</v>
      </c>
      <c r="Q523" s="8">
        <v>2662647</v>
      </c>
      <c r="S523" s="8">
        <v>54335</v>
      </c>
      <c r="U523" s="8">
        <v>2633351</v>
      </c>
      <c r="W523" s="8">
        <v>1479668</v>
      </c>
      <c r="Y523" s="8">
        <v>261524</v>
      </c>
      <c r="AA523" s="8">
        <v>3022276</v>
      </c>
      <c r="AC523" s="8">
        <v>1579059</v>
      </c>
      <c r="AE523" s="8">
        <v>1244990</v>
      </c>
      <c r="AG523" s="8">
        <v>0</v>
      </c>
      <c r="AI523" s="8">
        <v>1988417</v>
      </c>
      <c r="AJ523" s="13" t="s">
        <v>563</v>
      </c>
      <c r="AK523" s="13"/>
      <c r="AL523" s="13" t="s">
        <v>50</v>
      </c>
      <c r="AN523" s="8">
        <v>609521</v>
      </c>
      <c r="AP523" s="8">
        <v>32549109</v>
      </c>
      <c r="AR523" s="8">
        <v>0</v>
      </c>
      <c r="AT523" s="8">
        <v>500875</v>
      </c>
      <c r="AV523" s="8">
        <v>2481773</v>
      </c>
      <c r="AX523" s="8">
        <v>0</v>
      </c>
      <c r="AZ523" s="9">
        <f t="shared" si="28"/>
        <v>75672249</v>
      </c>
      <c r="BB523" s="8">
        <v>1601275</v>
      </c>
      <c r="BH523" s="8">
        <v>0</v>
      </c>
      <c r="BJ523" s="9">
        <f t="shared" si="29"/>
        <v>77273524</v>
      </c>
      <c r="BL523" s="9">
        <f>'Gov Fd Rv'!AU525-'Gov Fnd Exp'!BJ523</f>
        <v>-7596468</v>
      </c>
      <c r="BN523" s="8">
        <v>31432068</v>
      </c>
      <c r="BP523" s="8">
        <v>0</v>
      </c>
      <c r="BR523" s="8">
        <v>0</v>
      </c>
      <c r="BT523" s="9">
        <f t="shared" si="30"/>
        <v>23835600</v>
      </c>
      <c r="BU523" s="9"/>
      <c r="BV523" s="9">
        <f>BT523-'Gov Fd BS'!AA523</f>
        <v>0</v>
      </c>
    </row>
    <row r="524" spans="1:74">
      <c r="A524" s="13" t="s">
        <v>550</v>
      </c>
      <c r="B524" s="13"/>
      <c r="C524" s="13" t="s">
        <v>48</v>
      </c>
      <c r="D524" s="13"/>
      <c r="E524" s="32">
        <v>44925</v>
      </c>
      <c r="G524" s="8">
        <v>21490732</v>
      </c>
      <c r="I524" s="8">
        <v>5380654</v>
      </c>
      <c r="K524" s="8">
        <v>124926</v>
      </c>
      <c r="M524" s="8">
        <v>2104254</v>
      </c>
      <c r="O524" s="8">
        <v>1899370</v>
      </c>
      <c r="Q524" s="8">
        <v>1211067</v>
      </c>
      <c r="S524" s="8">
        <v>805988</v>
      </c>
      <c r="U524" s="8">
        <v>3198691</v>
      </c>
      <c r="W524" s="8">
        <v>531748</v>
      </c>
      <c r="Y524" s="8">
        <v>667387</v>
      </c>
      <c r="AA524" s="8">
        <v>3730331</v>
      </c>
      <c r="AC524" s="8">
        <v>1588132</v>
      </c>
      <c r="AE524" s="8">
        <v>66715</v>
      </c>
      <c r="AG524" s="8">
        <v>0</v>
      </c>
      <c r="AI524" s="8">
        <v>2616364</v>
      </c>
      <c r="AJ524" s="13" t="s">
        <v>550</v>
      </c>
      <c r="AK524" s="13"/>
      <c r="AL524" s="13" t="s">
        <v>48</v>
      </c>
      <c r="AN524" s="8">
        <v>298903</v>
      </c>
      <c r="AP524" s="8">
        <v>2146520</v>
      </c>
      <c r="AR524" s="8">
        <v>0</v>
      </c>
      <c r="AT524" s="8">
        <v>598205</v>
      </c>
      <c r="AV524" s="8">
        <v>886473</v>
      </c>
      <c r="AX524" s="8">
        <v>0</v>
      </c>
      <c r="AZ524" s="9">
        <f t="shared" si="28"/>
        <v>49346460</v>
      </c>
      <c r="BB524" s="8">
        <v>1590015</v>
      </c>
      <c r="BH524" s="8">
        <v>0</v>
      </c>
      <c r="BJ524" s="9">
        <f t="shared" si="29"/>
        <v>50936475</v>
      </c>
      <c r="BL524" s="9">
        <f>'Gov Fd Rv'!AU526-'Gov Fnd Exp'!BJ524</f>
        <v>2497267</v>
      </c>
      <c r="BN524" s="8">
        <v>10025795</v>
      </c>
      <c r="BP524" s="8">
        <v>0</v>
      </c>
      <c r="BR524" s="8">
        <v>0</v>
      </c>
      <c r="BT524" s="9">
        <f t="shared" si="30"/>
        <v>12523062</v>
      </c>
      <c r="BU524" s="9"/>
      <c r="BV524" s="9">
        <f>BT524-'Gov Fd BS'!AA524</f>
        <v>0</v>
      </c>
    </row>
    <row r="525" spans="1:74">
      <c r="A525" s="13" t="s">
        <v>706</v>
      </c>
      <c r="B525" s="13"/>
      <c r="C525" s="13" t="s">
        <v>65</v>
      </c>
      <c r="D525" s="13"/>
      <c r="E525" s="32">
        <v>50302</v>
      </c>
      <c r="G525" s="8">
        <v>5491105</v>
      </c>
      <c r="I525" s="8">
        <v>748413</v>
      </c>
      <c r="K525" s="8">
        <v>69267</v>
      </c>
      <c r="M525" s="8">
        <v>1010490</v>
      </c>
      <c r="O525" s="8">
        <v>580826</v>
      </c>
      <c r="Q525" s="8">
        <v>823492</v>
      </c>
      <c r="S525" s="8">
        <v>30744</v>
      </c>
      <c r="U525" s="8">
        <v>974048</v>
      </c>
      <c r="W525" s="8">
        <v>346805</v>
      </c>
      <c r="Y525" s="8">
        <v>0</v>
      </c>
      <c r="AA525" s="8">
        <v>1062203</v>
      </c>
      <c r="AC525" s="8">
        <v>1019149</v>
      </c>
      <c r="AE525" s="8">
        <v>47804</v>
      </c>
      <c r="AG525" s="8">
        <v>544127</v>
      </c>
      <c r="AI525" s="8">
        <v>178753</v>
      </c>
      <c r="AJ525" s="13" t="s">
        <v>706</v>
      </c>
      <c r="AK525" s="13"/>
      <c r="AL525" s="13" t="s">
        <v>65</v>
      </c>
      <c r="AN525" s="8">
        <v>267300</v>
      </c>
      <c r="AP525" s="8">
        <v>20794</v>
      </c>
      <c r="AR525" s="8">
        <v>0</v>
      </c>
      <c r="AT525" s="8">
        <v>547815</v>
      </c>
      <c r="AV525" s="8">
        <v>141694</v>
      </c>
      <c r="AX525" s="8">
        <v>0</v>
      </c>
      <c r="AZ525" s="9">
        <f t="shared" si="28"/>
        <v>13904829</v>
      </c>
      <c r="BB525" s="8">
        <v>17156</v>
      </c>
      <c r="BH525" s="8">
        <v>0</v>
      </c>
      <c r="BJ525" s="9">
        <f t="shared" si="29"/>
        <v>13921985</v>
      </c>
      <c r="BL525" s="9">
        <f>'Gov Fd Rv'!AU527-'Gov Fnd Exp'!BJ525</f>
        <v>-613438</v>
      </c>
      <c r="BN525" s="8">
        <f>2584293-21742</f>
        <v>2562551</v>
      </c>
      <c r="BP525" s="8">
        <v>14095</v>
      </c>
      <c r="BR525" s="8">
        <v>0</v>
      </c>
      <c r="BT525" s="9">
        <f t="shared" si="30"/>
        <v>1963208</v>
      </c>
      <c r="BU525" s="9"/>
      <c r="BV525" s="9">
        <f>BT525-'Gov Fd BS'!AA525</f>
        <v>0</v>
      </c>
    </row>
    <row r="526" spans="1:74">
      <c r="A526" s="13" t="s">
        <v>666</v>
      </c>
      <c r="B526" s="13"/>
      <c r="C526" s="13" t="s">
        <v>62</v>
      </c>
      <c r="D526" s="13"/>
      <c r="E526" s="32">
        <v>49957</v>
      </c>
      <c r="G526" s="8">
        <v>5181095</v>
      </c>
      <c r="I526" s="8">
        <v>1593902</v>
      </c>
      <c r="K526" s="8">
        <v>177199</v>
      </c>
      <c r="M526" s="8">
        <v>291</v>
      </c>
      <c r="O526" s="8">
        <v>600145</v>
      </c>
      <c r="Q526" s="8">
        <v>341942</v>
      </c>
      <c r="S526" s="8">
        <v>16778</v>
      </c>
      <c r="U526" s="8">
        <v>1022579</v>
      </c>
      <c r="W526" s="8">
        <v>319804</v>
      </c>
      <c r="Y526" s="8">
        <v>52399</v>
      </c>
      <c r="AA526" s="8">
        <v>1158166</v>
      </c>
      <c r="AC526" s="8">
        <v>949321</v>
      </c>
      <c r="AE526" s="8">
        <v>45957</v>
      </c>
      <c r="AG526" s="8">
        <v>0</v>
      </c>
      <c r="AI526" s="8">
        <v>513794</v>
      </c>
      <c r="AJ526" s="13" t="s">
        <v>666</v>
      </c>
      <c r="AK526" s="13"/>
      <c r="AL526" s="13" t="s">
        <v>62</v>
      </c>
      <c r="AN526" s="8">
        <v>643648</v>
      </c>
      <c r="AP526" s="8">
        <v>0</v>
      </c>
      <c r="AR526" s="8">
        <v>0</v>
      </c>
      <c r="AT526" s="8">
        <v>688954</v>
      </c>
      <c r="AV526" s="8">
        <v>576718</v>
      </c>
      <c r="AX526" s="8">
        <v>0</v>
      </c>
      <c r="AZ526" s="9">
        <f t="shared" si="28"/>
        <v>13882692</v>
      </c>
      <c r="BB526" s="8">
        <v>0</v>
      </c>
      <c r="BH526" s="8">
        <v>0</v>
      </c>
      <c r="BJ526" s="9">
        <f t="shared" si="29"/>
        <v>13882692</v>
      </c>
      <c r="BL526" s="9">
        <f>'Gov Fd Rv'!AU528-'Gov Fnd Exp'!BJ526</f>
        <v>-480885</v>
      </c>
      <c r="BN526" s="8">
        <v>2490516</v>
      </c>
      <c r="BP526" s="8">
        <v>0</v>
      </c>
      <c r="BR526" s="8">
        <v>0</v>
      </c>
      <c r="BT526" s="9">
        <f t="shared" si="30"/>
        <v>2009631</v>
      </c>
      <c r="BU526" s="9"/>
      <c r="BV526" s="9">
        <f>BT526-'Gov Fd BS'!AA526</f>
        <v>0</v>
      </c>
    </row>
    <row r="527" spans="1:74" hidden="1">
      <c r="A527" s="13" t="s">
        <v>607</v>
      </c>
      <c r="B527" s="13"/>
      <c r="C527" s="13" t="s">
        <v>57</v>
      </c>
      <c r="D527" s="13"/>
      <c r="E527" s="32">
        <v>49296</v>
      </c>
      <c r="G527" s="8">
        <v>0</v>
      </c>
      <c r="I527" s="8">
        <v>0</v>
      </c>
      <c r="K527" s="8">
        <v>0</v>
      </c>
      <c r="M527" s="8">
        <v>0</v>
      </c>
      <c r="O527" s="8">
        <v>0</v>
      </c>
      <c r="Q527" s="8">
        <v>0</v>
      </c>
      <c r="S527" s="8">
        <v>0</v>
      </c>
      <c r="U527" s="8">
        <v>0</v>
      </c>
      <c r="W527" s="8">
        <v>0</v>
      </c>
      <c r="Y527" s="8">
        <v>0</v>
      </c>
      <c r="AA527" s="8">
        <v>0</v>
      </c>
      <c r="AC527" s="8">
        <v>0</v>
      </c>
      <c r="AE527" s="8">
        <v>0</v>
      </c>
      <c r="AG527" s="8">
        <v>0</v>
      </c>
      <c r="AI527" s="8">
        <v>0</v>
      </c>
      <c r="AJ527" s="13" t="s">
        <v>607</v>
      </c>
      <c r="AK527" s="13"/>
      <c r="AL527" s="13" t="s">
        <v>57</v>
      </c>
      <c r="AN527" s="8">
        <v>0</v>
      </c>
      <c r="AP527" s="8">
        <v>0</v>
      </c>
      <c r="AR527" s="8">
        <v>0</v>
      </c>
      <c r="AT527" s="8">
        <v>0</v>
      </c>
      <c r="AV527" s="8">
        <v>0</v>
      </c>
      <c r="AX527" s="8">
        <v>0</v>
      </c>
      <c r="AZ527" s="9">
        <f t="shared" si="28"/>
        <v>0</v>
      </c>
      <c r="BB527" s="8">
        <v>0</v>
      </c>
      <c r="BH527" s="8">
        <v>0</v>
      </c>
      <c r="BJ527" s="9">
        <f t="shared" si="29"/>
        <v>0</v>
      </c>
      <c r="BL527" s="9">
        <f>'Gov Fd Rv'!AU529-'Gov Fnd Exp'!BJ527</f>
        <v>0</v>
      </c>
      <c r="BN527" s="8">
        <v>0</v>
      </c>
      <c r="BP527" s="8">
        <v>0</v>
      </c>
      <c r="BR527" s="8">
        <v>0</v>
      </c>
      <c r="BT527" s="9">
        <f t="shared" si="30"/>
        <v>0</v>
      </c>
      <c r="BU527" s="9"/>
      <c r="BV527" s="9">
        <f>BT527-'Gov Fd BS'!AA527</f>
        <v>0</v>
      </c>
    </row>
    <row r="528" spans="1:74">
      <c r="A528" s="13" t="s">
        <v>678</v>
      </c>
      <c r="B528" s="13"/>
      <c r="C528" s="13" t="s">
        <v>63</v>
      </c>
      <c r="D528" s="13"/>
      <c r="E528" s="32">
        <v>50070</v>
      </c>
      <c r="G528" s="8">
        <v>18117681</v>
      </c>
      <c r="I528" s="8">
        <v>2980329</v>
      </c>
      <c r="K528" s="8">
        <v>289376</v>
      </c>
      <c r="M528" s="8">
        <v>75275</v>
      </c>
      <c r="O528" s="8">
        <v>3177159</v>
      </c>
      <c r="Q528" s="8">
        <v>819080</v>
      </c>
      <c r="S528" s="8">
        <v>211097</v>
      </c>
      <c r="U528" s="8">
        <v>2947711</v>
      </c>
      <c r="W528" s="8">
        <v>888916</v>
      </c>
      <c r="Y528" s="8">
        <v>113089</v>
      </c>
      <c r="AA528" s="8">
        <v>4996414</v>
      </c>
      <c r="AC528" s="8">
        <v>2443990</v>
      </c>
      <c r="AE528" s="8">
        <v>750522</v>
      </c>
      <c r="AG528" s="8">
        <v>1274525</v>
      </c>
      <c r="AI528" s="8">
        <v>30219</v>
      </c>
      <c r="AJ528" s="13" t="s">
        <v>678</v>
      </c>
      <c r="AK528" s="13"/>
      <c r="AL528" s="13" t="s">
        <v>63</v>
      </c>
      <c r="AN528" s="8">
        <v>1122224</v>
      </c>
      <c r="AP528" s="8">
        <v>655843</v>
      </c>
      <c r="AR528" s="8">
        <v>0</v>
      </c>
      <c r="AT528" s="8">
        <v>2968507</v>
      </c>
      <c r="AV528" s="8">
        <v>1565641</v>
      </c>
      <c r="AX528" s="8">
        <v>0</v>
      </c>
      <c r="AZ528" s="9">
        <f t="shared" si="28"/>
        <v>45427598</v>
      </c>
      <c r="BB528" s="8">
        <v>1007</v>
      </c>
      <c r="BH528" s="8">
        <v>0</v>
      </c>
      <c r="BJ528" s="9">
        <f t="shared" si="29"/>
        <v>45428605</v>
      </c>
      <c r="BL528" s="9">
        <f>'Gov Fd Rv'!AU530-'Gov Fnd Exp'!BJ528</f>
        <v>3379520</v>
      </c>
      <c r="BN528" s="8">
        <v>21723843</v>
      </c>
      <c r="BP528" s="8">
        <v>0</v>
      </c>
      <c r="BR528" s="8">
        <v>0</v>
      </c>
      <c r="BT528" s="9">
        <f t="shared" si="30"/>
        <v>25103363</v>
      </c>
      <c r="BU528" s="9"/>
      <c r="BV528" s="9">
        <f>BT528-'Gov Fd BS'!AA528</f>
        <v>0</v>
      </c>
    </row>
    <row r="529" spans="1:74">
      <c r="A529" s="13" t="s">
        <v>239</v>
      </c>
      <c r="B529" s="13"/>
      <c r="C529" s="13" t="s">
        <v>15</v>
      </c>
      <c r="D529" s="13"/>
      <c r="E529" s="32">
        <v>46011</v>
      </c>
      <c r="G529" s="8">
        <v>6254576</v>
      </c>
      <c r="I529" s="8">
        <v>1731553</v>
      </c>
      <c r="K529" s="8">
        <v>275225</v>
      </c>
      <c r="M529" s="8">
        <v>261122</v>
      </c>
      <c r="O529" s="8">
        <v>568915</v>
      </c>
      <c r="Q529" s="8">
        <v>538682</v>
      </c>
      <c r="S529" s="8">
        <v>114517</v>
      </c>
      <c r="U529" s="8">
        <v>871329</v>
      </c>
      <c r="W529" s="8">
        <v>293000</v>
      </c>
      <c r="Y529" s="8">
        <v>0</v>
      </c>
      <c r="AA529" s="8">
        <v>1197920</v>
      </c>
      <c r="AC529" s="8">
        <v>771373</v>
      </c>
      <c r="AE529" s="8">
        <v>18834</v>
      </c>
      <c r="AG529" s="8">
        <v>527840</v>
      </c>
      <c r="AI529" s="8">
        <v>0</v>
      </c>
      <c r="AJ529" s="13" t="s">
        <v>239</v>
      </c>
      <c r="AK529" s="13"/>
      <c r="AL529" s="13" t="s">
        <v>15</v>
      </c>
      <c r="AN529" s="8">
        <v>305781</v>
      </c>
      <c r="AP529" s="8">
        <v>102819</v>
      </c>
      <c r="AR529" s="8">
        <v>0</v>
      </c>
      <c r="AT529" s="8">
        <v>201557</v>
      </c>
      <c r="AV529" s="8">
        <v>118087</v>
      </c>
      <c r="AX529" s="8">
        <v>0</v>
      </c>
      <c r="AZ529" s="9">
        <f t="shared" si="28"/>
        <v>14153130</v>
      </c>
      <c r="BB529" s="8">
        <v>74800</v>
      </c>
      <c r="BH529" s="8">
        <v>0</v>
      </c>
      <c r="BJ529" s="9">
        <f t="shared" si="29"/>
        <v>14227930</v>
      </c>
      <c r="BL529" s="9">
        <f>'Gov Fd Rv'!AU531-'Gov Fnd Exp'!BJ529</f>
        <v>-471025</v>
      </c>
      <c r="BN529" s="8">
        <v>1037559</v>
      </c>
      <c r="BP529" s="8">
        <v>0</v>
      </c>
      <c r="BR529" s="8">
        <v>0</v>
      </c>
      <c r="BT529" s="9">
        <f t="shared" si="30"/>
        <v>566534</v>
      </c>
      <c r="BU529" s="9"/>
      <c r="BV529" s="9">
        <f>BT529-'Gov Fd BS'!AA529</f>
        <v>0</v>
      </c>
    </row>
    <row r="530" spans="1:74">
      <c r="A530" s="13" t="s">
        <v>625</v>
      </c>
      <c r="B530" s="13"/>
      <c r="C530" s="13" t="s">
        <v>58</v>
      </c>
      <c r="D530" s="13"/>
      <c r="E530" s="32">
        <v>49536</v>
      </c>
      <c r="G530" s="8">
        <v>7160507</v>
      </c>
      <c r="I530" s="8">
        <v>1160393</v>
      </c>
      <c r="K530" s="8">
        <v>1806</v>
      </c>
      <c r="M530" s="8">
        <v>0</v>
      </c>
      <c r="O530" s="8">
        <v>730419</v>
      </c>
      <c r="Q530" s="8">
        <v>782461</v>
      </c>
      <c r="S530" s="8">
        <v>1271989</v>
      </c>
      <c r="U530" s="8">
        <v>1171515</v>
      </c>
      <c r="W530" s="8">
        <v>391551</v>
      </c>
      <c r="Y530" s="8">
        <v>34704</v>
      </c>
      <c r="AA530" s="8">
        <v>1536192</v>
      </c>
      <c r="AC530" s="8">
        <v>921200</v>
      </c>
      <c r="AE530" s="8">
        <v>9000</v>
      </c>
      <c r="AG530" s="8">
        <v>790443</v>
      </c>
      <c r="AI530" s="8">
        <v>0</v>
      </c>
      <c r="AJ530" s="13" t="s">
        <v>625</v>
      </c>
      <c r="AK530" s="13"/>
      <c r="AL530" s="13" t="s">
        <v>58</v>
      </c>
      <c r="AN530" s="8">
        <v>218059</v>
      </c>
      <c r="AP530" s="8">
        <v>194164</v>
      </c>
      <c r="AR530" s="8">
        <v>0</v>
      </c>
      <c r="AT530" s="8">
        <v>229605</v>
      </c>
      <c r="AV530" s="8">
        <v>157867</v>
      </c>
      <c r="AX530" s="8">
        <v>0</v>
      </c>
      <c r="AZ530" s="9">
        <f t="shared" si="28"/>
        <v>16761875</v>
      </c>
      <c r="BB530" s="8">
        <v>36407</v>
      </c>
      <c r="BH530" s="8">
        <v>0</v>
      </c>
      <c r="BJ530" s="9">
        <f t="shared" si="29"/>
        <v>16798282</v>
      </c>
      <c r="BL530" s="9">
        <f>'Gov Fd Rv'!AU532-'Gov Fnd Exp'!BJ530</f>
        <v>1653873</v>
      </c>
      <c r="BN530" s="8">
        <v>6099293</v>
      </c>
      <c r="BP530" s="8">
        <v>0</v>
      </c>
      <c r="BR530" s="8">
        <v>0</v>
      </c>
      <c r="BT530" s="9">
        <f t="shared" si="30"/>
        <v>7753166</v>
      </c>
      <c r="BU530" s="9"/>
      <c r="BV530" s="9">
        <f>BT530-'Gov Fd BS'!AA530</f>
        <v>0</v>
      </c>
    </row>
    <row r="531" spans="1:74" hidden="1">
      <c r="A531" s="13" t="s">
        <v>289</v>
      </c>
      <c r="B531" s="13"/>
      <c r="C531" s="13" t="s">
        <v>115</v>
      </c>
      <c r="D531" s="13"/>
      <c r="E531" s="32">
        <v>46458</v>
      </c>
      <c r="G531" s="8">
        <v>0</v>
      </c>
      <c r="I531" s="8">
        <v>0</v>
      </c>
      <c r="K531" s="8">
        <v>0</v>
      </c>
      <c r="M531" s="8">
        <v>0</v>
      </c>
      <c r="O531" s="8">
        <v>0</v>
      </c>
      <c r="Q531" s="8">
        <v>0</v>
      </c>
      <c r="S531" s="8">
        <v>0</v>
      </c>
      <c r="U531" s="8">
        <v>0</v>
      </c>
      <c r="W531" s="8">
        <v>0</v>
      </c>
      <c r="Y531" s="8">
        <v>0</v>
      </c>
      <c r="AA531" s="8">
        <v>0</v>
      </c>
      <c r="AC531" s="8">
        <v>0</v>
      </c>
      <c r="AE531" s="8">
        <v>0</v>
      </c>
      <c r="AG531" s="8">
        <v>0</v>
      </c>
      <c r="AI531" s="8">
        <v>0</v>
      </c>
      <c r="AJ531" s="13" t="s">
        <v>289</v>
      </c>
      <c r="AK531" s="13"/>
      <c r="AL531" s="13" t="s">
        <v>115</v>
      </c>
      <c r="AN531" s="8">
        <v>0</v>
      </c>
      <c r="AP531" s="8">
        <v>0</v>
      </c>
      <c r="AR531" s="8">
        <v>0</v>
      </c>
      <c r="AT531" s="8">
        <v>0</v>
      </c>
      <c r="AV531" s="8">
        <v>0</v>
      </c>
      <c r="AX531" s="8">
        <v>0</v>
      </c>
      <c r="AZ531" s="9">
        <f t="shared" si="28"/>
        <v>0</v>
      </c>
      <c r="BB531" s="8">
        <v>0</v>
      </c>
      <c r="BH531" s="8">
        <v>0</v>
      </c>
      <c r="BJ531" s="9">
        <f t="shared" si="29"/>
        <v>0</v>
      </c>
      <c r="BL531" s="9">
        <f>'Gov Fd Rv'!AU533-'Gov Fnd Exp'!BJ531</f>
        <v>0</v>
      </c>
      <c r="BN531" s="8">
        <v>0</v>
      </c>
      <c r="BP531" s="8">
        <v>0</v>
      </c>
      <c r="BR531" s="8">
        <v>0</v>
      </c>
      <c r="BT531" s="9">
        <f t="shared" si="30"/>
        <v>0</v>
      </c>
      <c r="BU531" s="9"/>
      <c r="BV531" s="9">
        <f>BT531-'Gov Fd BS'!AA531</f>
        <v>0</v>
      </c>
    </row>
    <row r="532" spans="1:74">
      <c r="A532" s="13" t="s">
        <v>368</v>
      </c>
      <c r="B532" s="13"/>
      <c r="C532" s="13" t="s">
        <v>27</v>
      </c>
      <c r="D532" s="13"/>
      <c r="E532" s="32">
        <v>44933</v>
      </c>
      <c r="G532" s="8">
        <v>36214410</v>
      </c>
      <c r="I532" s="8">
        <v>8038735</v>
      </c>
      <c r="K532" s="8">
        <v>147154</v>
      </c>
      <c r="M532" s="8">
        <v>0</v>
      </c>
      <c r="O532" s="8">
        <v>3964575</v>
      </c>
      <c r="Q532" s="8">
        <v>4875418</v>
      </c>
      <c r="S532" s="8">
        <v>48876</v>
      </c>
      <c r="U532" s="8">
        <v>4651343</v>
      </c>
      <c r="W532" s="8">
        <v>1524565</v>
      </c>
      <c r="Y532" s="8">
        <v>753575</v>
      </c>
      <c r="AA532" s="8">
        <v>6172853</v>
      </c>
      <c r="AC532" s="8">
        <v>1827801</v>
      </c>
      <c r="AE532" s="8">
        <v>1769627</v>
      </c>
      <c r="AG532" s="8">
        <v>1262749</v>
      </c>
      <c r="AI532" s="8">
        <v>2883414</v>
      </c>
      <c r="AJ532" s="13" t="s">
        <v>368</v>
      </c>
      <c r="AK532" s="13"/>
      <c r="AL532" s="13" t="s">
        <v>27</v>
      </c>
      <c r="AN532" s="8">
        <v>2561077</v>
      </c>
      <c r="AP532" s="8">
        <v>930014</v>
      </c>
      <c r="AR532" s="8">
        <v>0</v>
      </c>
      <c r="AT532" s="8">
        <v>1949842</v>
      </c>
      <c r="AV532" s="8">
        <v>1285516</v>
      </c>
      <c r="AX532" s="8">
        <v>0</v>
      </c>
      <c r="AZ532" s="9">
        <f t="shared" si="28"/>
        <v>80861544</v>
      </c>
      <c r="BB532" s="8">
        <v>859403</v>
      </c>
      <c r="BH532" s="8">
        <v>0</v>
      </c>
      <c r="BJ532" s="9">
        <f t="shared" si="29"/>
        <v>81720947</v>
      </c>
      <c r="BL532" s="9">
        <f>'Gov Fd Rv'!AU534-'Gov Fnd Exp'!BJ532</f>
        <v>7062281</v>
      </c>
      <c r="BN532" s="8">
        <v>40232227</v>
      </c>
      <c r="BP532" s="8">
        <v>0</v>
      </c>
      <c r="BR532" s="8">
        <v>0</v>
      </c>
      <c r="BT532" s="9">
        <f t="shared" si="30"/>
        <v>47294508</v>
      </c>
      <c r="BU532" s="9"/>
      <c r="BV532" s="9">
        <f>BT532-'Gov Fd BS'!AA532</f>
        <v>0</v>
      </c>
    </row>
    <row r="533" spans="1:74" hidden="1">
      <c r="A533" s="13" t="s">
        <v>749</v>
      </c>
      <c r="B533" s="13"/>
      <c r="C533" s="13" t="s">
        <v>747</v>
      </c>
      <c r="D533" s="13"/>
      <c r="E533" s="32">
        <v>45625</v>
      </c>
      <c r="G533" s="8">
        <v>0</v>
      </c>
      <c r="I533" s="8">
        <v>0</v>
      </c>
      <c r="K533" s="8">
        <v>0</v>
      </c>
      <c r="M533" s="8">
        <v>0</v>
      </c>
      <c r="O533" s="8">
        <v>0</v>
      </c>
      <c r="Q533" s="8">
        <v>0</v>
      </c>
      <c r="S533" s="8">
        <v>0</v>
      </c>
      <c r="U533" s="8">
        <v>0</v>
      </c>
      <c r="W533" s="8">
        <v>0</v>
      </c>
      <c r="Y533" s="8">
        <v>0</v>
      </c>
      <c r="AA533" s="8">
        <v>0</v>
      </c>
      <c r="AC533" s="8">
        <v>0</v>
      </c>
      <c r="AE533" s="8">
        <v>0</v>
      </c>
      <c r="AG533" s="8">
        <v>0</v>
      </c>
      <c r="AI533" s="8">
        <v>0</v>
      </c>
      <c r="AJ533" s="13" t="s">
        <v>749</v>
      </c>
      <c r="AK533" s="13"/>
      <c r="AL533" s="13" t="s">
        <v>747</v>
      </c>
      <c r="AN533" s="8">
        <v>0</v>
      </c>
      <c r="AP533" s="8">
        <v>0</v>
      </c>
      <c r="AR533" s="8">
        <v>0</v>
      </c>
      <c r="AT533" s="8">
        <v>0</v>
      </c>
      <c r="AV533" s="8">
        <v>0</v>
      </c>
      <c r="AX533" s="8">
        <v>0</v>
      </c>
      <c r="AZ533" s="9">
        <f t="shared" si="28"/>
        <v>0</v>
      </c>
      <c r="BB533" s="8">
        <v>0</v>
      </c>
      <c r="BH533" s="8">
        <v>0</v>
      </c>
      <c r="BJ533" s="9">
        <f t="shared" si="29"/>
        <v>0</v>
      </c>
      <c r="BL533" s="9">
        <f>'Gov Fd Rv'!AU535-'Gov Fnd Exp'!BJ533</f>
        <v>0</v>
      </c>
      <c r="BN533" s="8">
        <v>0</v>
      </c>
      <c r="BP533" s="8">
        <v>0</v>
      </c>
      <c r="BR533" s="8">
        <v>0</v>
      </c>
      <c r="BT533" s="9">
        <f t="shared" si="30"/>
        <v>0</v>
      </c>
      <c r="BU533" s="9"/>
      <c r="BV533" s="9">
        <f>BT533-'Gov Fd BS'!AA533</f>
        <v>0</v>
      </c>
    </row>
    <row r="534" spans="1:74" hidden="1">
      <c r="A534" s="13" t="s">
        <v>431</v>
      </c>
      <c r="B534" s="13"/>
      <c r="C534" s="13" t="s">
        <v>426</v>
      </c>
      <c r="D534" s="13"/>
      <c r="E534" s="32">
        <v>47522</v>
      </c>
      <c r="G534" s="8">
        <v>0</v>
      </c>
      <c r="I534" s="8">
        <v>0</v>
      </c>
      <c r="K534" s="8">
        <v>0</v>
      </c>
      <c r="M534" s="8">
        <v>0</v>
      </c>
      <c r="O534" s="8">
        <v>0</v>
      </c>
      <c r="Q534" s="8">
        <v>0</v>
      </c>
      <c r="S534" s="8">
        <v>0</v>
      </c>
      <c r="U534" s="8">
        <v>0</v>
      </c>
      <c r="W534" s="8">
        <v>0</v>
      </c>
      <c r="Y534" s="8">
        <v>0</v>
      </c>
      <c r="AA534" s="8">
        <v>0</v>
      </c>
      <c r="AC534" s="8">
        <v>0</v>
      </c>
      <c r="AE534" s="8">
        <v>0</v>
      </c>
      <c r="AG534" s="8">
        <v>0</v>
      </c>
      <c r="AI534" s="8">
        <v>0</v>
      </c>
      <c r="AJ534" s="13" t="s">
        <v>431</v>
      </c>
      <c r="AK534" s="13"/>
      <c r="AL534" s="13" t="s">
        <v>426</v>
      </c>
      <c r="AN534" s="8">
        <v>0</v>
      </c>
      <c r="AP534" s="8">
        <v>0</v>
      </c>
      <c r="AR534" s="8">
        <v>0</v>
      </c>
      <c r="AT534" s="8">
        <v>0</v>
      </c>
      <c r="AV534" s="8">
        <v>0</v>
      </c>
      <c r="AX534" s="8">
        <v>0</v>
      </c>
      <c r="AZ534" s="9">
        <f t="shared" si="28"/>
        <v>0</v>
      </c>
      <c r="BB534" s="8">
        <v>0</v>
      </c>
      <c r="BH534" s="8">
        <v>0</v>
      </c>
      <c r="BJ534" s="9">
        <f t="shared" si="29"/>
        <v>0</v>
      </c>
      <c r="BL534" s="9">
        <f>'Gov Fd Rv'!AU536-'Gov Fnd Exp'!BJ534</f>
        <v>0</v>
      </c>
      <c r="BN534" s="8">
        <v>0</v>
      </c>
      <c r="BP534" s="8">
        <v>0</v>
      </c>
      <c r="BR534" s="8">
        <v>0</v>
      </c>
      <c r="BT534" s="9">
        <f t="shared" si="30"/>
        <v>0</v>
      </c>
      <c r="BU534" s="9"/>
      <c r="BV534" s="9">
        <f>BT534-'Gov Fd BS'!AA534</f>
        <v>0</v>
      </c>
    </row>
    <row r="535" spans="1:74">
      <c r="A535" s="13" t="s">
        <v>262</v>
      </c>
      <c r="B535" s="13"/>
      <c r="C535" s="13" t="s">
        <v>259</v>
      </c>
      <c r="D535" s="13"/>
      <c r="E535" s="32">
        <v>44941</v>
      </c>
      <c r="G535" s="8">
        <v>10904916</v>
      </c>
      <c r="I535" s="8">
        <v>3833491</v>
      </c>
      <c r="K535" s="8">
        <v>229666</v>
      </c>
      <c r="M535" s="8">
        <v>76730</v>
      </c>
      <c r="O535" s="8">
        <v>1182907</v>
      </c>
      <c r="Q535" s="8">
        <v>557144</v>
      </c>
      <c r="S535" s="8">
        <v>25650</v>
      </c>
      <c r="U535" s="8">
        <v>1804790</v>
      </c>
      <c r="W535" s="8">
        <v>239784</v>
      </c>
      <c r="Y535" s="8">
        <v>286034</v>
      </c>
      <c r="AA535" s="8">
        <v>1563856</v>
      </c>
      <c r="AC535" s="8">
        <v>743205</v>
      </c>
      <c r="AE535" s="8">
        <v>175168</v>
      </c>
      <c r="AG535" s="8">
        <v>904840</v>
      </c>
      <c r="AI535" s="8">
        <v>108760</v>
      </c>
      <c r="AJ535" s="13" t="s">
        <v>262</v>
      </c>
      <c r="AK535" s="13"/>
      <c r="AL535" s="13" t="s">
        <v>259</v>
      </c>
      <c r="AN535" s="8">
        <v>720054</v>
      </c>
      <c r="AP535" s="8">
        <v>544342</v>
      </c>
      <c r="AR535" s="8">
        <v>0</v>
      </c>
      <c r="AT535" s="8">
        <v>343308</v>
      </c>
      <c r="AV535" s="8">
        <v>53378</v>
      </c>
      <c r="AX535" s="8">
        <v>0</v>
      </c>
      <c r="AZ535" s="9">
        <f t="shared" ref="AZ535:AZ595" si="31">SUM(G535:AX535)</f>
        <v>24298023</v>
      </c>
      <c r="BB535" s="8">
        <v>81000</v>
      </c>
      <c r="BH535" s="8">
        <v>0</v>
      </c>
      <c r="BJ535" s="9">
        <f t="shared" ref="BJ535:BJ595" si="32">AZ535+BB535+BH535</f>
        <v>24379023</v>
      </c>
      <c r="BL535" s="9">
        <f>'Gov Fd Rv'!AU537-'Gov Fnd Exp'!BJ535</f>
        <v>-1116522</v>
      </c>
      <c r="BN535" s="8">
        <v>4717690</v>
      </c>
      <c r="BP535" s="8">
        <v>7524</v>
      </c>
      <c r="BR535" s="8">
        <v>0</v>
      </c>
      <c r="BT535" s="9">
        <f t="shared" si="30"/>
        <v>3608692</v>
      </c>
      <c r="BU535" s="9"/>
      <c r="BV535" s="9">
        <f>BT535-'Gov Fd BS'!AA535</f>
        <v>0</v>
      </c>
    </row>
    <row r="536" spans="1:74" hidden="1">
      <c r="A536" s="13" t="s">
        <v>637</v>
      </c>
      <c r="B536" s="13"/>
      <c r="C536" s="13" t="s">
        <v>59</v>
      </c>
      <c r="D536" s="13"/>
      <c r="E536" s="32">
        <v>49643</v>
      </c>
      <c r="G536" s="8">
        <v>0</v>
      </c>
      <c r="I536" s="8">
        <v>0</v>
      </c>
      <c r="K536" s="8">
        <v>0</v>
      </c>
      <c r="M536" s="8">
        <v>0</v>
      </c>
      <c r="O536" s="8">
        <v>0</v>
      </c>
      <c r="Q536" s="8">
        <v>0</v>
      </c>
      <c r="S536" s="8">
        <v>0</v>
      </c>
      <c r="U536" s="8">
        <v>0</v>
      </c>
      <c r="W536" s="8">
        <v>0</v>
      </c>
      <c r="Y536" s="8">
        <v>0</v>
      </c>
      <c r="AA536" s="8">
        <v>0</v>
      </c>
      <c r="AC536" s="8">
        <v>0</v>
      </c>
      <c r="AE536" s="8">
        <v>0</v>
      </c>
      <c r="AG536" s="8">
        <v>0</v>
      </c>
      <c r="AI536" s="8">
        <v>0</v>
      </c>
      <c r="AJ536" s="13" t="s">
        <v>637</v>
      </c>
      <c r="AK536" s="13"/>
      <c r="AL536" s="13" t="s">
        <v>59</v>
      </c>
      <c r="AN536" s="8">
        <v>0</v>
      </c>
      <c r="AP536" s="8">
        <v>0</v>
      </c>
      <c r="AR536" s="8">
        <v>0</v>
      </c>
      <c r="AT536" s="8">
        <v>0</v>
      </c>
      <c r="AV536" s="8">
        <v>0</v>
      </c>
      <c r="AX536" s="8">
        <v>0</v>
      </c>
      <c r="AZ536" s="9">
        <f t="shared" si="31"/>
        <v>0</v>
      </c>
      <c r="BB536" s="8">
        <v>0</v>
      </c>
      <c r="BH536" s="8">
        <v>0</v>
      </c>
      <c r="BJ536" s="9">
        <f t="shared" si="32"/>
        <v>0</v>
      </c>
      <c r="BL536" s="9">
        <f>'Gov Fd Rv'!AU538-'Gov Fnd Exp'!BJ536</f>
        <v>0</v>
      </c>
      <c r="BN536" s="8">
        <v>0</v>
      </c>
      <c r="BP536" s="8">
        <v>0</v>
      </c>
      <c r="BR536" s="8">
        <v>0</v>
      </c>
      <c r="BT536" s="9">
        <f t="shared" si="30"/>
        <v>0</v>
      </c>
      <c r="BU536" s="9"/>
      <c r="BV536" s="9">
        <f>BT536-'Gov Fd BS'!AA536</f>
        <v>0</v>
      </c>
    </row>
    <row r="537" spans="1:74">
      <c r="A537" s="13" t="s">
        <v>564</v>
      </c>
      <c r="B537" s="13"/>
      <c r="C537" s="13" t="s">
        <v>50</v>
      </c>
      <c r="D537" s="13"/>
      <c r="E537" s="32">
        <v>48744</v>
      </c>
      <c r="G537" s="8">
        <v>7932791</v>
      </c>
      <c r="I537" s="8">
        <v>1315329</v>
      </c>
      <c r="K537" s="8">
        <v>356065</v>
      </c>
      <c r="M537" s="8">
        <v>378228</v>
      </c>
      <c r="O537" s="8">
        <v>977161</v>
      </c>
      <c r="Q537" s="8">
        <v>1259522</v>
      </c>
      <c r="S537" s="8">
        <v>23613</v>
      </c>
      <c r="U537" s="8">
        <v>1336478</v>
      </c>
      <c r="W537" s="8">
        <v>294195</v>
      </c>
      <c r="Y537" s="8">
        <v>16179</v>
      </c>
      <c r="AA537" s="8">
        <v>1619520</v>
      </c>
      <c r="AC537" s="8">
        <v>922616</v>
      </c>
      <c r="AE537" s="8">
        <v>417248</v>
      </c>
      <c r="AG537" s="8">
        <v>701189</v>
      </c>
      <c r="AI537" s="8">
        <v>80573</v>
      </c>
      <c r="AJ537" s="13" t="s">
        <v>564</v>
      </c>
      <c r="AK537" s="13"/>
      <c r="AL537" s="13" t="s">
        <v>50</v>
      </c>
      <c r="AN537" s="8">
        <v>678698</v>
      </c>
      <c r="AP537" s="8">
        <v>350112</v>
      </c>
      <c r="AR537" s="8">
        <v>0</v>
      </c>
      <c r="AT537" s="8">
        <v>97223</v>
      </c>
      <c r="AV537" s="8">
        <v>55744</v>
      </c>
      <c r="AX537" s="8">
        <v>0</v>
      </c>
      <c r="AZ537" s="9">
        <f t="shared" si="31"/>
        <v>18812484</v>
      </c>
      <c r="BB537" s="8">
        <v>45000</v>
      </c>
      <c r="BH537" s="8">
        <v>0</v>
      </c>
      <c r="BJ537" s="9">
        <f t="shared" si="32"/>
        <v>18857484</v>
      </c>
      <c r="BL537" s="9">
        <f>'Gov Fd Rv'!AU539-'Gov Fnd Exp'!BJ537</f>
        <v>1094116</v>
      </c>
      <c r="BN537" s="8">
        <v>6614539</v>
      </c>
      <c r="BP537" s="8">
        <v>8</v>
      </c>
      <c r="BR537" s="8">
        <v>0</v>
      </c>
      <c r="BT537" s="9">
        <f t="shared" ref="BT537:BT595" si="33">BL537+BN537+BP537+BR537</f>
        <v>7708663</v>
      </c>
      <c r="BU537" s="9"/>
      <c r="BV537" s="9">
        <f>BT537-'Gov Fd BS'!AA537</f>
        <v>0</v>
      </c>
    </row>
    <row r="538" spans="1:74">
      <c r="A538" s="13" t="s">
        <v>424</v>
      </c>
      <c r="B538" s="13"/>
      <c r="C538" s="13" t="s">
        <v>33</v>
      </c>
      <c r="D538" s="13"/>
      <c r="E538" s="32">
        <v>47464</v>
      </c>
      <c r="G538" s="8">
        <v>4308973</v>
      </c>
      <c r="I538" s="8">
        <v>760709</v>
      </c>
      <c r="K538" s="8">
        <v>165846</v>
      </c>
      <c r="M538" s="8">
        <v>0</v>
      </c>
      <c r="O538" s="8">
        <v>340487</v>
      </c>
      <c r="Q538" s="8">
        <v>299322</v>
      </c>
      <c r="S538" s="8">
        <v>79888</v>
      </c>
      <c r="U538" s="8">
        <v>707488</v>
      </c>
      <c r="W538" s="8">
        <v>375971</v>
      </c>
      <c r="Y538" s="8">
        <v>0</v>
      </c>
      <c r="AA538" s="8">
        <v>1037277</v>
      </c>
      <c r="AC538" s="8">
        <v>460298</v>
      </c>
      <c r="AE538" s="8">
        <v>29101</v>
      </c>
      <c r="AG538" s="8">
        <v>0</v>
      </c>
      <c r="AI538" s="8">
        <v>249393</v>
      </c>
      <c r="AJ538" s="13" t="s">
        <v>424</v>
      </c>
      <c r="AK538" s="13"/>
      <c r="AL538" s="13" t="s">
        <v>33</v>
      </c>
      <c r="AN538" s="8">
        <v>406789</v>
      </c>
      <c r="AP538" s="8">
        <v>273555</v>
      </c>
      <c r="AR538" s="8">
        <v>0</v>
      </c>
      <c r="AT538" s="8">
        <v>495000</v>
      </c>
      <c r="AV538" s="8">
        <v>436135</v>
      </c>
      <c r="AX538" s="8">
        <v>0</v>
      </c>
      <c r="AZ538" s="9">
        <f t="shared" si="31"/>
        <v>10426232</v>
      </c>
      <c r="BB538" s="8">
        <v>60658</v>
      </c>
      <c r="BH538" s="8">
        <v>0</v>
      </c>
      <c r="BJ538" s="9">
        <f t="shared" si="32"/>
        <v>10486890</v>
      </c>
      <c r="BL538" s="9">
        <f>'Gov Fd Rv'!AU540-'Gov Fnd Exp'!BJ538</f>
        <v>1583609</v>
      </c>
      <c r="BN538" s="8">
        <v>4463434</v>
      </c>
      <c r="BP538" s="8">
        <v>0</v>
      </c>
      <c r="BR538" s="8">
        <v>0</v>
      </c>
      <c r="BT538" s="9">
        <f t="shared" si="33"/>
        <v>6047043</v>
      </c>
      <c r="BU538" s="9"/>
      <c r="BV538" s="9">
        <f>BT538-'Gov Fd BS'!AA538</f>
        <v>0</v>
      </c>
    </row>
    <row r="539" spans="1:74">
      <c r="A539" s="13" t="s">
        <v>711</v>
      </c>
      <c r="B539" s="13"/>
      <c r="C539" s="13" t="s">
        <v>67</v>
      </c>
      <c r="D539" s="13"/>
      <c r="E539" s="32">
        <v>44966</v>
      </c>
      <c r="G539" s="8">
        <v>10439982</v>
      </c>
      <c r="I539" s="8">
        <v>2396184</v>
      </c>
      <c r="K539" s="8">
        <v>141141</v>
      </c>
      <c r="M539" s="8">
        <v>0</v>
      </c>
      <c r="O539" s="8">
        <v>827456</v>
      </c>
      <c r="Q539" s="8">
        <v>1143668</v>
      </c>
      <c r="S539" s="8">
        <v>48349</v>
      </c>
      <c r="U539" s="8">
        <v>1606275</v>
      </c>
      <c r="W539" s="8">
        <v>644822</v>
      </c>
      <c r="Y539" s="8">
        <v>0</v>
      </c>
      <c r="AA539" s="8">
        <v>1912335</v>
      </c>
      <c r="AC539" s="8">
        <v>532449</v>
      </c>
      <c r="AE539" s="8">
        <v>285214</v>
      </c>
      <c r="AG539" s="8">
        <v>0</v>
      </c>
      <c r="AI539" s="8">
        <v>933262</v>
      </c>
      <c r="AJ539" s="13" t="s">
        <v>711</v>
      </c>
      <c r="AK539" s="13"/>
      <c r="AL539" s="13" t="s">
        <v>67</v>
      </c>
      <c r="AN539" s="8">
        <v>524059</v>
      </c>
      <c r="AP539" s="8">
        <v>243484</v>
      </c>
      <c r="AR539" s="8">
        <v>0</v>
      </c>
      <c r="AT539" s="8">
        <v>409913</v>
      </c>
      <c r="AV539" s="8">
        <v>1359959</v>
      </c>
      <c r="AX539" s="8">
        <v>0</v>
      </c>
      <c r="AZ539" s="9">
        <f t="shared" si="31"/>
        <v>23448552</v>
      </c>
      <c r="BB539" s="8">
        <v>0</v>
      </c>
      <c r="BH539" s="8">
        <v>0</v>
      </c>
      <c r="BJ539" s="9">
        <f t="shared" si="32"/>
        <v>23448552</v>
      </c>
      <c r="BL539" s="9">
        <f>'Gov Fd Rv'!AU541-'Gov Fnd Exp'!BJ539</f>
        <v>242264</v>
      </c>
      <c r="BN539" s="8">
        <v>5908089</v>
      </c>
      <c r="BP539" s="8">
        <v>0</v>
      </c>
      <c r="BR539" s="8">
        <v>0</v>
      </c>
      <c r="BT539" s="9">
        <f t="shared" si="33"/>
        <v>6150353</v>
      </c>
      <c r="BU539" s="9"/>
      <c r="BV539" s="9">
        <f>BT539-'Gov Fd BS'!AA539</f>
        <v>0</v>
      </c>
    </row>
    <row r="540" spans="1:74">
      <c r="A540" s="13" t="s">
        <v>565</v>
      </c>
      <c r="B540" s="13"/>
      <c r="C540" s="13" t="s">
        <v>50</v>
      </c>
      <c r="D540" s="13"/>
      <c r="E540" s="32">
        <v>44958</v>
      </c>
      <c r="G540" s="8">
        <v>17086953</v>
      </c>
      <c r="I540" s="8">
        <v>3065502</v>
      </c>
      <c r="K540" s="8">
        <v>333872</v>
      </c>
      <c r="M540" s="8">
        <v>2220027</v>
      </c>
      <c r="O540" s="8">
        <v>1932553</v>
      </c>
      <c r="Q540" s="8">
        <v>1922242</v>
      </c>
      <c r="S540" s="8">
        <v>33985</v>
      </c>
      <c r="U540" s="8">
        <v>2116008</v>
      </c>
      <c r="W540" s="8">
        <v>968032</v>
      </c>
      <c r="Y540" s="8">
        <v>0</v>
      </c>
      <c r="AA540" s="8">
        <v>3427665</v>
      </c>
      <c r="AC540" s="8">
        <v>1585204</v>
      </c>
      <c r="AE540" s="8">
        <v>534389</v>
      </c>
      <c r="AG540" s="8">
        <v>0</v>
      </c>
      <c r="AI540" s="8">
        <v>1369880</v>
      </c>
      <c r="AJ540" s="13" t="s">
        <v>565</v>
      </c>
      <c r="AK540" s="13"/>
      <c r="AL540" s="13" t="s">
        <v>50</v>
      </c>
      <c r="AN540" s="8">
        <v>544462</v>
      </c>
      <c r="AP540" s="8">
        <v>0</v>
      </c>
      <c r="AR540" s="8">
        <v>0</v>
      </c>
      <c r="AT540" s="8">
        <v>284275</v>
      </c>
      <c r="AV540" s="8">
        <v>15988</v>
      </c>
      <c r="AX540" s="8">
        <v>0</v>
      </c>
      <c r="AZ540" s="9">
        <f t="shared" si="31"/>
        <v>37441037</v>
      </c>
      <c r="BB540" s="8">
        <v>153630</v>
      </c>
      <c r="BH540" s="8">
        <v>0</v>
      </c>
      <c r="BJ540" s="9">
        <f t="shared" si="32"/>
        <v>37594667</v>
      </c>
      <c r="BL540" s="9">
        <f>'Gov Fd Rv'!AU542-'Gov Fnd Exp'!BJ540</f>
        <v>1603972</v>
      </c>
      <c r="BN540" s="8">
        <v>11968418</v>
      </c>
      <c r="BP540" s="8">
        <v>0</v>
      </c>
      <c r="BR540" s="8">
        <v>0</v>
      </c>
      <c r="BT540" s="9">
        <f t="shared" si="33"/>
        <v>13572390</v>
      </c>
      <c r="BU540" s="9"/>
      <c r="BV540" s="9">
        <f>BT540-'Gov Fd BS'!AA540</f>
        <v>0</v>
      </c>
    </row>
    <row r="541" spans="1:74" hidden="1">
      <c r="A541" s="13" t="s">
        <v>425</v>
      </c>
      <c r="B541" s="13"/>
      <c r="C541" s="13" t="s">
        <v>33</v>
      </c>
      <c r="D541" s="13"/>
      <c r="E541" s="32">
        <v>47472</v>
      </c>
      <c r="G541" s="8">
        <v>0</v>
      </c>
      <c r="I541" s="8">
        <v>0</v>
      </c>
      <c r="K541" s="8">
        <v>0</v>
      </c>
      <c r="M541" s="8">
        <v>0</v>
      </c>
      <c r="O541" s="8">
        <v>0</v>
      </c>
      <c r="Q541" s="8">
        <v>0</v>
      </c>
      <c r="S541" s="8">
        <v>0</v>
      </c>
      <c r="U541" s="8">
        <v>0</v>
      </c>
      <c r="W541" s="8">
        <v>0</v>
      </c>
      <c r="Y541" s="8">
        <v>0</v>
      </c>
      <c r="AA541" s="8">
        <v>0</v>
      </c>
      <c r="AC541" s="8">
        <v>0</v>
      </c>
      <c r="AE541" s="8">
        <v>0</v>
      </c>
      <c r="AG541" s="8">
        <v>0</v>
      </c>
      <c r="AI541" s="8">
        <v>0</v>
      </c>
      <c r="AJ541" s="13" t="s">
        <v>425</v>
      </c>
      <c r="AK541" s="13"/>
      <c r="AL541" s="13" t="s">
        <v>33</v>
      </c>
      <c r="AN541" s="8">
        <v>0</v>
      </c>
      <c r="AP541" s="8">
        <v>0</v>
      </c>
      <c r="AR541" s="8">
        <v>0</v>
      </c>
      <c r="AT541" s="8">
        <v>0</v>
      </c>
      <c r="AV541" s="8">
        <v>0</v>
      </c>
      <c r="AX541" s="8">
        <v>0</v>
      </c>
      <c r="AZ541" s="9">
        <f t="shared" si="31"/>
        <v>0</v>
      </c>
      <c r="BB541" s="8">
        <v>0</v>
      </c>
      <c r="BH541" s="8">
        <v>0</v>
      </c>
      <c r="BJ541" s="9">
        <f t="shared" si="32"/>
        <v>0</v>
      </c>
      <c r="BL541" s="9">
        <f>'Gov Fd Rv'!AU543-'Gov Fnd Exp'!BJ541</f>
        <v>0</v>
      </c>
      <c r="BN541" s="8">
        <v>0</v>
      </c>
      <c r="BP541" s="8">
        <v>0</v>
      </c>
      <c r="BR541" s="8">
        <v>0</v>
      </c>
      <c r="BT541" s="9">
        <f t="shared" si="33"/>
        <v>0</v>
      </c>
      <c r="BU541" s="9"/>
      <c r="BV541" s="9">
        <f>BT541-'Gov Fd BS'!AA541</f>
        <v>0</v>
      </c>
    </row>
    <row r="542" spans="1:74">
      <c r="A542" s="13" t="s">
        <v>346</v>
      </c>
      <c r="B542" s="13"/>
      <c r="C542" s="13" t="s">
        <v>24</v>
      </c>
      <c r="D542" s="13"/>
      <c r="E542" s="32">
        <v>46821</v>
      </c>
      <c r="G542" s="8">
        <v>9141885</v>
      </c>
      <c r="I542" s="8">
        <v>2137053</v>
      </c>
      <c r="K542" s="8">
        <v>216299</v>
      </c>
      <c r="M542" s="8">
        <v>1281639</v>
      </c>
      <c r="O542" s="8">
        <v>1390496</v>
      </c>
      <c r="Q542" s="8">
        <v>2709871</v>
      </c>
      <c r="S542" s="8">
        <v>218242</v>
      </c>
      <c r="U542" s="8">
        <v>1527058</v>
      </c>
      <c r="W542" s="8">
        <v>547461</v>
      </c>
      <c r="Y542" s="8">
        <v>158094</v>
      </c>
      <c r="AA542" s="8">
        <v>4471296</v>
      </c>
      <c r="AC542" s="8">
        <v>1354451</v>
      </c>
      <c r="AE542" s="8">
        <v>51858</v>
      </c>
      <c r="AG542" s="8">
        <v>746005</v>
      </c>
      <c r="AI542" s="8">
        <v>15992</v>
      </c>
      <c r="AJ542" s="13" t="s">
        <v>346</v>
      </c>
      <c r="AK542" s="13"/>
      <c r="AL542" s="13" t="s">
        <v>24</v>
      </c>
      <c r="AN542" s="8">
        <v>736298</v>
      </c>
      <c r="AP542" s="8">
        <v>0</v>
      </c>
      <c r="AR542" s="8">
        <v>3559773</v>
      </c>
      <c r="AT542" s="8">
        <v>540663</v>
      </c>
      <c r="AV542" s="8">
        <v>172902</v>
      </c>
      <c r="AX542" s="8">
        <v>0</v>
      </c>
      <c r="AZ542" s="9">
        <f t="shared" si="31"/>
        <v>30977336</v>
      </c>
      <c r="BB542" s="8">
        <v>0</v>
      </c>
      <c r="BH542" s="8">
        <v>0</v>
      </c>
      <c r="BJ542" s="9">
        <f t="shared" si="32"/>
        <v>30977336</v>
      </c>
      <c r="BL542" s="9">
        <f>'Gov Fd Rv'!AU544-'Gov Fnd Exp'!BJ542</f>
        <v>8144575</v>
      </c>
      <c r="BN542" s="8">
        <f>9695862-24140</f>
        <v>9671722</v>
      </c>
      <c r="BP542" s="8">
        <v>11517</v>
      </c>
      <c r="BR542" s="8">
        <v>0</v>
      </c>
      <c r="BT542" s="9">
        <f t="shared" si="33"/>
        <v>17827814</v>
      </c>
      <c r="BU542" s="9"/>
      <c r="BV542" s="9">
        <f>BT542-'Gov Fd BS'!AA542</f>
        <v>0</v>
      </c>
    </row>
    <row r="543" spans="1:74">
      <c r="A543" s="13" t="s">
        <v>712</v>
      </c>
      <c r="B543" s="13"/>
      <c r="C543" s="13" t="s">
        <v>68</v>
      </c>
      <c r="D543" s="13"/>
      <c r="E543" s="32">
        <v>50393</v>
      </c>
      <c r="G543" s="8">
        <v>8616092</v>
      </c>
      <c r="I543" s="8">
        <v>2527605</v>
      </c>
      <c r="K543" s="8">
        <v>263466</v>
      </c>
      <c r="M543" s="8">
        <v>1115466</v>
      </c>
      <c r="O543" s="8">
        <v>1698563</v>
      </c>
      <c r="Q543" s="8">
        <v>1457625</v>
      </c>
      <c r="S543" s="8">
        <v>322804</v>
      </c>
      <c r="U543" s="8">
        <v>2514313</v>
      </c>
      <c r="W543" s="8">
        <v>319397</v>
      </c>
      <c r="Y543" s="8">
        <v>0</v>
      </c>
      <c r="AA543" s="8">
        <v>2290674</v>
      </c>
      <c r="AC543" s="8">
        <v>1811561</v>
      </c>
      <c r="AE543" s="8">
        <v>838004</v>
      </c>
      <c r="AG543" s="8">
        <v>0</v>
      </c>
      <c r="AI543" s="8">
        <v>1115846</v>
      </c>
      <c r="AJ543" s="13" t="s">
        <v>712</v>
      </c>
      <c r="AK543" s="13"/>
      <c r="AL543" s="13" t="s">
        <v>68</v>
      </c>
      <c r="AN543" s="8">
        <v>247234</v>
      </c>
      <c r="AP543" s="8">
        <v>12219909</v>
      </c>
      <c r="AR543" s="8">
        <v>0</v>
      </c>
      <c r="AT543" s="8">
        <v>312824</v>
      </c>
      <c r="AV543" s="8">
        <v>359157</v>
      </c>
      <c r="AX543" s="8">
        <v>0</v>
      </c>
      <c r="AZ543" s="9">
        <f t="shared" si="31"/>
        <v>38030540</v>
      </c>
      <c r="BB543" s="8">
        <v>0</v>
      </c>
      <c r="BH543" s="8">
        <v>0</v>
      </c>
      <c r="BJ543" s="9">
        <f t="shared" si="32"/>
        <v>38030540</v>
      </c>
      <c r="BL543" s="9">
        <f>'Gov Fd Rv'!AU545-'Gov Fnd Exp'!BJ543</f>
        <v>-4090041</v>
      </c>
      <c r="BN543" s="8">
        <v>20187998</v>
      </c>
      <c r="BP543" s="8">
        <v>0</v>
      </c>
      <c r="BR543" s="8">
        <v>0</v>
      </c>
      <c r="BT543" s="9">
        <f t="shared" si="33"/>
        <v>16097957</v>
      </c>
      <c r="BU543" s="9"/>
      <c r="BV543" s="9">
        <f>BT543-'Gov Fd BS'!AA543</f>
        <v>0</v>
      </c>
    </row>
    <row r="544" spans="1:74">
      <c r="A544" s="13" t="s">
        <v>536</v>
      </c>
      <c r="B544" s="13"/>
      <c r="C544" s="13" t="s">
        <v>47</v>
      </c>
      <c r="D544" s="13"/>
      <c r="E544" s="32">
        <v>44974</v>
      </c>
      <c r="G544" s="8">
        <v>16712500</v>
      </c>
      <c r="I544" s="8">
        <v>2686028</v>
      </c>
      <c r="K544" s="8">
        <v>1770657</v>
      </c>
      <c r="M544" s="8">
        <f>39558+960594</f>
        <v>1000152</v>
      </c>
      <c r="O544" s="8">
        <v>2356449</v>
      </c>
      <c r="Q544" s="8">
        <v>1267895</v>
      </c>
      <c r="S544" s="8">
        <v>155700</v>
      </c>
      <c r="U544" s="8">
        <v>3368024</v>
      </c>
      <c r="W544" s="8">
        <v>742555</v>
      </c>
      <c r="Y544" s="8">
        <v>4617213</v>
      </c>
      <c r="AA544" s="8">
        <v>0</v>
      </c>
      <c r="AC544" s="8">
        <v>1624613</v>
      </c>
      <c r="AE544" s="8">
        <v>986561</v>
      </c>
      <c r="AG544" s="8">
        <v>1338305</v>
      </c>
      <c r="AI544" s="8">
        <v>346687</v>
      </c>
      <c r="AJ544" s="13" t="s">
        <v>536</v>
      </c>
      <c r="AK544" s="13"/>
      <c r="AL544" s="13" t="s">
        <v>47</v>
      </c>
      <c r="AN544" s="8">
        <f>26073+129913+100390+1041922</f>
        <v>1298298</v>
      </c>
      <c r="AP544" s="8">
        <v>1607993</v>
      </c>
      <c r="AR544" s="8">
        <v>0</v>
      </c>
      <c r="AT544" s="8">
        <v>1749313</v>
      </c>
      <c r="AV544" s="8">
        <v>1525930</v>
      </c>
      <c r="AX544" s="8">
        <v>0</v>
      </c>
      <c r="AZ544" s="9">
        <f t="shared" ref="AZ544:AZ563" si="34">SUM(G544:AX544)</f>
        <v>45154873</v>
      </c>
      <c r="BB544" s="8">
        <v>32625</v>
      </c>
      <c r="BH544" s="8">
        <v>0</v>
      </c>
      <c r="BJ544" s="9">
        <f t="shared" si="32"/>
        <v>45187498</v>
      </c>
      <c r="BL544" s="9">
        <f>'Gov Fd Rv'!AU546-'Gov Fnd Exp'!BJ544</f>
        <v>-2261524</v>
      </c>
      <c r="BN544" s="8">
        <v>12132904</v>
      </c>
      <c r="BP544" s="8">
        <v>0</v>
      </c>
      <c r="BR544" s="8">
        <v>0</v>
      </c>
      <c r="BT544" s="9">
        <f>BL544+BN544+BP544+BR544</f>
        <v>9871380</v>
      </c>
      <c r="BU544" s="9"/>
      <c r="BV544" s="9">
        <f>BT544-'Gov Fd BS'!AA544</f>
        <v>0</v>
      </c>
    </row>
    <row r="545" spans="1:74">
      <c r="A545" s="13" t="s">
        <v>697</v>
      </c>
      <c r="B545" s="13"/>
      <c r="C545" s="13" t="s">
        <v>64</v>
      </c>
      <c r="D545" s="13"/>
      <c r="E545" s="32">
        <v>44990</v>
      </c>
      <c r="G545" s="8">
        <v>27260934</v>
      </c>
      <c r="I545" s="8">
        <v>8998704</v>
      </c>
      <c r="K545" s="8">
        <v>553149</v>
      </c>
      <c r="M545" s="8">
        <v>3756717</v>
      </c>
      <c r="O545" s="8">
        <v>3640042</v>
      </c>
      <c r="Q545" s="8">
        <v>4633461</v>
      </c>
      <c r="S545" s="8">
        <v>41635</v>
      </c>
      <c r="U545" s="8">
        <v>4364105</v>
      </c>
      <c r="W545" s="8">
        <v>1090545</v>
      </c>
      <c r="Y545" s="8">
        <v>732072</v>
      </c>
      <c r="AA545" s="8">
        <v>7407405</v>
      </c>
      <c r="AC545" s="8">
        <v>2887360</v>
      </c>
      <c r="AE545" s="8">
        <v>1374779</v>
      </c>
      <c r="AG545" s="8">
        <v>2508641</v>
      </c>
      <c r="AI545" s="8">
        <v>625932</v>
      </c>
      <c r="AJ545" s="13" t="s">
        <v>697</v>
      </c>
      <c r="AK545" s="13"/>
      <c r="AL545" s="13" t="s">
        <v>64</v>
      </c>
      <c r="AN545" s="8">
        <v>1090291</v>
      </c>
      <c r="AP545" s="8">
        <v>36848493</v>
      </c>
      <c r="AR545" s="8">
        <v>0</v>
      </c>
      <c r="AT545" s="8">
        <v>550000</v>
      </c>
      <c r="AV545" s="8">
        <v>1749425</v>
      </c>
      <c r="AX545" s="8">
        <v>0</v>
      </c>
      <c r="AZ545" s="9">
        <f t="shared" si="34"/>
        <v>110113690</v>
      </c>
      <c r="BB545" s="8">
        <v>3762408</v>
      </c>
      <c r="BH545" s="8">
        <v>0</v>
      </c>
      <c r="BJ545" s="9">
        <f t="shared" si="32"/>
        <v>113876098</v>
      </c>
      <c r="BL545" s="9">
        <f>'Gov Fd Rv'!AU547-'Gov Fnd Exp'!BJ545</f>
        <v>323718</v>
      </c>
      <c r="BN545" s="8">
        <v>68734238</v>
      </c>
      <c r="BP545" s="8">
        <v>34846</v>
      </c>
      <c r="BR545" s="8">
        <v>0</v>
      </c>
      <c r="BT545" s="9">
        <f t="shared" si="33"/>
        <v>69092802</v>
      </c>
      <c r="BU545" s="9"/>
      <c r="BV545" s="9">
        <f>BT545-'Gov Fd BS'!AA545</f>
        <v>0</v>
      </c>
    </row>
    <row r="546" spans="1:74">
      <c r="A546" s="13" t="s">
        <v>725</v>
      </c>
      <c r="B546" s="13"/>
      <c r="C546" s="13" t="s">
        <v>70</v>
      </c>
      <c r="D546" s="13"/>
      <c r="E546" s="32">
        <v>50500</v>
      </c>
      <c r="G546" s="8">
        <v>11504285</v>
      </c>
      <c r="I546" s="8">
        <v>2127715</v>
      </c>
      <c r="K546" s="8">
        <v>113229</v>
      </c>
      <c r="M546" s="8">
        <v>53783</v>
      </c>
      <c r="O546" s="8">
        <v>801462</v>
      </c>
      <c r="Q546" s="8">
        <v>757633</v>
      </c>
      <c r="S546" s="8">
        <v>41490</v>
      </c>
      <c r="U546" s="8">
        <v>1826654</v>
      </c>
      <c r="W546" s="8">
        <v>633207</v>
      </c>
      <c r="Y546" s="8">
        <v>5049</v>
      </c>
      <c r="AA546" s="8">
        <v>1897366</v>
      </c>
      <c r="AC546" s="8">
        <v>1635282</v>
      </c>
      <c r="AE546" s="8">
        <v>8752</v>
      </c>
      <c r="AG546" s="8">
        <v>0</v>
      </c>
      <c r="AI546" s="8">
        <v>27501</v>
      </c>
      <c r="AJ546" s="13" t="s">
        <v>725</v>
      </c>
      <c r="AK546" s="13"/>
      <c r="AL546" s="13" t="s">
        <v>70</v>
      </c>
      <c r="AN546" s="8">
        <v>559515</v>
      </c>
      <c r="AP546" s="8">
        <v>3740</v>
      </c>
      <c r="AR546" s="8">
        <v>0</v>
      </c>
      <c r="AT546" s="8">
        <v>0</v>
      </c>
      <c r="AV546" s="8">
        <v>0</v>
      </c>
      <c r="AX546" s="8">
        <v>0</v>
      </c>
      <c r="AZ546" s="9">
        <f t="shared" si="34"/>
        <v>21996663</v>
      </c>
      <c r="BB546" s="8">
        <v>9495</v>
      </c>
      <c r="BH546" s="8">
        <v>0</v>
      </c>
      <c r="BJ546" s="9">
        <f t="shared" si="32"/>
        <v>22006158</v>
      </c>
      <c r="BL546" s="9">
        <f>'Gov Fd Rv'!AU548-'Gov Fnd Exp'!BJ546</f>
        <v>571078</v>
      </c>
      <c r="BN546" s="8">
        <v>385073</v>
      </c>
      <c r="BP546" s="8">
        <v>0</v>
      </c>
      <c r="BR546" s="8">
        <v>0</v>
      </c>
      <c r="BT546" s="9">
        <f t="shared" si="33"/>
        <v>956151</v>
      </c>
      <c r="BU546" s="9"/>
      <c r="BV546" s="9">
        <f>BT546-'Gov Fd BS'!AA546</f>
        <v>0</v>
      </c>
    </row>
    <row r="547" spans="1:74">
      <c r="A547" s="13" t="s">
        <v>328</v>
      </c>
      <c r="B547" s="13"/>
      <c r="C547" s="13" t="s">
        <v>20</v>
      </c>
      <c r="D547" s="13"/>
      <c r="E547" s="13">
        <v>45005</v>
      </c>
      <c r="G547" s="8">
        <v>15961456</v>
      </c>
      <c r="I547" s="8">
        <v>3706084</v>
      </c>
      <c r="K547" s="8">
        <v>232622</v>
      </c>
      <c r="M547" s="8">
        <v>0</v>
      </c>
      <c r="O547" s="8">
        <v>1356027</v>
      </c>
      <c r="Q547" s="8">
        <v>1712784</v>
      </c>
      <c r="S547" s="8">
        <v>88717</v>
      </c>
      <c r="U547" s="8">
        <v>4517287</v>
      </c>
      <c r="W547" s="8">
        <v>1028689</v>
      </c>
      <c r="Y547" s="8">
        <v>1159372</v>
      </c>
      <c r="AA547" s="8">
        <v>3929944</v>
      </c>
      <c r="AC547" s="8">
        <v>1261142</v>
      </c>
      <c r="AE547" s="8">
        <v>406981</v>
      </c>
      <c r="AG547" s="8">
        <v>908430</v>
      </c>
      <c r="AI547" s="8">
        <v>199172</v>
      </c>
      <c r="AJ547" s="13" t="s">
        <v>328</v>
      </c>
      <c r="AK547" s="13"/>
      <c r="AL547" s="13" t="s">
        <v>20</v>
      </c>
      <c r="AN547" s="8">
        <v>310727</v>
      </c>
      <c r="AP547" s="8">
        <v>797202</v>
      </c>
      <c r="AR547" s="8">
        <v>0</v>
      </c>
      <c r="AT547" s="8">
        <v>1160212</v>
      </c>
      <c r="AV547" s="8">
        <v>1101791</v>
      </c>
      <c r="AX547" s="8">
        <v>0</v>
      </c>
      <c r="AZ547" s="9">
        <f t="shared" si="34"/>
        <v>39838639</v>
      </c>
      <c r="BB547" s="8">
        <f>275000+1087975</f>
        <v>1362975</v>
      </c>
      <c r="BH547" s="8">
        <v>0</v>
      </c>
      <c r="BJ547" s="9">
        <f t="shared" si="32"/>
        <v>41201614</v>
      </c>
      <c r="BL547" s="9">
        <f>'Gov Fd Rv'!AU549-'Gov Fnd Exp'!BJ547</f>
        <v>539756</v>
      </c>
      <c r="BN547" s="8">
        <v>3799273</v>
      </c>
      <c r="BP547" s="8">
        <v>0</v>
      </c>
      <c r="BR547" s="8">
        <v>0</v>
      </c>
      <c r="BT547" s="9">
        <f t="shared" si="33"/>
        <v>4339029</v>
      </c>
      <c r="BU547" s="9"/>
      <c r="BV547" s="9">
        <f>BT547-'Gov Fd BS'!AA547</f>
        <v>0</v>
      </c>
    </row>
    <row r="548" spans="1:74">
      <c r="A548" s="13" t="s">
        <v>985</v>
      </c>
      <c r="B548" s="13"/>
      <c r="C548" s="13" t="s">
        <v>26</v>
      </c>
      <c r="D548" s="13"/>
      <c r="E548" s="32">
        <v>45013</v>
      </c>
      <c r="G548" s="8">
        <v>9512189</v>
      </c>
      <c r="I548" s="8">
        <v>2343687</v>
      </c>
      <c r="K548" s="8">
        <v>85016</v>
      </c>
      <c r="M548" s="8">
        <v>22830</v>
      </c>
      <c r="O548" s="8">
        <v>833295</v>
      </c>
      <c r="Q548" s="8">
        <v>1069285</v>
      </c>
      <c r="S548" s="8">
        <v>21955</v>
      </c>
      <c r="U548" s="8">
        <v>1667406</v>
      </c>
      <c r="W548" s="8">
        <v>547697</v>
      </c>
      <c r="Y548" s="8">
        <v>0</v>
      </c>
      <c r="AA548" s="8">
        <v>1647142</v>
      </c>
      <c r="AC548" s="8">
        <v>704254</v>
      </c>
      <c r="AE548" s="8">
        <v>70020</v>
      </c>
      <c r="AG548" s="8">
        <v>793490</v>
      </c>
      <c r="AI548" s="8">
        <v>0</v>
      </c>
      <c r="AJ548" s="13" t="s">
        <v>355</v>
      </c>
      <c r="AK548" s="13"/>
      <c r="AL548" s="13" t="s">
        <v>26</v>
      </c>
      <c r="AN548" s="8">
        <v>557606</v>
      </c>
      <c r="AP548" s="8">
        <v>34839084</v>
      </c>
      <c r="AR548" s="8">
        <v>0</v>
      </c>
      <c r="AT548" s="8">
        <v>469785</v>
      </c>
      <c r="AV548" s="8">
        <v>910955</v>
      </c>
      <c r="AX548" s="8">
        <v>0</v>
      </c>
      <c r="AZ548" s="9">
        <f t="shared" si="34"/>
        <v>56095696</v>
      </c>
      <c r="BB548" s="8">
        <v>2666000</v>
      </c>
      <c r="BH548" s="8">
        <v>0</v>
      </c>
      <c r="BJ548" s="9">
        <f t="shared" si="32"/>
        <v>58761696</v>
      </c>
      <c r="BL548" s="9">
        <f>'Gov Fd Rv'!AU550-'Gov Fnd Exp'!BJ548</f>
        <v>-12835118</v>
      </c>
      <c r="BN548" s="8">
        <v>33355161</v>
      </c>
      <c r="BP548" s="8">
        <v>0</v>
      </c>
      <c r="BR548" s="8">
        <v>0</v>
      </c>
      <c r="BT548" s="9">
        <f t="shared" si="33"/>
        <v>20520043</v>
      </c>
      <c r="BU548" s="9"/>
      <c r="BV548" s="9">
        <f>BT548-'Gov Fd BS'!AA548</f>
        <v>0</v>
      </c>
    </row>
    <row r="549" spans="1:74">
      <c r="A549" s="13" t="s">
        <v>509</v>
      </c>
      <c r="B549" s="13"/>
      <c r="C549" s="13" t="s">
        <v>118</v>
      </c>
      <c r="D549" s="13"/>
      <c r="E549" s="32">
        <v>48231</v>
      </c>
      <c r="G549" s="8">
        <v>29380145</v>
      </c>
      <c r="I549" s="8">
        <v>8632618</v>
      </c>
      <c r="K549" s="8">
        <v>2556542</v>
      </c>
      <c r="M549" s="8">
        <f>276904+3140021</f>
        <v>3416925</v>
      </c>
      <c r="O549" s="8">
        <v>3546299</v>
      </c>
      <c r="Q549" s="8">
        <v>3868021</v>
      </c>
      <c r="S549" s="8">
        <v>90164</v>
      </c>
      <c r="U549" s="8">
        <v>4891584</v>
      </c>
      <c r="W549" s="8">
        <v>1412277</v>
      </c>
      <c r="Y549" s="8">
        <v>599110</v>
      </c>
      <c r="AA549" s="8">
        <v>9451196</v>
      </c>
      <c r="AC549" s="8">
        <v>3601433</v>
      </c>
      <c r="AE549" s="8">
        <v>1828982</v>
      </c>
      <c r="AG549" s="8">
        <v>2216437</v>
      </c>
      <c r="AI549" s="8">
        <v>207308</v>
      </c>
      <c r="AJ549" s="13" t="s">
        <v>509</v>
      </c>
      <c r="AK549" s="13"/>
      <c r="AL549" s="13" t="s">
        <v>118</v>
      </c>
      <c r="AN549" s="8">
        <v>1210116</v>
      </c>
      <c r="AP549" s="8">
        <v>2286603</v>
      </c>
      <c r="AR549" s="8">
        <v>1059176</v>
      </c>
      <c r="AT549" s="8">
        <v>80000</v>
      </c>
      <c r="AV549" s="8">
        <v>150982</v>
      </c>
      <c r="AX549" s="8">
        <v>0</v>
      </c>
      <c r="AZ549" s="9">
        <f t="shared" si="34"/>
        <v>80485918</v>
      </c>
      <c r="BB549" s="8">
        <v>848571</v>
      </c>
      <c r="BH549" s="8">
        <v>0</v>
      </c>
      <c r="BJ549" s="9">
        <f t="shared" si="32"/>
        <v>81334489</v>
      </c>
      <c r="BL549" s="9">
        <f>'Gov Fd Rv'!AU551-'Gov Fnd Exp'!BJ549</f>
        <v>505892</v>
      </c>
      <c r="BN549" s="8">
        <v>30046364</v>
      </c>
      <c r="BP549" s="8">
        <v>0</v>
      </c>
      <c r="BR549" s="8">
        <v>0</v>
      </c>
      <c r="BT549" s="9">
        <f t="shared" si="33"/>
        <v>30552256</v>
      </c>
      <c r="BU549" s="9"/>
      <c r="BV549" s="9">
        <f>BT549-'Gov Fd BS'!AA549</f>
        <v>0</v>
      </c>
    </row>
    <row r="550" spans="1:74">
      <c r="A550" s="13"/>
      <c r="B550" s="13"/>
      <c r="C550" s="13"/>
      <c r="D550" s="13"/>
      <c r="E550" s="32"/>
      <c r="AJ550" s="13"/>
      <c r="AK550" s="13"/>
      <c r="AL550" s="13"/>
      <c r="AZ550" s="9"/>
      <c r="BJ550" s="9"/>
      <c r="BL550" s="9"/>
      <c r="BT550" s="9"/>
      <c r="BU550" s="9"/>
      <c r="BV550" s="9"/>
    </row>
    <row r="551" spans="1:74">
      <c r="A551" s="13"/>
      <c r="B551" s="13"/>
      <c r="C551" s="13"/>
      <c r="D551" s="13"/>
      <c r="E551" s="32"/>
      <c r="AI551" s="89" t="s">
        <v>819</v>
      </c>
      <c r="AJ551" s="13"/>
      <c r="AK551" s="13"/>
      <c r="AL551" s="13"/>
      <c r="AZ551" s="9"/>
      <c r="BJ551" s="9"/>
      <c r="BL551" s="9"/>
      <c r="BT551" s="89" t="s">
        <v>819</v>
      </c>
      <c r="BU551" s="9"/>
      <c r="BV551" s="9"/>
    </row>
    <row r="552" spans="1:74" s="35" customFormat="1">
      <c r="A552" s="34" t="s">
        <v>638</v>
      </c>
      <c r="B552" s="34"/>
      <c r="C552" s="34" t="s">
        <v>59</v>
      </c>
      <c r="D552" s="34"/>
      <c r="E552" s="34">
        <v>49650</v>
      </c>
      <c r="G552" s="35">
        <v>6550644</v>
      </c>
      <c r="I552" s="35">
        <v>1802383</v>
      </c>
      <c r="K552" s="35">
        <v>114310</v>
      </c>
      <c r="M552" s="35">
        <v>134999</v>
      </c>
      <c r="O552" s="35">
        <v>783884</v>
      </c>
      <c r="Q552" s="35">
        <v>814164</v>
      </c>
      <c r="S552" s="35">
        <v>91870</v>
      </c>
      <c r="U552" s="35">
        <v>1024449</v>
      </c>
      <c r="W552" s="35">
        <v>286396</v>
      </c>
      <c r="Y552" s="35">
        <v>0</v>
      </c>
      <c r="AA552" s="35">
        <v>1727193</v>
      </c>
      <c r="AC552" s="35">
        <v>774422</v>
      </c>
      <c r="AE552" s="35">
        <v>0</v>
      </c>
      <c r="AG552" s="35">
        <v>750775</v>
      </c>
      <c r="AI552" s="35">
        <v>0</v>
      </c>
      <c r="AJ552" s="34" t="s">
        <v>638</v>
      </c>
      <c r="AK552" s="34"/>
      <c r="AL552" s="34" t="s">
        <v>59</v>
      </c>
      <c r="AN552" s="35">
        <v>303792</v>
      </c>
      <c r="AP552" s="35">
        <v>220323</v>
      </c>
      <c r="AR552" s="35">
        <v>0</v>
      </c>
      <c r="AT552" s="35">
        <v>301699</v>
      </c>
      <c r="AV552" s="35">
        <v>65797</v>
      </c>
      <c r="AX552" s="35">
        <v>0</v>
      </c>
      <c r="AZ552" s="44">
        <f t="shared" si="34"/>
        <v>15747100</v>
      </c>
      <c r="BB552" s="35">
        <v>230677</v>
      </c>
      <c r="BH552" s="35">
        <v>0</v>
      </c>
      <c r="BJ552" s="44">
        <f t="shared" si="32"/>
        <v>15977777</v>
      </c>
      <c r="BL552" s="44">
        <f>'Gov Fd Rv'!AU552-'Gov Fnd Exp'!BJ552</f>
        <v>-20119</v>
      </c>
      <c r="BN552" s="35">
        <v>3647157</v>
      </c>
      <c r="BP552" s="35">
        <v>0</v>
      </c>
      <c r="BR552" s="35">
        <v>0</v>
      </c>
      <c r="BT552" s="44">
        <f t="shared" si="33"/>
        <v>3627038</v>
      </c>
      <c r="BU552" s="44"/>
      <c r="BV552" s="44">
        <f>BT552-'Gov Fd BS'!AA550</f>
        <v>0</v>
      </c>
    </row>
    <row r="553" spans="1:74">
      <c r="A553" s="13" t="s">
        <v>603</v>
      </c>
      <c r="B553" s="13"/>
      <c r="C553" s="13" t="s">
        <v>56</v>
      </c>
      <c r="D553" s="13"/>
      <c r="E553" s="32">
        <v>49247</v>
      </c>
      <c r="G553" s="8">
        <v>5349358</v>
      </c>
      <c r="I553" s="8">
        <v>1551298</v>
      </c>
      <c r="K553" s="8">
        <v>47026</v>
      </c>
      <c r="M553" s="8">
        <v>30765</v>
      </c>
      <c r="O553" s="8">
        <v>370350</v>
      </c>
      <c r="Q553" s="8">
        <v>422661</v>
      </c>
      <c r="S553" s="8">
        <v>29211</v>
      </c>
      <c r="U553" s="8">
        <v>838297</v>
      </c>
      <c r="W553" s="8">
        <v>324205</v>
      </c>
      <c r="Y553" s="8">
        <v>23661</v>
      </c>
      <c r="AA553" s="8">
        <v>1141472</v>
      </c>
      <c r="AC553" s="8">
        <v>949863</v>
      </c>
      <c r="AE553" s="8">
        <v>16628</v>
      </c>
      <c r="AG553" s="8">
        <v>334709</v>
      </c>
      <c r="AI553" s="8">
        <v>10462</v>
      </c>
      <c r="AJ553" s="13" t="s">
        <v>603</v>
      </c>
      <c r="AK553" s="13"/>
      <c r="AL553" s="13" t="s">
        <v>56</v>
      </c>
      <c r="AN553" s="8">
        <v>322218</v>
      </c>
      <c r="AP553" s="8">
        <v>0</v>
      </c>
      <c r="AR553" s="8">
        <v>88888</v>
      </c>
      <c r="AT553" s="8">
        <v>454555</v>
      </c>
      <c r="AV553" s="8">
        <v>356076</v>
      </c>
      <c r="AX553" s="8">
        <v>0</v>
      </c>
      <c r="AZ553" s="9">
        <f t="shared" si="34"/>
        <v>12661703</v>
      </c>
      <c r="BB553" s="8">
        <v>0</v>
      </c>
      <c r="BH553" s="8">
        <v>0</v>
      </c>
      <c r="BJ553" s="9">
        <f t="shared" si="32"/>
        <v>12661703</v>
      </c>
      <c r="BL553" s="9">
        <f>'Gov Fd Rv'!AU553-'Gov Fnd Exp'!BJ553</f>
        <v>-5320</v>
      </c>
      <c r="BN553" s="8">
        <v>3473791</v>
      </c>
      <c r="BP553" s="8">
        <v>-17932</v>
      </c>
      <c r="BR553" s="8">
        <v>0</v>
      </c>
      <c r="BT553" s="9">
        <f t="shared" si="33"/>
        <v>3450539</v>
      </c>
      <c r="BU553" s="9"/>
      <c r="BV553" s="9">
        <f>BT553-'Gov Fd BS'!AA551</f>
        <v>0</v>
      </c>
    </row>
    <row r="554" spans="1:74">
      <c r="A554" s="13" t="s">
        <v>378</v>
      </c>
      <c r="B554" s="13"/>
      <c r="C554" s="13" t="s">
        <v>28</v>
      </c>
      <c r="D554" s="13"/>
      <c r="E554" s="32">
        <v>45641</v>
      </c>
      <c r="G554" s="8">
        <v>7803724</v>
      </c>
      <c r="I554" s="8">
        <v>1856235</v>
      </c>
      <c r="K554" s="8">
        <v>281269</v>
      </c>
      <c r="M554" s="8">
        <v>640123</v>
      </c>
      <c r="O554" s="8">
        <v>608757</v>
      </c>
      <c r="Q554" s="8">
        <v>698114</v>
      </c>
      <c r="S554" s="8">
        <v>37337</v>
      </c>
      <c r="U554" s="8">
        <v>1253390</v>
      </c>
      <c r="W554" s="8">
        <v>409743</v>
      </c>
      <c r="Y554" s="8">
        <v>68353</v>
      </c>
      <c r="AA554" s="8">
        <v>1464394</v>
      </c>
      <c r="AC554" s="8">
        <v>701362</v>
      </c>
      <c r="AE554" s="8">
        <v>91118</v>
      </c>
      <c r="AG554" s="8">
        <v>801218</v>
      </c>
      <c r="AI554" s="8">
        <v>0</v>
      </c>
      <c r="AJ554" s="13" t="s">
        <v>378</v>
      </c>
      <c r="AK554" s="13"/>
      <c r="AL554" s="13" t="s">
        <v>28</v>
      </c>
      <c r="AN554" s="8">
        <v>559831</v>
      </c>
      <c r="AP554" s="8">
        <v>6458934</v>
      </c>
      <c r="AR554" s="8">
        <v>0</v>
      </c>
      <c r="AT554" s="8">
        <v>860000</v>
      </c>
      <c r="AV554" s="8">
        <v>1162965</v>
      </c>
      <c r="AX554" s="8">
        <v>0</v>
      </c>
      <c r="AZ554" s="9">
        <f t="shared" si="34"/>
        <v>25756867</v>
      </c>
      <c r="BB554" s="8">
        <v>24419</v>
      </c>
      <c r="BH554" s="8">
        <v>0</v>
      </c>
      <c r="BJ554" s="9">
        <f t="shared" si="32"/>
        <v>25781286</v>
      </c>
      <c r="BL554" s="9">
        <f>'Gov Fd Rv'!AU554-'Gov Fnd Exp'!BJ554</f>
        <v>8934965</v>
      </c>
      <c r="BN554" s="8">
        <v>26644335</v>
      </c>
      <c r="BP554" s="8">
        <v>0</v>
      </c>
      <c r="BR554" s="8">
        <v>0</v>
      </c>
      <c r="BT554" s="9">
        <f t="shared" si="33"/>
        <v>35579300</v>
      </c>
      <c r="BU554" s="9"/>
      <c r="BV554" s="9">
        <f>BT554-'Gov Fd BS'!AA552</f>
        <v>0</v>
      </c>
    </row>
    <row r="555" spans="1:74" ht="12.75" customHeight="1">
      <c r="A555" s="13" t="s">
        <v>593</v>
      </c>
      <c r="B555" s="13"/>
      <c r="C555" s="13" t="s">
        <v>55</v>
      </c>
      <c r="D555" s="13"/>
      <c r="E555" s="32">
        <v>49148</v>
      </c>
      <c r="G555" s="8">
        <v>7885069</v>
      </c>
      <c r="I555" s="8">
        <v>1588847</v>
      </c>
      <c r="K555" s="8">
        <v>173393</v>
      </c>
      <c r="M555" s="8">
        <v>189567</v>
      </c>
      <c r="O555" s="8">
        <v>915567</v>
      </c>
      <c r="Q555" s="8">
        <v>1124414</v>
      </c>
      <c r="S555" s="8">
        <v>50312</v>
      </c>
      <c r="U555" s="8">
        <v>1135732</v>
      </c>
      <c r="W555" s="8">
        <v>488128</v>
      </c>
      <c r="Y555" s="8">
        <v>0</v>
      </c>
      <c r="AA555" s="8">
        <v>1958857</v>
      </c>
      <c r="AC555" s="8">
        <v>1110559</v>
      </c>
      <c r="AE555" s="8">
        <v>3899</v>
      </c>
      <c r="AG555" s="8">
        <v>792257</v>
      </c>
      <c r="AI555" s="8">
        <v>66187</v>
      </c>
      <c r="AJ555" s="13" t="s">
        <v>593</v>
      </c>
      <c r="AK555" s="13"/>
      <c r="AL555" s="13" t="s">
        <v>55</v>
      </c>
      <c r="AN555" s="8">
        <v>517422</v>
      </c>
      <c r="AP555" s="8">
        <v>32226</v>
      </c>
      <c r="AR555" s="8">
        <v>0</v>
      </c>
      <c r="AT555" s="8">
        <v>327712</v>
      </c>
      <c r="AV555" s="8">
        <v>502959</v>
      </c>
      <c r="AX555" s="8">
        <v>0</v>
      </c>
      <c r="AZ555" s="9">
        <f t="shared" si="34"/>
        <v>18863107</v>
      </c>
      <c r="BB555" s="8">
        <v>131996</v>
      </c>
      <c r="BH555" s="8">
        <v>0</v>
      </c>
      <c r="BJ555" s="9">
        <f t="shared" si="32"/>
        <v>18995103</v>
      </c>
      <c r="BL555" s="9">
        <f>'Gov Fd Rv'!AU555-'Gov Fnd Exp'!BJ555</f>
        <v>41039</v>
      </c>
      <c r="BN555" s="8">
        <v>4140955</v>
      </c>
      <c r="BP555" s="8">
        <v>0</v>
      </c>
      <c r="BR555" s="8">
        <v>0</v>
      </c>
      <c r="BT555" s="9">
        <f t="shared" si="33"/>
        <v>4181994</v>
      </c>
      <c r="BU555" s="9"/>
      <c r="BV555" s="9">
        <f>BT555-'Gov Fd BS'!AA553</f>
        <v>0</v>
      </c>
    </row>
    <row r="556" spans="1:74" hidden="1">
      <c r="A556" s="13" t="s">
        <v>720</v>
      </c>
      <c r="B556" s="13"/>
      <c r="C556" s="13" t="s">
        <v>69</v>
      </c>
      <c r="D556" s="13"/>
      <c r="E556" s="32">
        <v>50468</v>
      </c>
      <c r="G556" s="8">
        <v>0</v>
      </c>
      <c r="I556" s="8">
        <v>0</v>
      </c>
      <c r="K556" s="8">
        <v>0</v>
      </c>
      <c r="M556" s="8">
        <v>0</v>
      </c>
      <c r="O556" s="8">
        <v>0</v>
      </c>
      <c r="Q556" s="8">
        <v>0</v>
      </c>
      <c r="S556" s="8">
        <v>0</v>
      </c>
      <c r="U556" s="8">
        <v>0</v>
      </c>
      <c r="W556" s="8">
        <v>0</v>
      </c>
      <c r="Y556" s="8">
        <v>0</v>
      </c>
      <c r="AA556" s="8">
        <v>0</v>
      </c>
      <c r="AC556" s="8">
        <v>0</v>
      </c>
      <c r="AE556" s="8">
        <v>0</v>
      </c>
      <c r="AG556" s="8">
        <v>0</v>
      </c>
      <c r="AI556" s="8">
        <v>0</v>
      </c>
      <c r="AJ556" s="13" t="s">
        <v>720</v>
      </c>
      <c r="AK556" s="13"/>
      <c r="AL556" s="13" t="s">
        <v>69</v>
      </c>
      <c r="AN556" s="8">
        <v>0</v>
      </c>
      <c r="AP556" s="8">
        <v>0</v>
      </c>
      <c r="AR556" s="8">
        <v>0</v>
      </c>
      <c r="AT556" s="8">
        <v>0</v>
      </c>
      <c r="AV556" s="8">
        <v>0</v>
      </c>
      <c r="AX556" s="8">
        <v>0</v>
      </c>
      <c r="AZ556" s="9">
        <f t="shared" si="34"/>
        <v>0</v>
      </c>
      <c r="BB556" s="8">
        <v>0</v>
      </c>
      <c r="BH556" s="8">
        <v>0</v>
      </c>
      <c r="BJ556" s="9">
        <f t="shared" si="32"/>
        <v>0</v>
      </c>
      <c r="BL556" s="9">
        <f>'Gov Fd Rv'!AU556-'Gov Fnd Exp'!BJ556</f>
        <v>0</v>
      </c>
      <c r="BN556" s="8">
        <v>0</v>
      </c>
      <c r="BP556" s="8">
        <v>0</v>
      </c>
      <c r="BR556" s="8">
        <v>0</v>
      </c>
      <c r="BT556" s="9">
        <f t="shared" si="33"/>
        <v>0</v>
      </c>
      <c r="BU556" s="9"/>
      <c r="BV556" s="9">
        <f>BT556-'Gov Fd BS'!AA554</f>
        <v>0</v>
      </c>
    </row>
    <row r="557" spans="1:74" hidden="1">
      <c r="A557" s="13" t="s">
        <v>585</v>
      </c>
      <c r="B557" s="13"/>
      <c r="C557" s="13" t="s">
        <v>583</v>
      </c>
      <c r="D557" s="13"/>
      <c r="E557" s="32">
        <v>49031</v>
      </c>
      <c r="G557" s="8">
        <v>0</v>
      </c>
      <c r="I557" s="8">
        <v>0</v>
      </c>
      <c r="K557" s="8">
        <v>0</v>
      </c>
      <c r="M557" s="8">
        <v>0</v>
      </c>
      <c r="O557" s="8">
        <v>0</v>
      </c>
      <c r="Q557" s="8">
        <v>0</v>
      </c>
      <c r="S557" s="8">
        <v>0</v>
      </c>
      <c r="U557" s="8">
        <v>0</v>
      </c>
      <c r="W557" s="8">
        <v>0</v>
      </c>
      <c r="Y557" s="8">
        <v>0</v>
      </c>
      <c r="AA557" s="8">
        <v>0</v>
      </c>
      <c r="AC557" s="8">
        <v>0</v>
      </c>
      <c r="AE557" s="8">
        <v>0</v>
      </c>
      <c r="AG557" s="8">
        <v>0</v>
      </c>
      <c r="AI557" s="8">
        <v>0</v>
      </c>
      <c r="AJ557" s="13" t="s">
        <v>585</v>
      </c>
      <c r="AK557" s="13"/>
      <c r="AL557" s="13" t="s">
        <v>583</v>
      </c>
      <c r="AN557" s="8">
        <v>0</v>
      </c>
      <c r="AP557" s="8">
        <v>0</v>
      </c>
      <c r="AR557" s="8">
        <v>0</v>
      </c>
      <c r="AT557" s="8">
        <v>0</v>
      </c>
      <c r="AV557" s="8">
        <v>0</v>
      </c>
      <c r="AX557" s="8">
        <v>0</v>
      </c>
      <c r="AZ557" s="9">
        <f t="shared" si="34"/>
        <v>0</v>
      </c>
      <c r="BB557" s="8">
        <v>0</v>
      </c>
      <c r="BH557" s="8">
        <v>0</v>
      </c>
      <c r="BJ557" s="9">
        <f t="shared" si="32"/>
        <v>0</v>
      </c>
      <c r="BL557" s="9">
        <f>'Gov Fd Rv'!AU557-'Gov Fnd Exp'!BJ557</f>
        <v>0</v>
      </c>
      <c r="BN557" s="8">
        <v>0</v>
      </c>
      <c r="BP557" s="8">
        <v>0</v>
      </c>
      <c r="BR557" s="8">
        <v>0</v>
      </c>
      <c r="BT557" s="9">
        <f t="shared" si="33"/>
        <v>0</v>
      </c>
      <c r="BU557" s="9"/>
      <c r="BV557" s="9">
        <f>BT557-'Gov Fd BS'!AA555</f>
        <v>0</v>
      </c>
    </row>
    <row r="558" spans="1:74" hidden="1">
      <c r="A558" s="13" t="s">
        <v>233</v>
      </c>
      <c r="B558" s="13"/>
      <c r="C558" s="13" t="s">
        <v>14</v>
      </c>
      <c r="D558" s="13"/>
      <c r="E558" s="32">
        <v>45971</v>
      </c>
      <c r="G558" s="8">
        <v>0</v>
      </c>
      <c r="I558" s="8">
        <v>0</v>
      </c>
      <c r="K558" s="8">
        <v>0</v>
      </c>
      <c r="M558" s="8">
        <v>0</v>
      </c>
      <c r="O558" s="8">
        <v>0</v>
      </c>
      <c r="Q558" s="8">
        <v>0</v>
      </c>
      <c r="S558" s="8">
        <v>0</v>
      </c>
      <c r="U558" s="8">
        <v>0</v>
      </c>
      <c r="W558" s="8">
        <v>0</v>
      </c>
      <c r="Y558" s="8">
        <v>0</v>
      </c>
      <c r="AA558" s="8">
        <v>0</v>
      </c>
      <c r="AC558" s="8">
        <v>0</v>
      </c>
      <c r="AE558" s="8">
        <v>0</v>
      </c>
      <c r="AG558" s="8">
        <v>0</v>
      </c>
      <c r="AI558" s="8">
        <v>0</v>
      </c>
      <c r="AJ558" s="13" t="s">
        <v>233</v>
      </c>
      <c r="AK558" s="13"/>
      <c r="AL558" s="13" t="s">
        <v>14</v>
      </c>
      <c r="AN558" s="8">
        <v>0</v>
      </c>
      <c r="AP558" s="8">
        <v>0</v>
      </c>
      <c r="AR558" s="8">
        <v>0</v>
      </c>
      <c r="AT558" s="8">
        <v>0</v>
      </c>
      <c r="AV558" s="8">
        <v>0</v>
      </c>
      <c r="AX558" s="8">
        <v>0</v>
      </c>
      <c r="AZ558" s="9">
        <f t="shared" si="34"/>
        <v>0</v>
      </c>
      <c r="BB558" s="8">
        <v>0</v>
      </c>
      <c r="BH558" s="8">
        <v>0</v>
      </c>
      <c r="BJ558" s="9">
        <f t="shared" si="32"/>
        <v>0</v>
      </c>
      <c r="BL558" s="9">
        <f>'Gov Fd Rv'!AU558-'Gov Fnd Exp'!BJ558</f>
        <v>0</v>
      </c>
      <c r="BN558" s="8">
        <v>0</v>
      </c>
      <c r="BP558" s="8">
        <v>0</v>
      </c>
      <c r="BR558" s="8">
        <v>0</v>
      </c>
      <c r="BT558" s="9">
        <f t="shared" si="33"/>
        <v>0</v>
      </c>
      <c r="BU558" s="9"/>
      <c r="BV558" s="9">
        <f>BT558-'Gov Fd BS'!AA556</f>
        <v>0</v>
      </c>
    </row>
    <row r="559" spans="1:74">
      <c r="A559" s="13" t="s">
        <v>698</v>
      </c>
      <c r="B559" s="13"/>
      <c r="C559" s="13" t="s">
        <v>64</v>
      </c>
      <c r="D559" s="13"/>
      <c r="E559" s="32">
        <v>50252</v>
      </c>
      <c r="G559" s="8">
        <v>4248518</v>
      </c>
      <c r="I559" s="8">
        <v>1076558</v>
      </c>
      <c r="K559" s="8">
        <v>0</v>
      </c>
      <c r="M559" s="8">
        <v>390412</v>
      </c>
      <c r="O559" s="8">
        <v>394154</v>
      </c>
      <c r="Q559" s="8">
        <v>223360</v>
      </c>
      <c r="S559" s="8">
        <v>20256</v>
      </c>
      <c r="U559" s="8">
        <v>804185</v>
      </c>
      <c r="W559" s="8">
        <v>303496</v>
      </c>
      <c r="Y559" s="8">
        <v>10675</v>
      </c>
      <c r="AA559" s="8">
        <v>1327590</v>
      </c>
      <c r="AC559" s="8">
        <v>473324</v>
      </c>
      <c r="AE559" s="8">
        <v>9000</v>
      </c>
      <c r="AG559" s="8">
        <v>347780</v>
      </c>
      <c r="AI559" s="8">
        <v>359</v>
      </c>
      <c r="AJ559" s="13" t="s">
        <v>698</v>
      </c>
      <c r="AK559" s="13"/>
      <c r="AL559" s="13" t="s">
        <v>64</v>
      </c>
      <c r="AN559" s="8">
        <v>363566</v>
      </c>
      <c r="AP559" s="8">
        <v>0</v>
      </c>
      <c r="AR559" s="8">
        <v>0</v>
      </c>
      <c r="AT559" s="8">
        <v>234050</v>
      </c>
      <c r="AV559" s="8">
        <v>130733</v>
      </c>
      <c r="AX559" s="8">
        <v>0</v>
      </c>
      <c r="AZ559" s="9">
        <f t="shared" si="34"/>
        <v>10358016</v>
      </c>
      <c r="BB559" s="8">
        <v>65090</v>
      </c>
      <c r="BH559" s="8">
        <v>0</v>
      </c>
      <c r="BJ559" s="9">
        <f t="shared" si="32"/>
        <v>10423106</v>
      </c>
      <c r="BL559" s="9">
        <f>'Gov Fd Rv'!AU559-'Gov Fnd Exp'!BJ559</f>
        <v>-370782</v>
      </c>
      <c r="BN559" s="8">
        <v>2190710</v>
      </c>
      <c r="BP559" s="8">
        <v>0</v>
      </c>
      <c r="BR559" s="8">
        <v>0</v>
      </c>
      <c r="BT559" s="9">
        <f t="shared" si="33"/>
        <v>1819928</v>
      </c>
      <c r="BU559" s="9"/>
      <c r="BV559" s="9">
        <f>BT559-'Gov Fd BS'!AA557</f>
        <v>0</v>
      </c>
    </row>
    <row r="560" spans="1:74">
      <c r="A560" s="13" t="s">
        <v>501</v>
      </c>
      <c r="B560" s="13"/>
      <c r="C560" s="13" t="s">
        <v>44</v>
      </c>
      <c r="D560" s="13"/>
      <c r="E560" s="32">
        <v>45658</v>
      </c>
      <c r="G560" s="8">
        <v>6434458</v>
      </c>
      <c r="I560" s="8">
        <v>1236161</v>
      </c>
      <c r="K560" s="8">
        <v>91295</v>
      </c>
      <c r="M560" s="8">
        <v>0</v>
      </c>
      <c r="O560" s="8">
        <v>444433</v>
      </c>
      <c r="Q560" s="8">
        <v>686638</v>
      </c>
      <c r="S560" s="8">
        <v>37176</v>
      </c>
      <c r="U560" s="8">
        <v>1144515</v>
      </c>
      <c r="W560" s="8">
        <v>427849</v>
      </c>
      <c r="Y560" s="8">
        <v>0</v>
      </c>
      <c r="AA560" s="8">
        <v>1100435</v>
      </c>
      <c r="AC560" s="8">
        <v>737519</v>
      </c>
      <c r="AE560" s="8">
        <v>137509</v>
      </c>
      <c r="AG560" s="8">
        <v>0</v>
      </c>
      <c r="AI560" s="8">
        <v>600834</v>
      </c>
      <c r="AJ560" s="13" t="s">
        <v>501</v>
      </c>
      <c r="AK560" s="13"/>
      <c r="AL560" s="13" t="s">
        <v>44</v>
      </c>
      <c r="AN560" s="8">
        <v>458148</v>
      </c>
      <c r="AP560" s="8">
        <v>0</v>
      </c>
      <c r="AR560" s="8">
        <v>0</v>
      </c>
      <c r="AT560" s="8">
        <v>0</v>
      </c>
      <c r="AV560" s="8">
        <v>0</v>
      </c>
      <c r="AX560" s="8">
        <v>0</v>
      </c>
      <c r="AZ560" s="9">
        <f t="shared" si="34"/>
        <v>13536970</v>
      </c>
      <c r="BB560" s="8">
        <v>0</v>
      </c>
      <c r="BH560" s="8">
        <v>0</v>
      </c>
      <c r="BJ560" s="9">
        <f t="shared" si="32"/>
        <v>13536970</v>
      </c>
      <c r="BL560" s="9">
        <f>'Gov Fd Rv'!AU560-'Gov Fnd Exp'!BJ560</f>
        <v>1293729</v>
      </c>
      <c r="BN560" s="8">
        <v>3307271</v>
      </c>
      <c r="BP560" s="8">
        <v>0</v>
      </c>
      <c r="BR560" s="8">
        <v>0</v>
      </c>
      <c r="BT560" s="9">
        <f t="shared" si="33"/>
        <v>4601000</v>
      </c>
      <c r="BU560" s="9"/>
      <c r="BV560" s="9">
        <f>BT560-'Gov Fd BS'!AA558</f>
        <v>0</v>
      </c>
    </row>
    <row r="561" spans="1:76">
      <c r="A561" s="13" t="s">
        <v>454</v>
      </c>
      <c r="B561" s="13"/>
      <c r="C561" s="13" t="s">
        <v>38</v>
      </c>
      <c r="D561" s="13"/>
      <c r="E561" s="32">
        <v>45021</v>
      </c>
      <c r="G561" s="8">
        <v>6950154</v>
      </c>
      <c r="I561" s="8">
        <v>2329444</v>
      </c>
      <c r="K561" s="8">
        <v>148951</v>
      </c>
      <c r="M561" s="8">
        <v>0</v>
      </c>
      <c r="O561" s="8">
        <v>837327</v>
      </c>
      <c r="Q561" s="8">
        <v>1061373</v>
      </c>
      <c r="S561" s="8">
        <v>104165</v>
      </c>
      <c r="U561" s="8">
        <v>1201835</v>
      </c>
      <c r="W561" s="8">
        <v>553724</v>
      </c>
      <c r="Y561" s="8">
        <v>0</v>
      </c>
      <c r="AA561" s="8">
        <v>1067020</v>
      </c>
      <c r="AC561" s="8">
        <v>984092</v>
      </c>
      <c r="AE561" s="8">
        <v>91663</v>
      </c>
      <c r="AG561" s="8">
        <v>794245</v>
      </c>
      <c r="AI561" s="8">
        <v>50552</v>
      </c>
      <c r="AJ561" s="13" t="s">
        <v>454</v>
      </c>
      <c r="AK561" s="13"/>
      <c r="AL561" s="13" t="s">
        <v>38</v>
      </c>
      <c r="AN561" s="8">
        <v>358580</v>
      </c>
      <c r="AP561" s="8">
        <v>0</v>
      </c>
      <c r="AR561" s="8">
        <v>0</v>
      </c>
      <c r="AT561" s="8">
        <v>120000</v>
      </c>
      <c r="AV561" s="8">
        <v>147745</v>
      </c>
      <c r="AX561" s="8">
        <v>0</v>
      </c>
      <c r="AZ561" s="9">
        <f t="shared" si="34"/>
        <v>16800870</v>
      </c>
      <c r="BB561" s="8">
        <v>0</v>
      </c>
      <c r="BH561" s="8">
        <v>0</v>
      </c>
      <c r="BJ561" s="9">
        <f t="shared" si="32"/>
        <v>16800870</v>
      </c>
      <c r="BL561" s="9">
        <f>'Gov Fd Rv'!AU561-'Gov Fnd Exp'!BJ561</f>
        <v>200114</v>
      </c>
      <c r="BN561" s="8">
        <v>7810748</v>
      </c>
      <c r="BP561" s="8">
        <v>0</v>
      </c>
      <c r="BR561" s="8">
        <v>0</v>
      </c>
      <c r="BT561" s="9">
        <f t="shared" si="33"/>
        <v>8010862</v>
      </c>
      <c r="BU561" s="9"/>
      <c r="BV561" s="9">
        <f>BT561-'Gov Fd BS'!AA559</f>
        <v>0</v>
      </c>
    </row>
    <row r="562" spans="1:76">
      <c r="A562" s="13" t="s">
        <v>290</v>
      </c>
      <c r="B562" s="13"/>
      <c r="C562" s="13" t="s">
        <v>115</v>
      </c>
      <c r="D562" s="13"/>
      <c r="E562" s="32">
        <v>45039</v>
      </c>
      <c r="G562" s="8">
        <v>3491241</v>
      </c>
      <c r="I562" s="8">
        <v>867802</v>
      </c>
      <c r="K562" s="8">
        <v>146322</v>
      </c>
      <c r="M562" s="8">
        <v>0</v>
      </c>
      <c r="O562" s="8">
        <v>389304</v>
      </c>
      <c r="Q562" s="8">
        <v>298566</v>
      </c>
      <c r="S562" s="8">
        <v>7815</v>
      </c>
      <c r="U562" s="8">
        <v>649058</v>
      </c>
      <c r="W562" s="8">
        <v>256928</v>
      </c>
      <c r="Y562" s="8">
        <v>0</v>
      </c>
      <c r="AA562" s="8">
        <v>761297</v>
      </c>
      <c r="AC562" s="8">
        <v>134513</v>
      </c>
      <c r="AE562" s="8">
        <v>3573</v>
      </c>
      <c r="AG562" s="8">
        <v>0</v>
      </c>
      <c r="AI562" s="8">
        <v>318249</v>
      </c>
      <c r="AJ562" s="13" t="s">
        <v>290</v>
      </c>
      <c r="AK562" s="13"/>
      <c r="AL562" s="13" t="s">
        <v>115</v>
      </c>
      <c r="AN562" s="8">
        <v>209897</v>
      </c>
      <c r="AP562" s="8">
        <v>93295</v>
      </c>
      <c r="AR562" s="8">
        <v>0</v>
      </c>
      <c r="AT562" s="8">
        <v>125619</v>
      </c>
      <c r="AV562" s="8">
        <v>92122</v>
      </c>
      <c r="AX562" s="8">
        <v>0</v>
      </c>
      <c r="AZ562" s="9">
        <f t="shared" si="34"/>
        <v>7845601</v>
      </c>
      <c r="BB562" s="8">
        <v>0</v>
      </c>
      <c r="BH562" s="8">
        <v>0</v>
      </c>
      <c r="BJ562" s="9">
        <f t="shared" si="32"/>
        <v>7845601</v>
      </c>
      <c r="BL562" s="9">
        <f>'Gov Fd Rv'!AU562-'Gov Fnd Exp'!BJ562</f>
        <v>1209360</v>
      </c>
      <c r="BN562" s="8">
        <v>774744</v>
      </c>
      <c r="BP562" s="8">
        <v>0</v>
      </c>
      <c r="BR562" s="8">
        <v>0</v>
      </c>
      <c r="BT562" s="9">
        <f t="shared" si="33"/>
        <v>1984104</v>
      </c>
      <c r="BU562" s="9"/>
      <c r="BV562" s="9">
        <f>BT562-'Gov Fd BS'!AA560</f>
        <v>0</v>
      </c>
    </row>
    <row r="563" spans="1:76">
      <c r="A563" s="13" t="s">
        <v>524</v>
      </c>
      <c r="B563" s="13"/>
      <c r="C563" s="13" t="s">
        <v>45</v>
      </c>
      <c r="D563" s="13"/>
      <c r="E563" s="32">
        <v>48389</v>
      </c>
      <c r="G563" s="8">
        <v>8658965</v>
      </c>
      <c r="I563" s="8">
        <v>2036596</v>
      </c>
      <c r="K563" s="8">
        <v>384384</v>
      </c>
      <c r="M563" s="8">
        <v>102161</v>
      </c>
      <c r="O563" s="8">
        <v>1068930</v>
      </c>
      <c r="Q563" s="8">
        <v>1045612</v>
      </c>
      <c r="S563" s="8">
        <v>32908</v>
      </c>
      <c r="U563" s="8">
        <v>1456391</v>
      </c>
      <c r="W563" s="8">
        <v>441716</v>
      </c>
      <c r="Y563" s="8">
        <v>0</v>
      </c>
      <c r="AA563" s="8">
        <v>2032944</v>
      </c>
      <c r="AC563" s="8">
        <v>1672828</v>
      </c>
      <c r="AE563" s="8">
        <v>254523</v>
      </c>
      <c r="AG563" s="8">
        <v>871333</v>
      </c>
      <c r="AI563" s="8">
        <v>46322</v>
      </c>
      <c r="AJ563" s="13" t="s">
        <v>524</v>
      </c>
      <c r="AK563" s="13"/>
      <c r="AL563" s="13" t="s">
        <v>45</v>
      </c>
      <c r="AN563" s="8">
        <v>626899</v>
      </c>
      <c r="AP563" s="8">
        <v>0</v>
      </c>
      <c r="AR563" s="8">
        <v>102487</v>
      </c>
      <c r="AT563" s="8">
        <v>460000</v>
      </c>
      <c r="AV563" s="8">
        <v>261718</v>
      </c>
      <c r="AX563" s="8">
        <v>0</v>
      </c>
      <c r="AZ563" s="9">
        <f t="shared" si="34"/>
        <v>21556717</v>
      </c>
      <c r="BB563" s="8">
        <v>42100</v>
      </c>
      <c r="BH563" s="8">
        <v>0</v>
      </c>
      <c r="BJ563" s="9">
        <f t="shared" si="32"/>
        <v>21598817</v>
      </c>
      <c r="BL563" s="9">
        <f>'Gov Fd Rv'!AU563-'Gov Fnd Exp'!BJ563</f>
        <v>-122491</v>
      </c>
      <c r="BN563" s="8">
        <v>3262653</v>
      </c>
      <c r="BP563" s="8">
        <v>8984</v>
      </c>
      <c r="BR563" s="8">
        <v>0</v>
      </c>
      <c r="BT563" s="9">
        <f t="shared" si="33"/>
        <v>3149146</v>
      </c>
      <c r="BU563" s="9"/>
      <c r="BV563" s="9">
        <f>BT563-'Gov Fd BS'!AA561</f>
        <v>0</v>
      </c>
    </row>
    <row r="564" spans="1:76">
      <c r="A564" s="13" t="s">
        <v>276</v>
      </c>
      <c r="B564" s="13"/>
      <c r="C564" s="13" t="s">
        <v>116</v>
      </c>
      <c r="D564" s="13"/>
      <c r="E564" s="32">
        <v>46359</v>
      </c>
      <c r="G564" s="8">
        <v>35457388</v>
      </c>
      <c r="I564" s="8">
        <v>10773119</v>
      </c>
      <c r="K564" s="8">
        <v>133377</v>
      </c>
      <c r="M564" s="8">
        <v>0</v>
      </c>
      <c r="O564" s="8">
        <v>4812737</v>
      </c>
      <c r="Q564" s="8">
        <v>2745360</v>
      </c>
      <c r="S564" s="8">
        <v>0</v>
      </c>
      <c r="U564" s="8">
        <f>62285+5588342</f>
        <v>5650627</v>
      </c>
      <c r="W564" s="8">
        <v>1627083</v>
      </c>
      <c r="Y564" s="8">
        <v>48703</v>
      </c>
      <c r="AA564" s="8">
        <v>5797155</v>
      </c>
      <c r="AC564" s="8">
        <v>7126495</v>
      </c>
      <c r="AE564" s="8">
        <v>1132899</v>
      </c>
      <c r="AG564" s="8">
        <v>0</v>
      </c>
      <c r="AI564" s="8">
        <v>2539329</v>
      </c>
      <c r="AJ564" s="13" t="s">
        <v>276</v>
      </c>
      <c r="AK564" s="13"/>
      <c r="AL564" s="13" t="s">
        <v>116</v>
      </c>
      <c r="AN564" s="8">
        <v>1221879</v>
      </c>
      <c r="AP564" s="8">
        <v>1404616</v>
      </c>
      <c r="AR564" s="8">
        <v>0</v>
      </c>
      <c r="AT564" s="8">
        <v>3086677</v>
      </c>
      <c r="AV564" s="8">
        <v>1753179</v>
      </c>
      <c r="AX564" s="8">
        <v>0</v>
      </c>
      <c r="AZ564" s="9">
        <f t="shared" si="31"/>
        <v>85310623</v>
      </c>
      <c r="BB564" s="8">
        <v>0</v>
      </c>
      <c r="BH564" s="8">
        <v>0</v>
      </c>
      <c r="BJ564" s="9">
        <f t="shared" si="32"/>
        <v>85310623</v>
      </c>
      <c r="BL564" s="9">
        <f>'Gov Fd Rv'!AU564-'Gov Fnd Exp'!BJ564</f>
        <v>30223963</v>
      </c>
      <c r="BN564" s="8">
        <v>6781571</v>
      </c>
      <c r="BP564" s="8">
        <v>0</v>
      </c>
      <c r="BR564" s="8">
        <v>0</v>
      </c>
      <c r="BT564" s="9">
        <f t="shared" si="33"/>
        <v>37005534</v>
      </c>
      <c r="BU564" s="9"/>
      <c r="BV564" s="9">
        <f>BT564-'Gov Fd BS'!AA562</f>
        <v>0</v>
      </c>
    </row>
    <row r="565" spans="1:76">
      <c r="A565" s="13" t="s">
        <v>387</v>
      </c>
      <c r="B565" s="13"/>
      <c r="C565" s="13" t="s">
        <v>30</v>
      </c>
      <c r="D565" s="13"/>
      <c r="E565" s="32">
        <v>47225</v>
      </c>
      <c r="G565" s="8">
        <v>10112374</v>
      </c>
      <c r="I565" s="8">
        <v>2488878</v>
      </c>
      <c r="K565" s="8">
        <v>201165</v>
      </c>
      <c r="M565" s="8">
        <v>411484</v>
      </c>
      <c r="O565" s="8">
        <v>2111677</v>
      </c>
      <c r="Q565" s="8">
        <v>795902</v>
      </c>
      <c r="S565" s="8">
        <v>49921</v>
      </c>
      <c r="U565" s="8">
        <v>1776370</v>
      </c>
      <c r="W565" s="8">
        <v>630507</v>
      </c>
      <c r="Y565" s="8">
        <v>199100</v>
      </c>
      <c r="AA565" s="8">
        <v>2641474</v>
      </c>
      <c r="AC565" s="8">
        <v>1754442</v>
      </c>
      <c r="AE565" s="8">
        <v>76574</v>
      </c>
      <c r="AG565" s="8">
        <v>0</v>
      </c>
      <c r="AI565" s="8">
        <v>405634</v>
      </c>
      <c r="AJ565" s="13" t="s">
        <v>387</v>
      </c>
      <c r="AK565" s="13"/>
      <c r="AL565" s="13" t="s">
        <v>30</v>
      </c>
      <c r="AN565" s="8">
        <v>805064</v>
      </c>
      <c r="AP565" s="8">
        <v>958172</v>
      </c>
      <c r="AR565" s="8">
        <v>0</v>
      </c>
      <c r="AT565" s="8">
        <v>2500580</v>
      </c>
      <c r="AV565" s="8">
        <v>633514</v>
      </c>
      <c r="AX565" s="8">
        <v>0</v>
      </c>
      <c r="AZ565" s="9">
        <f t="shared" si="31"/>
        <v>28552832</v>
      </c>
      <c r="BB565" s="8">
        <v>436774</v>
      </c>
      <c r="BH565" s="8">
        <v>0</v>
      </c>
      <c r="BJ565" s="9">
        <f t="shared" si="32"/>
        <v>28989606</v>
      </c>
      <c r="BL565" s="9">
        <f>'Gov Fd Rv'!AU565-'Gov Fnd Exp'!BJ565</f>
        <v>-518793</v>
      </c>
      <c r="BN565" s="8">
        <v>7834464</v>
      </c>
      <c r="BP565" s="8">
        <v>0</v>
      </c>
      <c r="BR565" s="8">
        <v>0</v>
      </c>
      <c r="BT565" s="9">
        <f t="shared" si="33"/>
        <v>7315671</v>
      </c>
      <c r="BU565" s="9"/>
      <c r="BV565" s="9">
        <f>BT565-'Gov Fd BS'!AA563</f>
        <v>0</v>
      </c>
    </row>
    <row r="566" spans="1:76">
      <c r="A566" s="13" t="s">
        <v>447</v>
      </c>
      <c r="B566" s="13"/>
      <c r="C566" s="13" t="s">
        <v>36</v>
      </c>
      <c r="D566" s="13"/>
      <c r="E566" s="32">
        <v>47696</v>
      </c>
      <c r="G566" s="8">
        <v>10544298</v>
      </c>
      <c r="I566" s="8">
        <v>3042314</v>
      </c>
      <c r="K566" s="8">
        <v>270895</v>
      </c>
      <c r="M566" s="8">
        <v>0</v>
      </c>
      <c r="O566" s="8">
        <v>866371</v>
      </c>
      <c r="Q566" s="8">
        <v>524546</v>
      </c>
      <c r="S566" s="8">
        <v>78180</v>
      </c>
      <c r="U566" s="8">
        <v>2024710</v>
      </c>
      <c r="W566" s="8">
        <v>538508</v>
      </c>
      <c r="Y566" s="8">
        <v>1440</v>
      </c>
      <c r="AA566" s="8">
        <v>1988401</v>
      </c>
      <c r="AC566" s="8">
        <v>1652416</v>
      </c>
      <c r="AE566" s="8">
        <v>86792</v>
      </c>
      <c r="AG566" s="8">
        <v>987692</v>
      </c>
      <c r="AI566" s="8">
        <v>47905</v>
      </c>
      <c r="AJ566" s="13" t="s">
        <v>447</v>
      </c>
      <c r="AK566" s="13"/>
      <c r="AL566" s="13" t="s">
        <v>36</v>
      </c>
      <c r="AN566" s="8">
        <v>474044</v>
      </c>
      <c r="AP566" s="8">
        <v>493433</v>
      </c>
      <c r="AR566" s="8">
        <v>0</v>
      </c>
      <c r="AT566" s="8">
        <v>683826</v>
      </c>
      <c r="AV566" s="8">
        <v>499423</v>
      </c>
      <c r="AX566" s="8">
        <v>0</v>
      </c>
      <c r="AZ566" s="9">
        <f t="shared" si="31"/>
        <v>24805194</v>
      </c>
      <c r="BB566" s="8">
        <v>25000</v>
      </c>
      <c r="BH566" s="8">
        <v>0</v>
      </c>
      <c r="BJ566" s="9">
        <f t="shared" si="32"/>
        <v>24830194</v>
      </c>
      <c r="BL566" s="9">
        <f>'Gov Fd Rv'!AU566-'Gov Fnd Exp'!BJ566</f>
        <v>-684241</v>
      </c>
      <c r="BN566" s="8">
        <v>9216079</v>
      </c>
      <c r="BP566" s="8">
        <v>0</v>
      </c>
      <c r="BR566" s="8">
        <v>0</v>
      </c>
      <c r="BT566" s="9">
        <f t="shared" si="33"/>
        <v>8531838</v>
      </c>
      <c r="BU566" s="9"/>
      <c r="BV566" s="9">
        <f>BT566-'Gov Fd BS'!AA564</f>
        <v>0</v>
      </c>
    </row>
    <row r="567" spans="1:76">
      <c r="A567" s="13" t="s">
        <v>263</v>
      </c>
      <c r="B567" s="13"/>
      <c r="C567" s="13" t="s">
        <v>259</v>
      </c>
      <c r="D567" s="13"/>
      <c r="E567" s="32">
        <v>46219</v>
      </c>
      <c r="G567" s="8">
        <v>4620671</v>
      </c>
      <c r="I567" s="8">
        <v>1738761</v>
      </c>
      <c r="K567" s="8">
        <v>181501</v>
      </c>
      <c r="M567" s="8">
        <v>359686</v>
      </c>
      <c r="O567" s="8">
        <v>545582</v>
      </c>
      <c r="Q567" s="8">
        <v>718078</v>
      </c>
      <c r="S567" s="8">
        <v>38661</v>
      </c>
      <c r="U567" s="8">
        <v>654711</v>
      </c>
      <c r="W567" s="8">
        <v>342447</v>
      </c>
      <c r="Y567" s="8">
        <v>0</v>
      </c>
      <c r="AA567" s="8">
        <v>987444</v>
      </c>
      <c r="AC567" s="8">
        <v>713349</v>
      </c>
      <c r="AE567" s="8">
        <v>268397</v>
      </c>
      <c r="AG567" s="8">
        <v>557080</v>
      </c>
      <c r="AI567" s="8">
        <v>10000</v>
      </c>
      <c r="AJ567" s="13" t="s">
        <v>263</v>
      </c>
      <c r="AK567" s="13"/>
      <c r="AL567" s="13" t="s">
        <v>259</v>
      </c>
      <c r="AN567" s="8">
        <v>562386</v>
      </c>
      <c r="AP567" s="8">
        <f>92676+37209</f>
        <v>129885</v>
      </c>
      <c r="AR567" s="8">
        <v>0</v>
      </c>
      <c r="AT567" s="8">
        <v>197442</v>
      </c>
      <c r="AV567" s="8">
        <v>41157</v>
      </c>
      <c r="AX567" s="8">
        <v>0</v>
      </c>
      <c r="AZ567" s="9">
        <f t="shared" si="31"/>
        <v>12667238</v>
      </c>
      <c r="BB567" s="8">
        <v>16000</v>
      </c>
      <c r="BH567" s="8">
        <v>0</v>
      </c>
      <c r="BJ567" s="9">
        <f t="shared" si="32"/>
        <v>12683238</v>
      </c>
      <c r="BL567" s="9">
        <f>'Gov Fd Rv'!AU567-'Gov Fnd Exp'!BJ567</f>
        <v>233860</v>
      </c>
      <c r="BN567" s="8">
        <v>2892183</v>
      </c>
      <c r="BP567" s="8">
        <v>0</v>
      </c>
      <c r="BR567" s="8">
        <v>0</v>
      </c>
      <c r="BT567" s="9">
        <f t="shared" si="33"/>
        <v>3126043</v>
      </c>
      <c r="BU567" s="9"/>
      <c r="BV567" s="9">
        <f>BT567-'Gov Fd BS'!AA565</f>
        <v>0</v>
      </c>
    </row>
    <row r="568" spans="1:76">
      <c r="A568" s="13" t="s">
        <v>575</v>
      </c>
      <c r="B568" s="13"/>
      <c r="C568" s="13" t="s">
        <v>51</v>
      </c>
      <c r="D568" s="13"/>
      <c r="E568" s="32">
        <v>48884</v>
      </c>
      <c r="G568" s="8">
        <v>7124372</v>
      </c>
      <c r="I568" s="8">
        <v>2249486</v>
      </c>
      <c r="K568" s="8">
        <v>266097</v>
      </c>
      <c r="M568" s="8">
        <v>0</v>
      </c>
      <c r="O568" s="8">
        <v>295436</v>
      </c>
      <c r="Q568" s="8">
        <v>1102381</v>
      </c>
      <c r="S568" s="8">
        <v>18004</v>
      </c>
      <c r="U568" s="8">
        <v>1473047</v>
      </c>
      <c r="W568" s="8">
        <v>406547</v>
      </c>
      <c r="Y568" s="8">
        <v>0</v>
      </c>
      <c r="AA568" s="8">
        <v>1995002</v>
      </c>
      <c r="AC568" s="8">
        <v>1006985</v>
      </c>
      <c r="AE568" s="8">
        <v>86734</v>
      </c>
      <c r="AG568" s="8">
        <v>626866</v>
      </c>
      <c r="AI568" s="8">
        <v>7095</v>
      </c>
      <c r="AJ568" s="13" t="s">
        <v>575</v>
      </c>
      <c r="AK568" s="13"/>
      <c r="AL568" s="13" t="s">
        <v>51</v>
      </c>
      <c r="AN568" s="8">
        <f>267672-3</f>
        <v>267669</v>
      </c>
      <c r="AP568" s="8">
        <v>96333</v>
      </c>
      <c r="AR568" s="8">
        <v>0</v>
      </c>
      <c r="AT568" s="8">
        <v>618196</v>
      </c>
      <c r="AV568" s="8">
        <v>1099783</v>
      </c>
      <c r="AX568" s="8">
        <v>0</v>
      </c>
      <c r="AZ568" s="9">
        <f t="shared" si="31"/>
        <v>18740033</v>
      </c>
      <c r="BB568" s="8">
        <v>72568</v>
      </c>
      <c r="BH568" s="8">
        <v>0</v>
      </c>
      <c r="BJ568" s="9">
        <f t="shared" si="32"/>
        <v>18812601</v>
      </c>
      <c r="BL568" s="9">
        <f>'Gov Fd Rv'!AU568-'Gov Fnd Exp'!BJ568</f>
        <v>-3170834</v>
      </c>
      <c r="BN568" s="8">
        <v>6167867</v>
      </c>
      <c r="BP568" s="8">
        <v>0</v>
      </c>
      <c r="BR568" s="8">
        <v>0</v>
      </c>
      <c r="BT568" s="9">
        <f t="shared" si="33"/>
        <v>2997033</v>
      </c>
      <c r="BU568" s="9"/>
      <c r="BV568" s="9">
        <f>BT568-'Gov Fd BS'!AA566</f>
        <v>0</v>
      </c>
    </row>
    <row r="569" spans="1:76">
      <c r="A569" s="13" t="s">
        <v>244</v>
      </c>
      <c r="B569" s="13"/>
      <c r="C569" s="13" t="s">
        <v>77</v>
      </c>
      <c r="D569" s="13"/>
      <c r="E569" s="32">
        <v>46060</v>
      </c>
      <c r="G569" s="8">
        <v>12915717</v>
      </c>
      <c r="I569" s="8">
        <v>3286834</v>
      </c>
      <c r="K569" s="8">
        <v>268917</v>
      </c>
      <c r="M569" s="8">
        <v>203039</v>
      </c>
      <c r="O569" s="8">
        <v>919811</v>
      </c>
      <c r="Q569" s="8">
        <v>1004078</v>
      </c>
      <c r="S569" s="8">
        <v>17970</v>
      </c>
      <c r="U569" s="8">
        <v>1833720</v>
      </c>
      <c r="W569" s="8">
        <v>574482</v>
      </c>
      <c r="Y569" s="8">
        <v>0</v>
      </c>
      <c r="AA569" s="8">
        <v>2938902</v>
      </c>
      <c r="AC569" s="8">
        <v>2097419</v>
      </c>
      <c r="AE569" s="8">
        <v>280721</v>
      </c>
      <c r="AG569" s="8">
        <v>0</v>
      </c>
      <c r="AI569" s="8">
        <v>3565</v>
      </c>
      <c r="AJ569" s="13" t="s">
        <v>244</v>
      </c>
      <c r="AK569" s="13"/>
      <c r="AL569" s="13" t="s">
        <v>77</v>
      </c>
      <c r="AN569" s="8">
        <v>592662</v>
      </c>
      <c r="AP569" s="8">
        <v>22445</v>
      </c>
      <c r="AR569" s="8">
        <v>0</v>
      </c>
      <c r="AT569" s="8">
        <v>272000</v>
      </c>
      <c r="AV569" s="8">
        <v>294288</v>
      </c>
      <c r="AX569" s="8">
        <v>0</v>
      </c>
      <c r="AZ569" s="9">
        <f t="shared" si="31"/>
        <v>27526570</v>
      </c>
      <c r="BB569" s="8">
        <v>78</v>
      </c>
      <c r="BH569" s="8">
        <v>0</v>
      </c>
      <c r="BJ569" s="9">
        <f t="shared" si="32"/>
        <v>27526648</v>
      </c>
      <c r="BL569" s="9">
        <f>'Gov Fd Rv'!AU569-'Gov Fnd Exp'!BJ569</f>
        <v>317336</v>
      </c>
      <c r="BN569" s="8">
        <v>4316715</v>
      </c>
      <c r="BP569" s="8">
        <v>0</v>
      </c>
      <c r="BR569" s="8">
        <v>500000</v>
      </c>
      <c r="BT569" s="9">
        <f t="shared" si="33"/>
        <v>5134051</v>
      </c>
      <c r="BU569" s="9"/>
      <c r="BV569" s="9">
        <f>BT569-'Gov Fd BS'!AA567</f>
        <v>0</v>
      </c>
    </row>
    <row r="570" spans="1:76">
      <c r="A570" s="13" t="s">
        <v>594</v>
      </c>
      <c r="B570" s="13"/>
      <c r="C570" s="13" t="s">
        <v>55</v>
      </c>
      <c r="D570" s="13"/>
      <c r="E570" s="32">
        <v>49155</v>
      </c>
      <c r="G570" s="8">
        <v>2946863</v>
      </c>
      <c r="I570" s="8">
        <v>1340519</v>
      </c>
      <c r="K570" s="8">
        <v>0</v>
      </c>
      <c r="M570" s="8">
        <v>644006</v>
      </c>
      <c r="O570" s="8">
        <v>341616</v>
      </c>
      <c r="Q570" s="8">
        <v>544583</v>
      </c>
      <c r="S570" s="8">
        <v>17246</v>
      </c>
      <c r="U570" s="8">
        <v>804952</v>
      </c>
      <c r="W570" s="8">
        <v>267246</v>
      </c>
      <c r="Y570" s="8">
        <v>0</v>
      </c>
      <c r="AA570" s="8">
        <v>1022887</v>
      </c>
      <c r="AC570" s="8">
        <v>762557</v>
      </c>
      <c r="AE570" s="8">
        <v>102108</v>
      </c>
      <c r="AG570" s="8">
        <v>0</v>
      </c>
      <c r="AI570" s="8">
        <v>362184</v>
      </c>
      <c r="AJ570" s="13" t="s">
        <v>594</v>
      </c>
      <c r="AK570" s="13"/>
      <c r="AL570" s="13" t="s">
        <v>55</v>
      </c>
      <c r="AN570" s="8">
        <v>174736</v>
      </c>
      <c r="AP570" s="8">
        <v>142243</v>
      </c>
      <c r="AR570" s="8">
        <v>83367</v>
      </c>
      <c r="AT570" s="8">
        <v>40000</v>
      </c>
      <c r="AV570" s="8">
        <v>41940</v>
      </c>
      <c r="AX570" s="8">
        <v>0</v>
      </c>
      <c r="AZ570" s="9">
        <f t="shared" si="31"/>
        <v>9639053</v>
      </c>
      <c r="BB570" s="8">
        <v>88000</v>
      </c>
      <c r="BH570" s="8">
        <v>0</v>
      </c>
      <c r="BJ570" s="9">
        <f t="shared" si="32"/>
        <v>9727053</v>
      </c>
      <c r="BL570" s="9">
        <f>'Gov Fd Rv'!AU570-'Gov Fnd Exp'!BJ570</f>
        <v>-738206</v>
      </c>
      <c r="BN570" s="8">
        <v>6742728</v>
      </c>
      <c r="BP570" s="8">
        <v>0</v>
      </c>
      <c r="BR570" s="8">
        <v>0</v>
      </c>
      <c r="BT570" s="9">
        <f t="shared" si="33"/>
        <v>6004522</v>
      </c>
      <c r="BU570" s="9"/>
      <c r="BV570" s="9">
        <f>BT570-'Gov Fd BS'!AA568</f>
        <v>0</v>
      </c>
    </row>
    <row r="571" spans="1:76" ht="12" customHeight="1">
      <c r="A571" s="13" t="s">
        <v>452</v>
      </c>
      <c r="B571" s="13"/>
      <c r="C571" s="13" t="s">
        <v>37</v>
      </c>
      <c r="D571" s="13"/>
      <c r="E571" s="32">
        <v>47746</v>
      </c>
      <c r="G571" s="8">
        <v>4981097</v>
      </c>
      <c r="I571" s="8">
        <v>1645415</v>
      </c>
      <c r="K571" s="8">
        <v>148072</v>
      </c>
      <c r="M571" s="8">
        <v>170788</v>
      </c>
      <c r="O571" s="8">
        <v>194488</v>
      </c>
      <c r="Q571" s="8">
        <v>615826</v>
      </c>
      <c r="S571" s="8">
        <v>111661</v>
      </c>
      <c r="U571" s="8">
        <v>760646</v>
      </c>
      <c r="W571" s="8">
        <v>474744</v>
      </c>
      <c r="Y571" s="8">
        <v>41753</v>
      </c>
      <c r="AA571" s="8">
        <v>1049391</v>
      </c>
      <c r="AC571" s="8">
        <v>669755</v>
      </c>
      <c r="AE571" s="8">
        <v>23252</v>
      </c>
      <c r="AG571" s="8">
        <v>447324</v>
      </c>
      <c r="AI571" s="8">
        <v>138476</v>
      </c>
      <c r="AJ571" s="13" t="s">
        <v>452</v>
      </c>
      <c r="AK571" s="13"/>
      <c r="AL571" s="13" t="s">
        <v>37</v>
      </c>
      <c r="AN571" s="8">
        <v>414809</v>
      </c>
      <c r="AP571" s="8">
        <v>8815</v>
      </c>
      <c r="AR571" s="8">
        <v>0</v>
      </c>
      <c r="AT571" s="8">
        <v>123566</v>
      </c>
      <c r="AV571" s="8">
        <v>162749</v>
      </c>
      <c r="AX571" s="8">
        <v>0</v>
      </c>
      <c r="AZ571" s="9">
        <f t="shared" si="31"/>
        <v>12182627</v>
      </c>
      <c r="BB571" s="8">
        <v>0</v>
      </c>
      <c r="BH571" s="8">
        <v>0</v>
      </c>
      <c r="BJ571" s="9">
        <f t="shared" si="32"/>
        <v>12182627</v>
      </c>
      <c r="BL571" s="9">
        <f>'Gov Fd Rv'!AU571-'Gov Fnd Exp'!BJ571</f>
        <v>591673</v>
      </c>
      <c r="BN571" s="8">
        <v>521424</v>
      </c>
      <c r="BP571" s="8">
        <v>0</v>
      </c>
      <c r="BR571" s="8">
        <v>0</v>
      </c>
      <c r="BT571" s="9">
        <f t="shared" si="33"/>
        <v>1113097</v>
      </c>
      <c r="BU571" s="9"/>
      <c r="BV571" s="9">
        <f>BT571-'Gov Fd BS'!AA569</f>
        <v>0</v>
      </c>
      <c r="BX571" s="45"/>
    </row>
    <row r="572" spans="1:76">
      <c r="A572" s="13" t="s">
        <v>452</v>
      </c>
      <c r="B572" s="13"/>
      <c r="C572" s="13" t="s">
        <v>45</v>
      </c>
      <c r="D572" s="13"/>
      <c r="E572" s="13">
        <v>48397</v>
      </c>
      <c r="G572" s="8">
        <v>3015103</v>
      </c>
      <c r="I572" s="8">
        <v>688144</v>
      </c>
      <c r="K572" s="8">
        <v>111854</v>
      </c>
      <c r="M572" s="8">
        <v>7200</v>
      </c>
      <c r="O572" s="8">
        <v>308844</v>
      </c>
      <c r="Q572" s="8">
        <v>303263</v>
      </c>
      <c r="S572" s="8">
        <v>27127</v>
      </c>
      <c r="U572" s="8">
        <v>659726</v>
      </c>
      <c r="W572" s="8">
        <v>267426</v>
      </c>
      <c r="Y572" s="8">
        <v>24637</v>
      </c>
      <c r="AA572" s="8">
        <v>509403</v>
      </c>
      <c r="AC572" s="8">
        <v>378874</v>
      </c>
      <c r="AE572" s="8">
        <v>19780</v>
      </c>
      <c r="AG572" s="8">
        <v>219988</v>
      </c>
      <c r="AI572" s="8">
        <v>697</v>
      </c>
      <c r="AJ572" s="13" t="s">
        <v>452</v>
      </c>
      <c r="AK572" s="13"/>
      <c r="AL572" s="13" t="s">
        <v>45</v>
      </c>
      <c r="AN572" s="8">
        <v>333517</v>
      </c>
      <c r="AP572" s="8">
        <v>353892</v>
      </c>
      <c r="AR572" s="8">
        <v>0</v>
      </c>
      <c r="AT572" s="8">
        <v>0</v>
      </c>
      <c r="AV572" s="8">
        <v>0</v>
      </c>
      <c r="AX572" s="8">
        <v>0</v>
      </c>
      <c r="AZ572" s="9">
        <f t="shared" si="31"/>
        <v>7229475</v>
      </c>
      <c r="BB572" s="8">
        <v>21433</v>
      </c>
      <c r="BH572" s="8">
        <v>0</v>
      </c>
      <c r="BJ572" s="9">
        <f t="shared" si="32"/>
        <v>7250908</v>
      </c>
      <c r="BL572" s="9">
        <f>'Gov Fd Rv'!AU572-'Gov Fnd Exp'!BJ572</f>
        <v>-30527</v>
      </c>
      <c r="BN572" s="8">
        <v>1468812</v>
      </c>
      <c r="BP572" s="8">
        <v>0</v>
      </c>
      <c r="BR572" s="8">
        <v>0</v>
      </c>
      <c r="BT572" s="9">
        <f t="shared" si="33"/>
        <v>1438285</v>
      </c>
      <c r="BU572" s="9"/>
      <c r="BV572" s="9">
        <f>BT572-'Gov Fd BS'!AA570</f>
        <v>0</v>
      </c>
    </row>
    <row r="573" spans="1:76" s="35" customFormat="1">
      <c r="A573" s="34" t="s">
        <v>369</v>
      </c>
      <c r="B573" s="34"/>
      <c r="C573" s="34" t="s">
        <v>27</v>
      </c>
      <c r="D573" s="34"/>
      <c r="E573" s="34">
        <v>45047</v>
      </c>
      <c r="G573" s="8">
        <v>58719818</v>
      </c>
      <c r="H573" s="8"/>
      <c r="I573" s="8">
        <v>18651131</v>
      </c>
      <c r="J573" s="8"/>
      <c r="K573" s="8">
        <v>644768</v>
      </c>
      <c r="L573" s="8"/>
      <c r="M573" s="8">
        <v>3330470</v>
      </c>
      <c r="N573" s="8"/>
      <c r="O573" s="8">
        <v>10304731</v>
      </c>
      <c r="P573" s="8"/>
      <c r="Q573" s="8">
        <v>4627808</v>
      </c>
      <c r="R573" s="8"/>
      <c r="S573" s="8">
        <v>1536818</v>
      </c>
      <c r="T573" s="8"/>
      <c r="U573" s="8">
        <v>9648630</v>
      </c>
      <c r="V573" s="8"/>
      <c r="W573" s="8">
        <v>2399553</v>
      </c>
      <c r="X573" s="8"/>
      <c r="Y573" s="8">
        <v>969238</v>
      </c>
      <c r="Z573" s="8"/>
      <c r="AA573" s="8">
        <v>13742638</v>
      </c>
      <c r="AB573" s="8"/>
      <c r="AC573" s="8">
        <v>6969000</v>
      </c>
      <c r="AD573" s="8"/>
      <c r="AE573" s="8">
        <v>2276147</v>
      </c>
      <c r="AF573" s="8"/>
      <c r="AG573" s="8">
        <v>23650</v>
      </c>
      <c r="AH573" s="8"/>
      <c r="AI573" s="8">
        <v>872641</v>
      </c>
      <c r="AJ573" s="34" t="s">
        <v>369</v>
      </c>
      <c r="AK573" s="34"/>
      <c r="AL573" s="34" t="s">
        <v>27</v>
      </c>
      <c r="AN573" s="8">
        <v>2771679</v>
      </c>
      <c r="AO573" s="8"/>
      <c r="AP573" s="8">
        <v>6848222</v>
      </c>
      <c r="AQ573" s="8"/>
      <c r="AR573" s="8">
        <v>0</v>
      </c>
      <c r="AS573" s="8"/>
      <c r="AT573" s="8">
        <v>5580000</v>
      </c>
      <c r="AU573" s="8"/>
      <c r="AV573" s="8">
        <v>4898604</v>
      </c>
      <c r="AW573" s="8"/>
      <c r="AX573" s="8">
        <v>0</v>
      </c>
      <c r="AY573" s="8"/>
      <c r="AZ573" s="9">
        <f t="shared" si="31"/>
        <v>154815546</v>
      </c>
      <c r="BA573" s="8"/>
      <c r="BB573" s="8">
        <v>0</v>
      </c>
      <c r="BC573" s="8"/>
      <c r="BD573" s="8"/>
      <c r="BE573" s="8"/>
      <c r="BF573" s="8"/>
      <c r="BG573" s="8"/>
      <c r="BH573" s="8">
        <v>0</v>
      </c>
      <c r="BI573" s="8"/>
      <c r="BJ573" s="9">
        <f t="shared" si="32"/>
        <v>154815546</v>
      </c>
      <c r="BK573" s="8"/>
      <c r="BL573" s="9">
        <f>'Gov Fd Rv'!AU573-'Gov Fnd Exp'!BJ573</f>
        <v>46277</v>
      </c>
      <c r="BM573" s="8"/>
      <c r="BN573" s="8">
        <v>34269471</v>
      </c>
      <c r="BO573" s="8"/>
      <c r="BP573" s="8">
        <v>0</v>
      </c>
      <c r="BQ573" s="8"/>
      <c r="BR573" s="8">
        <v>0</v>
      </c>
      <c r="BS573" s="8"/>
      <c r="BT573" s="9">
        <f t="shared" si="33"/>
        <v>34315748</v>
      </c>
      <c r="BU573" s="9"/>
      <c r="BV573" s="9">
        <f>BT573-'Gov Fd BS'!AA571</f>
        <v>0</v>
      </c>
    </row>
    <row r="574" spans="1:76">
      <c r="A574" s="13" t="s">
        <v>591</v>
      </c>
      <c r="B574" s="13"/>
      <c r="C574" s="13" t="s">
        <v>54</v>
      </c>
      <c r="D574" s="13"/>
      <c r="E574" s="32">
        <v>49106</v>
      </c>
      <c r="G574" s="8">
        <v>6813312</v>
      </c>
      <c r="I574" s="8">
        <v>1366139</v>
      </c>
      <c r="K574" s="8">
        <v>32249</v>
      </c>
      <c r="M574" s="8">
        <v>499</v>
      </c>
      <c r="O574" s="8">
        <v>488490</v>
      </c>
      <c r="Q574" s="8">
        <v>1145592</v>
      </c>
      <c r="S574" s="8">
        <v>221746</v>
      </c>
      <c r="U574" s="8">
        <v>1378444</v>
      </c>
      <c r="W574" s="8">
        <v>428031</v>
      </c>
      <c r="Y574" s="8">
        <v>74827</v>
      </c>
      <c r="AA574" s="8">
        <v>1111019</v>
      </c>
      <c r="AC574" s="8">
        <v>1024805</v>
      </c>
      <c r="AE574" s="8">
        <v>52530</v>
      </c>
      <c r="AG574" s="8">
        <v>0</v>
      </c>
      <c r="AI574" s="8">
        <v>587363</v>
      </c>
      <c r="AJ574" s="13" t="s">
        <v>591</v>
      </c>
      <c r="AK574" s="13"/>
      <c r="AL574" s="13" t="s">
        <v>54</v>
      </c>
      <c r="AN574" s="8">
        <v>411992</v>
      </c>
      <c r="AP574" s="8">
        <v>807148</v>
      </c>
      <c r="AR574" s="8">
        <v>0</v>
      </c>
      <c r="AT574" s="8">
        <v>368379</v>
      </c>
      <c r="AV574" s="8">
        <v>229484</v>
      </c>
      <c r="AX574" s="8">
        <v>0</v>
      </c>
      <c r="AZ574" s="9">
        <f t="shared" si="31"/>
        <v>16542049</v>
      </c>
      <c r="BB574" s="8">
        <v>109250</v>
      </c>
      <c r="BH574" s="8">
        <v>0</v>
      </c>
      <c r="BJ574" s="9">
        <f t="shared" si="32"/>
        <v>16651299</v>
      </c>
      <c r="BL574" s="9">
        <f>'Gov Fd Rv'!AU574-'Gov Fnd Exp'!BJ574</f>
        <v>-736736</v>
      </c>
      <c r="BN574" s="8">
        <v>2001019</v>
      </c>
      <c r="BP574" s="8">
        <v>0</v>
      </c>
      <c r="BR574" s="8">
        <v>0</v>
      </c>
      <c r="BT574" s="9">
        <f t="shared" si="33"/>
        <v>1264283</v>
      </c>
      <c r="BU574" s="9"/>
      <c r="BV574" s="9">
        <f>BT574-'Gov Fd BS'!AA572</f>
        <v>0</v>
      </c>
    </row>
    <row r="575" spans="1:76">
      <c r="A575" s="13" t="s">
        <v>329</v>
      </c>
      <c r="B575" s="13"/>
      <c r="C575" s="13" t="s">
        <v>20</v>
      </c>
      <c r="D575" s="13"/>
      <c r="E575" s="32">
        <v>45062</v>
      </c>
      <c r="G575" s="8">
        <v>20467323</v>
      </c>
      <c r="I575" s="8">
        <v>3833676</v>
      </c>
      <c r="K575" s="8">
        <v>419596</v>
      </c>
      <c r="M575" s="8">
        <f>37994+1204857</f>
        <v>1242851</v>
      </c>
      <c r="O575" s="8">
        <v>3166059</v>
      </c>
      <c r="Q575" s="8">
        <v>2917571</v>
      </c>
      <c r="S575" s="8">
        <v>27009</v>
      </c>
      <c r="U575" s="8">
        <v>2738591</v>
      </c>
      <c r="W575" s="8">
        <v>1149518</v>
      </c>
      <c r="Y575" s="8">
        <v>435762</v>
      </c>
      <c r="AA575" s="8">
        <v>4163862</v>
      </c>
      <c r="AC575" s="8">
        <v>3890867</v>
      </c>
      <c r="AE575" s="8">
        <v>112689</v>
      </c>
      <c r="AG575" s="8">
        <v>1078495</v>
      </c>
      <c r="AI575" s="8">
        <v>311469</v>
      </c>
      <c r="AJ575" s="13" t="s">
        <v>329</v>
      </c>
      <c r="AK575" s="13"/>
      <c r="AL575" s="13" t="s">
        <v>20</v>
      </c>
      <c r="AN575" s="8">
        <v>1516854</v>
      </c>
      <c r="AP575" s="8">
        <v>822693</v>
      </c>
      <c r="AR575" s="8">
        <v>456887</v>
      </c>
      <c r="AT575" s="8">
        <v>1694658</v>
      </c>
      <c r="AV575" s="8">
        <v>929315</v>
      </c>
      <c r="AX575" s="8">
        <v>0</v>
      </c>
      <c r="AZ575" s="9">
        <f t="shared" si="31"/>
        <v>51375745</v>
      </c>
      <c r="BB575" s="8">
        <v>12089</v>
      </c>
      <c r="BH575" s="8">
        <v>0</v>
      </c>
      <c r="BJ575" s="9">
        <f t="shared" si="32"/>
        <v>51387834</v>
      </c>
      <c r="BL575" s="9">
        <f>'Gov Fd Rv'!AU575-'Gov Fnd Exp'!BJ575</f>
        <v>8063459</v>
      </c>
      <c r="BN575" s="8">
        <v>10694530</v>
      </c>
      <c r="BP575" s="8">
        <v>0</v>
      </c>
      <c r="BR575" s="8">
        <v>0</v>
      </c>
      <c r="BT575" s="9">
        <f t="shared" si="33"/>
        <v>18757989</v>
      </c>
      <c r="BU575" s="9"/>
      <c r="BV575" s="9">
        <f>BT575-'Gov Fd BS'!AA573</f>
        <v>0</v>
      </c>
    </row>
    <row r="576" spans="1:76">
      <c r="A576" s="13" t="s">
        <v>639</v>
      </c>
      <c r="B576" s="13"/>
      <c r="C576" s="13" t="s">
        <v>59</v>
      </c>
      <c r="D576" s="13"/>
      <c r="E576" s="32">
        <v>49668</v>
      </c>
      <c r="G576" s="8">
        <v>6407368</v>
      </c>
      <c r="I576" s="8">
        <v>1188213</v>
      </c>
      <c r="K576" s="8">
        <v>10000</v>
      </c>
      <c r="M576" s="8">
        <v>61723</v>
      </c>
      <c r="O576" s="8">
        <v>1308314</v>
      </c>
      <c r="Q576" s="8">
        <v>671612</v>
      </c>
      <c r="S576" s="8">
        <v>64329</v>
      </c>
      <c r="U576" s="8">
        <v>841523</v>
      </c>
      <c r="W576" s="8">
        <v>357963</v>
      </c>
      <c r="Y576" s="8">
        <v>0</v>
      </c>
      <c r="AA576" s="8">
        <v>1109196</v>
      </c>
      <c r="AC576" s="8">
        <v>450668</v>
      </c>
      <c r="AE576" s="8">
        <v>109051</v>
      </c>
      <c r="AG576" s="8">
        <v>570605</v>
      </c>
      <c r="AI576" s="8">
        <v>0</v>
      </c>
      <c r="AJ576" s="13" t="s">
        <v>639</v>
      </c>
      <c r="AK576" s="13"/>
      <c r="AL576" s="13" t="s">
        <v>59</v>
      </c>
      <c r="AN576" s="8">
        <v>486386</v>
      </c>
      <c r="AP576" s="8">
        <v>18136890</v>
      </c>
      <c r="AR576" s="8">
        <v>0</v>
      </c>
      <c r="AT576" s="8">
        <v>215000</v>
      </c>
      <c r="AV576" s="8">
        <v>436731</v>
      </c>
      <c r="AX576" s="8">
        <v>43500</v>
      </c>
      <c r="AZ576" s="9">
        <f t="shared" si="31"/>
        <v>32469072</v>
      </c>
      <c r="BB576" s="8">
        <v>10779</v>
      </c>
      <c r="BH576" s="8">
        <v>0</v>
      </c>
      <c r="BJ576" s="9">
        <f t="shared" si="32"/>
        <v>32479851</v>
      </c>
      <c r="BL576" s="9">
        <f>'Gov Fd Rv'!AU576-'Gov Fnd Exp'!BJ576</f>
        <v>-14162831</v>
      </c>
      <c r="BN576" s="8">
        <v>19745480</v>
      </c>
      <c r="BP576" s="8">
        <v>0</v>
      </c>
      <c r="BR576" s="8">
        <v>0</v>
      </c>
      <c r="BT576" s="9">
        <f t="shared" si="33"/>
        <v>5582649</v>
      </c>
      <c r="BU576" s="9"/>
      <c r="BV576" s="9">
        <f>BT576-'Gov Fd BS'!AA574</f>
        <v>0</v>
      </c>
    </row>
    <row r="577" spans="1:74">
      <c r="A577" s="13" t="s">
        <v>370</v>
      </c>
      <c r="B577" s="13"/>
      <c r="C577" s="13" t="s">
        <v>27</v>
      </c>
      <c r="D577" s="13"/>
      <c r="E577" s="32">
        <v>45070</v>
      </c>
      <c r="G577" s="8">
        <v>12930732</v>
      </c>
      <c r="I577" s="8">
        <v>6078750</v>
      </c>
      <c r="K577" s="8">
        <v>720182</v>
      </c>
      <c r="M577" s="8">
        <v>609241</v>
      </c>
      <c r="O577" s="8">
        <v>1348095</v>
      </c>
      <c r="Q577" s="8">
        <v>1454033</v>
      </c>
      <c r="S577" s="8">
        <v>107440</v>
      </c>
      <c r="U577" s="8">
        <v>2321081</v>
      </c>
      <c r="W577" s="8">
        <v>209026</v>
      </c>
      <c r="Y577" s="8">
        <v>653560</v>
      </c>
      <c r="AA577" s="8">
        <v>2405655</v>
      </c>
      <c r="AC577" s="8">
        <v>1342704</v>
      </c>
      <c r="AE577" s="8">
        <v>542998</v>
      </c>
      <c r="AG577" s="8">
        <v>0</v>
      </c>
      <c r="AI577" s="8">
        <v>0</v>
      </c>
      <c r="AJ577" s="13" t="s">
        <v>370</v>
      </c>
      <c r="AK577" s="13"/>
      <c r="AL577" s="13" t="s">
        <v>27</v>
      </c>
      <c r="AN577" s="8">
        <v>618984</v>
      </c>
      <c r="AP577" s="8">
        <v>265021</v>
      </c>
      <c r="AR577" s="8">
        <v>0</v>
      </c>
      <c r="AT577" s="8">
        <v>380000</v>
      </c>
      <c r="AV577" s="8">
        <v>55200</v>
      </c>
      <c r="AX577" s="8">
        <v>0</v>
      </c>
      <c r="AZ577" s="9">
        <f t="shared" si="31"/>
        <v>32042702</v>
      </c>
      <c r="BB577" s="8">
        <v>8401</v>
      </c>
      <c r="BH577" s="8">
        <v>0</v>
      </c>
      <c r="BJ577" s="9">
        <f t="shared" si="32"/>
        <v>32051103</v>
      </c>
      <c r="BL577" s="9">
        <f>'Gov Fd Rv'!AU577-'Gov Fnd Exp'!BJ577</f>
        <v>-918275</v>
      </c>
      <c r="BN577" s="8">
        <v>14915822</v>
      </c>
      <c r="BP577" s="8">
        <v>0</v>
      </c>
      <c r="BR577" s="8">
        <v>0</v>
      </c>
      <c r="BT577" s="9">
        <f t="shared" si="33"/>
        <v>13997547</v>
      </c>
      <c r="BU577" s="9"/>
      <c r="BV577" s="9">
        <f>BT577-'Gov Fd BS'!AA575</f>
        <v>0</v>
      </c>
    </row>
    <row r="578" spans="1:74" hidden="1">
      <c r="A578" s="13" t="s">
        <v>873</v>
      </c>
      <c r="B578" s="13"/>
      <c r="C578" s="13" t="s">
        <v>41</v>
      </c>
      <c r="D578" s="13"/>
      <c r="E578" s="32">
        <v>45088</v>
      </c>
      <c r="G578" s="8">
        <v>0</v>
      </c>
      <c r="I578" s="8">
        <v>0</v>
      </c>
      <c r="K578" s="8">
        <v>0</v>
      </c>
      <c r="M578" s="8">
        <v>0</v>
      </c>
      <c r="O578" s="8">
        <v>0</v>
      </c>
      <c r="Q578" s="8">
        <v>0</v>
      </c>
      <c r="S578" s="8">
        <v>0</v>
      </c>
      <c r="U578" s="8">
        <v>0</v>
      </c>
      <c r="W578" s="8">
        <v>0</v>
      </c>
      <c r="Y578" s="8">
        <v>0</v>
      </c>
      <c r="AA578" s="8">
        <v>0</v>
      </c>
      <c r="AC578" s="8">
        <v>0</v>
      </c>
      <c r="AE578" s="8">
        <v>0</v>
      </c>
      <c r="AG578" s="8">
        <v>0</v>
      </c>
      <c r="AI578" s="8">
        <v>0</v>
      </c>
      <c r="AJ578" s="13" t="s">
        <v>468</v>
      </c>
      <c r="AK578" s="13"/>
      <c r="AL578" s="13" t="s">
        <v>41</v>
      </c>
      <c r="AN578" s="8">
        <v>0</v>
      </c>
      <c r="AP578" s="8">
        <v>0</v>
      </c>
      <c r="AR578" s="8">
        <v>0</v>
      </c>
      <c r="AT578" s="8">
        <v>0</v>
      </c>
      <c r="AV578" s="8">
        <v>0</v>
      </c>
      <c r="AX578" s="8">
        <v>0</v>
      </c>
      <c r="AZ578" s="9">
        <f t="shared" si="31"/>
        <v>0</v>
      </c>
      <c r="BB578" s="8">
        <v>0</v>
      </c>
      <c r="BH578" s="8">
        <v>0</v>
      </c>
      <c r="BJ578" s="9">
        <f t="shared" si="32"/>
        <v>0</v>
      </c>
      <c r="BL578" s="9">
        <f>'Gov Fd Rv'!AU578-'Gov Fnd Exp'!BJ578</f>
        <v>0</v>
      </c>
      <c r="BN578" s="8">
        <v>0</v>
      </c>
      <c r="BP578" s="8">
        <v>0</v>
      </c>
      <c r="BR578" s="8">
        <v>0</v>
      </c>
      <c r="BT578" s="9">
        <f t="shared" si="33"/>
        <v>0</v>
      </c>
      <c r="BU578" s="9"/>
      <c r="BV578" s="9">
        <f>BT578-'Gov Fd BS'!AA576</f>
        <v>0</v>
      </c>
    </row>
    <row r="579" spans="1:74">
      <c r="A579" s="13" t="s">
        <v>453</v>
      </c>
      <c r="B579" s="13"/>
      <c r="C579" s="13" t="s">
        <v>37</v>
      </c>
      <c r="D579" s="13"/>
      <c r="E579" s="32">
        <v>45096</v>
      </c>
      <c r="G579" s="8">
        <v>7768740</v>
      </c>
      <c r="I579" s="8">
        <v>1658868</v>
      </c>
      <c r="K579" s="8">
        <v>241381</v>
      </c>
      <c r="M579" s="8">
        <v>1888293</v>
      </c>
      <c r="O579" s="8">
        <v>881625</v>
      </c>
      <c r="Q579" s="8">
        <v>608683</v>
      </c>
      <c r="S579" s="8">
        <v>359150</v>
      </c>
      <c r="U579" s="8">
        <v>1822772</v>
      </c>
      <c r="W579" s="8">
        <v>398147</v>
      </c>
      <c r="Y579" s="8">
        <v>49853</v>
      </c>
      <c r="AA579" s="8">
        <v>1212897</v>
      </c>
      <c r="AC579" s="8">
        <v>939959</v>
      </c>
      <c r="AE579" s="8">
        <v>5542</v>
      </c>
      <c r="AG579" s="8">
        <v>807091</v>
      </c>
      <c r="AI579" s="8">
        <v>46416</v>
      </c>
      <c r="AJ579" s="13" t="s">
        <v>453</v>
      </c>
      <c r="AK579" s="13"/>
      <c r="AL579" s="13" t="s">
        <v>37</v>
      </c>
      <c r="AN579" s="8">
        <v>705046</v>
      </c>
      <c r="AP579" s="8">
        <f>234471+154032</f>
        <v>388503</v>
      </c>
      <c r="AR579" s="8">
        <v>105844</v>
      </c>
      <c r="AT579" s="8">
        <v>338519</v>
      </c>
      <c r="AV579" s="8">
        <v>190593</v>
      </c>
      <c r="AX579" s="8">
        <v>0</v>
      </c>
      <c r="AZ579" s="9">
        <f t="shared" si="31"/>
        <v>20417922</v>
      </c>
      <c r="BB579" s="8">
        <v>149219</v>
      </c>
      <c r="BH579" s="8">
        <v>0</v>
      </c>
      <c r="BJ579" s="9">
        <f t="shared" si="32"/>
        <v>20567141</v>
      </c>
      <c r="BL579" s="9">
        <f>'Gov Fd Rv'!AU579-'Gov Fnd Exp'!BJ579</f>
        <v>698218</v>
      </c>
      <c r="BN579" s="8">
        <v>4112693</v>
      </c>
      <c r="BP579" s="8">
        <v>0</v>
      </c>
      <c r="BR579" s="8">
        <v>0</v>
      </c>
      <c r="BT579" s="9">
        <f t="shared" si="33"/>
        <v>4810911</v>
      </c>
      <c r="BU579" s="9"/>
      <c r="BV579" s="9">
        <f>BT579-'Gov Fd BS'!AA577</f>
        <v>0</v>
      </c>
    </row>
    <row r="580" spans="1:74">
      <c r="A580" s="13" t="s">
        <v>277</v>
      </c>
      <c r="B580" s="13"/>
      <c r="C580" s="13" t="s">
        <v>116</v>
      </c>
      <c r="D580" s="13"/>
      <c r="E580" s="32">
        <v>46367</v>
      </c>
      <c r="G580" s="8">
        <v>4409943</v>
      </c>
      <c r="I580" s="8">
        <v>1118556</v>
      </c>
      <c r="K580" s="8">
        <v>79067</v>
      </c>
      <c r="M580" s="8">
        <v>3499</v>
      </c>
      <c r="O580" s="8">
        <v>377583</v>
      </c>
      <c r="Q580" s="8">
        <v>505621</v>
      </c>
      <c r="S580" s="8">
        <v>27982</v>
      </c>
      <c r="U580" s="8">
        <v>713437</v>
      </c>
      <c r="W580" s="8">
        <v>301267</v>
      </c>
      <c r="Y580" s="8">
        <v>0</v>
      </c>
      <c r="AA580" s="8">
        <v>1704386</v>
      </c>
      <c r="AC580" s="8">
        <v>572708</v>
      </c>
      <c r="AE580" s="8">
        <v>8847</v>
      </c>
      <c r="AG580" s="8">
        <v>455219</v>
      </c>
      <c r="AI580" s="8">
        <v>16022</v>
      </c>
      <c r="AJ580" s="13" t="s">
        <v>277</v>
      </c>
      <c r="AK580" s="13"/>
      <c r="AL580" s="13" t="s">
        <v>116</v>
      </c>
      <c r="AN580" s="8">
        <v>278966</v>
      </c>
      <c r="AP580" s="8">
        <v>0</v>
      </c>
      <c r="AR580" s="8">
        <v>0</v>
      </c>
      <c r="AT580" s="8">
        <v>224105</v>
      </c>
      <c r="AV580" s="8">
        <v>167509</v>
      </c>
      <c r="AX580" s="8">
        <v>16282</v>
      </c>
      <c r="AZ580" s="9">
        <f t="shared" si="31"/>
        <v>10980999</v>
      </c>
      <c r="BB580" s="8">
        <v>0</v>
      </c>
      <c r="BH580" s="8">
        <v>2807800</v>
      </c>
      <c r="BJ580" s="9">
        <f t="shared" si="32"/>
        <v>13788799</v>
      </c>
      <c r="BL580" s="9">
        <f>'Gov Fd Rv'!AU580-'Gov Fnd Exp'!BJ580</f>
        <v>-762150</v>
      </c>
      <c r="BN580" s="8">
        <v>4448635</v>
      </c>
      <c r="BP580" s="8">
        <v>0</v>
      </c>
      <c r="BR580" s="8">
        <v>0</v>
      </c>
      <c r="BT580" s="9">
        <f t="shared" si="33"/>
        <v>3686485</v>
      </c>
      <c r="BU580" s="9"/>
      <c r="BV580" s="9">
        <f>BT580-'Gov Fd BS'!AA578</f>
        <v>0</v>
      </c>
    </row>
    <row r="581" spans="1:74">
      <c r="A581" s="13" t="s">
        <v>469</v>
      </c>
      <c r="B581" s="13"/>
      <c r="C581" s="13" t="s">
        <v>41</v>
      </c>
      <c r="D581" s="13"/>
      <c r="E581" s="32">
        <v>45104</v>
      </c>
      <c r="G581" s="8">
        <v>38142259</v>
      </c>
      <c r="I581" s="8">
        <v>14156200</v>
      </c>
      <c r="K581" s="8">
        <v>1266000</v>
      </c>
      <c r="M581" s="8">
        <v>399667</v>
      </c>
      <c r="O581" s="8">
        <v>5635090</v>
      </c>
      <c r="Q581" s="8">
        <v>4042701</v>
      </c>
      <c r="S581" s="8">
        <v>326078</v>
      </c>
      <c r="U581" s="8">
        <v>5111989</v>
      </c>
      <c r="W581" s="8">
        <v>1743300</v>
      </c>
      <c r="Y581" s="8">
        <v>432973</v>
      </c>
      <c r="AA581" s="8">
        <v>8661162</v>
      </c>
      <c r="AC581" s="8">
        <v>6189621</v>
      </c>
      <c r="AE581" s="8">
        <v>1364845</v>
      </c>
      <c r="AG581" s="8">
        <v>2476424</v>
      </c>
      <c r="AI581" s="8">
        <v>1130005</v>
      </c>
      <c r="AJ581" s="13" t="s">
        <v>469</v>
      </c>
      <c r="AK581" s="13"/>
      <c r="AL581" s="13" t="s">
        <v>41</v>
      </c>
      <c r="AN581" s="8">
        <v>1975532</v>
      </c>
      <c r="AP581" s="8">
        <v>0</v>
      </c>
      <c r="AR581" s="8">
        <v>0</v>
      </c>
      <c r="AT581" s="8">
        <v>265000</v>
      </c>
      <c r="AV581" s="8">
        <v>67356</v>
      </c>
      <c r="AX581" s="8">
        <v>0</v>
      </c>
      <c r="AZ581" s="9">
        <f t="shared" si="31"/>
        <v>93386202</v>
      </c>
      <c r="BB581" s="8">
        <v>1023825</v>
      </c>
      <c r="BH581" s="8">
        <v>0</v>
      </c>
      <c r="BJ581" s="9">
        <f t="shared" si="32"/>
        <v>94410027</v>
      </c>
      <c r="BL581" s="9">
        <f>'Gov Fd Rv'!AU581-'Gov Fnd Exp'!BJ581</f>
        <v>1459532</v>
      </c>
      <c r="BN581" s="8">
        <v>17142716</v>
      </c>
      <c r="BP581" s="8">
        <v>0</v>
      </c>
      <c r="BR581" s="8">
        <v>0</v>
      </c>
      <c r="BT581" s="9">
        <f t="shared" si="33"/>
        <v>18602248</v>
      </c>
      <c r="BU581" s="9"/>
      <c r="BV581" s="9">
        <f>BT581-'Gov Fd BS'!AA579</f>
        <v>0</v>
      </c>
    </row>
    <row r="582" spans="1:74">
      <c r="A582" s="13" t="s">
        <v>281</v>
      </c>
      <c r="B582" s="13"/>
      <c r="C582" s="13" t="s">
        <v>18</v>
      </c>
      <c r="D582" s="13"/>
      <c r="E582" s="32">
        <v>45112</v>
      </c>
      <c r="G582" s="8">
        <v>12218143</v>
      </c>
      <c r="I582" s="8">
        <v>2861706</v>
      </c>
      <c r="K582" s="8">
        <v>226756</v>
      </c>
      <c r="M582" s="8">
        <v>986851</v>
      </c>
      <c r="O582" s="8">
        <v>1140148</v>
      </c>
      <c r="Q582" s="8">
        <v>1625016</v>
      </c>
      <c r="S582" s="8">
        <v>142280</v>
      </c>
      <c r="U582" s="8">
        <v>1672998</v>
      </c>
      <c r="W582" s="8">
        <v>733423</v>
      </c>
      <c r="Y582" s="8">
        <v>423090</v>
      </c>
      <c r="AA582" s="8">
        <v>2238454</v>
      </c>
      <c r="AC582" s="8">
        <v>1229679</v>
      </c>
      <c r="AE582" s="8">
        <v>236164</v>
      </c>
      <c r="AG582" s="8">
        <v>0</v>
      </c>
      <c r="AI582" s="8">
        <v>1317514</v>
      </c>
      <c r="AJ582" s="13" t="s">
        <v>281</v>
      </c>
      <c r="AK582" s="13"/>
      <c r="AL582" s="13" t="s">
        <v>18</v>
      </c>
      <c r="AN582" s="8">
        <v>580795</v>
      </c>
      <c r="AP582" s="8">
        <v>524567</v>
      </c>
      <c r="AR582" s="8">
        <v>0</v>
      </c>
      <c r="AT582" s="8">
        <v>1222000</v>
      </c>
      <c r="AV582" s="8">
        <v>401108</v>
      </c>
      <c r="AX582" s="8">
        <v>0</v>
      </c>
      <c r="AZ582" s="9">
        <f t="shared" si="31"/>
        <v>29780692</v>
      </c>
      <c r="BB582" s="8">
        <v>1840</v>
      </c>
      <c r="BH582" s="8">
        <v>0</v>
      </c>
      <c r="BJ582" s="9">
        <f t="shared" si="32"/>
        <v>29782532</v>
      </c>
      <c r="BL582" s="9">
        <f>'Gov Fd Rv'!AU582-'Gov Fnd Exp'!BJ582</f>
        <v>802475</v>
      </c>
      <c r="BN582" s="8">
        <v>8694292</v>
      </c>
      <c r="BP582" s="8">
        <v>0</v>
      </c>
      <c r="BR582" s="8">
        <v>0</v>
      </c>
      <c r="BT582" s="9">
        <f t="shared" si="33"/>
        <v>9496767</v>
      </c>
      <c r="BU582" s="9"/>
      <c r="BV582" s="9">
        <f>BT582-'Gov Fd BS'!AA580</f>
        <v>0</v>
      </c>
    </row>
    <row r="583" spans="1:74">
      <c r="A583" s="13" t="s">
        <v>604</v>
      </c>
      <c r="B583" s="13"/>
      <c r="C583" s="13" t="s">
        <v>56</v>
      </c>
      <c r="D583" s="13"/>
      <c r="E583" s="32">
        <v>45666</v>
      </c>
      <c r="G583" s="8">
        <v>3769422</v>
      </c>
      <c r="I583" s="8">
        <v>1499846</v>
      </c>
      <c r="K583" s="8">
        <v>171705</v>
      </c>
      <c r="M583" s="8">
        <f>1300+38979</f>
        <v>40279</v>
      </c>
      <c r="O583" s="8">
        <v>493672</v>
      </c>
      <c r="Q583" s="8">
        <v>425686</v>
      </c>
      <c r="S583" s="8">
        <v>46807</v>
      </c>
      <c r="U583" s="8">
        <v>627974</v>
      </c>
      <c r="W583" s="8">
        <v>227433</v>
      </c>
      <c r="Y583" s="8">
        <v>8711</v>
      </c>
      <c r="AA583" s="8">
        <v>865395</v>
      </c>
      <c r="AC583" s="8">
        <v>348237</v>
      </c>
      <c r="AE583" s="8">
        <v>25997</v>
      </c>
      <c r="AG583" s="8">
        <v>333066</v>
      </c>
      <c r="AI583" s="8">
        <v>0</v>
      </c>
      <c r="AJ583" s="13" t="s">
        <v>604</v>
      </c>
      <c r="AK583" s="13"/>
      <c r="AL583" s="13" t="s">
        <v>56</v>
      </c>
      <c r="AN583" s="8">
        <v>226830</v>
      </c>
      <c r="AP583" s="8">
        <v>0</v>
      </c>
      <c r="AR583" s="8">
        <v>0</v>
      </c>
      <c r="AT583" s="8">
        <v>55839</v>
      </c>
      <c r="AV583" s="8">
        <v>42898</v>
      </c>
      <c r="AX583" s="8">
        <v>0</v>
      </c>
      <c r="AZ583" s="9">
        <f t="shared" si="31"/>
        <v>9209797</v>
      </c>
      <c r="BB583" s="8">
        <v>0</v>
      </c>
      <c r="BH583" s="8">
        <v>0</v>
      </c>
      <c r="BJ583" s="9">
        <f t="shared" si="32"/>
        <v>9209797</v>
      </c>
      <c r="BL583" s="9">
        <f>'Gov Fd Rv'!AU583-'Gov Fnd Exp'!BJ583</f>
        <v>582490</v>
      </c>
      <c r="BN583" s="8">
        <v>-542797</v>
      </c>
      <c r="BP583" s="8">
        <v>-7097</v>
      </c>
      <c r="BR583" s="8">
        <v>0</v>
      </c>
      <c r="BT583" s="9">
        <f t="shared" si="33"/>
        <v>32596</v>
      </c>
      <c r="BU583" s="9"/>
      <c r="BV583" s="9">
        <f>BT583-'Gov Fd BS'!AA581</f>
        <v>0</v>
      </c>
    </row>
    <row r="584" spans="1:74">
      <c r="A584" s="13" t="s">
        <v>416</v>
      </c>
      <c r="B584" s="13"/>
      <c r="C584" s="13" t="s">
        <v>32</v>
      </c>
      <c r="D584" s="13"/>
      <c r="E584" s="32">
        <v>44081</v>
      </c>
      <c r="G584" s="8">
        <v>17286485</v>
      </c>
      <c r="I584" s="8">
        <v>6061128</v>
      </c>
      <c r="K584" s="8">
        <v>437982</v>
      </c>
      <c r="M584" s="8">
        <v>570266</v>
      </c>
      <c r="O584" s="8">
        <v>2385907</v>
      </c>
      <c r="Q584" s="8">
        <v>3669711</v>
      </c>
      <c r="S584" s="8">
        <v>59273</v>
      </c>
      <c r="U584" s="8">
        <v>3504941</v>
      </c>
      <c r="W584" s="8">
        <v>786780</v>
      </c>
      <c r="Y584" s="8">
        <v>254842</v>
      </c>
      <c r="AA584" s="8">
        <v>4284085</v>
      </c>
      <c r="AC584" s="8">
        <v>2150341</v>
      </c>
      <c r="AE584" s="8">
        <v>1033330</v>
      </c>
      <c r="AG584" s="8">
        <v>0</v>
      </c>
      <c r="AI584" s="8">
        <v>1659206</v>
      </c>
      <c r="AJ584" s="13" t="s">
        <v>416</v>
      </c>
      <c r="AK584" s="13"/>
      <c r="AL584" s="13" t="s">
        <v>32</v>
      </c>
      <c r="AN584" s="8">
        <v>763468</v>
      </c>
      <c r="AP584" s="8">
        <v>49633</v>
      </c>
      <c r="AR584" s="8">
        <v>0</v>
      </c>
      <c r="AT584" s="8">
        <v>515922</v>
      </c>
      <c r="AV584" s="8">
        <v>241634</v>
      </c>
      <c r="AX584" s="8">
        <v>0</v>
      </c>
      <c r="AZ584" s="9">
        <f t="shared" si="31"/>
        <v>45714934</v>
      </c>
      <c r="BB584" s="8">
        <v>0</v>
      </c>
      <c r="BH584" s="8">
        <v>0</v>
      </c>
      <c r="BJ584" s="9">
        <f t="shared" si="32"/>
        <v>45714934</v>
      </c>
      <c r="BL584" s="9">
        <f>'Gov Fd Rv'!AU584-'Gov Fnd Exp'!BJ584</f>
        <v>-295521</v>
      </c>
      <c r="BN584" s="8">
        <v>7961608</v>
      </c>
      <c r="BP584" s="8">
        <v>0</v>
      </c>
      <c r="BR584" s="8">
        <v>0</v>
      </c>
      <c r="BT584" s="9">
        <f t="shared" si="33"/>
        <v>7666087</v>
      </c>
      <c r="BU584" s="9"/>
      <c r="BV584" s="9">
        <f>BT584-'Gov Fd BS'!AA582</f>
        <v>0</v>
      </c>
    </row>
    <row r="585" spans="1:74">
      <c r="A585" s="13" t="s">
        <v>726</v>
      </c>
      <c r="B585" s="13"/>
      <c r="C585" s="13" t="s">
        <v>70</v>
      </c>
      <c r="D585" s="13"/>
      <c r="E585" s="32">
        <v>50518</v>
      </c>
      <c r="G585" s="8">
        <v>2891006</v>
      </c>
      <c r="I585" s="8">
        <v>457948</v>
      </c>
      <c r="K585" s="8">
        <v>147958</v>
      </c>
      <c r="M585" s="8">
        <v>0</v>
      </c>
      <c r="O585" s="8">
        <v>194667</v>
      </c>
      <c r="Q585" s="8">
        <v>447481</v>
      </c>
      <c r="S585" s="8">
        <v>11829</v>
      </c>
      <c r="U585" s="8">
        <v>438721</v>
      </c>
      <c r="W585" s="8">
        <v>522377</v>
      </c>
      <c r="Y585" s="8">
        <v>0</v>
      </c>
      <c r="AA585" s="8">
        <v>504004</v>
      </c>
      <c r="AC585" s="8">
        <v>423973</v>
      </c>
      <c r="AE585" s="8">
        <v>42095</v>
      </c>
      <c r="AG585" s="8">
        <v>0</v>
      </c>
      <c r="AI585" s="8">
        <v>235391</v>
      </c>
      <c r="AJ585" s="13" t="s">
        <v>726</v>
      </c>
      <c r="AK585" s="13"/>
      <c r="AL585" s="13" t="s">
        <v>70</v>
      </c>
      <c r="AN585" s="8">
        <v>310090</v>
      </c>
      <c r="AP585" s="8">
        <v>77052</v>
      </c>
      <c r="AR585" s="8">
        <v>0</v>
      </c>
      <c r="AT585" s="8">
        <v>145000</v>
      </c>
      <c r="AV585" s="8">
        <v>269775</v>
      </c>
      <c r="AX585" s="8">
        <v>0</v>
      </c>
      <c r="AZ585" s="8">
        <f>SUM(G585:AX585)</f>
        <v>7119367</v>
      </c>
      <c r="BB585" s="8">
        <v>0</v>
      </c>
      <c r="BH585" s="8">
        <v>0</v>
      </c>
      <c r="BJ585" s="9">
        <f t="shared" si="32"/>
        <v>7119367</v>
      </c>
      <c r="BL585" s="9">
        <f>'Gov Fd Rv'!AU585-'Gov Fnd Exp'!BJ585</f>
        <v>1112629</v>
      </c>
      <c r="BN585" s="8">
        <v>3480515</v>
      </c>
      <c r="BP585" s="8">
        <v>0</v>
      </c>
      <c r="BR585" s="8">
        <v>0</v>
      </c>
      <c r="BT585" s="9">
        <f t="shared" si="33"/>
        <v>4593144</v>
      </c>
      <c r="BU585" s="9"/>
      <c r="BV585" s="9">
        <f>BT585-'Gov Fd BS'!AA583</f>
        <v>0</v>
      </c>
    </row>
    <row r="586" spans="1:74">
      <c r="A586" s="13" t="s">
        <v>630</v>
      </c>
      <c r="B586" s="13"/>
      <c r="C586" s="13" t="s">
        <v>79</v>
      </c>
      <c r="D586" s="13"/>
      <c r="E586" s="32">
        <v>49577</v>
      </c>
      <c r="G586" s="8">
        <v>4792795</v>
      </c>
      <c r="I586" s="8">
        <v>847640</v>
      </c>
      <c r="K586" s="8">
        <v>2829</v>
      </c>
      <c r="M586" s="8">
        <v>0</v>
      </c>
      <c r="O586" s="8">
        <v>646303</v>
      </c>
      <c r="Q586" s="8">
        <v>169863</v>
      </c>
      <c r="S586" s="8">
        <v>57462</v>
      </c>
      <c r="U586" s="8">
        <v>850884</v>
      </c>
      <c r="W586" s="8">
        <v>321518</v>
      </c>
      <c r="Y586" s="8">
        <v>0</v>
      </c>
      <c r="AA586" s="8">
        <v>835878</v>
      </c>
      <c r="AC586" s="8">
        <v>526076</v>
      </c>
      <c r="AE586" s="8">
        <v>2967</v>
      </c>
      <c r="AG586" s="8">
        <v>356417</v>
      </c>
      <c r="AI586" s="8">
        <v>74017</v>
      </c>
      <c r="AJ586" s="13" t="s">
        <v>630</v>
      </c>
      <c r="AK586" s="13"/>
      <c r="AL586" s="13" t="s">
        <v>79</v>
      </c>
      <c r="AN586" s="8">
        <v>401347</v>
      </c>
      <c r="AP586" s="8">
        <v>71033</v>
      </c>
      <c r="AR586" s="8">
        <v>0</v>
      </c>
      <c r="AT586" s="8">
        <v>456456</v>
      </c>
      <c r="AV586" s="8">
        <v>37418</v>
      </c>
      <c r="AX586" s="8">
        <v>0</v>
      </c>
      <c r="AZ586" s="9">
        <f t="shared" si="31"/>
        <v>10450903</v>
      </c>
      <c r="BB586" s="8">
        <v>10</v>
      </c>
      <c r="BH586" s="8">
        <v>0</v>
      </c>
      <c r="BJ586" s="9">
        <f t="shared" si="32"/>
        <v>10450913</v>
      </c>
      <c r="BL586" s="9">
        <f>'Gov Fd Rv'!AU586-'Gov Fnd Exp'!BJ586</f>
        <v>-254462</v>
      </c>
      <c r="BN586" s="8">
        <v>1099857</v>
      </c>
      <c r="BP586" s="8">
        <v>0</v>
      </c>
      <c r="BR586" s="8">
        <v>0</v>
      </c>
      <c r="BT586" s="9">
        <f t="shared" si="33"/>
        <v>845395</v>
      </c>
      <c r="BU586" s="9"/>
      <c r="BV586" s="9">
        <f>BT586-'Gov Fd BS'!AA584</f>
        <v>0</v>
      </c>
    </row>
    <row r="587" spans="1:74">
      <c r="A587" s="13" t="s">
        <v>679</v>
      </c>
      <c r="B587" s="13"/>
      <c r="C587" s="13" t="s">
        <v>63</v>
      </c>
      <c r="D587" s="13"/>
      <c r="E587" s="13">
        <v>49973</v>
      </c>
      <c r="G587" s="8">
        <v>9257673</v>
      </c>
      <c r="I587" s="8">
        <v>3049010</v>
      </c>
      <c r="K587" s="8">
        <v>295889</v>
      </c>
      <c r="M587" s="8">
        <v>365313</v>
      </c>
      <c r="O587" s="8">
        <v>1136310</v>
      </c>
      <c r="Q587" s="8">
        <v>528626</v>
      </c>
      <c r="S587" s="8">
        <v>25652</v>
      </c>
      <c r="U587" s="8">
        <v>2130825</v>
      </c>
      <c r="W587" s="8">
        <v>568618</v>
      </c>
      <c r="Y587" s="8">
        <v>6855</v>
      </c>
      <c r="AA587" s="8">
        <v>1640400</v>
      </c>
      <c r="AC587" s="8">
        <v>1351820</v>
      </c>
      <c r="AE587" s="8">
        <v>141762</v>
      </c>
      <c r="AG587" s="8">
        <v>605845</v>
      </c>
      <c r="AI587" s="8">
        <v>16632</v>
      </c>
      <c r="AJ587" s="13" t="s">
        <v>679</v>
      </c>
      <c r="AK587" s="13"/>
      <c r="AL587" s="13" t="s">
        <v>63</v>
      </c>
      <c r="AN587" s="8">
        <v>551822</v>
      </c>
      <c r="AP587" s="8">
        <v>214735</v>
      </c>
      <c r="AR587" s="8">
        <v>0</v>
      </c>
      <c r="AT587" s="8">
        <v>1710842</v>
      </c>
      <c r="AV587" s="8">
        <v>303818</v>
      </c>
      <c r="AX587" s="8">
        <v>0</v>
      </c>
      <c r="AZ587" s="9">
        <f t="shared" si="31"/>
        <v>23902447</v>
      </c>
      <c r="BB587" s="8">
        <v>75108</v>
      </c>
      <c r="BH587" s="8">
        <v>0</v>
      </c>
      <c r="BJ587" s="9">
        <f t="shared" si="32"/>
        <v>23977555</v>
      </c>
      <c r="BL587" s="9">
        <f>'Gov Fd Rv'!AU587-'Gov Fnd Exp'!BJ587</f>
        <v>1627619</v>
      </c>
      <c r="BN587" s="8">
        <v>8584276</v>
      </c>
      <c r="BP587" s="8">
        <v>0</v>
      </c>
      <c r="BR587" s="8">
        <v>0</v>
      </c>
      <c r="BT587" s="9">
        <f t="shared" si="33"/>
        <v>10211895</v>
      </c>
      <c r="BU587" s="9"/>
      <c r="BV587" s="9">
        <f>BT587-'Gov Fd BS'!AA585</f>
        <v>0</v>
      </c>
    </row>
    <row r="588" spans="1:74">
      <c r="A588" s="13" t="s">
        <v>874</v>
      </c>
      <c r="B588" s="13"/>
      <c r="C588" s="13" t="s">
        <v>71</v>
      </c>
      <c r="D588" s="13"/>
      <c r="E588" s="32">
        <v>45138</v>
      </c>
      <c r="G588" s="8">
        <v>16331048</v>
      </c>
      <c r="I588" s="8">
        <v>4530204</v>
      </c>
      <c r="K588" s="8">
        <v>359911</v>
      </c>
      <c r="M588" s="8">
        <v>2608611</v>
      </c>
      <c r="O588" s="8">
        <v>1779145</v>
      </c>
      <c r="Q588" s="8">
        <v>2256377</v>
      </c>
      <c r="S588" s="8">
        <v>55695</v>
      </c>
      <c r="U588" s="8">
        <v>3047447</v>
      </c>
      <c r="W588" s="8">
        <v>937812</v>
      </c>
      <c r="Y588" s="8">
        <v>205620</v>
      </c>
      <c r="AA588" s="8">
        <v>4609298</v>
      </c>
      <c r="AC588" s="8">
        <v>1819339</v>
      </c>
      <c r="AE588" s="8">
        <v>362382</v>
      </c>
      <c r="AG588" s="8">
        <v>0</v>
      </c>
      <c r="AI588" s="8">
        <v>389852</v>
      </c>
      <c r="AJ588" s="13" t="s">
        <v>874</v>
      </c>
      <c r="AK588" s="13"/>
      <c r="AL588" s="13" t="s">
        <v>71</v>
      </c>
      <c r="AN588" s="8">
        <v>802313</v>
      </c>
      <c r="AP588" s="8">
        <v>517346</v>
      </c>
      <c r="AR588" s="8">
        <v>0</v>
      </c>
      <c r="AT588" s="8">
        <v>2457510</v>
      </c>
      <c r="AV588" s="8">
        <v>1032657</v>
      </c>
      <c r="AX588" s="8">
        <v>0</v>
      </c>
      <c r="AZ588" s="9">
        <f t="shared" si="31"/>
        <v>44102567</v>
      </c>
      <c r="BB588" s="8">
        <v>82500</v>
      </c>
      <c r="BH588" s="8">
        <v>9852550</v>
      </c>
      <c r="BJ588" s="9">
        <f t="shared" si="32"/>
        <v>54037617</v>
      </c>
      <c r="BL588" s="9">
        <f>'Gov Fd Rv'!AU588-'Gov Fnd Exp'!BJ588</f>
        <v>4944302</v>
      </c>
      <c r="BN588" s="8">
        <v>13296621</v>
      </c>
      <c r="BP588" s="8">
        <v>0</v>
      </c>
      <c r="BR588" s="8">
        <v>0</v>
      </c>
      <c r="BT588" s="9">
        <f t="shared" si="33"/>
        <v>18240923</v>
      </c>
      <c r="BU588" s="9"/>
      <c r="BV588" s="9">
        <f>BT588-'Gov Fd BS'!AA586</f>
        <v>0</v>
      </c>
    </row>
    <row r="589" spans="1:74">
      <c r="A589" s="13" t="s">
        <v>371</v>
      </c>
      <c r="B589" s="13"/>
      <c r="C589" s="13" t="s">
        <v>27</v>
      </c>
      <c r="D589" s="13"/>
      <c r="E589" s="32">
        <v>46524</v>
      </c>
      <c r="G589" s="8">
        <v>58237720</v>
      </c>
      <c r="I589" s="8">
        <v>11113300</v>
      </c>
      <c r="K589" s="8">
        <v>442449</v>
      </c>
      <c r="M589" s="8">
        <v>2898</v>
      </c>
      <c r="O589" s="8">
        <v>5664885</v>
      </c>
      <c r="Q589" s="8">
        <v>7598462</v>
      </c>
      <c r="S589" s="8">
        <v>61378</v>
      </c>
      <c r="U589" s="8">
        <v>8925748</v>
      </c>
      <c r="W589" s="8">
        <v>0</v>
      </c>
      <c r="Y589" s="8">
        <v>2834108</v>
      </c>
      <c r="AA589" s="8">
        <v>11294068</v>
      </c>
      <c r="AC589" s="8">
        <v>4354386</v>
      </c>
      <c r="AE589" s="8">
        <v>2993355</v>
      </c>
      <c r="AG589" s="8">
        <v>3303714</v>
      </c>
      <c r="AI589" s="8">
        <v>1616068</v>
      </c>
      <c r="AJ589" s="13" t="s">
        <v>371</v>
      </c>
      <c r="AK589" s="13"/>
      <c r="AL589" s="13" t="s">
        <v>27</v>
      </c>
      <c r="AN589" s="8">
        <v>2232084</v>
      </c>
      <c r="AP589" s="8">
        <v>2756323</v>
      </c>
      <c r="AR589" s="8">
        <v>0</v>
      </c>
      <c r="AT589" s="8">
        <v>5659000</v>
      </c>
      <c r="AV589" s="8">
        <v>2689672</v>
      </c>
      <c r="AX589" s="8">
        <v>124076</v>
      </c>
      <c r="AZ589" s="9">
        <f t="shared" si="31"/>
        <v>131903694</v>
      </c>
      <c r="BB589" s="8">
        <v>749500</v>
      </c>
      <c r="BH589" s="8">
        <v>4455497</v>
      </c>
      <c r="BJ589" s="9">
        <f t="shared" si="32"/>
        <v>137108691</v>
      </c>
      <c r="BL589" s="9">
        <f>'Gov Fd Rv'!AU589-'Gov Fnd Exp'!BJ589</f>
        <v>-7298881</v>
      </c>
      <c r="BN589" s="8">
        <v>70867928</v>
      </c>
      <c r="BP589" s="8">
        <v>0</v>
      </c>
      <c r="BR589" s="8">
        <v>0</v>
      </c>
      <c r="BT589" s="9">
        <f t="shared" si="33"/>
        <v>63569047</v>
      </c>
      <c r="BU589" s="9"/>
      <c r="BV589" s="9">
        <f>BT589-'Gov Fd BS'!AA587</f>
        <v>0</v>
      </c>
    </row>
    <row r="590" spans="1:74">
      <c r="A590" s="13" t="s">
        <v>299</v>
      </c>
      <c r="B590" s="13"/>
      <c r="C590" s="13" t="s">
        <v>114</v>
      </c>
      <c r="D590" s="13"/>
      <c r="E590" s="32">
        <v>45146</v>
      </c>
      <c r="G590" s="8">
        <v>4397666</v>
      </c>
      <c r="I590" s="8">
        <v>1208364</v>
      </c>
      <c r="K590" s="8">
        <v>3529</v>
      </c>
      <c r="M590" s="8">
        <v>532673</v>
      </c>
      <c r="O590" s="8">
        <v>873244</v>
      </c>
      <c r="Q590" s="8">
        <v>290713</v>
      </c>
      <c r="S590" s="8">
        <v>7898</v>
      </c>
      <c r="U590" s="8">
        <v>606969</v>
      </c>
      <c r="W590" s="8">
        <v>320610</v>
      </c>
      <c r="Y590" s="8">
        <v>58338</v>
      </c>
      <c r="AA590" s="8">
        <v>664473</v>
      </c>
      <c r="AC590" s="8">
        <v>681519</v>
      </c>
      <c r="AE590" s="8">
        <v>39785</v>
      </c>
      <c r="AG590" s="8">
        <v>499003</v>
      </c>
      <c r="AI590" s="8">
        <v>2375</v>
      </c>
      <c r="AJ590" s="13" t="s">
        <v>299</v>
      </c>
      <c r="AK590" s="13"/>
      <c r="AL590" s="13" t="s">
        <v>114</v>
      </c>
      <c r="AN590" s="8">
        <v>345693</v>
      </c>
      <c r="AP590" s="8">
        <v>69995</v>
      </c>
      <c r="AR590" s="8">
        <v>0</v>
      </c>
      <c r="AT590" s="8">
        <v>194082</v>
      </c>
      <c r="AV590" s="8">
        <v>271747</v>
      </c>
      <c r="AX590" s="8">
        <v>82753</v>
      </c>
      <c r="AZ590" s="9">
        <f t="shared" si="31"/>
        <v>11151429</v>
      </c>
      <c r="BB590" s="8">
        <v>46692</v>
      </c>
      <c r="BH590" s="8">
        <v>2993069</v>
      </c>
      <c r="BJ590" s="9">
        <f t="shared" si="32"/>
        <v>14191190</v>
      </c>
      <c r="BL590" s="9">
        <f>'Gov Fd Rv'!AU590-'Gov Fnd Exp'!BJ590</f>
        <v>-142469</v>
      </c>
      <c r="BN590" s="8">
        <v>2946872</v>
      </c>
      <c r="BP590" s="8">
        <v>0</v>
      </c>
      <c r="BR590" s="8">
        <v>0</v>
      </c>
      <c r="BT590" s="9">
        <f t="shared" si="33"/>
        <v>2804403</v>
      </c>
      <c r="BU590" s="9"/>
      <c r="BV590" s="9">
        <f>BT590-'Gov Fd BS'!AA590</f>
        <v>0</v>
      </c>
    </row>
    <row r="591" spans="1:74">
      <c r="A591" s="13" t="s">
        <v>417</v>
      </c>
      <c r="B591" s="13"/>
      <c r="C591" s="13" t="s">
        <v>32</v>
      </c>
      <c r="D591" s="13"/>
      <c r="E591" s="32">
        <v>45153</v>
      </c>
      <c r="G591" s="8">
        <v>10548209</v>
      </c>
      <c r="I591" s="8">
        <v>2050350</v>
      </c>
      <c r="K591" s="8">
        <v>111943</v>
      </c>
      <c r="M591" s="8">
        <v>16479</v>
      </c>
      <c r="O591" s="8">
        <v>1659897</v>
      </c>
      <c r="Q591" s="8">
        <v>1101206</v>
      </c>
      <c r="S591" s="8">
        <v>222778</v>
      </c>
      <c r="U591" s="8">
        <v>1547790</v>
      </c>
      <c r="W591" s="8">
        <v>900406</v>
      </c>
      <c r="Y591" s="8">
        <v>1670</v>
      </c>
      <c r="AA591" s="8">
        <v>2043779</v>
      </c>
      <c r="AC591" s="8">
        <v>455378</v>
      </c>
      <c r="AE591" s="8">
        <v>150054</v>
      </c>
      <c r="AG591" s="8">
        <v>784520</v>
      </c>
      <c r="AI591" s="8">
        <v>0</v>
      </c>
      <c r="AJ591" s="13" t="s">
        <v>417</v>
      </c>
      <c r="AK591" s="13"/>
      <c r="AL591" s="13" t="s">
        <v>32</v>
      </c>
      <c r="AN591" s="8">
        <v>695364</v>
      </c>
      <c r="AP591" s="8">
        <v>0</v>
      </c>
      <c r="AR591" s="8">
        <v>0</v>
      </c>
      <c r="AT591" s="8">
        <v>882900</v>
      </c>
      <c r="AV591" s="8">
        <v>1047755</v>
      </c>
      <c r="AX591" s="8">
        <v>0</v>
      </c>
      <c r="AZ591" s="9">
        <f t="shared" si="31"/>
        <v>24220478</v>
      </c>
      <c r="BB591" s="8">
        <v>0</v>
      </c>
      <c r="BH591" s="8">
        <v>0</v>
      </c>
      <c r="BJ591" s="9">
        <f t="shared" si="32"/>
        <v>24220478</v>
      </c>
      <c r="BL591" s="9">
        <f>'Gov Fd Rv'!AU591-'Gov Fnd Exp'!BJ591</f>
        <v>2626678</v>
      </c>
      <c r="BN591" s="8">
        <v>11695628</v>
      </c>
      <c r="BP591" s="8">
        <v>0</v>
      </c>
      <c r="BR591" s="8">
        <v>0</v>
      </c>
      <c r="BT591" s="9">
        <f t="shared" si="33"/>
        <v>14322306</v>
      </c>
      <c r="BU591" s="9"/>
      <c r="BV591" s="9">
        <f>BT591-'Gov Fd BS'!AA591</f>
        <v>0</v>
      </c>
    </row>
    <row r="592" spans="1:74">
      <c r="A592" s="13" t="s">
        <v>392</v>
      </c>
      <c r="B592" s="13"/>
      <c r="C592" s="13" t="s">
        <v>117</v>
      </c>
      <c r="D592" s="13"/>
      <c r="E592" s="32">
        <v>45674</v>
      </c>
      <c r="G592" s="8">
        <v>3364903</v>
      </c>
      <c r="I592" s="8">
        <v>648937</v>
      </c>
      <c r="K592" s="8">
        <v>0</v>
      </c>
      <c r="M592" s="8">
        <v>190468</v>
      </c>
      <c r="O592" s="8">
        <v>565936</v>
      </c>
      <c r="Q592" s="8">
        <v>409040</v>
      </c>
      <c r="S592" s="8">
        <v>36736</v>
      </c>
      <c r="U592" s="8">
        <v>765451</v>
      </c>
      <c r="W592" s="8">
        <v>338971</v>
      </c>
      <c r="Y592" s="8">
        <v>0</v>
      </c>
      <c r="AA592" s="8">
        <v>635075</v>
      </c>
      <c r="AC592" s="8">
        <v>264575</v>
      </c>
      <c r="AE592" s="8">
        <v>29648</v>
      </c>
      <c r="AG592" s="8">
        <v>0</v>
      </c>
      <c r="AI592" s="8">
        <v>149776</v>
      </c>
      <c r="AJ592" s="13" t="s">
        <v>392</v>
      </c>
      <c r="AK592" s="13"/>
      <c r="AL592" s="13" t="s">
        <v>117</v>
      </c>
      <c r="AN592" s="8">
        <v>288371</v>
      </c>
      <c r="AP592" s="8">
        <v>39120</v>
      </c>
      <c r="AR592" s="8">
        <v>0</v>
      </c>
      <c r="AT592" s="8">
        <v>180000</v>
      </c>
      <c r="AV592" s="8">
        <v>177100</v>
      </c>
      <c r="AX592" s="8">
        <v>0</v>
      </c>
      <c r="AZ592" s="9">
        <f t="shared" si="31"/>
        <v>8084107</v>
      </c>
      <c r="BB592" s="8">
        <v>35100</v>
      </c>
      <c r="BH592" s="8">
        <v>0</v>
      </c>
      <c r="BJ592" s="9">
        <f t="shared" si="32"/>
        <v>8119207</v>
      </c>
      <c r="BL592" s="9">
        <f>'Gov Fd Rv'!AU592-'Gov Fnd Exp'!BJ592</f>
        <v>139707</v>
      </c>
      <c r="BN592" s="8">
        <v>3439520</v>
      </c>
      <c r="BP592" s="8">
        <v>0</v>
      </c>
      <c r="BR592" s="8">
        <v>0</v>
      </c>
      <c r="BT592" s="9">
        <f t="shared" si="33"/>
        <v>3579227</v>
      </c>
      <c r="BU592" s="9"/>
      <c r="BV592" s="9">
        <f>BT592-'Gov Fd BS'!AA592</f>
        <v>0</v>
      </c>
    </row>
    <row r="593" spans="1:74">
      <c r="A593" s="13" t="s">
        <v>525</v>
      </c>
      <c r="B593" s="13"/>
      <c r="C593" s="13" t="s">
        <v>45</v>
      </c>
      <c r="D593" s="13"/>
      <c r="E593" s="32">
        <v>45161</v>
      </c>
      <c r="G593" s="8">
        <v>58507267</v>
      </c>
      <c r="I593" s="8">
        <v>13797780</v>
      </c>
      <c r="K593" s="8">
        <v>3446641</v>
      </c>
      <c r="M593" s="8">
        <v>309252</v>
      </c>
      <c r="O593" s="8">
        <v>7338366</v>
      </c>
      <c r="Q593" s="8">
        <v>8835596</v>
      </c>
      <c r="S593" s="8">
        <v>450212</v>
      </c>
      <c r="U593" s="8">
        <v>8110101</v>
      </c>
      <c r="W593" s="8">
        <v>1451867</v>
      </c>
      <c r="Y593" s="8">
        <v>775593</v>
      </c>
      <c r="AA593" s="8">
        <v>13344240</v>
      </c>
      <c r="AC593" s="8">
        <v>6185754</v>
      </c>
      <c r="AE593" s="8">
        <v>994808</v>
      </c>
      <c r="AG593" s="8">
        <v>1932491</v>
      </c>
      <c r="AI593" s="8">
        <v>3552508</v>
      </c>
      <c r="AJ593" s="13" t="s">
        <v>525</v>
      </c>
      <c r="AK593" s="13"/>
      <c r="AL593" s="13" t="s">
        <v>45</v>
      </c>
      <c r="AN593" s="8">
        <v>676559</v>
      </c>
      <c r="AP593" s="8">
        <v>32539376</v>
      </c>
      <c r="AR593" s="8">
        <v>0</v>
      </c>
      <c r="AT593" s="8">
        <v>1217146</v>
      </c>
      <c r="AV593" s="8">
        <v>1388840</v>
      </c>
      <c r="AX593" s="8">
        <v>0</v>
      </c>
      <c r="AZ593" s="9">
        <f t="shared" si="31"/>
        <v>164854397</v>
      </c>
      <c r="BB593" s="8">
        <v>585992</v>
      </c>
      <c r="BH593" s="8">
        <v>0</v>
      </c>
      <c r="BJ593" s="9">
        <f t="shared" si="32"/>
        <v>165440389</v>
      </c>
      <c r="BL593" s="9">
        <f>'Gov Fd Rv'!AU593-'Gov Fnd Exp'!BJ593</f>
        <v>-11469489</v>
      </c>
      <c r="BN593" s="8">
        <v>42841650</v>
      </c>
      <c r="BP593" s="8">
        <v>0</v>
      </c>
      <c r="BR593" s="8">
        <v>0</v>
      </c>
      <c r="BT593" s="9">
        <f t="shared" si="33"/>
        <v>31372161</v>
      </c>
      <c r="BU593" s="9"/>
      <c r="BV593" s="9">
        <f>BT593-'Gov Fd BS'!AA593</f>
        <v>0</v>
      </c>
    </row>
    <row r="594" spans="1:74">
      <c r="A594" s="13" t="s">
        <v>626</v>
      </c>
      <c r="B594" s="13"/>
      <c r="C594" s="13" t="s">
        <v>58</v>
      </c>
      <c r="D594" s="13"/>
      <c r="E594" s="32">
        <v>49544</v>
      </c>
      <c r="G594" s="8">
        <v>6567338</v>
      </c>
      <c r="I594" s="8">
        <v>994039</v>
      </c>
      <c r="K594" s="8">
        <v>8636</v>
      </c>
      <c r="M594" s="8">
        <v>398540</v>
      </c>
      <c r="O594" s="8">
        <v>410605</v>
      </c>
      <c r="Q594" s="8">
        <v>392733</v>
      </c>
      <c r="S594" s="8">
        <v>154839</v>
      </c>
      <c r="U594" s="8">
        <v>668246</v>
      </c>
      <c r="W594" s="8">
        <v>447750</v>
      </c>
      <c r="Y594" s="8">
        <v>0</v>
      </c>
      <c r="AA594" s="8">
        <v>1485285</v>
      </c>
      <c r="AC594" s="8">
        <v>897928</v>
      </c>
      <c r="AE594" s="8">
        <v>192409</v>
      </c>
      <c r="AG594" s="8">
        <v>0</v>
      </c>
      <c r="AI594" s="8">
        <v>550856</v>
      </c>
      <c r="AJ594" s="13" t="s">
        <v>626</v>
      </c>
      <c r="AK594" s="13"/>
      <c r="AL594" s="13" t="s">
        <v>58</v>
      </c>
      <c r="AN594" s="8">
        <v>450646</v>
      </c>
      <c r="AP594" s="8">
        <v>384712</v>
      </c>
      <c r="AR594" s="8">
        <v>0</v>
      </c>
      <c r="AT594" s="8">
        <v>328291</v>
      </c>
      <c r="AV594" s="8">
        <v>366192</v>
      </c>
      <c r="AX594" s="8">
        <v>0</v>
      </c>
      <c r="AZ594" s="9">
        <f t="shared" si="31"/>
        <v>14699045</v>
      </c>
      <c r="BB594" s="8">
        <v>0</v>
      </c>
      <c r="BH594" s="8">
        <v>0</v>
      </c>
      <c r="BJ594" s="9">
        <f t="shared" si="32"/>
        <v>14699045</v>
      </c>
      <c r="BL594" s="9">
        <f>'Gov Fd Rv'!AU594-'Gov Fnd Exp'!BJ594</f>
        <v>-549222</v>
      </c>
      <c r="BN594" s="8">
        <v>7740707</v>
      </c>
      <c r="BP594" s="8">
        <v>0</v>
      </c>
      <c r="BR594" s="8">
        <v>0</v>
      </c>
      <c r="BT594" s="9">
        <f t="shared" si="33"/>
        <v>7191485</v>
      </c>
      <c r="BU594" s="9"/>
      <c r="BV594" s="9">
        <f>BT594-'Gov Fd BS'!AA594</f>
        <v>0</v>
      </c>
    </row>
    <row r="595" spans="1:74">
      <c r="A595" s="13" t="s">
        <v>576</v>
      </c>
      <c r="B595" s="13"/>
      <c r="C595" s="13" t="s">
        <v>51</v>
      </c>
      <c r="D595" s="13"/>
      <c r="E595" s="32">
        <v>45179</v>
      </c>
      <c r="G595" s="8">
        <v>14566694</v>
      </c>
      <c r="I595" s="8">
        <v>6131798</v>
      </c>
      <c r="K595" s="8">
        <v>272364</v>
      </c>
      <c r="M595" s="8">
        <v>732751</v>
      </c>
      <c r="O595" s="8">
        <v>2285234</v>
      </c>
      <c r="Q595" s="8">
        <v>3626649</v>
      </c>
      <c r="S595" s="8">
        <v>125066</v>
      </c>
      <c r="U595" s="8">
        <v>2359458</v>
      </c>
      <c r="W595" s="8">
        <v>719204</v>
      </c>
      <c r="Y595" s="8">
        <v>0</v>
      </c>
      <c r="AA595" s="8">
        <v>3437515</v>
      </c>
      <c r="AC595" s="8">
        <v>1137592</v>
      </c>
      <c r="AE595" s="8">
        <v>523530</v>
      </c>
      <c r="AG595" s="8">
        <v>1781369</v>
      </c>
      <c r="AI595" s="8">
        <v>394155</v>
      </c>
      <c r="AJ595" s="13" t="s">
        <v>576</v>
      </c>
      <c r="AK595" s="13"/>
      <c r="AL595" s="13" t="s">
        <v>51</v>
      </c>
      <c r="AN595" s="8">
        <v>510441</v>
      </c>
      <c r="AP595" s="8">
        <v>2580864</v>
      </c>
      <c r="AR595" s="8">
        <v>0</v>
      </c>
      <c r="AT595" s="8">
        <v>613341</v>
      </c>
      <c r="AV595" s="8">
        <v>1549549</v>
      </c>
      <c r="AX595" s="8">
        <v>0</v>
      </c>
      <c r="AZ595" s="9">
        <f t="shared" si="31"/>
        <v>43347574</v>
      </c>
      <c r="BB595" s="8">
        <v>588261</v>
      </c>
      <c r="BH595" s="8">
        <v>0</v>
      </c>
      <c r="BJ595" s="9">
        <f t="shared" si="32"/>
        <v>43935835</v>
      </c>
      <c r="BL595" s="9">
        <f>'Gov Fd Rv'!AU595-'Gov Fnd Exp'!BJ595</f>
        <v>5344112</v>
      </c>
      <c r="BN595" s="8">
        <v>3361265</v>
      </c>
      <c r="BP595" s="8">
        <v>0</v>
      </c>
      <c r="BR595" s="8">
        <v>0</v>
      </c>
      <c r="BT595" s="9">
        <f t="shared" si="33"/>
        <v>8705377</v>
      </c>
      <c r="BU595" s="9"/>
      <c r="BV595" s="9">
        <f>BT595-'Gov Fd BS'!AA595</f>
        <v>0</v>
      </c>
    </row>
    <row r="596" spans="1:74">
      <c r="A596" s="13"/>
      <c r="B596" s="13"/>
      <c r="C596" s="13"/>
      <c r="D596" s="13"/>
      <c r="AI596" s="9"/>
    </row>
    <row r="597" spans="1:74">
      <c r="A597" s="13"/>
      <c r="B597" s="13"/>
      <c r="C597" s="13"/>
      <c r="D597" s="13"/>
    </row>
    <row r="599" spans="1:74">
      <c r="A599" s="94" t="s">
        <v>798</v>
      </c>
      <c r="B599" s="94"/>
      <c r="C599" s="94"/>
      <c r="D599" s="94"/>
      <c r="E599" s="94"/>
      <c r="F599" s="94"/>
      <c r="G599" s="94"/>
      <c r="H599" s="94"/>
      <c r="I599" s="94"/>
      <c r="J599" s="94"/>
      <c r="K599" s="94"/>
    </row>
    <row r="600" spans="1:74">
      <c r="A600" s="10" t="s">
        <v>799</v>
      </c>
      <c r="B600" s="10"/>
      <c r="C600" s="10"/>
      <c r="D600" s="10"/>
      <c r="F600" s="10"/>
    </row>
    <row r="601" spans="1:74">
      <c r="A601" s="8" t="s">
        <v>801</v>
      </c>
    </row>
  </sheetData>
  <mergeCells count="2">
    <mergeCell ref="AT6:AV6"/>
    <mergeCell ref="A599:K599"/>
  </mergeCells>
  <printOptions horizontalCentered="1"/>
  <pageMargins left="0.7" right="0.7" top="0.5" bottom="0.5" header="0" footer="0.3"/>
  <pageSetup scale="72" firstPageNumber="158" pageOrder="overThenDown" orientation="portrait" useFirstPageNumber="1" r:id="rId1"/>
  <headerFooter>
    <oddFooter>&amp;C&amp;"Times New Roman,Regular"&amp;12&amp;P</oddFooter>
  </headerFooter>
  <rowBreaks count="1" manualBreakCount="1">
    <brk id="103" max="71" man="1"/>
  </rowBreaks>
  <colBreaks count="3" manualBreakCount="3">
    <brk id="17" max="596" man="1"/>
    <brk id="35" max="1048575" man="1"/>
    <brk id="51" max="60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20</vt:i4>
      </vt:variant>
    </vt:vector>
  </HeadingPairs>
  <TitlesOfParts>
    <vt:vector size="32" baseType="lpstr">
      <vt:lpstr>St of Net Assets - GA</vt:lpstr>
      <vt:lpstr>St of Activites - GA Rev</vt:lpstr>
      <vt:lpstr>St of Activities - GA Exp</vt:lpstr>
      <vt:lpstr>Gen Fd BS</vt:lpstr>
      <vt:lpstr>GenRev</vt:lpstr>
      <vt:lpstr>GenExp</vt:lpstr>
      <vt:lpstr>Gov Fd BS</vt:lpstr>
      <vt:lpstr>Gov Fd Rv</vt:lpstr>
      <vt:lpstr>Gov Fnd Exp</vt:lpstr>
      <vt:lpstr>LT _Lia - GA</vt:lpstr>
      <vt:lpstr>Sheet1</vt:lpstr>
      <vt:lpstr>Sheet2</vt:lpstr>
      <vt:lpstr>'Gen Fd BS'!Print_Area</vt:lpstr>
      <vt:lpstr>GenExp!Print_Area</vt:lpstr>
      <vt:lpstr>GenRev!Print_Area</vt:lpstr>
      <vt:lpstr>'Gov Fd BS'!Print_Area</vt:lpstr>
      <vt:lpstr>'Gov Fd Rv'!Print_Area</vt:lpstr>
      <vt:lpstr>'Gov Fnd Exp'!Print_Area</vt:lpstr>
      <vt:lpstr>'LT _Lia - GA'!Print_Area</vt:lpstr>
      <vt:lpstr>'St of Activites - GA Rev'!Print_Area</vt:lpstr>
      <vt:lpstr>'St of Activities - GA Exp'!Print_Area</vt:lpstr>
      <vt:lpstr>'St of Net Assets - GA'!Print_Area</vt:lpstr>
      <vt:lpstr>'Gen Fd BS'!Print_Titles</vt:lpstr>
      <vt:lpstr>GenExp!Print_Titles</vt:lpstr>
      <vt:lpstr>GenRev!Print_Titles</vt:lpstr>
      <vt:lpstr>'Gov Fd BS'!Print_Titles</vt:lpstr>
      <vt:lpstr>'Gov Fd Rv'!Print_Titles</vt:lpstr>
      <vt:lpstr>'Gov Fnd Exp'!Print_Titles</vt:lpstr>
      <vt:lpstr>'LT _Lia - GA'!Print_Titles</vt:lpstr>
      <vt:lpstr>'St of Activites - GA Rev'!Print_Titles</vt:lpstr>
      <vt:lpstr>'St of Activities - GA Exp'!Print_Titles</vt:lpstr>
      <vt:lpstr>'St of Net Assets - GA'!Print_Titles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Kim A. Kirkbride</cp:lastModifiedBy>
  <cp:lastPrinted>2010-05-14T19:36:45Z</cp:lastPrinted>
  <dcterms:created xsi:type="dcterms:W3CDTF">2002-06-04T12:17:39Z</dcterms:created>
  <dcterms:modified xsi:type="dcterms:W3CDTF">2010-05-14T19:39:38Z</dcterms:modified>
</cp:coreProperties>
</file>